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User\Desktop\сметы утв., искл., доб\"/>
    </mc:Choice>
  </mc:AlternateContent>
  <xr:revisionPtr revIDLastSave="0" documentId="13_ncr:1_{F1E9983F-AB4C-4DF1-B202-6891959B0BF7}" xr6:coauthVersionLast="47" xr6:coauthVersionMax="47" xr10:uidLastSave="{00000000-0000-0000-0000-000000000000}"/>
  <bookViews>
    <workbookView xWindow="28680" yWindow="-120" windowWidth="29040" windowHeight="15840" tabRatio="820" firstSheet="2" activeTab="2" xr2:uid="{00000000-000D-0000-FFFF-FFFF00000000}"/>
  </bookViews>
  <sheets>
    <sheet name="ССР тек было" sheetId="1" state="hidden" r:id="rId1"/>
    <sheet name="ССР база было" sheetId="2" state="hidden" r:id="rId2"/>
    <sheet name="СТУ" sheetId="39" r:id="rId3"/>
    <sheet name=" 02-01-01 утв." sheetId="13" r:id="rId4"/>
    <sheet name=" 02-01-02 утв." sheetId="14" r:id="rId5"/>
    <sheet name="02-01-03 утв." sheetId="15" r:id="rId6"/>
    <sheet name="02-01-04 утв." sheetId="16" r:id="rId7"/>
    <sheet name="02-01-05 утв." sheetId="17" r:id="rId8"/>
    <sheet name="02-01-06 утв." sheetId="18" r:id="rId9"/>
    <sheet name="02-01-07 утв." sheetId="26" r:id="rId10"/>
    <sheet name="02-01-08 утв." sheetId="21" r:id="rId11"/>
    <sheet name="02-01-09 утв." sheetId="22" r:id="rId12"/>
    <sheet name="02-01-10 утв." sheetId="30" r:id="rId13"/>
    <sheet name="02-01-11 утв." sheetId="31" r:id="rId14"/>
    <sheet name="02-01-12 утв." sheetId="28" r:id="rId15"/>
    <sheet name="02-01-13 утв." sheetId="34" r:id="rId16"/>
    <sheet name="02-01-14 утв." sheetId="25" r:id="rId17"/>
    <sheet name="02-01-15 утв." sheetId="32" r:id="rId18"/>
    <sheet name="02-01-16 утв." sheetId="27" r:id="rId19"/>
    <sheet name="02-01-17 утв." sheetId="29" r:id="rId20"/>
    <sheet name="02-01-18 утв." sheetId="33" r:id="rId21"/>
    <sheet name="02-01-19 утв." sheetId="37" r:id="rId22"/>
    <sheet name="02-01-20 утв." sheetId="38" r:id="rId23"/>
    <sheet name="02-01-21 утв." sheetId="35" r:id="rId24"/>
    <sheet name="02-01-22 утв. возвратные суммы" sheetId="23" r:id="rId25"/>
    <sheet name="ОС база" sheetId="7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Excel_BuiltIn_Print_Area_16_1">#REF!</definedName>
    <definedName name="Excel_BuiltIn_Print_Area_4_1">#REF!</definedName>
    <definedName name="Excel_BuiltIn_Print_Area_5_1">#REF!</definedName>
    <definedName name="Excel_BuiltIn_Print_Area_6_1">#REF!</definedName>
    <definedName name="вап">#REF!</definedName>
    <definedName name="Видео">#REF!</definedName>
    <definedName name="енке">#REF!</definedName>
    <definedName name="_xlnm.Print_Titles" localSheetId="3">' 02-01-01 утв.'!$34:$34</definedName>
    <definedName name="_xlnm.Print_Titles" localSheetId="4">' 02-01-02 утв.'!$34:$34</definedName>
    <definedName name="_xlnm.Print_Titles" localSheetId="5">'02-01-03 утв.'!$34:$34</definedName>
    <definedName name="_xlnm.Print_Titles" localSheetId="6">'02-01-04 утв.'!$34:$34</definedName>
    <definedName name="_xlnm.Print_Titles" localSheetId="7">'02-01-05 утв.'!$34:$34</definedName>
    <definedName name="_xlnm.Print_Titles" localSheetId="8">'02-01-06 утв.'!$34:$34</definedName>
    <definedName name="_xlnm.Print_Titles" localSheetId="9">'02-01-07 утв.'!$34:$34</definedName>
    <definedName name="_xlnm.Print_Titles" localSheetId="10">'02-01-08 утв.'!$34:$34</definedName>
    <definedName name="_xlnm.Print_Titles" localSheetId="11">'02-01-09 утв.'!$34:$34</definedName>
    <definedName name="_xlnm.Print_Titles" localSheetId="12">'02-01-10 утв.'!$34:$34</definedName>
    <definedName name="_xlnm.Print_Titles" localSheetId="13">'02-01-11 утв.'!$34:$34</definedName>
    <definedName name="_xlnm.Print_Titles" localSheetId="14">'02-01-12 утв.'!$34:$34</definedName>
    <definedName name="_xlnm.Print_Titles" localSheetId="15">'02-01-13 утв.'!$34:$34</definedName>
    <definedName name="_xlnm.Print_Titles" localSheetId="16">'02-01-14 утв.'!$34:$34</definedName>
    <definedName name="_xlnm.Print_Titles" localSheetId="17">'02-01-15 утв.'!$34:$34</definedName>
    <definedName name="_xlnm.Print_Titles" localSheetId="18">'02-01-16 утв.'!$34:$34</definedName>
    <definedName name="_xlnm.Print_Titles" localSheetId="19">'02-01-17 утв.'!$34:$34</definedName>
    <definedName name="_xlnm.Print_Titles" localSheetId="20">'02-01-18 утв.'!$34:$34</definedName>
    <definedName name="_xlnm.Print_Titles" localSheetId="21">'02-01-19 утв.'!$34:$34</definedName>
    <definedName name="_xlnm.Print_Titles" localSheetId="22">'02-01-20 утв.'!$34:$34</definedName>
    <definedName name="_xlnm.Print_Titles" localSheetId="23">'02-01-21 утв.'!$34:$34</definedName>
    <definedName name="_xlnm.Print_Titles" localSheetId="24">'02-01-22 утв. возвратные суммы'!$34:$34</definedName>
    <definedName name="_xlnm.Print_Titles" localSheetId="1">'ССР база было'!$20:$24</definedName>
    <definedName name="_xlnm.Print_Titles" localSheetId="0">'ССР тек было'!$19:$23</definedName>
    <definedName name="_xlnm.Print_Area" localSheetId="3">' 02-01-01 утв.'!$A$1:$K$1210</definedName>
    <definedName name="_xlnm.Print_Area" localSheetId="4">' 02-01-02 утв.'!$A$1:$K$777</definedName>
    <definedName name="_xlnm.Print_Area" localSheetId="5">'02-01-03 утв.'!$A$1:$K$1243</definedName>
    <definedName name="_xlnm.Print_Area" localSheetId="6">'02-01-04 утв.'!$A$1:$K$335</definedName>
    <definedName name="_xlnm.Print_Area" localSheetId="7">'02-01-05 утв.'!$A$1:$K$307</definedName>
    <definedName name="_xlnm.Print_Area" localSheetId="8">'02-01-06 утв.'!$A$1:$K$542</definedName>
    <definedName name="_xlnm.Print_Area" localSheetId="9">'02-01-07 утв.'!$A$1:$K$2626</definedName>
    <definedName name="_xlnm.Print_Area" localSheetId="10">'02-01-08 утв.'!$A$1:$K$560</definedName>
    <definedName name="_xlnm.Print_Area" localSheetId="11">'02-01-09 утв.'!$A$1:$K$441</definedName>
    <definedName name="_xlnm.Print_Area" localSheetId="12">'02-01-10 утв.'!$A$1:$K$716</definedName>
    <definedName name="_xlnm.Print_Area" localSheetId="13">'02-01-11 утв.'!$A$1:$K$381</definedName>
    <definedName name="_xlnm.Print_Area" localSheetId="14">'02-01-12 утв.'!$A$1:$K$271</definedName>
    <definedName name="_xlnm.Print_Area" localSheetId="15">'02-01-13 утв.'!$A$1:$K$158</definedName>
    <definedName name="_xlnm.Print_Area" localSheetId="16">'02-01-14 утв.'!$A$1:$K$363</definedName>
    <definedName name="_xlnm.Print_Area" localSheetId="17">'02-01-15 утв.'!$A$1:$K$289</definedName>
    <definedName name="_xlnm.Print_Area" localSheetId="18">'02-01-16 утв.'!$A$1:$K$230</definedName>
    <definedName name="_xlnm.Print_Area" localSheetId="19">'02-01-17 утв.'!$A$1:$K$379</definedName>
    <definedName name="_xlnm.Print_Area" localSheetId="20">'02-01-18 утв.'!$A$1:$K$350</definedName>
    <definedName name="_xlnm.Print_Area" localSheetId="21">'02-01-19 утв.'!$A$1:$K$674</definedName>
    <definedName name="_xlnm.Print_Area" localSheetId="22">'02-01-20 утв.'!$A$1:$K$1598</definedName>
    <definedName name="_xlnm.Print_Area" localSheetId="23">'02-01-21 утв.'!$A$1:$K$146</definedName>
    <definedName name="_xlnm.Print_Area" localSheetId="24">'02-01-22 утв. возвратные суммы'!$A$1:$K$75</definedName>
    <definedName name="_xlnm.Print_Area" localSheetId="1">'ССР база было'!$A$1:$H$104</definedName>
    <definedName name="_xlnm.Print_Area" localSheetId="0">'ССР тек было'!$A$1:$H$103</definedName>
    <definedName name="оо">#REF!</definedName>
    <definedName name="прар">#REF!</definedName>
    <definedName name="Проект">#REF!</definedName>
    <definedName name="ПСД">#REF!</definedName>
    <definedName name="скуд">#REF!</definedName>
    <definedName name="стрел">#REF!</definedName>
    <definedName name="ТИР">#REF!</definedName>
    <definedName name="ТР">#REF!</definedName>
    <definedName name="уут1">#REF!</definedName>
    <definedName name="Шапка">#REF!</definedName>
  </definedNames>
  <calcPr calcId="18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0" i="38" l="1"/>
  <c r="Q37" i="38"/>
  <c r="R37" i="38"/>
  <c r="S37" i="38"/>
  <c r="T37" i="38"/>
  <c r="U37" i="38"/>
  <c r="V37" i="38"/>
  <c r="Q43" i="38"/>
  <c r="R43" i="38"/>
  <c r="S43" i="38"/>
  <c r="T43" i="38"/>
  <c r="U43" i="38"/>
  <c r="V43" i="38"/>
  <c r="Q44" i="38"/>
  <c r="R44" i="38"/>
  <c r="S44" i="38"/>
  <c r="T44" i="38"/>
  <c r="U44" i="38"/>
  <c r="V44" i="38"/>
  <c r="Q51" i="38"/>
  <c r="R51" i="38"/>
  <c r="S51" i="38"/>
  <c r="T51" i="38"/>
  <c r="U51" i="38"/>
  <c r="V51" i="38"/>
  <c r="P63" i="38"/>
  <c r="Q57" i="38"/>
  <c r="R57" i="38"/>
  <c r="S57" i="38"/>
  <c r="T57" i="38"/>
  <c r="U57" i="38"/>
  <c r="V57" i="38"/>
  <c r="Q58" i="38"/>
  <c r="R58" i="38"/>
  <c r="S58" i="38"/>
  <c r="T58" i="38"/>
  <c r="U58" i="38"/>
  <c r="V58" i="38"/>
  <c r="Q65" i="38"/>
  <c r="R65" i="38"/>
  <c r="S65" i="38"/>
  <c r="T65" i="38"/>
  <c r="U65" i="38"/>
  <c r="V65" i="38"/>
  <c r="Q71" i="38"/>
  <c r="R71" i="38"/>
  <c r="S71" i="38"/>
  <c r="T71" i="38"/>
  <c r="U71" i="38"/>
  <c r="V71" i="38"/>
  <c r="Q72" i="38"/>
  <c r="R72" i="38"/>
  <c r="S72" i="38"/>
  <c r="T72" i="38"/>
  <c r="U72" i="38"/>
  <c r="V72" i="38"/>
  <c r="P77" i="38"/>
  <c r="Q79" i="38"/>
  <c r="R79" i="38"/>
  <c r="S79" i="38"/>
  <c r="T79" i="38"/>
  <c r="U79" i="38"/>
  <c r="V79" i="38"/>
  <c r="Q82" i="38"/>
  <c r="R82" i="38"/>
  <c r="P87" i="38" s="1"/>
  <c r="S82" i="38"/>
  <c r="T82" i="38"/>
  <c r="U82" i="38"/>
  <c r="V82" i="38"/>
  <c r="Q83" i="38"/>
  <c r="R83" i="38"/>
  <c r="S83" i="38"/>
  <c r="T83" i="38"/>
  <c r="U83" i="38"/>
  <c r="V83" i="38"/>
  <c r="Q95" i="38"/>
  <c r="R95" i="38"/>
  <c r="S95" i="38"/>
  <c r="T95" i="38"/>
  <c r="U95" i="38"/>
  <c r="V95" i="38"/>
  <c r="O104" i="38"/>
  <c r="Q106" i="38"/>
  <c r="R106" i="38"/>
  <c r="S106" i="38"/>
  <c r="T106" i="38"/>
  <c r="U106" i="38"/>
  <c r="V106" i="38"/>
  <c r="Q114" i="38"/>
  <c r="R114" i="38"/>
  <c r="S114" i="38"/>
  <c r="T114" i="38"/>
  <c r="U114" i="38"/>
  <c r="V114" i="38"/>
  <c r="P120" i="38"/>
  <c r="Q122" i="38"/>
  <c r="R122" i="38"/>
  <c r="S122" i="38"/>
  <c r="T122" i="38"/>
  <c r="U122" i="38"/>
  <c r="V122" i="38"/>
  <c r="P131" i="38" s="1"/>
  <c r="O134" i="38"/>
  <c r="Q133" i="38"/>
  <c r="R133" i="38"/>
  <c r="S133" i="38"/>
  <c r="T133" i="38"/>
  <c r="U133" i="38"/>
  <c r="V133" i="38"/>
  <c r="P134" i="38"/>
  <c r="Q142" i="38"/>
  <c r="R142" i="38"/>
  <c r="S142" i="38"/>
  <c r="T142" i="38"/>
  <c r="U142" i="38"/>
  <c r="V142" i="38"/>
  <c r="P151" i="38"/>
  <c r="Q153" i="38"/>
  <c r="R153" i="38"/>
  <c r="S153" i="38"/>
  <c r="T153" i="38"/>
  <c r="U153" i="38"/>
  <c r="V153" i="38"/>
  <c r="P159" i="38"/>
  <c r="O159" i="38"/>
  <c r="Q161" i="38"/>
  <c r="R161" i="38"/>
  <c r="S161" i="38"/>
  <c r="T161" i="38"/>
  <c r="U161" i="38"/>
  <c r="V161" i="38"/>
  <c r="P167" i="38"/>
  <c r="Q169" i="38"/>
  <c r="R169" i="38"/>
  <c r="S169" i="38"/>
  <c r="T169" i="38"/>
  <c r="U169" i="38"/>
  <c r="V169" i="38"/>
  <c r="O181" i="38"/>
  <c r="Q180" i="38"/>
  <c r="R180" i="38"/>
  <c r="S180" i="38"/>
  <c r="T180" i="38"/>
  <c r="U180" i="38"/>
  <c r="V180" i="38"/>
  <c r="P181" i="38"/>
  <c r="Q189" i="38"/>
  <c r="R189" i="38"/>
  <c r="S189" i="38"/>
  <c r="T189" i="38"/>
  <c r="U189" i="38"/>
  <c r="V189" i="38"/>
  <c r="Q200" i="38"/>
  <c r="R200" i="38"/>
  <c r="S200" i="38"/>
  <c r="T200" i="38"/>
  <c r="U200" i="38"/>
  <c r="V200" i="38"/>
  <c r="P206" i="38"/>
  <c r="O206" i="38"/>
  <c r="Q208" i="38"/>
  <c r="R208" i="38"/>
  <c r="S208" i="38"/>
  <c r="T208" i="38"/>
  <c r="U208" i="38"/>
  <c r="V208" i="38"/>
  <c r="Q216" i="38"/>
  <c r="R216" i="38"/>
  <c r="S216" i="38"/>
  <c r="T216" i="38"/>
  <c r="U216" i="38"/>
  <c r="V216" i="38"/>
  <c r="O225" i="38"/>
  <c r="O228" i="38"/>
  <c r="Q227" i="38"/>
  <c r="R227" i="38"/>
  <c r="S227" i="38"/>
  <c r="T227" i="38"/>
  <c r="U227" i="38"/>
  <c r="V227" i="38"/>
  <c r="P228" i="38"/>
  <c r="Q236" i="38"/>
  <c r="R236" i="38"/>
  <c r="S236" i="38"/>
  <c r="T236" i="38"/>
  <c r="U236" i="38"/>
  <c r="V236" i="38"/>
  <c r="Q247" i="38"/>
  <c r="O253" i="38" s="1"/>
  <c r="R247" i="38"/>
  <c r="S247" i="38"/>
  <c r="T247" i="38"/>
  <c r="U247" i="38"/>
  <c r="V247" i="38"/>
  <c r="P253" i="38"/>
  <c r="Q255" i="38"/>
  <c r="R255" i="38"/>
  <c r="S255" i="38"/>
  <c r="T255" i="38"/>
  <c r="U255" i="38"/>
  <c r="V255" i="38"/>
  <c r="P261" i="38"/>
  <c r="Q263" i="38"/>
  <c r="R263" i="38"/>
  <c r="S263" i="38"/>
  <c r="T263" i="38"/>
  <c r="U263" i="38"/>
  <c r="V263" i="38"/>
  <c r="P272" i="38"/>
  <c r="Q274" i="38"/>
  <c r="R274" i="38"/>
  <c r="S274" i="38"/>
  <c r="T274" i="38"/>
  <c r="U274" i="38"/>
  <c r="V274" i="38"/>
  <c r="P275" i="38"/>
  <c r="AF278" i="38"/>
  <c r="Q283" i="38"/>
  <c r="R283" i="38"/>
  <c r="S283" i="38"/>
  <c r="T283" i="38"/>
  <c r="U283" i="38"/>
  <c r="V283" i="38"/>
  <c r="P292" i="38"/>
  <c r="O292" i="38"/>
  <c r="Q294" i="38"/>
  <c r="R294" i="38"/>
  <c r="S294" i="38"/>
  <c r="T294" i="38"/>
  <c r="U294" i="38"/>
  <c r="V294" i="38"/>
  <c r="P300" i="38"/>
  <c r="Q302" i="38"/>
  <c r="R302" i="38"/>
  <c r="S302" i="38"/>
  <c r="T302" i="38"/>
  <c r="U302" i="38"/>
  <c r="V302" i="38"/>
  <c r="P308" i="38"/>
  <c r="Q310" i="38"/>
  <c r="R310" i="38"/>
  <c r="S310" i="38"/>
  <c r="T310" i="38"/>
  <c r="U310" i="38"/>
  <c r="V310" i="38"/>
  <c r="P319" i="38"/>
  <c r="Q321" i="38"/>
  <c r="R321" i="38"/>
  <c r="S321" i="38"/>
  <c r="T321" i="38"/>
  <c r="U321" i="38"/>
  <c r="V321" i="38"/>
  <c r="P322" i="38"/>
  <c r="Q330" i="38"/>
  <c r="R330" i="38"/>
  <c r="S330" i="38"/>
  <c r="T330" i="38"/>
  <c r="U330" i="38"/>
  <c r="V330" i="38"/>
  <c r="P339" i="38"/>
  <c r="O339" i="38"/>
  <c r="Q341" i="38"/>
  <c r="R341" i="38"/>
  <c r="S341" i="38"/>
  <c r="T341" i="38"/>
  <c r="U341" i="38"/>
  <c r="V341" i="38"/>
  <c r="P347" i="38"/>
  <c r="Q349" i="38"/>
  <c r="R349" i="38"/>
  <c r="S349" i="38"/>
  <c r="T349" i="38"/>
  <c r="U349" i="38"/>
  <c r="V349" i="38"/>
  <c r="P355" i="38"/>
  <c r="Q357" i="38"/>
  <c r="R357" i="38"/>
  <c r="S357" i="38"/>
  <c r="T357" i="38"/>
  <c r="U357" i="38"/>
  <c r="V357" i="38"/>
  <c r="P366" i="38"/>
  <c r="Q368" i="38"/>
  <c r="R368" i="38"/>
  <c r="S368" i="38"/>
  <c r="T368" i="38"/>
  <c r="U368" i="38"/>
  <c r="V368" i="38"/>
  <c r="P369" i="38"/>
  <c r="Q377" i="38"/>
  <c r="O386" i="38" s="1"/>
  <c r="R377" i="38"/>
  <c r="S377" i="38"/>
  <c r="T377" i="38"/>
  <c r="U377" i="38"/>
  <c r="V377" i="38"/>
  <c r="P386" i="38"/>
  <c r="Q388" i="38"/>
  <c r="R388" i="38"/>
  <c r="S388" i="38"/>
  <c r="T388" i="38"/>
  <c r="U388" i="38"/>
  <c r="V388" i="38"/>
  <c r="P394" i="38"/>
  <c r="Q396" i="38"/>
  <c r="R396" i="38"/>
  <c r="S396" i="38"/>
  <c r="T396" i="38"/>
  <c r="U396" i="38"/>
  <c r="V396" i="38"/>
  <c r="P402" i="38"/>
  <c r="Q404" i="38"/>
  <c r="R404" i="38"/>
  <c r="S404" i="38"/>
  <c r="T404" i="38"/>
  <c r="U404" i="38"/>
  <c r="V404" i="38"/>
  <c r="P413" i="38"/>
  <c r="Q415" i="38"/>
  <c r="R415" i="38"/>
  <c r="S415" i="38"/>
  <c r="T415" i="38"/>
  <c r="U415" i="38"/>
  <c r="V415" i="38"/>
  <c r="P416" i="38"/>
  <c r="Q424" i="38"/>
  <c r="O433" i="38" s="1"/>
  <c r="R424" i="38"/>
  <c r="S424" i="38"/>
  <c r="T424" i="38"/>
  <c r="U424" i="38"/>
  <c r="V424" i="38"/>
  <c r="P433" i="38"/>
  <c r="Q435" i="38"/>
  <c r="R435" i="38"/>
  <c r="S435" i="38"/>
  <c r="T435" i="38"/>
  <c r="U435" i="38"/>
  <c r="V435" i="38"/>
  <c r="P441" i="38"/>
  <c r="Q443" i="38"/>
  <c r="R443" i="38"/>
  <c r="S443" i="38"/>
  <c r="T443" i="38"/>
  <c r="U443" i="38"/>
  <c r="V443" i="38"/>
  <c r="Q451" i="38"/>
  <c r="R451" i="38"/>
  <c r="S451" i="38"/>
  <c r="O460" i="38" s="1"/>
  <c r="T451" i="38"/>
  <c r="U451" i="38"/>
  <c r="V451" i="38"/>
  <c r="Q462" i="38"/>
  <c r="R462" i="38"/>
  <c r="S462" i="38"/>
  <c r="T462" i="38"/>
  <c r="U462" i="38"/>
  <c r="V462" i="38"/>
  <c r="P463" i="38"/>
  <c r="Q471" i="38"/>
  <c r="R471" i="38"/>
  <c r="S471" i="38"/>
  <c r="T471" i="38"/>
  <c r="U471" i="38"/>
  <c r="V471" i="38"/>
  <c r="P480" i="38"/>
  <c r="O480" i="38"/>
  <c r="Q482" i="38"/>
  <c r="R482" i="38"/>
  <c r="S482" i="38"/>
  <c r="T482" i="38"/>
  <c r="U482" i="38"/>
  <c r="V482" i="38"/>
  <c r="P488" i="38"/>
  <c r="Q490" i="38"/>
  <c r="R490" i="38"/>
  <c r="S490" i="38"/>
  <c r="T490" i="38"/>
  <c r="U490" i="38"/>
  <c r="V490" i="38"/>
  <c r="P496" i="38"/>
  <c r="Q498" i="38"/>
  <c r="R498" i="38"/>
  <c r="S498" i="38"/>
  <c r="T498" i="38"/>
  <c r="U498" i="38"/>
  <c r="V498" i="38"/>
  <c r="Q509" i="38"/>
  <c r="R509" i="38"/>
  <c r="S509" i="38"/>
  <c r="T509" i="38"/>
  <c r="U509" i="38"/>
  <c r="V509" i="38"/>
  <c r="P510" i="38"/>
  <c r="Q518" i="38"/>
  <c r="R518" i="38"/>
  <c r="S518" i="38"/>
  <c r="T518" i="38"/>
  <c r="U518" i="38"/>
  <c r="V518" i="38"/>
  <c r="P527" i="38"/>
  <c r="O527" i="38"/>
  <c r="Q529" i="38"/>
  <c r="R529" i="38"/>
  <c r="S529" i="38"/>
  <c r="T529" i="38"/>
  <c r="U529" i="38"/>
  <c r="V529" i="38"/>
  <c r="Q537" i="38"/>
  <c r="R537" i="38"/>
  <c r="S537" i="38"/>
  <c r="T537" i="38"/>
  <c r="U537" i="38"/>
  <c r="V537" i="38"/>
  <c r="P543" i="38"/>
  <c r="Q545" i="38"/>
  <c r="R545" i="38"/>
  <c r="S545" i="38"/>
  <c r="T545" i="38"/>
  <c r="U545" i="38"/>
  <c r="V545" i="38"/>
  <c r="Q556" i="38"/>
  <c r="R556" i="38"/>
  <c r="S556" i="38"/>
  <c r="T556" i="38"/>
  <c r="U556" i="38"/>
  <c r="V556" i="38"/>
  <c r="P557" i="38"/>
  <c r="Q565" i="38"/>
  <c r="O574" i="38" s="1"/>
  <c r="R565" i="38"/>
  <c r="S565" i="38"/>
  <c r="T565" i="38"/>
  <c r="U565" i="38"/>
  <c r="V565" i="38"/>
  <c r="P574" i="38"/>
  <c r="Q576" i="38"/>
  <c r="R576" i="38"/>
  <c r="S576" i="38"/>
  <c r="T576" i="38"/>
  <c r="U576" i="38"/>
  <c r="V576" i="38"/>
  <c r="O582" i="38"/>
  <c r="P582" i="38"/>
  <c r="Q584" i="38"/>
  <c r="R584" i="38"/>
  <c r="S584" i="38"/>
  <c r="T584" i="38"/>
  <c r="U584" i="38"/>
  <c r="V584" i="38"/>
  <c r="O590" i="38"/>
  <c r="P590" i="38"/>
  <c r="Q592" i="38"/>
  <c r="R592" i="38"/>
  <c r="S592" i="38"/>
  <c r="T592" i="38"/>
  <c r="U592" i="38"/>
  <c r="V592" i="38"/>
  <c r="P601" i="38"/>
  <c r="Q603" i="38"/>
  <c r="R603" i="38"/>
  <c r="S603" i="38"/>
  <c r="T603" i="38"/>
  <c r="U603" i="38"/>
  <c r="V603" i="38"/>
  <c r="P604" i="38"/>
  <c r="Q612" i="38"/>
  <c r="R612" i="38"/>
  <c r="S612" i="38"/>
  <c r="T612" i="38"/>
  <c r="U612" i="38"/>
  <c r="V612" i="38"/>
  <c r="P621" i="38"/>
  <c r="Q623" i="38"/>
  <c r="R623" i="38"/>
  <c r="S623" i="38"/>
  <c r="T623" i="38"/>
  <c r="U623" i="38"/>
  <c r="V623" i="38"/>
  <c r="P629" i="38"/>
  <c r="Q631" i="38"/>
  <c r="R631" i="38"/>
  <c r="S631" i="38"/>
  <c r="T631" i="38"/>
  <c r="U631" i="38"/>
  <c r="V631" i="38"/>
  <c r="O643" i="38"/>
  <c r="Q642" i="38"/>
  <c r="R642" i="38"/>
  <c r="S642" i="38"/>
  <c r="T642" i="38"/>
  <c r="U642" i="38"/>
  <c r="V642" i="38"/>
  <c r="P643" i="38"/>
  <c r="Q651" i="38"/>
  <c r="R651" i="38"/>
  <c r="S651" i="38"/>
  <c r="T651" i="38"/>
  <c r="U651" i="38"/>
  <c r="V651" i="38"/>
  <c r="P660" i="38"/>
  <c r="Q662" i="38"/>
  <c r="R662" i="38"/>
  <c r="S662" i="38"/>
  <c r="T662" i="38"/>
  <c r="U662" i="38"/>
  <c r="V662" i="38"/>
  <c r="P668" i="38"/>
  <c r="Q670" i="38"/>
  <c r="R670" i="38"/>
  <c r="S670" i="38"/>
  <c r="T670" i="38"/>
  <c r="U670" i="38"/>
  <c r="V670" i="38"/>
  <c r="P676" i="38"/>
  <c r="Q678" i="38"/>
  <c r="R678" i="38"/>
  <c r="S678" i="38"/>
  <c r="O687" i="38" s="1"/>
  <c r="T678" i="38"/>
  <c r="U678" i="38"/>
  <c r="V678" i="38"/>
  <c r="P687" i="38"/>
  <c r="Q689" i="38"/>
  <c r="R689" i="38"/>
  <c r="S689" i="38"/>
  <c r="T689" i="38"/>
  <c r="U689" i="38"/>
  <c r="V689" i="38"/>
  <c r="O690" i="38"/>
  <c r="P690" i="38"/>
  <c r="Q698" i="38"/>
  <c r="R698" i="38"/>
  <c r="S698" i="38"/>
  <c r="T698" i="38"/>
  <c r="U698" i="38"/>
  <c r="V698" i="38"/>
  <c r="O707" i="38"/>
  <c r="Q709" i="38"/>
  <c r="R709" i="38"/>
  <c r="S709" i="38"/>
  <c r="T709" i="38"/>
  <c r="U709" i="38"/>
  <c r="V709" i="38"/>
  <c r="O715" i="38"/>
  <c r="Q717" i="38"/>
  <c r="R717" i="38"/>
  <c r="S717" i="38"/>
  <c r="T717" i="38"/>
  <c r="U717" i="38"/>
  <c r="V717" i="38"/>
  <c r="P726" i="38"/>
  <c r="P729" i="38"/>
  <c r="Q728" i="38"/>
  <c r="R728" i="38"/>
  <c r="S728" i="38"/>
  <c r="T728" i="38"/>
  <c r="U728" i="38"/>
  <c r="V728" i="38"/>
  <c r="O729" i="38"/>
  <c r="Q737" i="38"/>
  <c r="R737" i="38"/>
  <c r="S737" i="38"/>
  <c r="T737" i="38"/>
  <c r="U737" i="38"/>
  <c r="V737" i="38"/>
  <c r="P746" i="38"/>
  <c r="Q748" i="38"/>
  <c r="R748" i="38"/>
  <c r="S748" i="38"/>
  <c r="T748" i="38"/>
  <c r="U748" i="38"/>
  <c r="V748" i="38"/>
  <c r="P754" i="38"/>
  <c r="Q756" i="38"/>
  <c r="R756" i="38"/>
  <c r="S756" i="38"/>
  <c r="T756" i="38"/>
  <c r="U756" i="38"/>
  <c r="V756" i="38"/>
  <c r="P765" i="38"/>
  <c r="O765" i="38"/>
  <c r="P768" i="38"/>
  <c r="Q767" i="38"/>
  <c r="R767" i="38"/>
  <c r="S767" i="38"/>
  <c r="T767" i="38"/>
  <c r="U767" i="38"/>
  <c r="V767" i="38"/>
  <c r="O768" i="38"/>
  <c r="Q776" i="38"/>
  <c r="R776" i="38"/>
  <c r="S776" i="38"/>
  <c r="T776" i="38"/>
  <c r="U776" i="38"/>
  <c r="V776" i="38"/>
  <c r="P785" i="38"/>
  <c r="Q787" i="38"/>
  <c r="R787" i="38"/>
  <c r="S787" i="38"/>
  <c r="T787" i="38"/>
  <c r="U787" i="38"/>
  <c r="V787" i="38"/>
  <c r="P793" i="38"/>
  <c r="Q795" i="38"/>
  <c r="R795" i="38"/>
  <c r="S795" i="38"/>
  <c r="T795" i="38"/>
  <c r="U795" i="38"/>
  <c r="V795" i="38"/>
  <c r="P804" i="38"/>
  <c r="Q806" i="38"/>
  <c r="R806" i="38"/>
  <c r="S806" i="38"/>
  <c r="T806" i="38"/>
  <c r="U806" i="38"/>
  <c r="V806" i="38"/>
  <c r="P807" i="38"/>
  <c r="Q815" i="38"/>
  <c r="O824" i="38" s="1"/>
  <c r="R815" i="38"/>
  <c r="S815" i="38"/>
  <c r="T815" i="38"/>
  <c r="U815" i="38"/>
  <c r="V815" i="38"/>
  <c r="Q826" i="38"/>
  <c r="R826" i="38"/>
  <c r="S826" i="38"/>
  <c r="T826" i="38"/>
  <c r="U826" i="38"/>
  <c r="V826" i="38"/>
  <c r="P832" i="38"/>
  <c r="Q834" i="38"/>
  <c r="R834" i="38"/>
  <c r="S834" i="38"/>
  <c r="T834" i="38"/>
  <c r="U834" i="38"/>
  <c r="V834" i="38"/>
  <c r="P843" i="38"/>
  <c r="O846" i="38"/>
  <c r="Q845" i="38"/>
  <c r="R845" i="38"/>
  <c r="S845" i="38"/>
  <c r="T845" i="38"/>
  <c r="U845" i="38"/>
  <c r="V845" i="38"/>
  <c r="P846" i="38"/>
  <c r="Q854" i="38"/>
  <c r="R854" i="38"/>
  <c r="S854" i="38"/>
  <c r="T854" i="38"/>
  <c r="U854" i="38"/>
  <c r="V854" i="38"/>
  <c r="Q865" i="38"/>
  <c r="R865" i="38"/>
  <c r="S865" i="38"/>
  <c r="T865" i="38"/>
  <c r="U865" i="38"/>
  <c r="V865" i="38"/>
  <c r="P871" i="38"/>
  <c r="O871" i="38"/>
  <c r="Q873" i="38"/>
  <c r="R873" i="38"/>
  <c r="S873" i="38"/>
  <c r="T873" i="38"/>
  <c r="U873" i="38"/>
  <c r="V873" i="38"/>
  <c r="P882" i="38"/>
  <c r="P885" i="38"/>
  <c r="Q884" i="38"/>
  <c r="R884" i="38"/>
  <c r="S884" i="38"/>
  <c r="T884" i="38"/>
  <c r="U884" i="38"/>
  <c r="V884" i="38"/>
  <c r="O885" i="38"/>
  <c r="Q893" i="38"/>
  <c r="R893" i="38"/>
  <c r="S893" i="38"/>
  <c r="T893" i="38"/>
  <c r="U893" i="38"/>
  <c r="V893" i="38"/>
  <c r="P902" i="38"/>
  <c r="Q904" i="38"/>
  <c r="R904" i="38"/>
  <c r="S904" i="38"/>
  <c r="T904" i="38"/>
  <c r="U904" i="38"/>
  <c r="V904" i="38"/>
  <c r="P910" i="38"/>
  <c r="Q912" i="38"/>
  <c r="R912" i="38"/>
  <c r="S912" i="38"/>
  <c r="T912" i="38"/>
  <c r="U912" i="38"/>
  <c r="V912" i="38"/>
  <c r="P921" i="38"/>
  <c r="O921" i="38"/>
  <c r="P924" i="38"/>
  <c r="Q923" i="38"/>
  <c r="R923" i="38"/>
  <c r="S923" i="38"/>
  <c r="T923" i="38"/>
  <c r="U923" i="38"/>
  <c r="V923" i="38"/>
  <c r="O924" i="38"/>
  <c r="Q932" i="38"/>
  <c r="R932" i="38"/>
  <c r="S932" i="38"/>
  <c r="T932" i="38"/>
  <c r="U932" i="38"/>
  <c r="V932" i="38"/>
  <c r="P941" i="38"/>
  <c r="Q943" i="38"/>
  <c r="R943" i="38"/>
  <c r="S943" i="38"/>
  <c r="T943" i="38"/>
  <c r="U943" i="38"/>
  <c r="V943" i="38"/>
  <c r="O949" i="38"/>
  <c r="P949" i="38"/>
  <c r="Q951" i="38"/>
  <c r="R951" i="38"/>
  <c r="S951" i="38"/>
  <c r="T951" i="38"/>
  <c r="U951" i="38"/>
  <c r="V951" i="38"/>
  <c r="P960" i="38"/>
  <c r="Q962" i="38"/>
  <c r="R962" i="38"/>
  <c r="S962" i="38"/>
  <c r="T962" i="38"/>
  <c r="U962" i="38"/>
  <c r="V962" i="38"/>
  <c r="P963" i="38"/>
  <c r="Q971" i="38"/>
  <c r="O980" i="38" s="1"/>
  <c r="R971" i="38"/>
  <c r="S971" i="38"/>
  <c r="T971" i="38"/>
  <c r="U971" i="38"/>
  <c r="V971" i="38"/>
  <c r="P980" i="38"/>
  <c r="Q982" i="38"/>
  <c r="R982" i="38"/>
  <c r="S982" i="38"/>
  <c r="T982" i="38"/>
  <c r="U982" i="38"/>
  <c r="V982" i="38"/>
  <c r="O988" i="38"/>
  <c r="P988" i="38"/>
  <c r="Q990" i="38"/>
  <c r="R990" i="38"/>
  <c r="S990" i="38"/>
  <c r="T990" i="38"/>
  <c r="U990" i="38"/>
  <c r="V990" i="38"/>
  <c r="P999" i="38"/>
  <c r="O1002" i="38"/>
  <c r="Q1001" i="38"/>
  <c r="R1001" i="38"/>
  <c r="S1001" i="38"/>
  <c r="T1001" i="38"/>
  <c r="U1001" i="38"/>
  <c r="V1001" i="38"/>
  <c r="P1002" i="38"/>
  <c r="Q1010" i="38"/>
  <c r="R1010" i="38"/>
  <c r="S1010" i="38"/>
  <c r="T1010" i="38"/>
  <c r="U1010" i="38"/>
  <c r="V1010" i="38"/>
  <c r="Q1021" i="38"/>
  <c r="R1021" i="38"/>
  <c r="S1021" i="38"/>
  <c r="T1021" i="38"/>
  <c r="U1021" i="38"/>
  <c r="V1021" i="38"/>
  <c r="P1027" i="38"/>
  <c r="O1027" i="38"/>
  <c r="Q1029" i="38"/>
  <c r="R1029" i="38"/>
  <c r="S1029" i="38"/>
  <c r="T1029" i="38"/>
  <c r="U1029" i="38"/>
  <c r="V1029" i="38"/>
  <c r="P1038" i="38"/>
  <c r="O1041" i="38"/>
  <c r="P1041" i="38"/>
  <c r="Q1040" i="38"/>
  <c r="R1040" i="38"/>
  <c r="S1040" i="38"/>
  <c r="T1040" i="38"/>
  <c r="U1040" i="38"/>
  <c r="V1040" i="38"/>
  <c r="Q1049" i="38"/>
  <c r="R1049" i="38"/>
  <c r="S1049" i="38"/>
  <c r="T1049" i="38"/>
  <c r="U1049" i="38"/>
  <c r="V1049" i="38"/>
  <c r="O1058" i="38"/>
  <c r="P1058" i="38"/>
  <c r="Q1060" i="38"/>
  <c r="R1060" i="38"/>
  <c r="P1066" i="38" s="1"/>
  <c r="S1060" i="38"/>
  <c r="T1060" i="38"/>
  <c r="U1060" i="38"/>
  <c r="V1060" i="38"/>
  <c r="Q1068" i="38"/>
  <c r="O1077" i="38" s="1"/>
  <c r="R1068" i="38"/>
  <c r="S1068" i="38"/>
  <c r="T1068" i="38"/>
  <c r="U1068" i="38"/>
  <c r="V1068" i="38"/>
  <c r="P1077" i="38"/>
  <c r="P1080" i="38"/>
  <c r="Q1079" i="38"/>
  <c r="R1079" i="38"/>
  <c r="S1079" i="38"/>
  <c r="T1079" i="38"/>
  <c r="U1079" i="38"/>
  <c r="V1079" i="38"/>
  <c r="O1080" i="38"/>
  <c r="Q1088" i="38"/>
  <c r="R1088" i="38"/>
  <c r="S1088" i="38"/>
  <c r="T1088" i="38"/>
  <c r="U1088" i="38"/>
  <c r="V1088" i="38"/>
  <c r="P1097" i="38"/>
  <c r="Q1099" i="38"/>
  <c r="R1099" i="38"/>
  <c r="S1099" i="38"/>
  <c r="T1099" i="38"/>
  <c r="U1099" i="38"/>
  <c r="V1099" i="38"/>
  <c r="P1105" i="38"/>
  <c r="Q1107" i="38"/>
  <c r="R1107" i="38"/>
  <c r="S1107" i="38"/>
  <c r="T1107" i="38"/>
  <c r="U1107" i="38"/>
  <c r="V1107" i="38"/>
  <c r="Q1118" i="38"/>
  <c r="R1118" i="38"/>
  <c r="S1118" i="38"/>
  <c r="T1118" i="38"/>
  <c r="U1118" i="38"/>
  <c r="V1118" i="38"/>
  <c r="P1119" i="38"/>
  <c r="Q1127" i="38"/>
  <c r="O1136" i="38" s="1"/>
  <c r="R1127" i="38"/>
  <c r="S1127" i="38"/>
  <c r="T1127" i="38"/>
  <c r="U1127" i="38"/>
  <c r="V1127" i="38"/>
  <c r="P1136" i="38"/>
  <c r="Q1138" i="38"/>
  <c r="R1138" i="38"/>
  <c r="S1138" i="38"/>
  <c r="T1138" i="38"/>
  <c r="U1138" i="38"/>
  <c r="V1138" i="38"/>
  <c r="O1144" i="38"/>
  <c r="P1144" i="38"/>
  <c r="Q1146" i="38"/>
  <c r="R1146" i="38"/>
  <c r="S1146" i="38"/>
  <c r="T1146" i="38"/>
  <c r="U1146" i="38"/>
  <c r="V1146" i="38"/>
  <c r="O1155" i="38"/>
  <c r="P1155" i="38"/>
  <c r="O1158" i="38"/>
  <c r="Q1157" i="38"/>
  <c r="R1157" i="38"/>
  <c r="S1157" i="38"/>
  <c r="T1157" i="38"/>
  <c r="U1157" i="38"/>
  <c r="V1157" i="38"/>
  <c r="P1158" i="38"/>
  <c r="Q1166" i="38"/>
  <c r="R1166" i="38"/>
  <c r="S1166" i="38"/>
  <c r="T1166" i="38"/>
  <c r="U1166" i="38"/>
  <c r="V1166" i="38"/>
  <c r="P1175" i="38"/>
  <c r="Q1177" i="38"/>
  <c r="R1177" i="38"/>
  <c r="S1177" i="38"/>
  <c r="T1177" i="38"/>
  <c r="U1177" i="38"/>
  <c r="V1177" i="38"/>
  <c r="P1183" i="38"/>
  <c r="O1183" i="38"/>
  <c r="Q1185" i="38"/>
  <c r="R1185" i="38"/>
  <c r="S1185" i="38"/>
  <c r="T1185" i="38"/>
  <c r="U1185" i="38"/>
  <c r="V1185" i="38"/>
  <c r="P1194" i="38"/>
  <c r="O1197" i="38"/>
  <c r="P1197" i="38"/>
  <c r="Q1196" i="38"/>
  <c r="R1196" i="38"/>
  <c r="S1196" i="38"/>
  <c r="T1196" i="38"/>
  <c r="U1196" i="38"/>
  <c r="V1196" i="38"/>
  <c r="Q1205" i="38"/>
  <c r="R1205" i="38"/>
  <c r="S1205" i="38"/>
  <c r="T1205" i="38"/>
  <c r="U1205" i="38"/>
  <c r="V1205" i="38"/>
  <c r="P1214" i="38"/>
  <c r="Q1216" i="38"/>
  <c r="R1216" i="38"/>
  <c r="P1222" i="38" s="1"/>
  <c r="S1216" i="38"/>
  <c r="T1216" i="38"/>
  <c r="U1216" i="38"/>
  <c r="V1216" i="38"/>
  <c r="Q1224" i="38"/>
  <c r="O1233" i="38" s="1"/>
  <c r="R1224" i="38"/>
  <c r="S1224" i="38"/>
  <c r="T1224" i="38"/>
  <c r="U1224" i="38"/>
  <c r="V1224" i="38"/>
  <c r="P1233" i="38"/>
  <c r="P1236" i="38"/>
  <c r="Q1235" i="38"/>
  <c r="R1235" i="38"/>
  <c r="S1235" i="38"/>
  <c r="T1235" i="38"/>
  <c r="U1235" i="38"/>
  <c r="V1235" i="38"/>
  <c r="O1236" i="38"/>
  <c r="Q1244" i="38"/>
  <c r="R1244" i="38"/>
  <c r="S1244" i="38"/>
  <c r="T1244" i="38"/>
  <c r="U1244" i="38"/>
  <c r="V1244" i="38"/>
  <c r="P1253" i="38"/>
  <c r="Q1255" i="38"/>
  <c r="R1255" i="38"/>
  <c r="S1255" i="38"/>
  <c r="T1255" i="38"/>
  <c r="U1255" i="38"/>
  <c r="V1255" i="38"/>
  <c r="P1261" i="38"/>
  <c r="Q1263" i="38"/>
  <c r="R1263" i="38"/>
  <c r="S1263" i="38"/>
  <c r="T1263" i="38"/>
  <c r="U1263" i="38"/>
  <c r="V1263" i="38"/>
  <c r="Q1274" i="38"/>
  <c r="R1274" i="38"/>
  <c r="S1274" i="38"/>
  <c r="T1274" i="38"/>
  <c r="U1274" i="38"/>
  <c r="V1274" i="38"/>
  <c r="P1275" i="38"/>
  <c r="Q1283" i="38"/>
  <c r="R1283" i="38"/>
  <c r="S1283" i="38"/>
  <c r="T1283" i="38"/>
  <c r="U1283" i="38"/>
  <c r="V1283" i="38"/>
  <c r="P1292" i="38"/>
  <c r="O1292" i="38"/>
  <c r="Q1294" i="38"/>
  <c r="R1294" i="38"/>
  <c r="S1294" i="38"/>
  <c r="T1294" i="38"/>
  <c r="U1294" i="38"/>
  <c r="V1294" i="38"/>
  <c r="P1300" i="38"/>
  <c r="Q1302" i="38"/>
  <c r="R1302" i="38"/>
  <c r="S1302" i="38"/>
  <c r="T1302" i="38"/>
  <c r="U1302" i="38"/>
  <c r="V1302" i="38"/>
  <c r="P1311" i="38"/>
  <c r="O1314" i="38"/>
  <c r="Q1313" i="38"/>
  <c r="R1313" i="38"/>
  <c r="S1313" i="38"/>
  <c r="T1313" i="38"/>
  <c r="U1313" i="38"/>
  <c r="V1313" i="38"/>
  <c r="P1314" i="38"/>
  <c r="Q1322" i="38"/>
  <c r="R1322" i="38"/>
  <c r="S1322" i="38"/>
  <c r="T1322" i="38"/>
  <c r="U1322" i="38"/>
  <c r="V1322" i="38"/>
  <c r="O1331" i="38"/>
  <c r="Q1333" i="38"/>
  <c r="R1333" i="38"/>
  <c r="S1333" i="38"/>
  <c r="T1333" i="38"/>
  <c r="U1333" i="38"/>
  <c r="V1333" i="38"/>
  <c r="P1339" i="38"/>
  <c r="Q1341" i="38"/>
  <c r="R1341" i="38"/>
  <c r="S1341" i="38"/>
  <c r="T1341" i="38"/>
  <c r="U1341" i="38"/>
  <c r="V1341" i="38"/>
  <c r="O1353" i="38"/>
  <c r="P1353" i="38"/>
  <c r="Q1352" i="38"/>
  <c r="R1352" i="38"/>
  <c r="S1352" i="38"/>
  <c r="T1352" i="38"/>
  <c r="U1352" i="38"/>
  <c r="V1352" i="38"/>
  <c r="Q1361" i="38"/>
  <c r="R1361" i="38"/>
  <c r="S1361" i="38"/>
  <c r="T1361" i="38"/>
  <c r="U1361" i="38"/>
  <c r="V1361" i="38"/>
  <c r="P1370" i="38"/>
  <c r="O1370" i="38"/>
  <c r="Q1372" i="38"/>
  <c r="R1372" i="38"/>
  <c r="S1372" i="38"/>
  <c r="T1372" i="38"/>
  <c r="U1372" i="38"/>
  <c r="V1372" i="38"/>
  <c r="O1378" i="38"/>
  <c r="Q1380" i="38"/>
  <c r="R1380" i="38"/>
  <c r="S1380" i="38"/>
  <c r="T1380" i="38"/>
  <c r="U1380" i="38"/>
  <c r="V1380" i="38"/>
  <c r="P1389" i="38"/>
  <c r="O1389" i="38"/>
  <c r="P1392" i="38"/>
  <c r="Q1391" i="38"/>
  <c r="R1391" i="38"/>
  <c r="S1391" i="38"/>
  <c r="T1391" i="38"/>
  <c r="U1391" i="38"/>
  <c r="V1391" i="38"/>
  <c r="O1392" i="38"/>
  <c r="Q1400" i="38"/>
  <c r="R1400" i="38"/>
  <c r="S1400" i="38"/>
  <c r="T1400" i="38"/>
  <c r="U1400" i="38"/>
  <c r="V1400" i="38"/>
  <c r="O1409" i="38"/>
  <c r="P1409" i="38"/>
  <c r="Q1411" i="38"/>
  <c r="R1411" i="38"/>
  <c r="S1411" i="38"/>
  <c r="T1411" i="38"/>
  <c r="U1411" i="38"/>
  <c r="V1411" i="38"/>
  <c r="O1417" i="38"/>
  <c r="Q1419" i="38"/>
  <c r="R1419" i="38"/>
  <c r="S1419" i="38"/>
  <c r="T1419" i="38"/>
  <c r="U1419" i="38"/>
  <c r="V1419" i="38"/>
  <c r="P1428" i="38"/>
  <c r="O1428" i="38"/>
  <c r="Q1430" i="38"/>
  <c r="R1430" i="38"/>
  <c r="S1430" i="38"/>
  <c r="T1430" i="38"/>
  <c r="U1430" i="38"/>
  <c r="V1430" i="38"/>
  <c r="O1431" i="38"/>
  <c r="P1431" i="38"/>
  <c r="Q1439" i="38"/>
  <c r="O1448" i="38" s="1"/>
  <c r="R1439" i="38"/>
  <c r="S1439" i="38"/>
  <c r="T1439" i="38"/>
  <c r="U1439" i="38"/>
  <c r="V1439" i="38"/>
  <c r="P1448" i="38"/>
  <c r="Q1450" i="38"/>
  <c r="R1450" i="38"/>
  <c r="S1450" i="38"/>
  <c r="T1450" i="38"/>
  <c r="U1450" i="38"/>
  <c r="V1450" i="38"/>
  <c r="O1456" i="38"/>
  <c r="Q1458" i="38"/>
  <c r="R1458" i="38"/>
  <c r="S1458" i="38"/>
  <c r="T1458" i="38"/>
  <c r="U1458" i="38"/>
  <c r="V1458" i="38"/>
  <c r="Q1469" i="38"/>
  <c r="R1469" i="38"/>
  <c r="S1469" i="38"/>
  <c r="T1469" i="38"/>
  <c r="U1469" i="38"/>
  <c r="V1469" i="38"/>
  <c r="P1470" i="38"/>
  <c r="Q1478" i="38"/>
  <c r="R1478" i="38"/>
  <c r="S1478" i="38"/>
  <c r="T1478" i="38"/>
  <c r="U1478" i="38"/>
  <c r="V1478" i="38"/>
  <c r="P1487" i="38"/>
  <c r="Q1489" i="38"/>
  <c r="R1489" i="38"/>
  <c r="S1489" i="38"/>
  <c r="T1489" i="38"/>
  <c r="U1489" i="38"/>
  <c r="V1489" i="38"/>
  <c r="P1495" i="38"/>
  <c r="Q1497" i="38"/>
  <c r="R1497" i="38"/>
  <c r="S1497" i="38"/>
  <c r="T1497" i="38"/>
  <c r="U1497" i="38"/>
  <c r="V1497" i="38"/>
  <c r="O1509" i="38"/>
  <c r="P1509" i="38"/>
  <c r="Q1508" i="38"/>
  <c r="R1508" i="38"/>
  <c r="S1508" i="38"/>
  <c r="T1508" i="38"/>
  <c r="U1508" i="38"/>
  <c r="V1508" i="38"/>
  <c r="Q1517" i="38"/>
  <c r="R1517" i="38"/>
  <c r="S1517" i="38"/>
  <c r="T1517" i="38"/>
  <c r="U1517" i="38"/>
  <c r="V1517" i="38"/>
  <c r="P1526" i="38"/>
  <c r="O1526" i="38"/>
  <c r="Q1528" i="38"/>
  <c r="R1528" i="38"/>
  <c r="S1528" i="38"/>
  <c r="T1528" i="38"/>
  <c r="U1528" i="38"/>
  <c r="V1528" i="38"/>
  <c r="O1534" i="38"/>
  <c r="P1534" i="38"/>
  <c r="Q1536" i="38"/>
  <c r="R1536" i="38"/>
  <c r="S1536" i="38"/>
  <c r="T1536" i="38"/>
  <c r="U1536" i="38"/>
  <c r="V1536" i="38"/>
  <c r="O1545" i="38"/>
  <c r="P1545" i="38"/>
  <c r="O1548" i="38"/>
  <c r="Q1547" i="38"/>
  <c r="R1547" i="38"/>
  <c r="S1547" i="38"/>
  <c r="T1547" i="38"/>
  <c r="U1547" i="38"/>
  <c r="V1547" i="38"/>
  <c r="P1548" i="38"/>
  <c r="Q1556" i="38"/>
  <c r="R1556" i="38"/>
  <c r="S1556" i="38"/>
  <c r="T1556" i="38"/>
  <c r="U1556" i="38"/>
  <c r="V1556" i="38"/>
  <c r="O1561" i="38"/>
  <c r="Q1563" i="38"/>
  <c r="R1563" i="38"/>
  <c r="S1563" i="38"/>
  <c r="O1568" i="38" s="1"/>
  <c r="T1563" i="38"/>
  <c r="U1563" i="38"/>
  <c r="V1563" i="38"/>
  <c r="AF1575" i="38"/>
  <c r="G75" i="2" l="1"/>
  <c r="G76" i="2" s="1"/>
  <c r="G74" i="1"/>
  <c r="G75" i="1" s="1"/>
  <c r="P1467" i="38"/>
  <c r="P1568" i="38"/>
  <c r="P1378" i="38"/>
  <c r="P1561" i="38"/>
  <c r="O1495" i="38"/>
  <c r="O1339" i="38"/>
  <c r="P707" i="38"/>
  <c r="O1470" i="38"/>
  <c r="O1467" i="38"/>
  <c r="O1350" i="38"/>
  <c r="P1331" i="38"/>
  <c r="O1311" i="38"/>
  <c r="O1272" i="38"/>
  <c r="O1119" i="38"/>
  <c r="P1116" i="38"/>
  <c r="O1105" i="38"/>
  <c r="O902" i="38"/>
  <c r="P824" i="38"/>
  <c r="O746" i="38"/>
  <c r="P640" i="38"/>
  <c r="O604" i="38"/>
  <c r="P554" i="38"/>
  <c r="P460" i="38"/>
  <c r="O319" i="38"/>
  <c r="P1350" i="38"/>
  <c r="O1275" i="38"/>
  <c r="P1272" i="38"/>
  <c r="O1261" i="38"/>
  <c r="O1097" i="38"/>
  <c r="O1038" i="38"/>
  <c r="O1019" i="38"/>
  <c r="O882" i="38"/>
  <c r="O832" i="38"/>
  <c r="O726" i="38"/>
  <c r="O621" i="38"/>
  <c r="O369" i="38"/>
  <c r="O1116" i="38"/>
  <c r="O1066" i="38"/>
  <c r="O963" i="38"/>
  <c r="O863" i="38"/>
  <c r="O807" i="38"/>
  <c r="O785" i="38"/>
  <c r="O668" i="38"/>
  <c r="P49" i="38"/>
  <c r="O1506" i="38"/>
  <c r="P1456" i="38"/>
  <c r="O1222" i="38"/>
  <c r="O1214" i="38"/>
  <c r="O941" i="38"/>
  <c r="P863" i="38"/>
  <c r="O793" i="38"/>
  <c r="O554" i="38"/>
  <c r="P1506" i="38"/>
  <c r="O1487" i="38"/>
  <c r="P1417" i="38"/>
  <c r="O1300" i="38"/>
  <c r="O1253" i="38"/>
  <c r="O1194" i="38"/>
  <c r="O1175" i="38"/>
  <c r="P1019" i="38"/>
  <c r="O999" i="38"/>
  <c r="O960" i="38"/>
  <c r="O910" i="38"/>
  <c r="O843" i="38"/>
  <c r="O804" i="38"/>
  <c r="O754" i="38"/>
  <c r="P715" i="38"/>
  <c r="P535" i="38"/>
  <c r="O629" i="38"/>
  <c r="O557" i="38"/>
  <c r="O543" i="38"/>
  <c r="O507" i="38"/>
  <c r="O322" i="38"/>
  <c r="P225" i="38"/>
  <c r="P198" i="38"/>
  <c r="O198" i="38"/>
  <c r="O151" i="38"/>
  <c r="O676" i="38"/>
  <c r="O640" i="38"/>
  <c r="O535" i="38"/>
  <c r="O510" i="38"/>
  <c r="P507" i="38"/>
  <c r="O496" i="38"/>
  <c r="O413" i="38"/>
  <c r="O77" i="38"/>
  <c r="O660" i="38"/>
  <c r="O601" i="38"/>
  <c r="O488" i="38"/>
  <c r="O463" i="38"/>
  <c r="O416" i="38"/>
  <c r="O366" i="38"/>
  <c r="O275" i="38"/>
  <c r="O214" i="38"/>
  <c r="P214" i="38"/>
  <c r="P178" i="38"/>
  <c r="O112" i="38"/>
  <c r="P112" i="38"/>
  <c r="O63" i="38"/>
  <c r="O449" i="38"/>
  <c r="O441" i="38"/>
  <c r="O402" i="38"/>
  <c r="O394" i="38"/>
  <c r="O355" i="38"/>
  <c r="O347" i="38"/>
  <c r="O308" i="38"/>
  <c r="O300" i="38"/>
  <c r="O272" i="38"/>
  <c r="O261" i="38"/>
  <c r="O87" i="38"/>
  <c r="P449" i="38"/>
  <c r="P245" i="38"/>
  <c r="O131" i="38"/>
  <c r="O120" i="38"/>
  <c r="O245" i="38"/>
  <c r="O178" i="38"/>
  <c r="O167" i="38"/>
  <c r="P104" i="38"/>
  <c r="O49" i="38" l="1"/>
  <c r="AE10" i="37" l="1"/>
  <c r="Q37" i="37"/>
  <c r="R37" i="37"/>
  <c r="S37" i="37"/>
  <c r="T37" i="37"/>
  <c r="U37" i="37"/>
  <c r="V37" i="37"/>
  <c r="Q41" i="37"/>
  <c r="R41" i="37"/>
  <c r="S41" i="37"/>
  <c r="T41" i="37"/>
  <c r="U41" i="37"/>
  <c r="V41" i="37"/>
  <c r="Q42" i="37"/>
  <c r="R42" i="37"/>
  <c r="S42" i="37"/>
  <c r="T42" i="37"/>
  <c r="U42" i="37"/>
  <c r="V42" i="37"/>
  <c r="Q48" i="37"/>
  <c r="R48" i="37"/>
  <c r="S48" i="37"/>
  <c r="T48" i="37"/>
  <c r="U48" i="37"/>
  <c r="V48" i="37"/>
  <c r="Q53" i="37"/>
  <c r="R53" i="37"/>
  <c r="S53" i="37"/>
  <c r="T53" i="37"/>
  <c r="U53" i="37"/>
  <c r="V53" i="37"/>
  <c r="Q66" i="37"/>
  <c r="R66" i="37"/>
  <c r="S66" i="37"/>
  <c r="T66" i="37"/>
  <c r="U66" i="37"/>
  <c r="V66" i="37"/>
  <c r="Q71" i="37"/>
  <c r="R71" i="37"/>
  <c r="S71" i="37"/>
  <c r="T71" i="37"/>
  <c r="U71" i="37"/>
  <c r="V71" i="37"/>
  <c r="Q72" i="37"/>
  <c r="R72" i="37"/>
  <c r="S72" i="37"/>
  <c r="T72" i="37"/>
  <c r="U72" i="37"/>
  <c r="V72" i="37"/>
  <c r="Q79" i="37"/>
  <c r="R79" i="37"/>
  <c r="S79" i="37"/>
  <c r="T79" i="37"/>
  <c r="U79" i="37"/>
  <c r="V79" i="37"/>
  <c r="Q84" i="37"/>
  <c r="R84" i="37"/>
  <c r="S84" i="37"/>
  <c r="T84" i="37"/>
  <c r="U84" i="37"/>
  <c r="V84" i="37"/>
  <c r="Q90" i="37"/>
  <c r="R90" i="37"/>
  <c r="S90" i="37"/>
  <c r="T90" i="37"/>
  <c r="U90" i="37"/>
  <c r="V90" i="37"/>
  <c r="Q95" i="37"/>
  <c r="R95" i="37"/>
  <c r="S95" i="37"/>
  <c r="T95" i="37"/>
  <c r="U95" i="37"/>
  <c r="V95" i="37"/>
  <c r="Q102" i="37"/>
  <c r="R102" i="37"/>
  <c r="S102" i="37"/>
  <c r="T102" i="37"/>
  <c r="U102" i="37"/>
  <c r="V102" i="37"/>
  <c r="Q107" i="37"/>
  <c r="R107" i="37"/>
  <c r="S107" i="37"/>
  <c r="O112" i="37" s="1"/>
  <c r="T107" i="37"/>
  <c r="U107" i="37"/>
  <c r="V107" i="37"/>
  <c r="Q114" i="37"/>
  <c r="R114" i="37"/>
  <c r="S114" i="37"/>
  <c r="T114" i="37"/>
  <c r="U114" i="37"/>
  <c r="V114" i="37"/>
  <c r="Q119" i="37"/>
  <c r="R119" i="37"/>
  <c r="S119" i="37"/>
  <c r="T119" i="37"/>
  <c r="P124" i="37" s="1"/>
  <c r="U119" i="37"/>
  <c r="V119" i="37"/>
  <c r="Q126" i="37"/>
  <c r="R126" i="37"/>
  <c r="S126" i="37"/>
  <c r="T126" i="37"/>
  <c r="U126" i="37"/>
  <c r="V126" i="37"/>
  <c r="Q131" i="37"/>
  <c r="R131" i="37"/>
  <c r="S131" i="37"/>
  <c r="T131" i="37"/>
  <c r="U131" i="37"/>
  <c r="V131" i="37"/>
  <c r="Q144" i="37"/>
  <c r="R144" i="37"/>
  <c r="S144" i="37"/>
  <c r="T144" i="37"/>
  <c r="U144" i="37"/>
  <c r="V144" i="37"/>
  <c r="Q149" i="37"/>
  <c r="R149" i="37"/>
  <c r="S149" i="37"/>
  <c r="T149" i="37"/>
  <c r="U149" i="37"/>
  <c r="V149" i="37"/>
  <c r="Q150" i="37"/>
  <c r="R150" i="37"/>
  <c r="S150" i="37"/>
  <c r="T150" i="37"/>
  <c r="U150" i="37"/>
  <c r="V150" i="37"/>
  <c r="Q157" i="37"/>
  <c r="R157" i="37"/>
  <c r="S157" i="37"/>
  <c r="T157" i="37"/>
  <c r="U157" i="37"/>
  <c r="V157" i="37"/>
  <c r="Q162" i="37"/>
  <c r="R162" i="37"/>
  <c r="S162" i="37"/>
  <c r="T162" i="37"/>
  <c r="U162" i="37"/>
  <c r="V162" i="37"/>
  <c r="P167" i="37"/>
  <c r="Q169" i="37"/>
  <c r="R169" i="37"/>
  <c r="S169" i="37"/>
  <c r="T169" i="37"/>
  <c r="U169" i="37"/>
  <c r="V169" i="37"/>
  <c r="Q174" i="37"/>
  <c r="O179" i="37" s="1"/>
  <c r="R174" i="37"/>
  <c r="S174" i="37"/>
  <c r="T174" i="37"/>
  <c r="U174" i="37"/>
  <c r="V174" i="37"/>
  <c r="Q181" i="37"/>
  <c r="R181" i="37"/>
  <c r="S181" i="37"/>
  <c r="T181" i="37"/>
  <c r="U181" i="37"/>
  <c r="V181" i="37"/>
  <c r="Q186" i="37"/>
  <c r="R186" i="37"/>
  <c r="S186" i="37"/>
  <c r="T186" i="37"/>
  <c r="P191" i="37" s="1"/>
  <c r="U186" i="37"/>
  <c r="V186" i="37"/>
  <c r="Q193" i="37"/>
  <c r="R193" i="37"/>
  <c r="S193" i="37"/>
  <c r="T193" i="37"/>
  <c r="U193" i="37"/>
  <c r="V193" i="37"/>
  <c r="Q198" i="37"/>
  <c r="R198" i="37"/>
  <c r="S198" i="37"/>
  <c r="T198" i="37"/>
  <c r="U198" i="37"/>
  <c r="V198" i="37"/>
  <c r="Q211" i="37"/>
  <c r="R211" i="37"/>
  <c r="S211" i="37"/>
  <c r="T211" i="37"/>
  <c r="U211" i="37"/>
  <c r="V211" i="37"/>
  <c r="Q216" i="37"/>
  <c r="R216" i="37"/>
  <c r="S216" i="37"/>
  <c r="T216" i="37"/>
  <c r="U216" i="37"/>
  <c r="V216" i="37"/>
  <c r="Q217" i="37"/>
  <c r="R217" i="37"/>
  <c r="S217" i="37"/>
  <c r="T217" i="37"/>
  <c r="U217" i="37"/>
  <c r="V217" i="37"/>
  <c r="Q224" i="37"/>
  <c r="R224" i="37"/>
  <c r="S224" i="37"/>
  <c r="T224" i="37"/>
  <c r="U224" i="37"/>
  <c r="V224" i="37"/>
  <c r="Q229" i="37"/>
  <c r="R229" i="37"/>
  <c r="S229" i="37"/>
  <c r="T229" i="37"/>
  <c r="U229" i="37"/>
  <c r="V229" i="37"/>
  <c r="Q235" i="37"/>
  <c r="R235" i="37"/>
  <c r="S235" i="37"/>
  <c r="T235" i="37"/>
  <c r="U235" i="37"/>
  <c r="V235" i="37"/>
  <c r="Q240" i="37"/>
  <c r="R240" i="37"/>
  <c r="S240" i="37"/>
  <c r="T240" i="37"/>
  <c r="U240" i="37"/>
  <c r="V240" i="37"/>
  <c r="Q247" i="37"/>
  <c r="R247" i="37"/>
  <c r="S247" i="37"/>
  <c r="T247" i="37"/>
  <c r="U247" i="37"/>
  <c r="V247" i="37"/>
  <c r="Q252" i="37"/>
  <c r="R252" i="37"/>
  <c r="S252" i="37"/>
  <c r="O257" i="37" s="1"/>
  <c r="T252" i="37"/>
  <c r="U252" i="37"/>
  <c r="V252" i="37"/>
  <c r="Q259" i="37"/>
  <c r="R259" i="37"/>
  <c r="S259" i="37"/>
  <c r="T259" i="37"/>
  <c r="U259" i="37"/>
  <c r="V259" i="37"/>
  <c r="Q264" i="37"/>
  <c r="R264" i="37"/>
  <c r="S264" i="37"/>
  <c r="T264" i="37"/>
  <c r="P269" i="37" s="1"/>
  <c r="U264" i="37"/>
  <c r="V264" i="37"/>
  <c r="Q271" i="37"/>
  <c r="R271" i="37"/>
  <c r="S271" i="37"/>
  <c r="T271" i="37"/>
  <c r="U271" i="37"/>
  <c r="V271" i="37"/>
  <c r="Q276" i="37"/>
  <c r="R276" i="37"/>
  <c r="S276" i="37"/>
  <c r="T276" i="37"/>
  <c r="U276" i="37"/>
  <c r="V276" i="37"/>
  <c r="Q289" i="37"/>
  <c r="R289" i="37"/>
  <c r="S289" i="37"/>
  <c r="T289" i="37"/>
  <c r="U289" i="37"/>
  <c r="V289" i="37"/>
  <c r="Q294" i="37"/>
  <c r="R294" i="37"/>
  <c r="S294" i="37"/>
  <c r="T294" i="37"/>
  <c r="U294" i="37"/>
  <c r="V294" i="37"/>
  <c r="Q295" i="37"/>
  <c r="R295" i="37"/>
  <c r="S295" i="37"/>
  <c r="T295" i="37"/>
  <c r="U295" i="37"/>
  <c r="V295" i="37"/>
  <c r="Q302" i="37"/>
  <c r="R302" i="37"/>
  <c r="S302" i="37"/>
  <c r="T302" i="37"/>
  <c r="U302" i="37"/>
  <c r="V302" i="37"/>
  <c r="Q307" i="37"/>
  <c r="R307" i="37"/>
  <c r="S307" i="37"/>
  <c r="T307" i="37"/>
  <c r="U307" i="37"/>
  <c r="V307" i="37"/>
  <c r="Q313" i="37"/>
  <c r="R313" i="37"/>
  <c r="S313" i="37"/>
  <c r="T313" i="37"/>
  <c r="U313" i="37"/>
  <c r="V313" i="37"/>
  <c r="Q318" i="37"/>
  <c r="R318" i="37"/>
  <c r="S318" i="37"/>
  <c r="T318" i="37"/>
  <c r="U318" i="37"/>
  <c r="V318" i="37"/>
  <c r="Q325" i="37"/>
  <c r="R325" i="37"/>
  <c r="S325" i="37"/>
  <c r="T325" i="37"/>
  <c r="U325" i="37"/>
  <c r="V325" i="37"/>
  <c r="Q330" i="37"/>
  <c r="R330" i="37"/>
  <c r="S330" i="37"/>
  <c r="T330" i="37"/>
  <c r="U330" i="37"/>
  <c r="V330" i="37"/>
  <c r="Q337" i="37"/>
  <c r="R337" i="37"/>
  <c r="S337" i="37"/>
  <c r="T337" i="37"/>
  <c r="U337" i="37"/>
  <c r="V337" i="37"/>
  <c r="Q342" i="37"/>
  <c r="R342" i="37"/>
  <c r="S342" i="37"/>
  <c r="T342" i="37"/>
  <c r="U342" i="37"/>
  <c r="V342" i="37"/>
  <c r="Q349" i="37"/>
  <c r="R349" i="37"/>
  <c r="S349" i="37"/>
  <c r="T349" i="37"/>
  <c r="U349" i="37"/>
  <c r="V349" i="37"/>
  <c r="Q354" i="37"/>
  <c r="R354" i="37"/>
  <c r="S354" i="37"/>
  <c r="T354" i="37"/>
  <c r="U354" i="37"/>
  <c r="V354" i="37"/>
  <c r="Q367" i="37"/>
  <c r="R367" i="37"/>
  <c r="S367" i="37"/>
  <c r="T367" i="37"/>
  <c r="U367" i="37"/>
  <c r="V367" i="37"/>
  <c r="Q372" i="37"/>
  <c r="R372" i="37"/>
  <c r="S372" i="37"/>
  <c r="T372" i="37"/>
  <c r="U372" i="37"/>
  <c r="V372" i="37"/>
  <c r="Q373" i="37"/>
  <c r="R373" i="37"/>
  <c r="S373" i="37"/>
  <c r="T373" i="37"/>
  <c r="U373" i="37"/>
  <c r="V373" i="37"/>
  <c r="Q380" i="37"/>
  <c r="R380" i="37"/>
  <c r="S380" i="37"/>
  <c r="T380" i="37"/>
  <c r="U380" i="37"/>
  <c r="V380" i="37"/>
  <c r="Q385" i="37"/>
  <c r="R385" i="37"/>
  <c r="S385" i="37"/>
  <c r="T385" i="37"/>
  <c r="U385" i="37"/>
  <c r="V385" i="37"/>
  <c r="Q391" i="37"/>
  <c r="R391" i="37"/>
  <c r="S391" i="37"/>
  <c r="T391" i="37"/>
  <c r="U391" i="37"/>
  <c r="V391" i="37"/>
  <c r="Q396" i="37"/>
  <c r="R396" i="37"/>
  <c r="S396" i="37"/>
  <c r="T396" i="37"/>
  <c r="U396" i="37"/>
  <c r="V396" i="37"/>
  <c r="P401" i="37"/>
  <c r="Q403" i="37"/>
  <c r="R403" i="37"/>
  <c r="S403" i="37"/>
  <c r="T403" i="37"/>
  <c r="U403" i="37"/>
  <c r="V403" i="37"/>
  <c r="P413" i="37"/>
  <c r="Q408" i="37"/>
  <c r="R408" i="37"/>
  <c r="S408" i="37"/>
  <c r="T408" i="37"/>
  <c r="U408" i="37"/>
  <c r="V408" i="37"/>
  <c r="O413" i="37"/>
  <c r="Q415" i="37"/>
  <c r="R415" i="37"/>
  <c r="S415" i="37"/>
  <c r="T415" i="37"/>
  <c r="U415" i="37"/>
  <c r="V415" i="37"/>
  <c r="O425" i="37"/>
  <c r="Q420" i="37"/>
  <c r="R420" i="37"/>
  <c r="S420" i="37"/>
  <c r="T420" i="37"/>
  <c r="U420" i="37"/>
  <c r="V420" i="37"/>
  <c r="Q427" i="37"/>
  <c r="R427" i="37"/>
  <c r="S427" i="37"/>
  <c r="T427" i="37"/>
  <c r="U427" i="37"/>
  <c r="V427" i="37"/>
  <c r="Q432" i="37"/>
  <c r="R432" i="37"/>
  <c r="S432" i="37"/>
  <c r="T432" i="37"/>
  <c r="U432" i="37"/>
  <c r="V432" i="37"/>
  <c r="Q445" i="37"/>
  <c r="R445" i="37"/>
  <c r="S445" i="37"/>
  <c r="T445" i="37"/>
  <c r="U445" i="37"/>
  <c r="V445" i="37"/>
  <c r="Q451" i="37"/>
  <c r="R451" i="37"/>
  <c r="S451" i="37"/>
  <c r="T451" i="37"/>
  <c r="U451" i="37"/>
  <c r="V451" i="37"/>
  <c r="Q458" i="37"/>
  <c r="R458" i="37"/>
  <c r="S458" i="37"/>
  <c r="T458" i="37"/>
  <c r="U458" i="37"/>
  <c r="V458" i="37"/>
  <c r="Q464" i="37"/>
  <c r="R464" i="37"/>
  <c r="S464" i="37"/>
  <c r="T464" i="37"/>
  <c r="U464" i="37"/>
  <c r="V464" i="37"/>
  <c r="Q465" i="37"/>
  <c r="R465" i="37"/>
  <c r="S465" i="37"/>
  <c r="T465" i="37"/>
  <c r="U465" i="37"/>
  <c r="V465" i="37"/>
  <c r="Q466" i="37"/>
  <c r="R466" i="37"/>
  <c r="S466" i="37"/>
  <c r="T466" i="37"/>
  <c r="U466" i="37"/>
  <c r="V466" i="37"/>
  <c r="Q473" i="37"/>
  <c r="R473" i="37"/>
  <c r="S473" i="37"/>
  <c r="T473" i="37"/>
  <c r="U473" i="37"/>
  <c r="V473" i="37"/>
  <c r="O485" i="37"/>
  <c r="Q479" i="37"/>
  <c r="R479" i="37"/>
  <c r="S479" i="37"/>
  <c r="T479" i="37"/>
  <c r="U479" i="37"/>
  <c r="V479" i="37"/>
  <c r="Q480" i="37"/>
  <c r="R480" i="37"/>
  <c r="S480" i="37"/>
  <c r="T480" i="37"/>
  <c r="U480" i="37"/>
  <c r="V480" i="37"/>
  <c r="Q487" i="37"/>
  <c r="R487" i="37"/>
  <c r="S487" i="37"/>
  <c r="T487" i="37"/>
  <c r="U487" i="37"/>
  <c r="V487" i="37"/>
  <c r="O498" i="37"/>
  <c r="Q492" i="37"/>
  <c r="R492" i="37"/>
  <c r="S492" i="37"/>
  <c r="T492" i="37"/>
  <c r="U492" i="37"/>
  <c r="V492" i="37"/>
  <c r="Q493" i="37"/>
  <c r="R493" i="37"/>
  <c r="S493" i="37"/>
  <c r="T493" i="37"/>
  <c r="U493" i="37"/>
  <c r="V493" i="37"/>
  <c r="Q508" i="37"/>
  <c r="O518" i="37" s="1"/>
  <c r="R508" i="37"/>
  <c r="S508" i="37"/>
  <c r="T508" i="37"/>
  <c r="U508" i="37"/>
  <c r="V508" i="37"/>
  <c r="Q512" i="37"/>
  <c r="R512" i="37"/>
  <c r="S512" i="37"/>
  <c r="T512" i="37"/>
  <c r="U512" i="37"/>
  <c r="V512" i="37"/>
  <c r="Q513" i="37"/>
  <c r="R513" i="37"/>
  <c r="S513" i="37"/>
  <c r="T513" i="37"/>
  <c r="U513" i="37"/>
  <c r="V513" i="37"/>
  <c r="Q514" i="37"/>
  <c r="R514" i="37"/>
  <c r="S514" i="37"/>
  <c r="T514" i="37"/>
  <c r="U514" i="37"/>
  <c r="V514" i="37"/>
  <c r="P518" i="37"/>
  <c r="Q526" i="37"/>
  <c r="R526" i="37"/>
  <c r="S526" i="37"/>
  <c r="T526" i="37"/>
  <c r="U526" i="37"/>
  <c r="V526" i="37"/>
  <c r="P536" i="37"/>
  <c r="Q530" i="37"/>
  <c r="R530" i="37"/>
  <c r="S530" i="37"/>
  <c r="T530" i="37"/>
  <c r="U530" i="37"/>
  <c r="V530" i="37"/>
  <c r="Q531" i="37"/>
  <c r="R531" i="37"/>
  <c r="S531" i="37"/>
  <c r="T531" i="37"/>
  <c r="U531" i="37"/>
  <c r="V531" i="37"/>
  <c r="Q532" i="37"/>
  <c r="O536" i="37" s="1"/>
  <c r="R532" i="37"/>
  <c r="S532" i="37"/>
  <c r="T532" i="37"/>
  <c r="U532" i="37"/>
  <c r="V532" i="37"/>
  <c r="Q544" i="37"/>
  <c r="R544" i="37"/>
  <c r="S544" i="37"/>
  <c r="T544" i="37"/>
  <c r="U544" i="37"/>
  <c r="V544" i="37"/>
  <c r="O554" i="37"/>
  <c r="Q548" i="37"/>
  <c r="R548" i="37"/>
  <c r="S548" i="37"/>
  <c r="T548" i="37"/>
  <c r="U548" i="37"/>
  <c r="V548" i="37"/>
  <c r="Q549" i="37"/>
  <c r="R549" i="37"/>
  <c r="S549" i="37"/>
  <c r="T549" i="37"/>
  <c r="U549" i="37"/>
  <c r="V549" i="37"/>
  <c r="Q550" i="37"/>
  <c r="R550" i="37"/>
  <c r="S550" i="37"/>
  <c r="T550" i="37"/>
  <c r="U550" i="37"/>
  <c r="V550" i="37"/>
  <c r="Q562" i="37"/>
  <c r="R562" i="37"/>
  <c r="S562" i="37"/>
  <c r="T562" i="37"/>
  <c r="U562" i="37"/>
  <c r="V562" i="37"/>
  <c r="Q566" i="37"/>
  <c r="R566" i="37"/>
  <c r="S566" i="37"/>
  <c r="T566" i="37"/>
  <c r="U566" i="37"/>
  <c r="V566" i="37"/>
  <c r="Q567" i="37"/>
  <c r="R567" i="37"/>
  <c r="S567" i="37"/>
  <c r="T567" i="37"/>
  <c r="U567" i="37"/>
  <c r="V567" i="37"/>
  <c r="Q568" i="37"/>
  <c r="R568" i="37"/>
  <c r="S568" i="37"/>
  <c r="T568" i="37"/>
  <c r="U568" i="37"/>
  <c r="V568" i="37"/>
  <c r="Q580" i="37"/>
  <c r="O590" i="37" s="1"/>
  <c r="R580" i="37"/>
  <c r="S580" i="37"/>
  <c r="T580" i="37"/>
  <c r="U580" i="37"/>
  <c r="V580" i="37"/>
  <c r="Q584" i="37"/>
  <c r="R584" i="37"/>
  <c r="S584" i="37"/>
  <c r="T584" i="37"/>
  <c r="U584" i="37"/>
  <c r="V584" i="37"/>
  <c r="Q585" i="37"/>
  <c r="R585" i="37"/>
  <c r="S585" i="37"/>
  <c r="T585" i="37"/>
  <c r="U585" i="37"/>
  <c r="V585" i="37"/>
  <c r="Q586" i="37"/>
  <c r="R586" i="37"/>
  <c r="S586" i="37"/>
  <c r="T586" i="37"/>
  <c r="U586" i="37"/>
  <c r="V586" i="37"/>
  <c r="P590" i="37"/>
  <c r="Q598" i="37"/>
  <c r="R598" i="37"/>
  <c r="S598" i="37"/>
  <c r="T598" i="37"/>
  <c r="U598" i="37"/>
  <c r="V598" i="37"/>
  <c r="Q602" i="37"/>
  <c r="R602" i="37"/>
  <c r="S602" i="37"/>
  <c r="T602" i="37"/>
  <c r="U602" i="37"/>
  <c r="V602" i="37"/>
  <c r="Q603" i="37"/>
  <c r="R603" i="37"/>
  <c r="S603" i="37"/>
  <c r="T603" i="37"/>
  <c r="U603" i="37"/>
  <c r="V603" i="37"/>
  <c r="Q604" i="37"/>
  <c r="O608" i="37" s="1"/>
  <c r="R604" i="37"/>
  <c r="S604" i="37"/>
  <c r="T604" i="37"/>
  <c r="U604" i="37"/>
  <c r="V604" i="37"/>
  <c r="P617" i="37"/>
  <c r="Q616" i="37"/>
  <c r="R616" i="37"/>
  <c r="S616" i="37"/>
  <c r="T616" i="37"/>
  <c r="U616" i="37"/>
  <c r="V616" i="37"/>
  <c r="O617" i="37"/>
  <c r="P620" i="37"/>
  <c r="Q619" i="37"/>
  <c r="R619" i="37"/>
  <c r="S619" i="37"/>
  <c r="T619" i="37"/>
  <c r="U619" i="37"/>
  <c r="V619" i="37"/>
  <c r="O620" i="37"/>
  <c r="Q632" i="37"/>
  <c r="R632" i="37"/>
  <c r="S632" i="37"/>
  <c r="T632" i="37"/>
  <c r="U632" i="37"/>
  <c r="V632" i="37"/>
  <c r="O637" i="37"/>
  <c r="P637" i="37"/>
  <c r="Q639" i="37"/>
  <c r="R639" i="37"/>
  <c r="S639" i="37"/>
  <c r="T639" i="37"/>
  <c r="U639" i="37"/>
  <c r="V639" i="37"/>
  <c r="O645" i="37"/>
  <c r="AF652" i="37"/>
  <c r="O471" i="37" l="1"/>
  <c r="P471" i="37"/>
  <c r="P498" i="37"/>
  <c r="P456" i="37"/>
  <c r="O456" i="37"/>
  <c r="O401" i="37"/>
  <c r="O378" i="37"/>
  <c r="O347" i="37"/>
  <c r="P485" i="37"/>
  <c r="O437" i="37"/>
  <c r="P425" i="37"/>
  <c r="P245" i="37"/>
  <c r="P645" i="37"/>
  <c r="P100" i="37"/>
  <c r="P608" i="37"/>
  <c r="O572" i="37"/>
  <c r="P554" i="37"/>
  <c r="O323" i="37"/>
  <c r="P222" i="37"/>
  <c r="P179" i="37"/>
  <c r="P88" i="37"/>
  <c r="P572" i="37"/>
  <c r="P437" i="37"/>
  <c r="P389" i="37"/>
  <c r="P378" i="37"/>
  <c r="O359" i="37"/>
  <c r="O335" i="37"/>
  <c r="P233" i="37"/>
  <c r="O203" i="37"/>
  <c r="O191" i="37"/>
  <c r="O100" i="37"/>
  <c r="P311" i="37"/>
  <c r="O281" i="37"/>
  <c r="O269" i="37"/>
  <c r="P46" i="37"/>
  <c r="P359" i="37"/>
  <c r="P347" i="37"/>
  <c r="P335" i="37"/>
  <c r="P323" i="37"/>
  <c r="O311" i="37"/>
  <c r="O245" i="37"/>
  <c r="O222" i="37"/>
  <c r="P155" i="37"/>
  <c r="O155" i="37"/>
  <c r="P112" i="37"/>
  <c r="O88" i="37"/>
  <c r="O58" i="37"/>
  <c r="O46" i="37"/>
  <c r="O389" i="37"/>
  <c r="P300" i="37"/>
  <c r="O300" i="37"/>
  <c r="P257" i="37"/>
  <c r="O233" i="37"/>
  <c r="O167" i="37"/>
  <c r="O136" i="37"/>
  <c r="O124" i="37"/>
  <c r="P77" i="37"/>
  <c r="O77" i="37"/>
  <c r="P281" i="37"/>
  <c r="P203" i="37"/>
  <c r="P136" i="37"/>
  <c r="P58" i="37"/>
  <c r="AE10" i="35" l="1"/>
  <c r="Q37" i="35"/>
  <c r="R37" i="35"/>
  <c r="S37" i="35"/>
  <c r="T37" i="35"/>
  <c r="U37" i="35"/>
  <c r="V37" i="35"/>
  <c r="P44" i="35"/>
  <c r="Q40" i="35"/>
  <c r="O44" i="35" s="1"/>
  <c r="R40" i="35"/>
  <c r="S40" i="35"/>
  <c r="T40" i="35"/>
  <c r="U40" i="35"/>
  <c r="V40" i="35"/>
  <c r="Q46" i="35"/>
  <c r="R46" i="35"/>
  <c r="S46" i="35"/>
  <c r="T46" i="35"/>
  <c r="U46" i="35"/>
  <c r="V46" i="35"/>
  <c r="Q51" i="35"/>
  <c r="R51" i="35"/>
  <c r="S51" i="35"/>
  <c r="T51" i="35"/>
  <c r="U51" i="35"/>
  <c r="V51" i="35"/>
  <c r="Q52" i="35"/>
  <c r="R52" i="35"/>
  <c r="S52" i="35"/>
  <c r="T52" i="35"/>
  <c r="U52" i="35"/>
  <c r="V52" i="35"/>
  <c r="P57" i="35"/>
  <c r="Q59" i="35"/>
  <c r="R59" i="35"/>
  <c r="S59" i="35"/>
  <c r="T59" i="35"/>
  <c r="U59" i="35"/>
  <c r="V59" i="35"/>
  <c r="Q64" i="35"/>
  <c r="R64" i="35"/>
  <c r="S64" i="35"/>
  <c r="T64" i="35"/>
  <c r="U64" i="35"/>
  <c r="V64" i="35"/>
  <c r="P69" i="35"/>
  <c r="Q71" i="35"/>
  <c r="O78" i="35" s="1"/>
  <c r="R71" i="35"/>
  <c r="S71" i="35"/>
  <c r="T71" i="35"/>
  <c r="U71" i="35"/>
  <c r="V71" i="35"/>
  <c r="Q74" i="35"/>
  <c r="R74" i="35"/>
  <c r="S74" i="35"/>
  <c r="T74" i="35"/>
  <c r="U74" i="35"/>
  <c r="V74" i="35"/>
  <c r="P78" i="35"/>
  <c r="Q80" i="35"/>
  <c r="R80" i="35"/>
  <c r="S80" i="35"/>
  <c r="T80" i="35"/>
  <c r="U80" i="35"/>
  <c r="V80" i="35"/>
  <c r="P91" i="35"/>
  <c r="Q86" i="35"/>
  <c r="R86" i="35"/>
  <c r="S86" i="35"/>
  <c r="T86" i="35"/>
  <c r="U86" i="35"/>
  <c r="V86" i="35"/>
  <c r="P94" i="35"/>
  <c r="Q93" i="35"/>
  <c r="R93" i="35"/>
  <c r="S93" i="35"/>
  <c r="T93" i="35"/>
  <c r="U93" i="35"/>
  <c r="V93" i="35"/>
  <c r="O94" i="35"/>
  <c r="P97" i="35"/>
  <c r="Q96" i="35"/>
  <c r="R96" i="35"/>
  <c r="S96" i="35"/>
  <c r="T96" i="35"/>
  <c r="U96" i="35"/>
  <c r="V96" i="35"/>
  <c r="O97" i="35"/>
  <c r="P106" i="35"/>
  <c r="Q105" i="35"/>
  <c r="R105" i="35"/>
  <c r="S105" i="35"/>
  <c r="T105" i="35"/>
  <c r="U105" i="35"/>
  <c r="V105" i="35"/>
  <c r="O106" i="35"/>
  <c r="P109" i="35"/>
  <c r="Q108" i="35"/>
  <c r="R108" i="35"/>
  <c r="S108" i="35"/>
  <c r="T108" i="35"/>
  <c r="U108" i="35"/>
  <c r="V108" i="35"/>
  <c r="O109" i="35"/>
  <c r="P112" i="35"/>
  <c r="Q111" i="35"/>
  <c r="R111" i="35"/>
  <c r="S111" i="35"/>
  <c r="T111" i="35"/>
  <c r="U111" i="35"/>
  <c r="V111" i="35"/>
  <c r="O112" i="35"/>
  <c r="P115" i="35"/>
  <c r="Q114" i="35"/>
  <c r="R114" i="35"/>
  <c r="S114" i="35"/>
  <c r="T114" i="35"/>
  <c r="U114" i="35"/>
  <c r="V114" i="35"/>
  <c r="O115" i="35"/>
  <c r="O69" i="35" l="1"/>
  <c r="O91" i="35"/>
  <c r="O57" i="35"/>
  <c r="AE10" i="34" l="1"/>
  <c r="Q37" i="34"/>
  <c r="R37" i="34"/>
  <c r="S37" i="34"/>
  <c r="T37" i="34"/>
  <c r="U37" i="34"/>
  <c r="V37" i="34"/>
  <c r="P43" i="34"/>
  <c r="O43" i="34"/>
  <c r="Q45" i="34"/>
  <c r="R45" i="34"/>
  <c r="S45" i="34"/>
  <c r="T45" i="34"/>
  <c r="U45" i="34"/>
  <c r="V45" i="34"/>
  <c r="O53" i="34"/>
  <c r="P53" i="34"/>
  <c r="Q55" i="34"/>
  <c r="R55" i="34"/>
  <c r="S55" i="34"/>
  <c r="T55" i="34"/>
  <c r="U55" i="34"/>
  <c r="V55" i="34"/>
  <c r="Q58" i="34"/>
  <c r="R58" i="34"/>
  <c r="S58" i="34"/>
  <c r="T58" i="34"/>
  <c r="U58" i="34"/>
  <c r="V58" i="34"/>
  <c r="Q64" i="34"/>
  <c r="R64" i="34"/>
  <c r="S64" i="34"/>
  <c r="T64" i="34"/>
  <c r="U64" i="34"/>
  <c r="V64" i="34"/>
  <c r="P71" i="34"/>
  <c r="Q73" i="34"/>
  <c r="R73" i="34"/>
  <c r="S73" i="34"/>
  <c r="T73" i="34"/>
  <c r="U73" i="34"/>
  <c r="V73" i="34"/>
  <c r="P84" i="34"/>
  <c r="Q79" i="34"/>
  <c r="R79" i="34"/>
  <c r="S79" i="34"/>
  <c r="T79" i="34"/>
  <c r="U79" i="34"/>
  <c r="V79" i="34"/>
  <c r="Q86" i="34"/>
  <c r="R86" i="34"/>
  <c r="S86" i="34"/>
  <c r="T86" i="34"/>
  <c r="U86" i="34"/>
  <c r="V86" i="34"/>
  <c r="O97" i="34"/>
  <c r="Q92" i="34"/>
  <c r="R92" i="34"/>
  <c r="S92" i="34"/>
  <c r="T92" i="34"/>
  <c r="U92" i="34"/>
  <c r="V92" i="34"/>
  <c r="Q99" i="34"/>
  <c r="R99" i="34"/>
  <c r="S99" i="34"/>
  <c r="T99" i="34"/>
  <c r="U99" i="34"/>
  <c r="V99" i="34"/>
  <c r="Q105" i="34"/>
  <c r="R105" i="34"/>
  <c r="S105" i="34"/>
  <c r="T105" i="34"/>
  <c r="U105" i="34"/>
  <c r="V105" i="34"/>
  <c r="Q106" i="34"/>
  <c r="R106" i="34"/>
  <c r="S106" i="34"/>
  <c r="T106" i="34"/>
  <c r="U106" i="34"/>
  <c r="V106" i="34"/>
  <c r="Q107" i="34"/>
  <c r="R107" i="34"/>
  <c r="S107" i="34"/>
  <c r="T107" i="34"/>
  <c r="U107" i="34"/>
  <c r="V107" i="34"/>
  <c r="Q116" i="34"/>
  <c r="R116" i="34"/>
  <c r="S116" i="34"/>
  <c r="T116" i="34"/>
  <c r="U116" i="34"/>
  <c r="V116" i="34"/>
  <c r="P117" i="34"/>
  <c r="Q119" i="34"/>
  <c r="R119" i="34"/>
  <c r="S119" i="34"/>
  <c r="T119" i="34"/>
  <c r="U119" i="34"/>
  <c r="V119" i="34"/>
  <c r="P120" i="34"/>
  <c r="Q122" i="34"/>
  <c r="R122" i="34"/>
  <c r="S122" i="34"/>
  <c r="T122" i="34"/>
  <c r="U122" i="34"/>
  <c r="V122" i="34"/>
  <c r="P123" i="34"/>
  <c r="Q125" i="34"/>
  <c r="R125" i="34"/>
  <c r="S125" i="34"/>
  <c r="T125" i="34"/>
  <c r="U125" i="34"/>
  <c r="V125" i="34"/>
  <c r="P126" i="34"/>
  <c r="O112" i="34" l="1"/>
  <c r="O84" i="34"/>
  <c r="O71" i="34"/>
  <c r="O62" i="34"/>
  <c r="O126" i="34"/>
  <c r="O123" i="34"/>
  <c r="O120" i="34"/>
  <c r="P62" i="34"/>
  <c r="O117" i="34"/>
  <c r="P112" i="34"/>
  <c r="P97" i="34"/>
  <c r="AE10" i="33" l="1"/>
  <c r="Q37" i="33"/>
  <c r="R37" i="33"/>
  <c r="S37" i="33"/>
  <c r="T37" i="33"/>
  <c r="U37" i="33"/>
  <c r="V37" i="33"/>
  <c r="P46" i="33"/>
  <c r="O46" i="33"/>
  <c r="Q48" i="33"/>
  <c r="R48" i="33"/>
  <c r="S48" i="33"/>
  <c r="T48" i="33"/>
  <c r="U48" i="33"/>
  <c r="V48" i="33"/>
  <c r="P57" i="33"/>
  <c r="Q59" i="33"/>
  <c r="R59" i="33"/>
  <c r="S59" i="33"/>
  <c r="T59" i="33"/>
  <c r="U59" i="33"/>
  <c r="V59" i="33"/>
  <c r="P68" i="33"/>
  <c r="O68" i="33"/>
  <c r="Q70" i="33"/>
  <c r="R70" i="33"/>
  <c r="S70" i="33"/>
  <c r="T70" i="33"/>
  <c r="U70" i="33"/>
  <c r="V70" i="33"/>
  <c r="P76" i="33"/>
  <c r="Q78" i="33"/>
  <c r="R78" i="33"/>
  <c r="S78" i="33"/>
  <c r="T78" i="33"/>
  <c r="U78" i="33"/>
  <c r="V78" i="33"/>
  <c r="P84" i="33"/>
  <c r="O84" i="33"/>
  <c r="Q86" i="33"/>
  <c r="R86" i="33"/>
  <c r="S86" i="33"/>
  <c r="T86" i="33"/>
  <c r="U86" i="33"/>
  <c r="V86" i="33"/>
  <c r="O96" i="33"/>
  <c r="Q98" i="33"/>
  <c r="R98" i="33"/>
  <c r="S98" i="33"/>
  <c r="T98" i="33"/>
  <c r="U98" i="33"/>
  <c r="V98" i="33"/>
  <c r="P107" i="33"/>
  <c r="Q109" i="33"/>
  <c r="O115" i="33" s="1"/>
  <c r="R109" i="33"/>
  <c r="S109" i="33"/>
  <c r="T109" i="33"/>
  <c r="U109" i="33"/>
  <c r="V109" i="33"/>
  <c r="P115" i="33"/>
  <c r="Q117" i="33"/>
  <c r="R117" i="33"/>
  <c r="S117" i="33"/>
  <c r="T117" i="33"/>
  <c r="U117" i="33"/>
  <c r="V117" i="33"/>
  <c r="P126" i="33"/>
  <c r="Q128" i="33"/>
  <c r="R128" i="33"/>
  <c r="S128" i="33"/>
  <c r="T128" i="33"/>
  <c r="U128" i="33"/>
  <c r="V128" i="33"/>
  <c r="P138" i="33"/>
  <c r="O138" i="33"/>
  <c r="Q140" i="33"/>
  <c r="R140" i="33"/>
  <c r="S140" i="33"/>
  <c r="T140" i="33"/>
  <c r="U140" i="33"/>
  <c r="V140" i="33"/>
  <c r="Q143" i="33"/>
  <c r="R143" i="33"/>
  <c r="S143" i="33"/>
  <c r="T143" i="33"/>
  <c r="U143" i="33"/>
  <c r="V143" i="33"/>
  <c r="Q149" i="33"/>
  <c r="O159" i="33" s="1"/>
  <c r="R149" i="33"/>
  <c r="S149" i="33"/>
  <c r="T149" i="33"/>
  <c r="U149" i="33"/>
  <c r="V149" i="33"/>
  <c r="Q154" i="33"/>
  <c r="R154" i="33"/>
  <c r="S154" i="33"/>
  <c r="T154" i="33"/>
  <c r="U154" i="33"/>
  <c r="V154" i="33"/>
  <c r="P159" i="33"/>
  <c r="Q161" i="33"/>
  <c r="R161" i="33"/>
  <c r="S161" i="33"/>
  <c r="T161" i="33"/>
  <c r="U161" i="33"/>
  <c r="V161" i="33"/>
  <c r="P168" i="33"/>
  <c r="Q164" i="33"/>
  <c r="O168" i="33" s="1"/>
  <c r="R164" i="33"/>
  <c r="S164" i="33"/>
  <c r="T164" i="33"/>
  <c r="U164" i="33"/>
  <c r="V164" i="33"/>
  <c r="Q170" i="33"/>
  <c r="R170" i="33"/>
  <c r="S170" i="33"/>
  <c r="T170" i="33"/>
  <c r="U170" i="33"/>
  <c r="V170" i="33"/>
  <c r="O177" i="33"/>
  <c r="P177" i="33"/>
  <c r="Q173" i="33"/>
  <c r="R173" i="33"/>
  <c r="S173" i="33"/>
  <c r="T173" i="33"/>
  <c r="U173" i="33"/>
  <c r="V173" i="33"/>
  <c r="Q179" i="33"/>
  <c r="O187" i="33" s="1"/>
  <c r="R179" i="33"/>
  <c r="S179" i="33"/>
  <c r="T179" i="33"/>
  <c r="U179" i="33"/>
  <c r="V179" i="33"/>
  <c r="Q183" i="33"/>
  <c r="R183" i="33"/>
  <c r="S183" i="33"/>
  <c r="T183" i="33"/>
  <c r="U183" i="33"/>
  <c r="V183" i="33"/>
  <c r="P187" i="33"/>
  <c r="Q189" i="33"/>
  <c r="R189" i="33"/>
  <c r="S189" i="33"/>
  <c r="T189" i="33"/>
  <c r="U189" i="33"/>
  <c r="V189" i="33"/>
  <c r="Q192" i="33"/>
  <c r="R192" i="33"/>
  <c r="S192" i="33"/>
  <c r="T192" i="33"/>
  <c r="U192" i="33"/>
  <c r="V192" i="33"/>
  <c r="Q193" i="33"/>
  <c r="R193" i="33"/>
  <c r="P197" i="33" s="1"/>
  <c r="S193" i="33"/>
  <c r="T193" i="33"/>
  <c r="U193" i="33"/>
  <c r="V193" i="33"/>
  <c r="Q199" i="33"/>
  <c r="R199" i="33"/>
  <c r="S199" i="33"/>
  <c r="T199" i="33"/>
  <c r="U199" i="33"/>
  <c r="V199" i="33"/>
  <c r="Q205" i="33"/>
  <c r="R205" i="33"/>
  <c r="S205" i="33"/>
  <c r="T205" i="33"/>
  <c r="U205" i="33"/>
  <c r="V205" i="33"/>
  <c r="Q206" i="33"/>
  <c r="R206" i="33"/>
  <c r="S206" i="33"/>
  <c r="T206" i="33"/>
  <c r="U206" i="33"/>
  <c r="V206" i="33"/>
  <c r="Q213" i="33"/>
  <c r="R213" i="33"/>
  <c r="S213" i="33"/>
  <c r="T213" i="33"/>
  <c r="U213" i="33"/>
  <c r="V213" i="33"/>
  <c r="Q219" i="33"/>
  <c r="R219" i="33"/>
  <c r="S219" i="33"/>
  <c r="T219" i="33"/>
  <c r="U219" i="33"/>
  <c r="V219" i="33"/>
  <c r="Q226" i="33"/>
  <c r="R226" i="33"/>
  <c r="S226" i="33"/>
  <c r="T226" i="33"/>
  <c r="U226" i="33"/>
  <c r="V226" i="33"/>
  <c r="P237" i="33"/>
  <c r="Q232" i="33"/>
  <c r="R232" i="33"/>
  <c r="S232" i="33"/>
  <c r="T232" i="33"/>
  <c r="U232" i="33"/>
  <c r="V232" i="33"/>
  <c r="Q239" i="33"/>
  <c r="R239" i="33"/>
  <c r="S239" i="33"/>
  <c r="T239" i="33"/>
  <c r="U239" i="33"/>
  <c r="V239" i="33"/>
  <c r="O250" i="33"/>
  <c r="Q245" i="33"/>
  <c r="R245" i="33"/>
  <c r="S245" i="33"/>
  <c r="T245" i="33"/>
  <c r="U245" i="33"/>
  <c r="V245" i="33"/>
  <c r="Q252" i="33"/>
  <c r="R252" i="33"/>
  <c r="S252" i="33"/>
  <c r="T252" i="33"/>
  <c r="U252" i="33"/>
  <c r="V252" i="33"/>
  <c r="P263" i="33"/>
  <c r="Q258" i="33"/>
  <c r="R258" i="33"/>
  <c r="S258" i="33"/>
  <c r="T258" i="33"/>
  <c r="U258" i="33"/>
  <c r="V258" i="33"/>
  <c r="Q265" i="33"/>
  <c r="R265" i="33"/>
  <c r="S265" i="33"/>
  <c r="T265" i="33"/>
  <c r="U265" i="33"/>
  <c r="V265" i="33"/>
  <c r="Q271" i="33"/>
  <c r="R271" i="33"/>
  <c r="S271" i="33"/>
  <c r="T271" i="33"/>
  <c r="U271" i="33"/>
  <c r="V271" i="33"/>
  <c r="Q280" i="33"/>
  <c r="R280" i="33"/>
  <c r="S280" i="33"/>
  <c r="T280" i="33"/>
  <c r="U280" i="33"/>
  <c r="V280" i="33"/>
  <c r="P281" i="33"/>
  <c r="Q283" i="33"/>
  <c r="R283" i="33"/>
  <c r="S283" i="33"/>
  <c r="T283" i="33"/>
  <c r="U283" i="33"/>
  <c r="V283" i="33"/>
  <c r="P284" i="33"/>
  <c r="Q286" i="33"/>
  <c r="R286" i="33"/>
  <c r="S286" i="33"/>
  <c r="T286" i="33"/>
  <c r="U286" i="33"/>
  <c r="V286" i="33"/>
  <c r="P287" i="33"/>
  <c r="Q289" i="33"/>
  <c r="R289" i="33"/>
  <c r="S289" i="33"/>
  <c r="T289" i="33"/>
  <c r="U289" i="33"/>
  <c r="V289" i="33"/>
  <c r="P290" i="33"/>
  <c r="Q292" i="33"/>
  <c r="R292" i="33"/>
  <c r="S292" i="33"/>
  <c r="T292" i="33"/>
  <c r="U292" i="33"/>
  <c r="V292" i="33"/>
  <c r="P293" i="33"/>
  <c r="Q295" i="33"/>
  <c r="R295" i="33"/>
  <c r="S295" i="33"/>
  <c r="T295" i="33"/>
  <c r="U295" i="33"/>
  <c r="V295" i="33"/>
  <c r="P296" i="33"/>
  <c r="Q298" i="33"/>
  <c r="R298" i="33"/>
  <c r="S298" i="33"/>
  <c r="T298" i="33"/>
  <c r="U298" i="33"/>
  <c r="V298" i="33"/>
  <c r="P299" i="33"/>
  <c r="Q301" i="33"/>
  <c r="R301" i="33"/>
  <c r="S301" i="33"/>
  <c r="T301" i="33"/>
  <c r="U301" i="33"/>
  <c r="V301" i="33"/>
  <c r="P302" i="33"/>
  <c r="Q304" i="33"/>
  <c r="R304" i="33"/>
  <c r="S304" i="33"/>
  <c r="T304" i="33"/>
  <c r="U304" i="33"/>
  <c r="V304" i="33"/>
  <c r="P305" i="33"/>
  <c r="Q307" i="33"/>
  <c r="R307" i="33"/>
  <c r="S307" i="33"/>
  <c r="T307" i="33"/>
  <c r="U307" i="33"/>
  <c r="V307" i="33"/>
  <c r="P308" i="33"/>
  <c r="Q310" i="33"/>
  <c r="R310" i="33"/>
  <c r="S310" i="33"/>
  <c r="T310" i="33"/>
  <c r="U310" i="33"/>
  <c r="V310" i="33"/>
  <c r="P311" i="33"/>
  <c r="Q313" i="33"/>
  <c r="R313" i="33"/>
  <c r="S313" i="33"/>
  <c r="T313" i="33"/>
  <c r="U313" i="33"/>
  <c r="V313" i="33"/>
  <c r="P314" i="33"/>
  <c r="Q316" i="33"/>
  <c r="R316" i="33"/>
  <c r="S316" i="33"/>
  <c r="T316" i="33"/>
  <c r="U316" i="33"/>
  <c r="V316" i="33"/>
  <c r="P317" i="33"/>
  <c r="O237" i="33" l="1"/>
  <c r="O147" i="33"/>
  <c r="O126" i="33"/>
  <c r="O224" i="33"/>
  <c r="P96" i="33"/>
  <c r="O263" i="33"/>
  <c r="O276" i="33"/>
  <c r="O211" i="33"/>
  <c r="P211" i="33"/>
  <c r="O107" i="33"/>
  <c r="O317" i="33"/>
  <c r="O314" i="33"/>
  <c r="O311" i="33"/>
  <c r="O308" i="33"/>
  <c r="O305" i="33"/>
  <c r="O302" i="33"/>
  <c r="O299" i="33"/>
  <c r="O296" i="33"/>
  <c r="O293" i="33"/>
  <c r="O290" i="33"/>
  <c r="O287" i="33"/>
  <c r="O284" i="33"/>
  <c r="O281" i="33"/>
  <c r="P276" i="33"/>
  <c r="P250" i="33"/>
  <c r="P224" i="33"/>
  <c r="O197" i="33"/>
  <c r="P147" i="33"/>
  <c r="O76" i="33"/>
  <c r="O57" i="33"/>
  <c r="AE10" i="32" l="1"/>
  <c r="Q37" i="32"/>
  <c r="R37" i="32"/>
  <c r="S37" i="32"/>
  <c r="T37" i="32"/>
  <c r="U37" i="32"/>
  <c r="V37" i="32"/>
  <c r="P47" i="32"/>
  <c r="Q42" i="32"/>
  <c r="R42" i="32"/>
  <c r="S42" i="32"/>
  <c r="T42" i="32"/>
  <c r="U42" i="32"/>
  <c r="V42" i="32"/>
  <c r="Q49" i="32"/>
  <c r="R49" i="32"/>
  <c r="S49" i="32"/>
  <c r="T49" i="32"/>
  <c r="U49" i="32"/>
  <c r="V49" i="32"/>
  <c r="P59" i="32"/>
  <c r="Q61" i="32"/>
  <c r="R61" i="32"/>
  <c r="S61" i="32"/>
  <c r="T61" i="32"/>
  <c r="U61" i="32"/>
  <c r="V61" i="32"/>
  <c r="P62" i="32"/>
  <c r="Q64" i="32"/>
  <c r="R64" i="32"/>
  <c r="S64" i="32"/>
  <c r="T64" i="32"/>
  <c r="U64" i="32"/>
  <c r="V64" i="32"/>
  <c r="P73" i="32"/>
  <c r="O73" i="32"/>
  <c r="Q68" i="32"/>
  <c r="R68" i="32"/>
  <c r="S68" i="32"/>
  <c r="T68" i="32"/>
  <c r="U68" i="32"/>
  <c r="V68" i="32"/>
  <c r="Q69" i="32"/>
  <c r="R69" i="32"/>
  <c r="S69" i="32"/>
  <c r="T69" i="32"/>
  <c r="U69" i="32"/>
  <c r="V69" i="32"/>
  <c r="Q75" i="32"/>
  <c r="R75" i="32"/>
  <c r="S75" i="32"/>
  <c r="T75" i="32"/>
  <c r="U75" i="32"/>
  <c r="V75" i="32"/>
  <c r="Q80" i="32"/>
  <c r="R80" i="32"/>
  <c r="S80" i="32"/>
  <c r="T80" i="32"/>
  <c r="U80" i="32"/>
  <c r="V80" i="32"/>
  <c r="Q87" i="32"/>
  <c r="O94" i="32" s="1"/>
  <c r="R87" i="32"/>
  <c r="S87" i="32"/>
  <c r="T87" i="32"/>
  <c r="U87" i="32"/>
  <c r="V87" i="32"/>
  <c r="Q90" i="32"/>
  <c r="R90" i="32"/>
  <c r="S90" i="32"/>
  <c r="T90" i="32"/>
  <c r="U90" i="32"/>
  <c r="V90" i="32"/>
  <c r="P94" i="32"/>
  <c r="Q96" i="32"/>
  <c r="R96" i="32"/>
  <c r="S96" i="32"/>
  <c r="T96" i="32"/>
  <c r="U96" i="32"/>
  <c r="V96" i="32"/>
  <c r="P105" i="32"/>
  <c r="O105" i="32"/>
  <c r="O108" i="32"/>
  <c r="P108" i="32"/>
  <c r="Q107" i="32"/>
  <c r="R107" i="32"/>
  <c r="S107" i="32"/>
  <c r="T107" i="32"/>
  <c r="U107" i="32"/>
  <c r="V107" i="32"/>
  <c r="O111" i="32"/>
  <c r="P111" i="32"/>
  <c r="Q110" i="32"/>
  <c r="R110" i="32"/>
  <c r="S110" i="32"/>
  <c r="T110" i="32"/>
  <c r="U110" i="32"/>
  <c r="V110" i="32"/>
  <c r="Q113" i="32"/>
  <c r="R113" i="32"/>
  <c r="S113" i="32"/>
  <c r="T113" i="32"/>
  <c r="U113" i="32"/>
  <c r="V113" i="32"/>
  <c r="Q116" i="32"/>
  <c r="R116" i="32"/>
  <c r="S116" i="32"/>
  <c r="T116" i="32"/>
  <c r="U116" i="32"/>
  <c r="V116" i="32"/>
  <c r="Q122" i="32"/>
  <c r="O132" i="32" s="1"/>
  <c r="R122" i="32"/>
  <c r="S122" i="32"/>
  <c r="T122" i="32"/>
  <c r="U122" i="32"/>
  <c r="V122" i="32"/>
  <c r="Q127" i="32"/>
  <c r="R127" i="32"/>
  <c r="S127" i="32"/>
  <c r="T127" i="32"/>
  <c r="U127" i="32"/>
  <c r="V127" i="32"/>
  <c r="P132" i="32"/>
  <c r="Q134" i="32"/>
  <c r="R134" i="32"/>
  <c r="S134" i="32"/>
  <c r="T134" i="32"/>
  <c r="U134" i="32"/>
  <c r="V134" i="32"/>
  <c r="P144" i="32"/>
  <c r="Q139" i="32"/>
  <c r="R139" i="32"/>
  <c r="S139" i="32"/>
  <c r="T139" i="32"/>
  <c r="U139" i="32"/>
  <c r="V139" i="32"/>
  <c r="Q146" i="32"/>
  <c r="R146" i="32"/>
  <c r="S146" i="32"/>
  <c r="T146" i="32"/>
  <c r="U146" i="32"/>
  <c r="V146" i="32"/>
  <c r="O158" i="32"/>
  <c r="Q152" i="32"/>
  <c r="R152" i="32"/>
  <c r="S152" i="32"/>
  <c r="T152" i="32"/>
  <c r="U152" i="32"/>
  <c r="V152" i="32"/>
  <c r="Q153" i="32"/>
  <c r="R153" i="32"/>
  <c r="S153" i="32"/>
  <c r="T153" i="32"/>
  <c r="U153" i="32"/>
  <c r="V153" i="32"/>
  <c r="Q160" i="32"/>
  <c r="R160" i="32"/>
  <c r="P172" i="32" s="1"/>
  <c r="S160" i="32"/>
  <c r="T160" i="32"/>
  <c r="U160" i="32"/>
  <c r="V160" i="32"/>
  <c r="Q166" i="32"/>
  <c r="R166" i="32"/>
  <c r="S166" i="32"/>
  <c r="T166" i="32"/>
  <c r="U166" i="32"/>
  <c r="V166" i="32"/>
  <c r="Q167" i="32"/>
  <c r="R167" i="32"/>
  <c r="S167" i="32"/>
  <c r="T167" i="32"/>
  <c r="U167" i="32"/>
  <c r="V167" i="32"/>
  <c r="Q174" i="32"/>
  <c r="R174" i="32"/>
  <c r="S174" i="32"/>
  <c r="T174" i="32"/>
  <c r="U174" i="32"/>
  <c r="V174" i="32"/>
  <c r="P185" i="32"/>
  <c r="Q180" i="32"/>
  <c r="R180" i="32"/>
  <c r="S180" i="32"/>
  <c r="T180" i="32"/>
  <c r="U180" i="32"/>
  <c r="V180" i="32"/>
  <c r="Q187" i="32"/>
  <c r="R187" i="32"/>
  <c r="S187" i="32"/>
  <c r="T187" i="32"/>
  <c r="U187" i="32"/>
  <c r="V187" i="32"/>
  <c r="O198" i="32"/>
  <c r="Q193" i="32"/>
  <c r="R193" i="32"/>
  <c r="S193" i="32"/>
  <c r="T193" i="32"/>
  <c r="U193" i="32"/>
  <c r="V193" i="32"/>
  <c r="Q200" i="32"/>
  <c r="O211" i="32" s="1"/>
  <c r="R200" i="32"/>
  <c r="S200" i="32"/>
  <c r="T200" i="32"/>
  <c r="U200" i="32"/>
  <c r="V200" i="32"/>
  <c r="P211" i="32"/>
  <c r="Q206" i="32"/>
  <c r="R206" i="32"/>
  <c r="S206" i="32"/>
  <c r="T206" i="32"/>
  <c r="U206" i="32"/>
  <c r="V206" i="32"/>
  <c r="Q213" i="32"/>
  <c r="R213" i="32"/>
  <c r="S213" i="32"/>
  <c r="T213" i="32"/>
  <c r="U213" i="32"/>
  <c r="V213" i="32"/>
  <c r="Q219" i="32"/>
  <c r="R219" i="32"/>
  <c r="S219" i="32"/>
  <c r="T219" i="32"/>
  <c r="U219" i="32"/>
  <c r="V219" i="32"/>
  <c r="Q226" i="32"/>
  <c r="R226" i="32"/>
  <c r="S226" i="32"/>
  <c r="T226" i="32"/>
  <c r="U226" i="32"/>
  <c r="V226" i="32"/>
  <c r="P237" i="32"/>
  <c r="Q232" i="32"/>
  <c r="R232" i="32"/>
  <c r="S232" i="32"/>
  <c r="T232" i="32"/>
  <c r="U232" i="32"/>
  <c r="V232" i="32"/>
  <c r="P240" i="32"/>
  <c r="Q239" i="32"/>
  <c r="R239" i="32"/>
  <c r="S239" i="32"/>
  <c r="T239" i="32"/>
  <c r="U239" i="32"/>
  <c r="V239" i="32"/>
  <c r="O240" i="32"/>
  <c r="Q242" i="32"/>
  <c r="R242" i="32"/>
  <c r="S242" i="32"/>
  <c r="T242" i="32"/>
  <c r="U242" i="32"/>
  <c r="V242" i="32"/>
  <c r="O253" i="32"/>
  <c r="Q248" i="32"/>
  <c r="R248" i="32"/>
  <c r="S248" i="32"/>
  <c r="T248" i="32"/>
  <c r="U248" i="32"/>
  <c r="V248" i="32"/>
  <c r="Q255" i="32"/>
  <c r="R255" i="32"/>
  <c r="S255" i="32"/>
  <c r="T255" i="32"/>
  <c r="U255" i="32"/>
  <c r="V255" i="32"/>
  <c r="P260" i="32"/>
  <c r="O47" i="32" l="1"/>
  <c r="O237" i="32"/>
  <c r="O185" i="32"/>
  <c r="O172" i="32"/>
  <c r="P158" i="32"/>
  <c r="O144" i="32"/>
  <c r="O120" i="32"/>
  <c r="O260" i="32"/>
  <c r="O224" i="32"/>
  <c r="O85" i="32"/>
  <c r="P253" i="32"/>
  <c r="P224" i="32"/>
  <c r="P198" i="32"/>
  <c r="P120" i="32"/>
  <c r="P85" i="32"/>
  <c r="O62" i="32"/>
  <c r="O59" i="32"/>
  <c r="AE10" i="31" l="1"/>
  <c r="Q37" i="31"/>
  <c r="R37" i="31"/>
  <c r="S37" i="31"/>
  <c r="T37" i="31"/>
  <c r="U37" i="31"/>
  <c r="V37" i="31"/>
  <c r="Q42" i="31"/>
  <c r="R42" i="31"/>
  <c r="S42" i="31"/>
  <c r="T42" i="31"/>
  <c r="U42" i="31"/>
  <c r="V42" i="31"/>
  <c r="Q43" i="31"/>
  <c r="R43" i="31"/>
  <c r="S43" i="31"/>
  <c r="T43" i="31"/>
  <c r="U43" i="31"/>
  <c r="V43" i="31"/>
  <c r="Q44" i="31"/>
  <c r="R44" i="31"/>
  <c r="S44" i="31"/>
  <c r="T44" i="31"/>
  <c r="U44" i="31"/>
  <c r="V44" i="31"/>
  <c r="Q45" i="31"/>
  <c r="R45" i="31"/>
  <c r="S45" i="31"/>
  <c r="T45" i="31"/>
  <c r="U45" i="31"/>
  <c r="V45" i="31"/>
  <c r="Q46" i="31"/>
  <c r="R46" i="31"/>
  <c r="S46" i="31"/>
  <c r="T46" i="31"/>
  <c r="U46" i="31"/>
  <c r="V46" i="31"/>
  <c r="Q47" i="31"/>
  <c r="R47" i="31"/>
  <c r="S47" i="31"/>
  <c r="T47" i="31"/>
  <c r="U47" i="31"/>
  <c r="V47" i="31"/>
  <c r="P52" i="31"/>
  <c r="Q54" i="31"/>
  <c r="R54" i="31"/>
  <c r="S54" i="31"/>
  <c r="T54" i="31"/>
  <c r="U54" i="31"/>
  <c r="V54" i="31"/>
  <c r="Q59" i="31"/>
  <c r="R59" i="31"/>
  <c r="S59" i="31"/>
  <c r="T59" i="31"/>
  <c r="U59" i="31"/>
  <c r="V59" i="31"/>
  <c r="Q66" i="31"/>
  <c r="R66" i="31"/>
  <c r="S66" i="31"/>
  <c r="T66" i="31"/>
  <c r="U66" i="31"/>
  <c r="V66" i="31"/>
  <c r="P77" i="31"/>
  <c r="Q72" i="31"/>
  <c r="R72" i="31"/>
  <c r="S72" i="31"/>
  <c r="T72" i="31"/>
  <c r="U72" i="31"/>
  <c r="V72" i="31"/>
  <c r="Q79" i="31"/>
  <c r="R79" i="31"/>
  <c r="S79" i="31"/>
  <c r="T79" i="31"/>
  <c r="U79" i="31"/>
  <c r="V79" i="31"/>
  <c r="Q83" i="31"/>
  <c r="R83" i="31"/>
  <c r="S83" i="31"/>
  <c r="T83" i="31"/>
  <c r="U83" i="31"/>
  <c r="V83" i="31"/>
  <c r="Q84" i="31"/>
  <c r="R84" i="31"/>
  <c r="S84" i="31"/>
  <c r="T84" i="31"/>
  <c r="U84" i="31"/>
  <c r="V84" i="31"/>
  <c r="Q85" i="31"/>
  <c r="R85" i="31"/>
  <c r="P90" i="31" s="1"/>
  <c r="S85" i="31"/>
  <c r="T85" i="31"/>
  <c r="U85" i="31"/>
  <c r="V85" i="31"/>
  <c r="Q86" i="31"/>
  <c r="R86" i="31"/>
  <c r="S86" i="31"/>
  <c r="T86" i="31"/>
  <c r="U86" i="31"/>
  <c r="V86" i="31"/>
  <c r="O93" i="31"/>
  <c r="Q92" i="31"/>
  <c r="R92" i="31"/>
  <c r="S92" i="31"/>
  <c r="T92" i="31"/>
  <c r="U92" i="31"/>
  <c r="V92" i="31"/>
  <c r="P93" i="31"/>
  <c r="Q97" i="31"/>
  <c r="R97" i="31"/>
  <c r="S97" i="31"/>
  <c r="T97" i="31"/>
  <c r="U97" i="31"/>
  <c r="V97" i="31"/>
  <c r="P98" i="31"/>
  <c r="Q100" i="31"/>
  <c r="R100" i="31"/>
  <c r="S100" i="31"/>
  <c r="T100" i="31"/>
  <c r="U100" i="31"/>
  <c r="V100" i="31"/>
  <c r="P101" i="31"/>
  <c r="Q103" i="31"/>
  <c r="R103" i="31"/>
  <c r="S103" i="31"/>
  <c r="T103" i="31"/>
  <c r="U103" i="31"/>
  <c r="V103" i="31"/>
  <c r="P104" i="31"/>
  <c r="Q106" i="31"/>
  <c r="R106" i="31"/>
  <c r="S106" i="31"/>
  <c r="T106" i="31"/>
  <c r="U106" i="31"/>
  <c r="V106" i="31"/>
  <c r="P107" i="31"/>
  <c r="Q109" i="31"/>
  <c r="R109" i="31"/>
  <c r="S109" i="31"/>
  <c r="T109" i="31"/>
  <c r="U109" i="31"/>
  <c r="V109" i="31"/>
  <c r="P110" i="31"/>
  <c r="Q112" i="31"/>
  <c r="R112" i="31"/>
  <c r="S112" i="31"/>
  <c r="T112" i="31"/>
  <c r="U112" i="31"/>
  <c r="V112" i="31"/>
  <c r="P113" i="31"/>
  <c r="O126" i="31"/>
  <c r="Q125" i="31"/>
  <c r="R125" i="31"/>
  <c r="S125" i="31"/>
  <c r="T125" i="31"/>
  <c r="U125" i="31"/>
  <c r="V125" i="31"/>
  <c r="P126" i="31"/>
  <c r="O129" i="31"/>
  <c r="Q128" i="31"/>
  <c r="R128" i="31"/>
  <c r="S128" i="31"/>
  <c r="T128" i="31"/>
  <c r="U128" i="31"/>
  <c r="V128" i="31"/>
  <c r="P129" i="31"/>
  <c r="Q137" i="31"/>
  <c r="R137" i="31"/>
  <c r="S137" i="31"/>
  <c r="T137" i="31"/>
  <c r="U137" i="31"/>
  <c r="V137" i="31"/>
  <c r="O149" i="31"/>
  <c r="Q143" i="31"/>
  <c r="R143" i="31"/>
  <c r="S143" i="31"/>
  <c r="T143" i="31"/>
  <c r="U143" i="31"/>
  <c r="V143" i="31"/>
  <c r="Q144" i="31"/>
  <c r="R144" i="31"/>
  <c r="S144" i="31"/>
  <c r="T144" i="31"/>
  <c r="U144" i="31"/>
  <c r="V144" i="31"/>
  <c r="P149" i="31"/>
  <c r="Q151" i="31"/>
  <c r="R151" i="31"/>
  <c r="S151" i="31"/>
  <c r="T151" i="31"/>
  <c r="U151" i="31"/>
  <c r="V151" i="31"/>
  <c r="O162" i="31"/>
  <c r="Q157" i="31"/>
  <c r="R157" i="31"/>
  <c r="S157" i="31"/>
  <c r="T157" i="31"/>
  <c r="U157" i="31"/>
  <c r="V157" i="31"/>
  <c r="Q164" i="31"/>
  <c r="R164" i="31"/>
  <c r="S164" i="31"/>
  <c r="T164" i="31"/>
  <c r="U164" i="31"/>
  <c r="V164" i="31"/>
  <c r="Q170" i="31"/>
  <c r="R170" i="31"/>
  <c r="S170" i="31"/>
  <c r="T170" i="31"/>
  <c r="U170" i="31"/>
  <c r="V170" i="31"/>
  <c r="P175" i="31"/>
  <c r="Q177" i="31"/>
  <c r="R177" i="31"/>
  <c r="S177" i="31"/>
  <c r="T177" i="31"/>
  <c r="U177" i="31"/>
  <c r="V177" i="31"/>
  <c r="Q183" i="31"/>
  <c r="R183" i="31"/>
  <c r="S183" i="31"/>
  <c r="T183" i="31"/>
  <c r="U183" i="31"/>
  <c r="V183" i="31"/>
  <c r="Q184" i="31"/>
  <c r="R184" i="31"/>
  <c r="S184" i="31"/>
  <c r="T184" i="31"/>
  <c r="U184" i="31"/>
  <c r="V184" i="31"/>
  <c r="Q185" i="31"/>
  <c r="R185" i="31"/>
  <c r="S185" i="31"/>
  <c r="T185" i="31"/>
  <c r="U185" i="31"/>
  <c r="V185" i="31"/>
  <c r="P190" i="31"/>
  <c r="Q192" i="31"/>
  <c r="R192" i="31"/>
  <c r="S192" i="31"/>
  <c r="T192" i="31"/>
  <c r="U192" i="31"/>
  <c r="V192" i="31"/>
  <c r="Q198" i="31"/>
  <c r="R198" i="31"/>
  <c r="S198" i="31"/>
  <c r="T198" i="31"/>
  <c r="U198" i="31"/>
  <c r="V198" i="31"/>
  <c r="Q199" i="31"/>
  <c r="R199" i="31"/>
  <c r="S199" i="31"/>
  <c r="T199" i="31"/>
  <c r="U199" i="31"/>
  <c r="V199" i="31"/>
  <c r="Q200" i="31"/>
  <c r="R200" i="31"/>
  <c r="S200" i="31"/>
  <c r="T200" i="31"/>
  <c r="U200" i="31"/>
  <c r="V200" i="31"/>
  <c r="P205" i="31"/>
  <c r="Q213" i="31"/>
  <c r="R213" i="31"/>
  <c r="S213" i="31"/>
  <c r="T213" i="31"/>
  <c r="U213" i="31"/>
  <c r="V213" i="31"/>
  <c r="O221" i="31"/>
  <c r="Q217" i="31"/>
  <c r="R217" i="31"/>
  <c r="S217" i="31"/>
  <c r="T217" i="31"/>
  <c r="U217" i="31"/>
  <c r="V217" i="31"/>
  <c r="O224" i="31"/>
  <c r="Q223" i="31"/>
  <c r="R223" i="31"/>
  <c r="S223" i="31"/>
  <c r="T223" i="31"/>
  <c r="U223" i="31"/>
  <c r="V223" i="31"/>
  <c r="P224" i="31"/>
  <c r="Q226" i="31"/>
  <c r="O233" i="31" s="1"/>
  <c r="R226" i="31"/>
  <c r="S226" i="31"/>
  <c r="T226" i="31"/>
  <c r="U226" i="31"/>
  <c r="V226" i="31"/>
  <c r="Q229" i="31"/>
  <c r="R229" i="31"/>
  <c r="S229" i="31"/>
  <c r="T229" i="31"/>
  <c r="U229" i="31"/>
  <c r="V229" i="31"/>
  <c r="P233" i="31"/>
  <c r="Q235" i="31"/>
  <c r="R235" i="31"/>
  <c r="S235" i="31"/>
  <c r="T235" i="31"/>
  <c r="U235" i="31"/>
  <c r="V235" i="31"/>
  <c r="O246" i="31"/>
  <c r="Q241" i="31"/>
  <c r="R241" i="31"/>
  <c r="S241" i="31"/>
  <c r="T241" i="31"/>
  <c r="U241" i="31"/>
  <c r="V241" i="31"/>
  <c r="Q248" i="31"/>
  <c r="R248" i="31"/>
  <c r="S248" i="31"/>
  <c r="T248" i="31"/>
  <c r="U248" i="31"/>
  <c r="V248" i="31"/>
  <c r="O256" i="31"/>
  <c r="Q251" i="31"/>
  <c r="R251" i="31"/>
  <c r="S251" i="31"/>
  <c r="T251" i="31"/>
  <c r="U251" i="31"/>
  <c r="V251" i="31"/>
  <c r="Q252" i="31"/>
  <c r="R252" i="31"/>
  <c r="S252" i="31"/>
  <c r="T252" i="31"/>
  <c r="U252" i="31"/>
  <c r="V252" i="31"/>
  <c r="Q258" i="31"/>
  <c r="R258" i="31"/>
  <c r="S258" i="31"/>
  <c r="T258" i="31"/>
  <c r="U258" i="31"/>
  <c r="V258" i="31"/>
  <c r="Q264" i="31"/>
  <c r="R264" i="31"/>
  <c r="S264" i="31"/>
  <c r="T264" i="31"/>
  <c r="U264" i="31"/>
  <c r="V264" i="31"/>
  <c r="P269" i="31"/>
  <c r="Q271" i="31"/>
  <c r="R271" i="31"/>
  <c r="S271" i="31"/>
  <c r="T271" i="31"/>
  <c r="U271" i="31"/>
  <c r="V271" i="31"/>
  <c r="O282" i="31"/>
  <c r="Q277" i="31"/>
  <c r="R277" i="31"/>
  <c r="S277" i="31"/>
  <c r="T277" i="31"/>
  <c r="U277" i="31"/>
  <c r="V277" i="31"/>
  <c r="Q284" i="31"/>
  <c r="R284" i="31"/>
  <c r="S284" i="31"/>
  <c r="T284" i="31"/>
  <c r="U284" i="31"/>
  <c r="V284" i="31"/>
  <c r="Q290" i="31"/>
  <c r="R290" i="31"/>
  <c r="S290" i="31"/>
  <c r="T290" i="31"/>
  <c r="U290" i="31"/>
  <c r="V290" i="31"/>
  <c r="P295" i="31"/>
  <c r="Q297" i="31"/>
  <c r="R297" i="31"/>
  <c r="S297" i="31"/>
  <c r="T297" i="31"/>
  <c r="U297" i="31"/>
  <c r="V297" i="31"/>
  <c r="O308" i="31"/>
  <c r="P308" i="31"/>
  <c r="Q303" i="31"/>
  <c r="R303" i="31"/>
  <c r="S303" i="31"/>
  <c r="T303" i="31"/>
  <c r="U303" i="31"/>
  <c r="V303" i="31"/>
  <c r="Q316" i="31"/>
  <c r="R316" i="31"/>
  <c r="S316" i="31"/>
  <c r="T316" i="31"/>
  <c r="U316" i="31"/>
  <c r="V316" i="31"/>
  <c r="Q322" i="31"/>
  <c r="R322" i="31"/>
  <c r="S322" i="31"/>
  <c r="T322" i="31"/>
  <c r="U322" i="31"/>
  <c r="V322" i="31"/>
  <c r="P327" i="31"/>
  <c r="Q329" i="31"/>
  <c r="R329" i="31"/>
  <c r="S329" i="31"/>
  <c r="T329" i="31"/>
  <c r="U329" i="31"/>
  <c r="V329" i="31"/>
  <c r="O340" i="31"/>
  <c r="P340" i="31"/>
  <c r="Q335" i="31"/>
  <c r="R335" i="31"/>
  <c r="S335" i="31"/>
  <c r="T335" i="31"/>
  <c r="U335" i="31"/>
  <c r="V335" i="31"/>
  <c r="Q342" i="31"/>
  <c r="R342" i="31"/>
  <c r="S342" i="31"/>
  <c r="T342" i="31"/>
  <c r="U342" i="31"/>
  <c r="V342" i="31"/>
  <c r="Q348" i="31"/>
  <c r="R348" i="31"/>
  <c r="S348" i="31"/>
  <c r="T348" i="31"/>
  <c r="U348" i="31"/>
  <c r="V348" i="31"/>
  <c r="P353" i="31"/>
  <c r="AF360" i="31"/>
  <c r="O205" i="31" l="1"/>
  <c r="O52" i="31"/>
  <c r="O353" i="31"/>
  <c r="O269" i="31"/>
  <c r="P162" i="31"/>
  <c r="P282" i="31"/>
  <c r="P256" i="31"/>
  <c r="P246" i="31"/>
  <c r="O190" i="31"/>
  <c r="O175" i="31"/>
  <c r="O64" i="31"/>
  <c r="P64" i="31"/>
  <c r="O327" i="31"/>
  <c r="O295" i="31"/>
  <c r="O90" i="31"/>
  <c r="O77" i="31"/>
  <c r="O113" i="31"/>
  <c r="O110" i="31"/>
  <c r="O107" i="31"/>
  <c r="O104" i="31"/>
  <c r="O101" i="31"/>
  <c r="O98" i="31"/>
  <c r="P221" i="31"/>
  <c r="AE10" i="30" l="1"/>
  <c r="Q37" i="30"/>
  <c r="R37" i="30"/>
  <c r="S37" i="30"/>
  <c r="T37" i="30"/>
  <c r="U37" i="30"/>
  <c r="V37" i="30"/>
  <c r="Q43" i="30"/>
  <c r="R43" i="30"/>
  <c r="S43" i="30"/>
  <c r="T43" i="30"/>
  <c r="U43" i="30"/>
  <c r="V43" i="30"/>
  <c r="Q44" i="30"/>
  <c r="R44" i="30"/>
  <c r="S44" i="30"/>
  <c r="T44" i="30"/>
  <c r="U44" i="30"/>
  <c r="V44" i="30"/>
  <c r="Q51" i="30"/>
  <c r="R51" i="30"/>
  <c r="S51" i="30"/>
  <c r="T51" i="30"/>
  <c r="U51" i="30"/>
  <c r="V51" i="30"/>
  <c r="Q56" i="30"/>
  <c r="R56" i="30"/>
  <c r="S56" i="30"/>
  <c r="T56" i="30"/>
  <c r="U56" i="30"/>
  <c r="V56" i="30"/>
  <c r="Q57" i="30"/>
  <c r="R57" i="30"/>
  <c r="S57" i="30"/>
  <c r="T57" i="30"/>
  <c r="U57" i="30"/>
  <c r="V57" i="30"/>
  <c r="O62" i="30"/>
  <c r="Q64" i="30"/>
  <c r="R64" i="30"/>
  <c r="S64" i="30"/>
  <c r="T64" i="30"/>
  <c r="U64" i="30"/>
  <c r="V64" i="30"/>
  <c r="Q69" i="30"/>
  <c r="R69" i="30"/>
  <c r="S69" i="30"/>
  <c r="T69" i="30"/>
  <c r="U69" i="30"/>
  <c r="V69" i="30"/>
  <c r="Q82" i="30"/>
  <c r="R82" i="30"/>
  <c r="S82" i="30"/>
  <c r="T82" i="30"/>
  <c r="U82" i="30"/>
  <c r="V82" i="30"/>
  <c r="Q88" i="30"/>
  <c r="R88" i="30"/>
  <c r="S88" i="30"/>
  <c r="T88" i="30"/>
  <c r="U88" i="30"/>
  <c r="V88" i="30"/>
  <c r="Q89" i="30"/>
  <c r="R89" i="30"/>
  <c r="S89" i="30"/>
  <c r="T89" i="30"/>
  <c r="U89" i="30"/>
  <c r="V89" i="30"/>
  <c r="Q96" i="30"/>
  <c r="R96" i="30"/>
  <c r="S96" i="30"/>
  <c r="T96" i="30"/>
  <c r="U96" i="30"/>
  <c r="V96" i="30"/>
  <c r="Q102" i="30"/>
  <c r="R102" i="30"/>
  <c r="S102" i="30"/>
  <c r="T102" i="30"/>
  <c r="U102" i="30"/>
  <c r="V102" i="30"/>
  <c r="Q109" i="30"/>
  <c r="R109" i="30"/>
  <c r="S109" i="30"/>
  <c r="T109" i="30"/>
  <c r="U109" i="30"/>
  <c r="V109" i="30"/>
  <c r="Q115" i="30"/>
  <c r="R115" i="30"/>
  <c r="S115" i="30"/>
  <c r="T115" i="30"/>
  <c r="U115" i="30"/>
  <c r="V115" i="30"/>
  <c r="Q116" i="30"/>
  <c r="R116" i="30"/>
  <c r="S116" i="30"/>
  <c r="T116" i="30"/>
  <c r="U116" i="30"/>
  <c r="V116" i="30"/>
  <c r="Q123" i="30"/>
  <c r="R123" i="30"/>
  <c r="S123" i="30"/>
  <c r="T123" i="30"/>
  <c r="U123" i="30"/>
  <c r="V123" i="30"/>
  <c r="O125" i="30"/>
  <c r="Q127" i="30"/>
  <c r="R127" i="30"/>
  <c r="S127" i="30"/>
  <c r="T127" i="30"/>
  <c r="U127" i="30"/>
  <c r="V127" i="30"/>
  <c r="O129" i="30"/>
  <c r="P129" i="30"/>
  <c r="Q131" i="30"/>
  <c r="R131" i="30"/>
  <c r="S131" i="30"/>
  <c r="T131" i="30"/>
  <c r="U131" i="30"/>
  <c r="V131" i="30"/>
  <c r="P132" i="30"/>
  <c r="Q134" i="30"/>
  <c r="R134" i="30"/>
  <c r="S134" i="30"/>
  <c r="T134" i="30"/>
  <c r="U134" i="30"/>
  <c r="V134" i="30"/>
  <c r="Q140" i="30"/>
  <c r="R140" i="30"/>
  <c r="S140" i="30"/>
  <c r="T140" i="30"/>
  <c r="U140" i="30"/>
  <c r="V140" i="30"/>
  <c r="Q141" i="30"/>
  <c r="R141" i="30"/>
  <c r="S141" i="30"/>
  <c r="T141" i="30"/>
  <c r="U141" i="30"/>
  <c r="V141" i="30"/>
  <c r="O146" i="30"/>
  <c r="Q148" i="30"/>
  <c r="R148" i="30"/>
  <c r="S148" i="30"/>
  <c r="T148" i="30"/>
  <c r="U148" i="30"/>
  <c r="V148" i="30"/>
  <c r="Q154" i="30"/>
  <c r="R154" i="30"/>
  <c r="S154" i="30"/>
  <c r="T154" i="30"/>
  <c r="U154" i="30"/>
  <c r="V154" i="30"/>
  <c r="Q161" i="30"/>
  <c r="R161" i="30"/>
  <c r="S161" i="30"/>
  <c r="T161" i="30"/>
  <c r="U161" i="30"/>
  <c r="V161" i="30"/>
  <c r="Q167" i="30"/>
  <c r="R167" i="30"/>
  <c r="S167" i="30"/>
  <c r="T167" i="30"/>
  <c r="U167" i="30"/>
  <c r="V167" i="30"/>
  <c r="Q174" i="30"/>
  <c r="R174" i="30"/>
  <c r="S174" i="30"/>
  <c r="T174" i="30"/>
  <c r="U174" i="30"/>
  <c r="V174" i="30"/>
  <c r="Q180" i="30"/>
  <c r="R180" i="30"/>
  <c r="S180" i="30"/>
  <c r="T180" i="30"/>
  <c r="U180" i="30"/>
  <c r="V180" i="30"/>
  <c r="Q187" i="30"/>
  <c r="R187" i="30"/>
  <c r="S187" i="30"/>
  <c r="T187" i="30"/>
  <c r="U187" i="30"/>
  <c r="V187" i="30"/>
  <c r="Q193" i="30"/>
  <c r="R193" i="30"/>
  <c r="S193" i="30"/>
  <c r="T193" i="30"/>
  <c r="U193" i="30"/>
  <c r="V193" i="30"/>
  <c r="Q200" i="30"/>
  <c r="R200" i="30"/>
  <c r="S200" i="30"/>
  <c r="T200" i="30"/>
  <c r="U200" i="30"/>
  <c r="V200" i="30"/>
  <c r="Q206" i="30"/>
  <c r="R206" i="30"/>
  <c r="S206" i="30"/>
  <c r="T206" i="30"/>
  <c r="U206" i="30"/>
  <c r="V206" i="30"/>
  <c r="Q213" i="30"/>
  <c r="R213" i="30"/>
  <c r="S213" i="30"/>
  <c r="T213" i="30"/>
  <c r="U213" i="30"/>
  <c r="V213" i="30"/>
  <c r="Q219" i="30"/>
  <c r="R219" i="30"/>
  <c r="S219" i="30"/>
  <c r="T219" i="30"/>
  <c r="U219" i="30"/>
  <c r="V219" i="30"/>
  <c r="Q220" i="30"/>
  <c r="R220" i="30"/>
  <c r="S220" i="30"/>
  <c r="T220" i="30"/>
  <c r="U220" i="30"/>
  <c r="V220" i="30"/>
  <c r="P225" i="30"/>
  <c r="Q227" i="30"/>
  <c r="R227" i="30"/>
  <c r="S227" i="30"/>
  <c r="T227" i="30"/>
  <c r="U227" i="30"/>
  <c r="V227" i="30"/>
  <c r="Q233" i="30"/>
  <c r="R233" i="30"/>
  <c r="S233" i="30"/>
  <c r="T233" i="30"/>
  <c r="U233" i="30"/>
  <c r="V233" i="30"/>
  <c r="Q234" i="30"/>
  <c r="R234" i="30"/>
  <c r="S234" i="30"/>
  <c r="T234" i="30"/>
  <c r="U234" i="30"/>
  <c r="V234" i="30"/>
  <c r="O239" i="30"/>
  <c r="Q247" i="30"/>
  <c r="R247" i="30"/>
  <c r="S247" i="30"/>
  <c r="T247" i="30"/>
  <c r="U247" i="30"/>
  <c r="V247" i="30"/>
  <c r="Q253" i="30"/>
  <c r="R253" i="30"/>
  <c r="S253" i="30"/>
  <c r="T253" i="30"/>
  <c r="U253" i="30"/>
  <c r="V253" i="30"/>
  <c r="Q260" i="30"/>
  <c r="R260" i="30"/>
  <c r="S260" i="30"/>
  <c r="T260" i="30"/>
  <c r="U260" i="30"/>
  <c r="V260" i="30"/>
  <c r="Q266" i="30"/>
  <c r="R266" i="30"/>
  <c r="S266" i="30"/>
  <c r="T266" i="30"/>
  <c r="U266" i="30"/>
  <c r="V266" i="30"/>
  <c r="Q273" i="30"/>
  <c r="R273" i="30"/>
  <c r="S273" i="30"/>
  <c r="T273" i="30"/>
  <c r="U273" i="30"/>
  <c r="V273" i="30"/>
  <c r="Q279" i="30"/>
  <c r="R279" i="30"/>
  <c r="S279" i="30"/>
  <c r="T279" i="30"/>
  <c r="U279" i="30"/>
  <c r="V279" i="30"/>
  <c r="Q280" i="30"/>
  <c r="R280" i="30"/>
  <c r="S280" i="30"/>
  <c r="T280" i="30"/>
  <c r="U280" i="30"/>
  <c r="V280" i="30"/>
  <c r="Q287" i="30"/>
  <c r="R287" i="30"/>
  <c r="S287" i="30"/>
  <c r="T287" i="30"/>
  <c r="U287" i="30"/>
  <c r="V287" i="30"/>
  <c r="P297" i="30"/>
  <c r="O297" i="30"/>
  <c r="Q299" i="30"/>
  <c r="R299" i="30"/>
  <c r="S299" i="30"/>
  <c r="T299" i="30"/>
  <c r="U299" i="30"/>
  <c r="V299" i="30"/>
  <c r="Q311" i="30"/>
  <c r="R311" i="30"/>
  <c r="S311" i="30"/>
  <c r="T311" i="30"/>
  <c r="U311" i="30"/>
  <c r="V311" i="30"/>
  <c r="O321" i="30"/>
  <c r="Q323" i="30"/>
  <c r="R323" i="30"/>
  <c r="S323" i="30"/>
  <c r="T323" i="30"/>
  <c r="U323" i="30"/>
  <c r="V323" i="30"/>
  <c r="Q335" i="30"/>
  <c r="R335" i="30"/>
  <c r="S335" i="30"/>
  <c r="T335" i="30"/>
  <c r="U335" i="30"/>
  <c r="V335" i="30"/>
  <c r="O345" i="30"/>
  <c r="Q347" i="30"/>
  <c r="R347" i="30"/>
  <c r="S347" i="30"/>
  <c r="T347" i="30"/>
  <c r="U347" i="30"/>
  <c r="V347" i="30"/>
  <c r="P357" i="30"/>
  <c r="Q359" i="30"/>
  <c r="R359" i="30"/>
  <c r="S359" i="30"/>
  <c r="T359" i="30"/>
  <c r="U359" i="30"/>
  <c r="V359" i="30"/>
  <c r="O369" i="30"/>
  <c r="Q371" i="30"/>
  <c r="R371" i="30"/>
  <c r="S371" i="30"/>
  <c r="T371" i="30"/>
  <c r="U371" i="30"/>
  <c r="V371" i="30"/>
  <c r="P381" i="30"/>
  <c r="Q383" i="30"/>
  <c r="R383" i="30"/>
  <c r="S383" i="30"/>
  <c r="T383" i="30"/>
  <c r="U383" i="30"/>
  <c r="V383" i="30"/>
  <c r="O393" i="30"/>
  <c r="Q395" i="30"/>
  <c r="R395" i="30"/>
  <c r="S395" i="30"/>
  <c r="T395" i="30"/>
  <c r="U395" i="30"/>
  <c r="V395" i="30"/>
  <c r="O397" i="30"/>
  <c r="P397" i="30"/>
  <c r="Q399" i="30"/>
  <c r="R399" i="30"/>
  <c r="S399" i="30"/>
  <c r="T399" i="30"/>
  <c r="U399" i="30"/>
  <c r="V399" i="30"/>
  <c r="Q403" i="30"/>
  <c r="R403" i="30"/>
  <c r="S403" i="30"/>
  <c r="T403" i="30"/>
  <c r="U403" i="30"/>
  <c r="V403" i="30"/>
  <c r="O405" i="30"/>
  <c r="P405" i="30"/>
  <c r="Q407" i="30"/>
  <c r="R407" i="30"/>
  <c r="S407" i="30"/>
  <c r="T407" i="30"/>
  <c r="U407" i="30"/>
  <c r="V407" i="30"/>
  <c r="Q411" i="30"/>
  <c r="R411" i="30"/>
  <c r="S411" i="30"/>
  <c r="T411" i="30"/>
  <c r="U411" i="30"/>
  <c r="V411" i="30"/>
  <c r="O413" i="30"/>
  <c r="P413" i="30"/>
  <c r="Q415" i="30"/>
  <c r="R415" i="30"/>
  <c r="S415" i="30"/>
  <c r="T415" i="30"/>
  <c r="U415" i="30"/>
  <c r="V415" i="30"/>
  <c r="Q419" i="30"/>
  <c r="R419" i="30"/>
  <c r="S419" i="30"/>
  <c r="T419" i="30"/>
  <c r="U419" i="30"/>
  <c r="V419" i="30"/>
  <c r="O421" i="30"/>
  <c r="P421" i="30"/>
  <c r="Q423" i="30"/>
  <c r="R423" i="30"/>
  <c r="S423" i="30"/>
  <c r="T423" i="30"/>
  <c r="U423" i="30"/>
  <c r="V423" i="30"/>
  <c r="O425" i="30"/>
  <c r="Q427" i="30"/>
  <c r="R427" i="30"/>
  <c r="S427" i="30"/>
  <c r="T427" i="30"/>
  <c r="U427" i="30"/>
  <c r="V427" i="30"/>
  <c r="O429" i="30"/>
  <c r="P429" i="30"/>
  <c r="Q431" i="30"/>
  <c r="R431" i="30"/>
  <c r="S431" i="30"/>
  <c r="T431" i="30"/>
  <c r="U431" i="30"/>
  <c r="V431" i="30"/>
  <c r="O433" i="30"/>
  <c r="Q435" i="30"/>
  <c r="R435" i="30"/>
  <c r="S435" i="30"/>
  <c r="T435" i="30"/>
  <c r="U435" i="30"/>
  <c r="V435" i="30"/>
  <c r="O436" i="30"/>
  <c r="P436" i="30"/>
  <c r="Q438" i="30"/>
  <c r="R438" i="30"/>
  <c r="S438" i="30"/>
  <c r="T438" i="30"/>
  <c r="U438" i="30"/>
  <c r="V438" i="30"/>
  <c r="O440" i="30"/>
  <c r="P440" i="30"/>
  <c r="Q442" i="30"/>
  <c r="R442" i="30"/>
  <c r="S442" i="30"/>
  <c r="T442" i="30"/>
  <c r="U442" i="30"/>
  <c r="V442" i="30"/>
  <c r="O444" i="30"/>
  <c r="Q452" i="30"/>
  <c r="R452" i="30"/>
  <c r="S452" i="30"/>
  <c r="T452" i="30"/>
  <c r="U452" i="30"/>
  <c r="V452" i="30"/>
  <c r="P461" i="30"/>
  <c r="P464" i="30"/>
  <c r="Q463" i="30"/>
  <c r="R463" i="30"/>
  <c r="S463" i="30"/>
  <c r="T463" i="30"/>
  <c r="U463" i="30"/>
  <c r="V463" i="30"/>
  <c r="O464" i="30"/>
  <c r="P467" i="30"/>
  <c r="Q466" i="30"/>
  <c r="R466" i="30"/>
  <c r="S466" i="30"/>
  <c r="T466" i="30"/>
  <c r="U466" i="30"/>
  <c r="V466" i="30"/>
  <c r="O467" i="30"/>
  <c r="Q469" i="30"/>
  <c r="R469" i="30"/>
  <c r="S469" i="30"/>
  <c r="O478" i="30" s="1"/>
  <c r="T469" i="30"/>
  <c r="U469" i="30"/>
  <c r="V469" i="30"/>
  <c r="P478" i="30"/>
  <c r="Q480" i="30"/>
  <c r="R480" i="30"/>
  <c r="S480" i="30"/>
  <c r="T480" i="30"/>
  <c r="U480" i="30"/>
  <c r="V480" i="30"/>
  <c r="O489" i="30"/>
  <c r="P489" i="30"/>
  <c r="Q491" i="30"/>
  <c r="R491" i="30"/>
  <c r="S491" i="30"/>
  <c r="T491" i="30"/>
  <c r="U491" i="30"/>
  <c r="V491" i="30"/>
  <c r="P500" i="30" s="1"/>
  <c r="Q502" i="30"/>
  <c r="R502" i="30"/>
  <c r="S502" i="30"/>
  <c r="T502" i="30"/>
  <c r="U502" i="30"/>
  <c r="V502" i="30"/>
  <c r="P504" i="30"/>
  <c r="Q506" i="30"/>
  <c r="R506" i="30"/>
  <c r="S506" i="30"/>
  <c r="T506" i="30"/>
  <c r="U506" i="30"/>
  <c r="V506" i="30"/>
  <c r="P508" i="30"/>
  <c r="P511" i="30"/>
  <c r="Q510" i="30"/>
  <c r="R510" i="30"/>
  <c r="S510" i="30"/>
  <c r="T510" i="30"/>
  <c r="U510" i="30"/>
  <c r="V510" i="30"/>
  <c r="O511" i="30"/>
  <c r="P514" i="30"/>
  <c r="Q513" i="30"/>
  <c r="R513" i="30"/>
  <c r="S513" i="30"/>
  <c r="T513" i="30"/>
  <c r="U513" i="30"/>
  <c r="V513" i="30"/>
  <c r="O514" i="30"/>
  <c r="P518" i="30"/>
  <c r="Q516" i="30"/>
  <c r="R516" i="30"/>
  <c r="S516" i="30"/>
  <c r="T516" i="30"/>
  <c r="U516" i="30"/>
  <c r="V516" i="30"/>
  <c r="O518" i="30"/>
  <c r="Q520" i="30"/>
  <c r="R520" i="30"/>
  <c r="S520" i="30"/>
  <c r="T520" i="30"/>
  <c r="U520" i="30"/>
  <c r="V520" i="30"/>
  <c r="O522" i="30"/>
  <c r="Q524" i="30"/>
  <c r="R524" i="30"/>
  <c r="S524" i="30"/>
  <c r="T524" i="30"/>
  <c r="U524" i="30"/>
  <c r="V524" i="30"/>
  <c r="Q528" i="30"/>
  <c r="R528" i="30"/>
  <c r="S528" i="30"/>
  <c r="T528" i="30"/>
  <c r="U528" i="30"/>
  <c r="V528" i="30"/>
  <c r="Q529" i="30"/>
  <c r="R529" i="30"/>
  <c r="S529" i="30"/>
  <c r="T529" i="30"/>
  <c r="U529" i="30"/>
  <c r="V529" i="30"/>
  <c r="Q535" i="30"/>
  <c r="R535" i="30"/>
  <c r="S535" i="30"/>
  <c r="T535" i="30"/>
  <c r="U535" i="30"/>
  <c r="V535" i="30"/>
  <c r="P546" i="30" s="1"/>
  <c r="Q541" i="30"/>
  <c r="R541" i="30"/>
  <c r="S541" i="30"/>
  <c r="T541" i="30"/>
  <c r="U541" i="30"/>
  <c r="V541" i="30"/>
  <c r="Q548" i="30"/>
  <c r="R548" i="30"/>
  <c r="S548" i="30"/>
  <c r="T548" i="30"/>
  <c r="U548" i="30"/>
  <c r="V548" i="30"/>
  <c r="Q554" i="30"/>
  <c r="R554" i="30"/>
  <c r="S554" i="30"/>
  <c r="T554" i="30"/>
  <c r="U554" i="30"/>
  <c r="V554" i="30"/>
  <c r="O559" i="30"/>
  <c r="Q561" i="30"/>
  <c r="R561" i="30"/>
  <c r="S561" i="30"/>
  <c r="T561" i="30"/>
  <c r="U561" i="30"/>
  <c r="V561" i="30"/>
  <c r="P573" i="30"/>
  <c r="Q572" i="30"/>
  <c r="R572" i="30"/>
  <c r="S572" i="30"/>
  <c r="T572" i="30"/>
  <c r="U572" i="30"/>
  <c r="V572" i="30"/>
  <c r="O573" i="30"/>
  <c r="P576" i="30"/>
  <c r="Q575" i="30"/>
  <c r="R575" i="30"/>
  <c r="S575" i="30"/>
  <c r="T575" i="30"/>
  <c r="U575" i="30"/>
  <c r="V575" i="30"/>
  <c r="O576" i="30"/>
  <c r="P579" i="30"/>
  <c r="Q578" i="30"/>
  <c r="R578" i="30"/>
  <c r="S578" i="30"/>
  <c r="T578" i="30"/>
  <c r="U578" i="30"/>
  <c r="V578" i="30"/>
  <c r="O579" i="30"/>
  <c r="Q581" i="30"/>
  <c r="R581" i="30"/>
  <c r="S581" i="30"/>
  <c r="T581" i="30"/>
  <c r="U581" i="30"/>
  <c r="V581" i="30"/>
  <c r="O590" i="30"/>
  <c r="Q592" i="30"/>
  <c r="R592" i="30"/>
  <c r="S592" i="30"/>
  <c r="T592" i="30"/>
  <c r="U592" i="30"/>
  <c r="V592" i="30"/>
  <c r="O594" i="30"/>
  <c r="P594" i="30"/>
  <c r="Q596" i="30"/>
  <c r="R596" i="30"/>
  <c r="S596" i="30"/>
  <c r="T596" i="30"/>
  <c r="U596" i="30"/>
  <c r="V596" i="30"/>
  <c r="P605" i="30" s="1"/>
  <c r="O608" i="30"/>
  <c r="Q607" i="30"/>
  <c r="R607" i="30"/>
  <c r="S607" i="30"/>
  <c r="T607" i="30"/>
  <c r="U607" i="30"/>
  <c r="V607" i="30"/>
  <c r="P608" i="30"/>
  <c r="Q610" i="30"/>
  <c r="R610" i="30"/>
  <c r="S610" i="30"/>
  <c r="T610" i="30"/>
  <c r="U610" i="30"/>
  <c r="V610" i="30"/>
  <c r="P622" i="30"/>
  <c r="Q621" i="30"/>
  <c r="R621" i="30"/>
  <c r="S621" i="30"/>
  <c r="T621" i="30"/>
  <c r="U621" i="30"/>
  <c r="V621" i="30"/>
  <c r="O622" i="30"/>
  <c r="Q624" i="30"/>
  <c r="R624" i="30"/>
  <c r="S624" i="30"/>
  <c r="T624" i="30"/>
  <c r="U624" i="30"/>
  <c r="V624" i="30"/>
  <c r="O634" i="30"/>
  <c r="P634" i="30"/>
  <c r="Q636" i="30"/>
  <c r="R636" i="30"/>
  <c r="S636" i="30"/>
  <c r="T636" i="30"/>
  <c r="U636" i="30"/>
  <c r="V636" i="30"/>
  <c r="P637" i="30"/>
  <c r="Q639" i="30"/>
  <c r="R639" i="30"/>
  <c r="S639" i="30"/>
  <c r="T639" i="30"/>
  <c r="P649" i="30" s="1"/>
  <c r="U639" i="30"/>
  <c r="V639" i="30"/>
  <c r="O649" i="30"/>
  <c r="Q651" i="30"/>
  <c r="R651" i="30"/>
  <c r="S651" i="30"/>
  <c r="T651" i="30"/>
  <c r="U651" i="30"/>
  <c r="V651" i="30"/>
  <c r="P653" i="30"/>
  <c r="Q661" i="30"/>
  <c r="R661" i="30"/>
  <c r="S661" i="30"/>
  <c r="T661" i="30"/>
  <c r="U661" i="30"/>
  <c r="V661" i="30"/>
  <c r="P666" i="30"/>
  <c r="O666" i="30"/>
  <c r="Q668" i="30"/>
  <c r="R668" i="30"/>
  <c r="S668" i="30"/>
  <c r="T668" i="30"/>
  <c r="U668" i="30"/>
  <c r="V668" i="30"/>
  <c r="P673" i="30"/>
  <c r="O673" i="30"/>
  <c r="Q675" i="30"/>
  <c r="R675" i="30"/>
  <c r="S675" i="30"/>
  <c r="T675" i="30"/>
  <c r="U675" i="30"/>
  <c r="V675" i="30"/>
  <c r="P681" i="30"/>
  <c r="O681" i="30"/>
  <c r="Q683" i="30"/>
  <c r="R683" i="30"/>
  <c r="S683" i="30"/>
  <c r="O688" i="30" s="1"/>
  <c r="T683" i="30"/>
  <c r="U683" i="30"/>
  <c r="V683" i="30"/>
  <c r="O533" i="30" l="1"/>
  <c r="O619" i="30"/>
  <c r="P688" i="30"/>
  <c r="P309" i="30"/>
  <c r="O309" i="30"/>
  <c r="O185" i="30"/>
  <c r="O49" i="30"/>
  <c r="O546" i="30"/>
  <c r="O417" i="30"/>
  <c r="O605" i="30"/>
  <c r="P433" i="30"/>
  <c r="P333" i="30"/>
  <c r="O637" i="30"/>
  <c r="O570" i="30"/>
  <c r="P522" i="30"/>
  <c r="P444" i="30"/>
  <c r="O409" i="30"/>
  <c r="P619" i="30"/>
  <c r="P425" i="30"/>
  <c r="P121" i="30"/>
  <c r="O121" i="30"/>
  <c r="P74" i="30"/>
  <c r="O74" i="30"/>
  <c r="P570" i="30"/>
  <c r="O500" i="30"/>
  <c r="O461" i="30"/>
  <c r="O401" i="30"/>
  <c r="P146" i="30"/>
  <c r="O653" i="30"/>
  <c r="P590" i="30"/>
  <c r="O508" i="30"/>
  <c r="O504" i="30"/>
  <c r="P321" i="30"/>
  <c r="P271" i="30"/>
  <c r="O381" i="30"/>
  <c r="P239" i="30"/>
  <c r="P172" i="30"/>
  <c r="O132" i="30"/>
  <c r="P49" i="30"/>
  <c r="P401" i="30"/>
  <c r="P393" i="30"/>
  <c r="O333" i="30"/>
  <c r="O258" i="30"/>
  <c r="P198" i="30"/>
  <c r="O198" i="30"/>
  <c r="P125" i="30"/>
  <c r="P107" i="30"/>
  <c r="O107" i="30"/>
  <c r="P94" i="30"/>
  <c r="P417" i="30"/>
  <c r="P409" i="30"/>
  <c r="P369" i="30"/>
  <c r="O357" i="30"/>
  <c r="P345" i="30"/>
  <c r="P285" i="30"/>
  <c r="O285" i="30"/>
  <c r="O172" i="30"/>
  <c r="P159" i="30"/>
  <c r="O159" i="30"/>
  <c r="O94" i="30"/>
  <c r="P62" i="30"/>
  <c r="P258" i="30"/>
  <c r="O225" i="30"/>
  <c r="P211" i="30"/>
  <c r="P185" i="30"/>
  <c r="O271" i="30" l="1"/>
  <c r="O211" i="30"/>
  <c r="P559" i="30"/>
  <c r="P533" i="30"/>
  <c r="AE10" i="29" l="1"/>
  <c r="Q37" i="29"/>
  <c r="R37" i="29"/>
  <c r="S37" i="29"/>
  <c r="T37" i="29"/>
  <c r="U37" i="29"/>
  <c r="V37" i="29"/>
  <c r="O46" i="29"/>
  <c r="P46" i="29"/>
  <c r="Q48" i="29"/>
  <c r="R48" i="29"/>
  <c r="S48" i="29"/>
  <c r="T48" i="29"/>
  <c r="U48" i="29"/>
  <c r="V48" i="29"/>
  <c r="O55" i="29"/>
  <c r="P55" i="29"/>
  <c r="Q57" i="29"/>
  <c r="R57" i="29"/>
  <c r="S57" i="29"/>
  <c r="T57" i="29"/>
  <c r="U57" i="29"/>
  <c r="V57" i="29"/>
  <c r="P63" i="29"/>
  <c r="Q65" i="29"/>
  <c r="R65" i="29"/>
  <c r="S65" i="29"/>
  <c r="T65" i="29"/>
  <c r="U65" i="29"/>
  <c r="V65" i="29"/>
  <c r="O74" i="29"/>
  <c r="P74" i="29"/>
  <c r="Q76" i="29"/>
  <c r="R76" i="29"/>
  <c r="S76" i="29"/>
  <c r="T76" i="29"/>
  <c r="U76" i="29"/>
  <c r="V76" i="29"/>
  <c r="O83" i="29"/>
  <c r="P83" i="29"/>
  <c r="Q85" i="29"/>
  <c r="R85" i="29"/>
  <c r="S85" i="29"/>
  <c r="T85" i="29"/>
  <c r="U85" i="29"/>
  <c r="V85" i="29"/>
  <c r="P91" i="29"/>
  <c r="Q93" i="29"/>
  <c r="R93" i="29"/>
  <c r="S93" i="29"/>
  <c r="T93" i="29"/>
  <c r="U93" i="29"/>
  <c r="V93" i="29"/>
  <c r="O102" i="29"/>
  <c r="Q104" i="29"/>
  <c r="R104" i="29"/>
  <c r="S104" i="29"/>
  <c r="T104" i="29"/>
  <c r="U104" i="29"/>
  <c r="V104" i="29"/>
  <c r="P114" i="29"/>
  <c r="Q109" i="29"/>
  <c r="R109" i="29"/>
  <c r="S109" i="29"/>
  <c r="T109" i="29"/>
  <c r="U109" i="29"/>
  <c r="V109" i="29"/>
  <c r="Q116" i="29"/>
  <c r="R116" i="29"/>
  <c r="S116" i="29"/>
  <c r="T116" i="29"/>
  <c r="U116" i="29"/>
  <c r="V116" i="29"/>
  <c r="P127" i="29"/>
  <c r="Q122" i="29"/>
  <c r="R122" i="29"/>
  <c r="S122" i="29"/>
  <c r="T122" i="29"/>
  <c r="U122" i="29"/>
  <c r="V122" i="29"/>
  <c r="Q129" i="29"/>
  <c r="R129" i="29"/>
  <c r="S129" i="29"/>
  <c r="T129" i="29"/>
  <c r="U129" i="29"/>
  <c r="V129" i="29"/>
  <c r="Q134" i="29"/>
  <c r="R134" i="29"/>
  <c r="S134" i="29"/>
  <c r="T134" i="29"/>
  <c r="U134" i="29"/>
  <c r="V134" i="29"/>
  <c r="Q141" i="29"/>
  <c r="R141" i="29"/>
  <c r="S141" i="29"/>
  <c r="T141" i="29"/>
  <c r="U141" i="29"/>
  <c r="V141" i="29"/>
  <c r="O151" i="29"/>
  <c r="Q153" i="29"/>
  <c r="R153" i="29"/>
  <c r="S153" i="29"/>
  <c r="T153" i="29"/>
  <c r="U153" i="29"/>
  <c r="V153" i="29"/>
  <c r="P163" i="29"/>
  <c r="Q165" i="29"/>
  <c r="R165" i="29"/>
  <c r="S165" i="29"/>
  <c r="T165" i="29"/>
  <c r="P175" i="29" s="1"/>
  <c r="U165" i="29"/>
  <c r="V165" i="29"/>
  <c r="Q177" i="29"/>
  <c r="R177" i="29"/>
  <c r="S177" i="29"/>
  <c r="T177" i="29"/>
  <c r="U177" i="29"/>
  <c r="V177" i="29"/>
  <c r="O187" i="29"/>
  <c r="P187" i="29"/>
  <c r="Q189" i="29"/>
  <c r="R189" i="29"/>
  <c r="S189" i="29"/>
  <c r="T189" i="29"/>
  <c r="U189" i="29"/>
  <c r="V189" i="29"/>
  <c r="P196" i="29"/>
  <c r="Q192" i="29"/>
  <c r="R192" i="29"/>
  <c r="S192" i="29"/>
  <c r="T192" i="29"/>
  <c r="U192" i="29"/>
  <c r="V192" i="29"/>
  <c r="Q198" i="29"/>
  <c r="R198" i="29"/>
  <c r="S198" i="29"/>
  <c r="T198" i="29"/>
  <c r="U198" i="29"/>
  <c r="V198" i="29"/>
  <c r="O210" i="29"/>
  <c r="Q204" i="29"/>
  <c r="R204" i="29"/>
  <c r="S204" i="29"/>
  <c r="T204" i="29"/>
  <c r="U204" i="29"/>
  <c r="V204" i="29"/>
  <c r="Q205" i="29"/>
  <c r="R205" i="29"/>
  <c r="S205" i="29"/>
  <c r="T205" i="29"/>
  <c r="U205" i="29"/>
  <c r="V205" i="29"/>
  <c r="P210" i="29"/>
  <c r="Q212" i="29"/>
  <c r="R212" i="29"/>
  <c r="S212" i="29"/>
  <c r="T212" i="29"/>
  <c r="U212" i="29"/>
  <c r="V212" i="29"/>
  <c r="O223" i="29"/>
  <c r="Q218" i="29"/>
  <c r="R218" i="29"/>
  <c r="S218" i="29"/>
  <c r="T218" i="29"/>
  <c r="U218" i="29"/>
  <c r="V218" i="29"/>
  <c r="Q225" i="29"/>
  <c r="R225" i="29"/>
  <c r="S225" i="29"/>
  <c r="T225" i="29"/>
  <c r="U225" i="29"/>
  <c r="V225" i="29"/>
  <c r="Q231" i="29"/>
  <c r="R231" i="29"/>
  <c r="S231" i="29"/>
  <c r="T231" i="29"/>
  <c r="U231" i="29"/>
  <c r="V231" i="29"/>
  <c r="P236" i="29"/>
  <c r="Q238" i="29"/>
  <c r="R238" i="29"/>
  <c r="S238" i="29"/>
  <c r="T238" i="29"/>
  <c r="U238" i="29"/>
  <c r="V238" i="29"/>
  <c r="O249" i="29"/>
  <c r="Q244" i="29"/>
  <c r="R244" i="29"/>
  <c r="S244" i="29"/>
  <c r="T244" i="29"/>
  <c r="U244" i="29"/>
  <c r="V244" i="29"/>
  <c r="Q251" i="29"/>
  <c r="R251" i="29"/>
  <c r="S251" i="29"/>
  <c r="T251" i="29"/>
  <c r="U251" i="29"/>
  <c r="V251" i="29"/>
  <c r="Q257" i="29"/>
  <c r="R257" i="29"/>
  <c r="S257" i="29"/>
  <c r="T257" i="29"/>
  <c r="U257" i="29"/>
  <c r="V257" i="29"/>
  <c r="P262" i="29"/>
  <c r="Q264" i="29"/>
  <c r="R264" i="29"/>
  <c r="S264" i="29"/>
  <c r="T264" i="29"/>
  <c r="U264" i="29"/>
  <c r="V264" i="29"/>
  <c r="O275" i="29"/>
  <c r="Q270" i="29"/>
  <c r="R270" i="29"/>
  <c r="S270" i="29"/>
  <c r="T270" i="29"/>
  <c r="U270" i="29"/>
  <c r="V270" i="29"/>
  <c r="Q277" i="29"/>
  <c r="O288" i="29" s="1"/>
  <c r="R277" i="29"/>
  <c r="S277" i="29"/>
  <c r="T277" i="29"/>
  <c r="U277" i="29"/>
  <c r="V277" i="29"/>
  <c r="Q283" i="29"/>
  <c r="R283" i="29"/>
  <c r="S283" i="29"/>
  <c r="T283" i="29"/>
  <c r="U283" i="29"/>
  <c r="V283" i="29"/>
  <c r="P288" i="29"/>
  <c r="Q290" i="29"/>
  <c r="R290" i="29"/>
  <c r="S290" i="29"/>
  <c r="T290" i="29"/>
  <c r="U290" i="29"/>
  <c r="V290" i="29"/>
  <c r="P300" i="29"/>
  <c r="Q295" i="29"/>
  <c r="R295" i="29"/>
  <c r="S295" i="29"/>
  <c r="T295" i="29"/>
  <c r="U295" i="29"/>
  <c r="V295" i="29"/>
  <c r="O305" i="29"/>
  <c r="P305" i="29"/>
  <c r="Q304" i="29"/>
  <c r="R304" i="29"/>
  <c r="S304" i="29"/>
  <c r="T304" i="29"/>
  <c r="U304" i="29"/>
  <c r="V304" i="29"/>
  <c r="O308" i="29"/>
  <c r="P308" i="29"/>
  <c r="Q307" i="29"/>
  <c r="R307" i="29"/>
  <c r="S307" i="29"/>
  <c r="T307" i="29"/>
  <c r="U307" i="29"/>
  <c r="V307" i="29"/>
  <c r="O311" i="29"/>
  <c r="P311" i="29"/>
  <c r="Q310" i="29"/>
  <c r="R310" i="29"/>
  <c r="S310" i="29"/>
  <c r="T310" i="29"/>
  <c r="U310" i="29"/>
  <c r="V310" i="29"/>
  <c r="O314" i="29"/>
  <c r="P314" i="29"/>
  <c r="Q313" i="29"/>
  <c r="R313" i="29"/>
  <c r="S313" i="29"/>
  <c r="T313" i="29"/>
  <c r="U313" i="29"/>
  <c r="V313" i="29"/>
  <c r="O317" i="29"/>
  <c r="P317" i="29"/>
  <c r="Q316" i="29"/>
  <c r="R316" i="29"/>
  <c r="S316" i="29"/>
  <c r="T316" i="29"/>
  <c r="U316" i="29"/>
  <c r="V316" i="29"/>
  <c r="O320" i="29"/>
  <c r="P320" i="29"/>
  <c r="Q319" i="29"/>
  <c r="R319" i="29"/>
  <c r="S319" i="29"/>
  <c r="T319" i="29"/>
  <c r="U319" i="29"/>
  <c r="V319" i="29"/>
  <c r="O323" i="29"/>
  <c r="P323" i="29"/>
  <c r="Q322" i="29"/>
  <c r="R322" i="29"/>
  <c r="S322" i="29"/>
  <c r="T322" i="29"/>
  <c r="U322" i="29"/>
  <c r="V322" i="29"/>
  <c r="O326" i="29"/>
  <c r="P326" i="29"/>
  <c r="Q325" i="29"/>
  <c r="R325" i="29"/>
  <c r="S325" i="29"/>
  <c r="T325" i="29"/>
  <c r="U325" i="29"/>
  <c r="V325" i="29"/>
  <c r="O329" i="29"/>
  <c r="P329" i="29"/>
  <c r="Q328" i="29"/>
  <c r="R328" i="29"/>
  <c r="S328" i="29"/>
  <c r="T328" i="29"/>
  <c r="U328" i="29"/>
  <c r="V328" i="29"/>
  <c r="O332" i="29"/>
  <c r="P332" i="29"/>
  <c r="Q331" i="29"/>
  <c r="R331" i="29"/>
  <c r="S331" i="29"/>
  <c r="T331" i="29"/>
  <c r="U331" i="29"/>
  <c r="V331" i="29"/>
  <c r="O335" i="29"/>
  <c r="P335" i="29"/>
  <c r="Q334" i="29"/>
  <c r="R334" i="29"/>
  <c r="S334" i="29"/>
  <c r="T334" i="29"/>
  <c r="U334" i="29"/>
  <c r="V334" i="29"/>
  <c r="O338" i="29"/>
  <c r="P338" i="29"/>
  <c r="Q337" i="29"/>
  <c r="R337" i="29"/>
  <c r="S337" i="29"/>
  <c r="T337" i="29"/>
  <c r="U337" i="29"/>
  <c r="V337" i="29"/>
  <c r="O341" i="29"/>
  <c r="P341" i="29"/>
  <c r="Q340" i="29"/>
  <c r="R340" i="29"/>
  <c r="S340" i="29"/>
  <c r="T340" i="29"/>
  <c r="U340" i="29"/>
  <c r="V340" i="29"/>
  <c r="O344" i="29"/>
  <c r="P344" i="29"/>
  <c r="Q343" i="29"/>
  <c r="R343" i="29"/>
  <c r="S343" i="29"/>
  <c r="T343" i="29"/>
  <c r="U343" i="29"/>
  <c r="V343" i="29"/>
  <c r="O347" i="29"/>
  <c r="P347" i="29"/>
  <c r="Q346" i="29"/>
  <c r="R346" i="29"/>
  <c r="S346" i="29"/>
  <c r="T346" i="29"/>
  <c r="U346" i="29"/>
  <c r="V346" i="29"/>
  <c r="O300" i="29" l="1"/>
  <c r="P249" i="29"/>
  <c r="O262" i="29"/>
  <c r="O196" i="29"/>
  <c r="P151" i="29"/>
  <c r="P139" i="29"/>
  <c r="O139" i="29"/>
  <c r="O127" i="29"/>
  <c r="O236" i="29"/>
  <c r="O175" i="29"/>
  <c r="P102" i="29"/>
  <c r="O114" i="29"/>
  <c r="P275" i="29"/>
  <c r="P223" i="29"/>
  <c r="O163" i="29"/>
  <c r="O91" i="29"/>
  <c r="O63" i="29"/>
  <c r="AE10" i="28"/>
  <c r="Q37" i="28"/>
  <c r="R37" i="28"/>
  <c r="S37" i="28"/>
  <c r="T37" i="28"/>
  <c r="U37" i="28"/>
  <c r="V37" i="28"/>
  <c r="Q48" i="28"/>
  <c r="R48" i="28"/>
  <c r="S48" i="28"/>
  <c r="T48" i="28"/>
  <c r="U48" i="28"/>
  <c r="V48" i="28"/>
  <c r="P54" i="28"/>
  <c r="Q56" i="28"/>
  <c r="R56" i="28"/>
  <c r="S56" i="28"/>
  <c r="T56" i="28"/>
  <c r="U56" i="28"/>
  <c r="V56" i="28"/>
  <c r="Q59" i="28"/>
  <c r="R59" i="28"/>
  <c r="S59" i="28"/>
  <c r="T59" i="28"/>
  <c r="U59" i="28"/>
  <c r="V59" i="28"/>
  <c r="Q65" i="28"/>
  <c r="R65" i="28"/>
  <c r="S65" i="28"/>
  <c r="T65" i="28"/>
  <c r="U65" i="28"/>
  <c r="V65" i="28"/>
  <c r="P71" i="28"/>
  <c r="Q73" i="28"/>
  <c r="R73" i="28"/>
  <c r="S73" i="28"/>
  <c r="T73" i="28"/>
  <c r="U73" i="28"/>
  <c r="V73" i="28"/>
  <c r="Q81" i="28"/>
  <c r="R81" i="28"/>
  <c r="S81" i="28"/>
  <c r="T81" i="28"/>
  <c r="U81" i="28"/>
  <c r="V81" i="28"/>
  <c r="Q84" i="28"/>
  <c r="R84" i="28"/>
  <c r="S84" i="28"/>
  <c r="T84" i="28"/>
  <c r="U84" i="28"/>
  <c r="V84" i="28"/>
  <c r="Q85" i="28"/>
  <c r="R85" i="28"/>
  <c r="S85" i="28"/>
  <c r="T85" i="28"/>
  <c r="U85" i="28"/>
  <c r="V85" i="28"/>
  <c r="Q86" i="28"/>
  <c r="R86" i="28"/>
  <c r="S86" i="28"/>
  <c r="T86" i="28"/>
  <c r="U86" i="28"/>
  <c r="V86" i="28"/>
  <c r="Q87" i="28"/>
  <c r="R87" i="28"/>
  <c r="S87" i="28"/>
  <c r="T87" i="28"/>
  <c r="U87" i="28"/>
  <c r="V87" i="28"/>
  <c r="Q88" i="28"/>
  <c r="R88" i="28"/>
  <c r="S88" i="28"/>
  <c r="T88" i="28"/>
  <c r="U88" i="28"/>
  <c r="V88" i="28"/>
  <c r="Q94" i="28"/>
  <c r="R94" i="28"/>
  <c r="S94" i="28"/>
  <c r="T94" i="28"/>
  <c r="U94" i="28"/>
  <c r="V94" i="28"/>
  <c r="Q97" i="28"/>
  <c r="R97" i="28"/>
  <c r="S97" i="28"/>
  <c r="T97" i="28"/>
  <c r="U97" i="28"/>
  <c r="V97" i="28"/>
  <c r="Q103" i="28"/>
  <c r="R103" i="28"/>
  <c r="S103" i="28"/>
  <c r="T103" i="28"/>
  <c r="U103" i="28"/>
  <c r="V103" i="28"/>
  <c r="Q106" i="28"/>
  <c r="R106" i="28"/>
  <c r="P110" i="28" s="1"/>
  <c r="S106" i="28"/>
  <c r="T106" i="28"/>
  <c r="U106" i="28"/>
  <c r="V106" i="28"/>
  <c r="Q112" i="28"/>
  <c r="R112" i="28"/>
  <c r="S112" i="28"/>
  <c r="T112" i="28"/>
  <c r="U112" i="28"/>
  <c r="V112" i="28"/>
  <c r="Q115" i="28"/>
  <c r="R115" i="28"/>
  <c r="S115" i="28"/>
  <c r="T115" i="28"/>
  <c r="U115" i="28"/>
  <c r="V115" i="28"/>
  <c r="Q116" i="28"/>
  <c r="R116" i="28"/>
  <c r="S116" i="28"/>
  <c r="T116" i="28"/>
  <c r="U116" i="28"/>
  <c r="V116" i="28"/>
  <c r="Q122" i="28"/>
  <c r="R122" i="28"/>
  <c r="S122" i="28"/>
  <c r="T122" i="28"/>
  <c r="U122" i="28"/>
  <c r="V122" i="28"/>
  <c r="Q125" i="28"/>
  <c r="R125" i="28"/>
  <c r="S125" i="28"/>
  <c r="T125" i="28"/>
  <c r="U125" i="28"/>
  <c r="V125" i="28"/>
  <c r="Q131" i="28"/>
  <c r="R131" i="28"/>
  <c r="S131" i="28"/>
  <c r="T131" i="28"/>
  <c r="U131" i="28"/>
  <c r="V131" i="28"/>
  <c r="Q137" i="28"/>
  <c r="R137" i="28"/>
  <c r="S137" i="28"/>
  <c r="T137" i="28"/>
  <c r="U137" i="28"/>
  <c r="V137" i="28"/>
  <c r="Q138" i="28"/>
  <c r="R138" i="28"/>
  <c r="S138" i="28"/>
  <c r="T138" i="28"/>
  <c r="U138" i="28"/>
  <c r="V138" i="28"/>
  <c r="Q139" i="28"/>
  <c r="R139" i="28"/>
  <c r="S139" i="28"/>
  <c r="T139" i="28"/>
  <c r="U139" i="28"/>
  <c r="V139" i="28"/>
  <c r="Q140" i="28"/>
  <c r="R140" i="28"/>
  <c r="S140" i="28"/>
  <c r="T140" i="28"/>
  <c r="U140" i="28"/>
  <c r="V140" i="28"/>
  <c r="Q147" i="28"/>
  <c r="R147" i="28"/>
  <c r="S147" i="28"/>
  <c r="T147" i="28"/>
  <c r="U147" i="28"/>
  <c r="V147" i="28"/>
  <c r="Q153" i="28"/>
  <c r="R153" i="28"/>
  <c r="S153" i="28"/>
  <c r="T153" i="28"/>
  <c r="U153" i="28"/>
  <c r="V153" i="28"/>
  <c r="Q160" i="28"/>
  <c r="R160" i="28"/>
  <c r="S160" i="28"/>
  <c r="T160" i="28"/>
  <c r="U160" i="28"/>
  <c r="V160" i="28"/>
  <c r="Q166" i="28"/>
  <c r="R166" i="28"/>
  <c r="S166" i="28"/>
  <c r="T166" i="28"/>
  <c r="U166" i="28"/>
  <c r="V166" i="28"/>
  <c r="P171" i="28"/>
  <c r="Q173" i="28"/>
  <c r="R173" i="28"/>
  <c r="S173" i="28"/>
  <c r="T173" i="28"/>
  <c r="U173" i="28"/>
  <c r="V173" i="28"/>
  <c r="Q179" i="28"/>
  <c r="R179" i="28"/>
  <c r="S179" i="28"/>
  <c r="T179" i="28"/>
  <c r="U179" i="28"/>
  <c r="V179" i="28"/>
  <c r="Q186" i="28"/>
  <c r="R186" i="28"/>
  <c r="S186" i="28"/>
  <c r="T186" i="28"/>
  <c r="U186" i="28"/>
  <c r="V186" i="28"/>
  <c r="Q192" i="28"/>
  <c r="R192" i="28"/>
  <c r="S192" i="28"/>
  <c r="T192" i="28"/>
  <c r="U192" i="28"/>
  <c r="V192" i="28"/>
  <c r="Q193" i="28"/>
  <c r="R193" i="28"/>
  <c r="S193" i="28"/>
  <c r="T193" i="28"/>
  <c r="U193" i="28"/>
  <c r="V193" i="28"/>
  <c r="Q194" i="28"/>
  <c r="R194" i="28"/>
  <c r="S194" i="28"/>
  <c r="T194" i="28"/>
  <c r="U194" i="28"/>
  <c r="V194" i="28"/>
  <c r="Q201" i="28"/>
  <c r="R201" i="28"/>
  <c r="P212" i="28" s="1"/>
  <c r="S201" i="28"/>
  <c r="T201" i="28"/>
  <c r="U201" i="28"/>
  <c r="V201" i="28"/>
  <c r="Q207" i="28"/>
  <c r="R207" i="28"/>
  <c r="S207" i="28"/>
  <c r="T207" i="28"/>
  <c r="U207" i="28"/>
  <c r="V207" i="28"/>
  <c r="Q214" i="28"/>
  <c r="R214" i="28"/>
  <c r="S214" i="28"/>
  <c r="T214" i="28"/>
  <c r="U214" i="28"/>
  <c r="V214" i="28"/>
  <c r="Q220" i="28"/>
  <c r="R220" i="28"/>
  <c r="S220" i="28"/>
  <c r="T220" i="28"/>
  <c r="U220" i="28"/>
  <c r="V220" i="28"/>
  <c r="O230" i="28"/>
  <c r="Q229" i="28"/>
  <c r="R229" i="28"/>
  <c r="S229" i="28"/>
  <c r="T229" i="28"/>
  <c r="U229" i="28"/>
  <c r="V229" i="28"/>
  <c r="P230" i="28"/>
  <c r="O233" i="28"/>
  <c r="Q232" i="28"/>
  <c r="R232" i="28"/>
  <c r="S232" i="28"/>
  <c r="T232" i="28"/>
  <c r="U232" i="28"/>
  <c r="V232" i="28"/>
  <c r="P233" i="28"/>
  <c r="O236" i="28"/>
  <c r="P236" i="28"/>
  <c r="Q235" i="28"/>
  <c r="R235" i="28"/>
  <c r="S235" i="28"/>
  <c r="T235" i="28"/>
  <c r="U235" i="28"/>
  <c r="V235" i="28"/>
  <c r="O239" i="28"/>
  <c r="P239" i="28"/>
  <c r="Q238" i="28"/>
  <c r="R238" i="28"/>
  <c r="S238" i="28"/>
  <c r="T238" i="28"/>
  <c r="U238" i="28"/>
  <c r="V238" i="28"/>
  <c r="O92" i="28" l="1"/>
  <c r="O158" i="28"/>
  <c r="O63" i="28"/>
  <c r="P63" i="28"/>
  <c r="P92" i="28"/>
  <c r="O129" i="28"/>
  <c r="P129" i="28"/>
  <c r="P120" i="28"/>
  <c r="O101" i="28"/>
  <c r="P101" i="28"/>
  <c r="O79" i="28"/>
  <c r="O46" i="28"/>
  <c r="P46" i="28"/>
  <c r="O110" i="28"/>
  <c r="O184" i="28"/>
  <c r="O225" i="28"/>
  <c r="O199" i="28"/>
  <c r="P145" i="28"/>
  <c r="P79" i="28"/>
  <c r="O212" i="28"/>
  <c r="P225" i="28"/>
  <c r="P199" i="28"/>
  <c r="O71" i="28"/>
  <c r="P158" i="28"/>
  <c r="O120" i="28"/>
  <c r="O145" i="28"/>
  <c r="O54" i="28"/>
  <c r="O171" i="28" l="1"/>
  <c r="P184" i="28"/>
  <c r="AE10" i="27" l="1"/>
  <c r="Q37" i="27"/>
  <c r="R37" i="27"/>
  <c r="S37" i="27"/>
  <c r="T37" i="27"/>
  <c r="U37" i="27"/>
  <c r="V37" i="27"/>
  <c r="Q49" i="27"/>
  <c r="R49" i="27"/>
  <c r="S49" i="27"/>
  <c r="T49" i="27"/>
  <c r="U49" i="27"/>
  <c r="V49" i="27"/>
  <c r="P55" i="27"/>
  <c r="Q57" i="27"/>
  <c r="R57" i="27"/>
  <c r="S57" i="27"/>
  <c r="T57" i="27"/>
  <c r="U57" i="27"/>
  <c r="V57" i="27"/>
  <c r="Q66" i="27"/>
  <c r="R66" i="27"/>
  <c r="S66" i="27"/>
  <c r="T66" i="27"/>
  <c r="U66" i="27"/>
  <c r="V66" i="27"/>
  <c r="Q75" i="27"/>
  <c r="R75" i="27"/>
  <c r="S75" i="27"/>
  <c r="T75" i="27"/>
  <c r="U75" i="27"/>
  <c r="V75" i="27"/>
  <c r="Q79" i="27"/>
  <c r="R79" i="27"/>
  <c r="S79" i="27"/>
  <c r="T79" i="27"/>
  <c r="U79" i="27"/>
  <c r="V79" i="27"/>
  <c r="Q85" i="27"/>
  <c r="R85" i="27"/>
  <c r="S85" i="27"/>
  <c r="T85" i="27"/>
  <c r="U85" i="27"/>
  <c r="V85" i="27"/>
  <c r="Q88" i="27"/>
  <c r="R88" i="27"/>
  <c r="S88" i="27"/>
  <c r="T88" i="27"/>
  <c r="U88" i="27"/>
  <c r="V88" i="27"/>
  <c r="Q94" i="27"/>
  <c r="R94" i="27"/>
  <c r="S94" i="27"/>
  <c r="T94" i="27"/>
  <c r="U94" i="27"/>
  <c r="V94" i="27"/>
  <c r="Q98" i="27"/>
  <c r="R98" i="27"/>
  <c r="P102" i="27" s="1"/>
  <c r="S98" i="27"/>
  <c r="T98" i="27"/>
  <c r="U98" i="27"/>
  <c r="V98" i="27"/>
  <c r="Q104" i="27"/>
  <c r="R104" i="27"/>
  <c r="S104" i="27"/>
  <c r="T104" i="27"/>
  <c r="U104" i="27"/>
  <c r="V104" i="27"/>
  <c r="Q110" i="27"/>
  <c r="R110" i="27"/>
  <c r="S110" i="27"/>
  <c r="T110" i="27"/>
  <c r="U110" i="27"/>
  <c r="V110" i="27"/>
  <c r="Q111" i="27"/>
  <c r="R111" i="27"/>
  <c r="S111" i="27"/>
  <c r="T111" i="27"/>
  <c r="U111" i="27"/>
  <c r="V111" i="27"/>
  <c r="Q118" i="27"/>
  <c r="R118" i="27"/>
  <c r="S118" i="27"/>
  <c r="T118" i="27"/>
  <c r="U118" i="27"/>
  <c r="V118" i="27"/>
  <c r="Q124" i="27"/>
  <c r="R124" i="27"/>
  <c r="S124" i="27"/>
  <c r="T124" i="27"/>
  <c r="U124" i="27"/>
  <c r="V124" i="27"/>
  <c r="Q131" i="27"/>
  <c r="R131" i="27"/>
  <c r="S131" i="27"/>
  <c r="T131" i="27"/>
  <c r="U131" i="27"/>
  <c r="V131" i="27"/>
  <c r="Q137" i="27"/>
  <c r="R137" i="27"/>
  <c r="S137" i="27"/>
  <c r="T137" i="27"/>
  <c r="U137" i="27"/>
  <c r="V137" i="27"/>
  <c r="Q144" i="27"/>
  <c r="R144" i="27"/>
  <c r="S144" i="27"/>
  <c r="T144" i="27"/>
  <c r="U144" i="27"/>
  <c r="V144" i="27"/>
  <c r="Q150" i="27"/>
  <c r="R150" i="27"/>
  <c r="S150" i="27"/>
  <c r="T150" i="27"/>
  <c r="U150" i="27"/>
  <c r="V150" i="27"/>
  <c r="Q157" i="27"/>
  <c r="R157" i="27"/>
  <c r="S157" i="27"/>
  <c r="T157" i="27"/>
  <c r="U157" i="27"/>
  <c r="V157" i="27"/>
  <c r="Q163" i="27"/>
  <c r="R163" i="27"/>
  <c r="S163" i="27"/>
  <c r="T163" i="27"/>
  <c r="U163" i="27"/>
  <c r="V163" i="27"/>
  <c r="Q170" i="27"/>
  <c r="R170" i="27"/>
  <c r="S170" i="27"/>
  <c r="T170" i="27"/>
  <c r="U170" i="27"/>
  <c r="V170" i="27"/>
  <c r="Q176" i="27"/>
  <c r="R176" i="27"/>
  <c r="S176" i="27"/>
  <c r="T176" i="27"/>
  <c r="U176" i="27"/>
  <c r="V176" i="27"/>
  <c r="Q185" i="27"/>
  <c r="R185" i="27"/>
  <c r="S185" i="27"/>
  <c r="T185" i="27"/>
  <c r="U185" i="27"/>
  <c r="V185" i="27"/>
  <c r="P186" i="27"/>
  <c r="Q188" i="27"/>
  <c r="R188" i="27"/>
  <c r="S188" i="27"/>
  <c r="T188" i="27"/>
  <c r="U188" i="27"/>
  <c r="V188" i="27"/>
  <c r="P189" i="27"/>
  <c r="Q191" i="27"/>
  <c r="R191" i="27"/>
  <c r="S191" i="27"/>
  <c r="T191" i="27"/>
  <c r="U191" i="27"/>
  <c r="V191" i="27"/>
  <c r="P192" i="27"/>
  <c r="Q194" i="27"/>
  <c r="R194" i="27"/>
  <c r="S194" i="27"/>
  <c r="T194" i="27"/>
  <c r="U194" i="27"/>
  <c r="V194" i="27"/>
  <c r="Q197" i="27"/>
  <c r="R197" i="27"/>
  <c r="S197" i="27"/>
  <c r="T197" i="27"/>
  <c r="U197" i="27"/>
  <c r="V197" i="27"/>
  <c r="P198" i="27"/>
  <c r="O181" i="27" l="1"/>
  <c r="P73" i="27"/>
  <c r="P195" i="27"/>
  <c r="P142" i="27"/>
  <c r="O102" i="27"/>
  <c r="O64" i="27"/>
  <c r="O92" i="27"/>
  <c r="P92" i="27"/>
  <c r="P83" i="27"/>
  <c r="P64" i="27"/>
  <c r="O47" i="27"/>
  <c r="P168" i="27"/>
  <c r="O168" i="27"/>
  <c r="P47" i="27"/>
  <c r="O73" i="27"/>
  <c r="O55" i="27"/>
  <c r="O116" i="27"/>
  <c r="P116" i="27"/>
  <c r="O83" i="27"/>
  <c r="O198" i="27"/>
  <c r="O195" i="27"/>
  <c r="P155" i="27"/>
  <c r="O189" i="27"/>
  <c r="O186" i="27"/>
  <c r="P181" i="27"/>
  <c r="P129" i="27"/>
  <c r="O192" i="27"/>
  <c r="O142" i="27" l="1"/>
  <c r="O129" i="27"/>
  <c r="O155" i="27"/>
  <c r="AE10" i="26" l="1"/>
  <c r="Q39" i="26"/>
  <c r="R39" i="26"/>
  <c r="S39" i="26"/>
  <c r="T39" i="26"/>
  <c r="U39" i="26"/>
  <c r="V39" i="26"/>
  <c r="Q42" i="26"/>
  <c r="R42" i="26"/>
  <c r="S42" i="26"/>
  <c r="T42" i="26"/>
  <c r="U42" i="26"/>
  <c r="V42" i="26"/>
  <c r="Q48" i="26"/>
  <c r="R48" i="26"/>
  <c r="S48" i="26"/>
  <c r="T48" i="26"/>
  <c r="U48" i="26"/>
  <c r="V48" i="26"/>
  <c r="Q54" i="26"/>
  <c r="R54" i="26"/>
  <c r="S54" i="26"/>
  <c r="T54" i="26"/>
  <c r="U54" i="26"/>
  <c r="V54" i="26"/>
  <c r="Q61" i="26"/>
  <c r="R61" i="26"/>
  <c r="S61" i="26"/>
  <c r="T61" i="26"/>
  <c r="U61" i="26"/>
  <c r="V61" i="26"/>
  <c r="Q67" i="26"/>
  <c r="R67" i="26"/>
  <c r="S67" i="26"/>
  <c r="T67" i="26"/>
  <c r="U67" i="26"/>
  <c r="V67" i="26"/>
  <c r="Q74" i="26"/>
  <c r="R74" i="26"/>
  <c r="S74" i="26"/>
  <c r="T74" i="26"/>
  <c r="U74" i="26"/>
  <c r="V74" i="26"/>
  <c r="P78" i="26"/>
  <c r="Q80" i="26"/>
  <c r="R80" i="26"/>
  <c r="S80" i="26"/>
  <c r="T80" i="26"/>
  <c r="U80" i="26"/>
  <c r="V80" i="26"/>
  <c r="O82" i="26"/>
  <c r="Q84" i="26"/>
  <c r="R84" i="26"/>
  <c r="S84" i="26"/>
  <c r="T84" i="26"/>
  <c r="U84" i="26"/>
  <c r="V84" i="26"/>
  <c r="Y84" i="26"/>
  <c r="Z84" i="26"/>
  <c r="Q94" i="26"/>
  <c r="R94" i="26"/>
  <c r="S94" i="26"/>
  <c r="T94" i="26"/>
  <c r="U94" i="26"/>
  <c r="V94" i="26"/>
  <c r="Q100" i="26"/>
  <c r="R100" i="26"/>
  <c r="S100" i="26"/>
  <c r="T100" i="26"/>
  <c r="U100" i="26"/>
  <c r="V100" i="26"/>
  <c r="Q101" i="26"/>
  <c r="R101" i="26"/>
  <c r="S101" i="26"/>
  <c r="T101" i="26"/>
  <c r="U101" i="26"/>
  <c r="V101" i="26"/>
  <c r="Q102" i="26"/>
  <c r="R102" i="26"/>
  <c r="S102" i="26"/>
  <c r="T102" i="26"/>
  <c r="U102" i="26"/>
  <c r="V102" i="26"/>
  <c r="Q103" i="26"/>
  <c r="R103" i="26"/>
  <c r="S103" i="26"/>
  <c r="T103" i="26"/>
  <c r="U103" i="26"/>
  <c r="V103" i="26"/>
  <c r="Q104" i="26"/>
  <c r="R104" i="26"/>
  <c r="S104" i="26"/>
  <c r="T104" i="26"/>
  <c r="U104" i="26"/>
  <c r="V104" i="26"/>
  <c r="Q105" i="26"/>
  <c r="R105" i="26"/>
  <c r="S105" i="26"/>
  <c r="T105" i="26"/>
  <c r="U105" i="26"/>
  <c r="V105" i="26"/>
  <c r="Q112" i="26"/>
  <c r="R112" i="26"/>
  <c r="S112" i="26"/>
  <c r="T112" i="26"/>
  <c r="U112" i="26"/>
  <c r="V112" i="26"/>
  <c r="Q117" i="26"/>
  <c r="R117" i="26"/>
  <c r="S117" i="26"/>
  <c r="T117" i="26"/>
  <c r="U117" i="26"/>
  <c r="V117" i="26"/>
  <c r="Q124" i="26"/>
  <c r="R124" i="26"/>
  <c r="S124" i="26"/>
  <c r="T124" i="26"/>
  <c r="U124" i="26"/>
  <c r="V124" i="26"/>
  <c r="Q130" i="26"/>
  <c r="R130" i="26"/>
  <c r="S130" i="26"/>
  <c r="T130" i="26"/>
  <c r="U130" i="26"/>
  <c r="V130" i="26"/>
  <c r="Q131" i="26"/>
  <c r="R131" i="26"/>
  <c r="S131" i="26"/>
  <c r="T131" i="26"/>
  <c r="U131" i="26"/>
  <c r="V131" i="26"/>
  <c r="Q132" i="26"/>
  <c r="R132" i="26"/>
  <c r="S132" i="26"/>
  <c r="T132" i="26"/>
  <c r="U132" i="26"/>
  <c r="V132" i="26"/>
  <c r="Q139" i="26"/>
  <c r="R139" i="26"/>
  <c r="S139" i="26"/>
  <c r="T139" i="26"/>
  <c r="U139" i="26"/>
  <c r="V139" i="26"/>
  <c r="Q145" i="26"/>
  <c r="R145" i="26"/>
  <c r="S145" i="26"/>
  <c r="T145" i="26"/>
  <c r="U145" i="26"/>
  <c r="V145" i="26"/>
  <c r="Q146" i="26"/>
  <c r="R146" i="26"/>
  <c r="S146" i="26"/>
  <c r="T146" i="26"/>
  <c r="U146" i="26"/>
  <c r="V146" i="26"/>
  <c r="Q147" i="26"/>
  <c r="R147" i="26"/>
  <c r="S147" i="26"/>
  <c r="T147" i="26"/>
  <c r="U147" i="26"/>
  <c r="V147" i="26"/>
  <c r="Q154" i="26"/>
  <c r="R154" i="26"/>
  <c r="S154" i="26"/>
  <c r="T154" i="26"/>
  <c r="U154" i="26"/>
  <c r="V154" i="26"/>
  <c r="Q160" i="26"/>
  <c r="R160" i="26"/>
  <c r="S160" i="26"/>
  <c r="T160" i="26"/>
  <c r="U160" i="26"/>
  <c r="V160" i="26"/>
  <c r="Q161" i="26"/>
  <c r="R161" i="26"/>
  <c r="S161" i="26"/>
  <c r="T161" i="26"/>
  <c r="U161" i="26"/>
  <c r="V161" i="26"/>
  <c r="Q168" i="26"/>
  <c r="R168" i="26"/>
  <c r="S168" i="26"/>
  <c r="T168" i="26"/>
  <c r="U168" i="26"/>
  <c r="V168" i="26"/>
  <c r="Q174" i="26"/>
  <c r="R174" i="26"/>
  <c r="S174" i="26"/>
  <c r="T174" i="26"/>
  <c r="U174" i="26"/>
  <c r="V174" i="26"/>
  <c r="Q175" i="26"/>
  <c r="R175" i="26"/>
  <c r="S175" i="26"/>
  <c r="T175" i="26"/>
  <c r="U175" i="26"/>
  <c r="V175" i="26"/>
  <c r="Q182" i="26"/>
  <c r="R182" i="26"/>
  <c r="S182" i="26"/>
  <c r="T182" i="26"/>
  <c r="U182" i="26"/>
  <c r="V182" i="26"/>
  <c r="Q188" i="26"/>
  <c r="R188" i="26"/>
  <c r="S188" i="26"/>
  <c r="T188" i="26"/>
  <c r="U188" i="26"/>
  <c r="V188" i="26"/>
  <c r="Q195" i="26"/>
  <c r="R195" i="26"/>
  <c r="S195" i="26"/>
  <c r="T195" i="26"/>
  <c r="U195" i="26"/>
  <c r="V195" i="26"/>
  <c r="Q201" i="26"/>
  <c r="R201" i="26"/>
  <c r="S201" i="26"/>
  <c r="T201" i="26"/>
  <c r="U201" i="26"/>
  <c r="V201" i="26"/>
  <c r="Q202" i="26"/>
  <c r="R202" i="26"/>
  <c r="S202" i="26"/>
  <c r="T202" i="26"/>
  <c r="U202" i="26"/>
  <c r="V202" i="26"/>
  <c r="Q203" i="26"/>
  <c r="R203" i="26"/>
  <c r="S203" i="26"/>
  <c r="T203" i="26"/>
  <c r="U203" i="26"/>
  <c r="V203" i="26"/>
  <c r="Q210" i="26"/>
  <c r="R210" i="26"/>
  <c r="S210" i="26"/>
  <c r="T210" i="26"/>
  <c r="U210" i="26"/>
  <c r="V210" i="26"/>
  <c r="Q216" i="26"/>
  <c r="R216" i="26"/>
  <c r="S216" i="26"/>
  <c r="T216" i="26"/>
  <c r="U216" i="26"/>
  <c r="V216" i="26"/>
  <c r="Q223" i="26"/>
  <c r="R223" i="26"/>
  <c r="S223" i="26"/>
  <c r="T223" i="26"/>
  <c r="U223" i="26"/>
  <c r="V223" i="26"/>
  <c r="Q229" i="26"/>
  <c r="R229" i="26"/>
  <c r="S229" i="26"/>
  <c r="T229" i="26"/>
  <c r="U229" i="26"/>
  <c r="V229" i="26"/>
  <c r="Q230" i="26"/>
  <c r="R230" i="26"/>
  <c r="S230" i="26"/>
  <c r="T230" i="26"/>
  <c r="U230" i="26"/>
  <c r="V230" i="26"/>
  <c r="Q237" i="26"/>
  <c r="R237" i="26"/>
  <c r="S237" i="26"/>
  <c r="T237" i="26"/>
  <c r="U237" i="26"/>
  <c r="V237" i="26"/>
  <c r="Q243" i="26"/>
  <c r="R243" i="26"/>
  <c r="S243" i="26"/>
  <c r="T243" i="26"/>
  <c r="U243" i="26"/>
  <c r="V243" i="26"/>
  <c r="Q244" i="26"/>
  <c r="R244" i="26"/>
  <c r="S244" i="26"/>
  <c r="T244" i="26"/>
  <c r="U244" i="26"/>
  <c r="V244" i="26"/>
  <c r="Q245" i="26"/>
  <c r="R245" i="26"/>
  <c r="S245" i="26"/>
  <c r="T245" i="26"/>
  <c r="U245" i="26"/>
  <c r="V245" i="26"/>
  <c r="Q246" i="26"/>
  <c r="R246" i="26"/>
  <c r="S246" i="26"/>
  <c r="T246" i="26"/>
  <c r="U246" i="26"/>
  <c r="V246" i="26"/>
  <c r="P255" i="26"/>
  <c r="Q253" i="26"/>
  <c r="R253" i="26"/>
  <c r="S253" i="26"/>
  <c r="T253" i="26"/>
  <c r="U253" i="26"/>
  <c r="V253" i="26"/>
  <c r="Q257" i="26"/>
  <c r="R257" i="26"/>
  <c r="S257" i="26"/>
  <c r="T257" i="26"/>
  <c r="U257" i="26"/>
  <c r="V257" i="26"/>
  <c r="O259" i="26"/>
  <c r="Q261" i="26"/>
  <c r="R261" i="26"/>
  <c r="S261" i="26"/>
  <c r="T261" i="26"/>
  <c r="U261" i="26"/>
  <c r="V261" i="26"/>
  <c r="P267" i="26"/>
  <c r="Q265" i="26"/>
  <c r="R265" i="26"/>
  <c r="S265" i="26"/>
  <c r="T265" i="26"/>
  <c r="U265" i="26"/>
  <c r="V265" i="26"/>
  <c r="P271" i="26"/>
  <c r="Q269" i="26"/>
  <c r="R269" i="26"/>
  <c r="S269" i="26"/>
  <c r="T269" i="26"/>
  <c r="U269" i="26"/>
  <c r="V269" i="26"/>
  <c r="Q273" i="26"/>
  <c r="R273" i="26"/>
  <c r="S273" i="26"/>
  <c r="T273" i="26"/>
  <c r="U273" i="26"/>
  <c r="V273" i="26"/>
  <c r="O275" i="26"/>
  <c r="P275" i="26"/>
  <c r="Q277" i="26"/>
  <c r="R277" i="26"/>
  <c r="S277" i="26"/>
  <c r="T277" i="26"/>
  <c r="U277" i="26"/>
  <c r="V277" i="26"/>
  <c r="O284" i="26"/>
  <c r="Q286" i="26"/>
  <c r="R286" i="26"/>
  <c r="S286" i="26"/>
  <c r="T286" i="26"/>
  <c r="U286" i="26"/>
  <c r="V286" i="26"/>
  <c r="Q295" i="26"/>
  <c r="R295" i="26"/>
  <c r="S295" i="26"/>
  <c r="T295" i="26"/>
  <c r="U295" i="26"/>
  <c r="V295" i="26"/>
  <c r="Q300" i="26"/>
  <c r="R300" i="26"/>
  <c r="S300" i="26"/>
  <c r="T300" i="26"/>
  <c r="U300" i="26"/>
  <c r="V300" i="26"/>
  <c r="Q301" i="26"/>
  <c r="R301" i="26"/>
  <c r="S301" i="26"/>
  <c r="T301" i="26"/>
  <c r="U301" i="26"/>
  <c r="V301" i="26"/>
  <c r="Q308" i="26"/>
  <c r="R308" i="26"/>
  <c r="S308" i="26"/>
  <c r="T308" i="26"/>
  <c r="U308" i="26"/>
  <c r="V308" i="26"/>
  <c r="Q313" i="26"/>
  <c r="R313" i="26"/>
  <c r="S313" i="26"/>
  <c r="T313" i="26"/>
  <c r="U313" i="26"/>
  <c r="V313" i="26"/>
  <c r="Q332" i="26"/>
  <c r="R332" i="26"/>
  <c r="S332" i="26"/>
  <c r="T332" i="26"/>
  <c r="U332" i="26"/>
  <c r="V332" i="26"/>
  <c r="Q337" i="26"/>
  <c r="R337" i="26"/>
  <c r="S337" i="26"/>
  <c r="T337" i="26"/>
  <c r="U337" i="26"/>
  <c r="V337" i="26"/>
  <c r="Q344" i="26"/>
  <c r="R344" i="26"/>
  <c r="S344" i="26"/>
  <c r="T344" i="26"/>
  <c r="U344" i="26"/>
  <c r="V344" i="26"/>
  <c r="Q349" i="26"/>
  <c r="R349" i="26"/>
  <c r="S349" i="26"/>
  <c r="T349" i="26"/>
  <c r="U349" i="26"/>
  <c r="V349" i="26"/>
  <c r="Q356" i="26"/>
  <c r="R356" i="26"/>
  <c r="S356" i="26"/>
  <c r="T356" i="26"/>
  <c r="U356" i="26"/>
  <c r="V356" i="26"/>
  <c r="Q361" i="26"/>
  <c r="R361" i="26"/>
  <c r="S361" i="26"/>
  <c r="T361" i="26"/>
  <c r="U361" i="26"/>
  <c r="V361" i="26"/>
  <c r="Q368" i="26"/>
  <c r="R368" i="26"/>
  <c r="S368" i="26"/>
  <c r="T368" i="26"/>
  <c r="U368" i="26"/>
  <c r="V368" i="26"/>
  <c r="Q373" i="26"/>
  <c r="R373" i="26"/>
  <c r="S373" i="26"/>
  <c r="T373" i="26"/>
  <c r="U373" i="26"/>
  <c r="V373" i="26"/>
  <c r="Q380" i="26"/>
  <c r="R380" i="26"/>
  <c r="S380" i="26"/>
  <c r="T380" i="26"/>
  <c r="U380" i="26"/>
  <c r="V380" i="26"/>
  <c r="Q385" i="26"/>
  <c r="R385" i="26"/>
  <c r="S385" i="26"/>
  <c r="T385" i="26"/>
  <c r="U385" i="26"/>
  <c r="V385" i="26"/>
  <c r="Q392" i="26"/>
  <c r="R392" i="26"/>
  <c r="S392" i="26"/>
  <c r="T392" i="26"/>
  <c r="U392" i="26"/>
  <c r="V392" i="26"/>
  <c r="Q397" i="26"/>
  <c r="R397" i="26"/>
  <c r="S397" i="26"/>
  <c r="T397" i="26"/>
  <c r="U397" i="26"/>
  <c r="V397" i="26"/>
  <c r="Q410" i="26"/>
  <c r="R410" i="26"/>
  <c r="S410" i="26"/>
  <c r="T410" i="26"/>
  <c r="U410" i="26"/>
  <c r="V410" i="26"/>
  <c r="Q421" i="26"/>
  <c r="R421" i="26"/>
  <c r="S421" i="26"/>
  <c r="T421" i="26"/>
  <c r="U421" i="26"/>
  <c r="V421" i="26"/>
  <c r="O430" i="26"/>
  <c r="Q432" i="26"/>
  <c r="R432" i="26"/>
  <c r="S432" i="26"/>
  <c r="T432" i="26"/>
  <c r="U432" i="26"/>
  <c r="V432" i="26"/>
  <c r="Q444" i="26"/>
  <c r="R444" i="26"/>
  <c r="S444" i="26"/>
  <c r="T444" i="26"/>
  <c r="U444" i="26"/>
  <c r="V444" i="26"/>
  <c r="Q455" i="26"/>
  <c r="R455" i="26"/>
  <c r="S455" i="26"/>
  <c r="T455" i="26"/>
  <c r="U455" i="26"/>
  <c r="V455" i="26"/>
  <c r="P456" i="26"/>
  <c r="Q458" i="26"/>
  <c r="R458" i="26"/>
  <c r="S458" i="26"/>
  <c r="T458" i="26"/>
  <c r="U458" i="26"/>
  <c r="V458" i="26"/>
  <c r="Q469" i="26"/>
  <c r="R469" i="26"/>
  <c r="S469" i="26"/>
  <c r="T469" i="26"/>
  <c r="U469" i="26"/>
  <c r="V469" i="26"/>
  <c r="P478" i="26"/>
  <c r="Q480" i="26"/>
  <c r="R480" i="26"/>
  <c r="S480" i="26"/>
  <c r="T480" i="26"/>
  <c r="U480" i="26"/>
  <c r="V480" i="26"/>
  <c r="Q492" i="26"/>
  <c r="O501" i="26" s="1"/>
  <c r="R492" i="26"/>
  <c r="S492" i="26"/>
  <c r="T492" i="26"/>
  <c r="U492" i="26"/>
  <c r="V492" i="26"/>
  <c r="P504" i="26"/>
  <c r="Q503" i="26"/>
  <c r="R503" i="26"/>
  <c r="S503" i="26"/>
  <c r="T503" i="26"/>
  <c r="U503" i="26"/>
  <c r="V503" i="26"/>
  <c r="Q506" i="26"/>
  <c r="R506" i="26"/>
  <c r="S506" i="26"/>
  <c r="T506" i="26"/>
  <c r="U506" i="26"/>
  <c r="V506" i="26"/>
  <c r="Q517" i="26"/>
  <c r="R517" i="26"/>
  <c r="S517" i="26"/>
  <c r="T517" i="26"/>
  <c r="U517" i="26"/>
  <c r="V517" i="26"/>
  <c r="P526" i="26"/>
  <c r="Q528" i="26"/>
  <c r="R528" i="26"/>
  <c r="S528" i="26"/>
  <c r="T528" i="26"/>
  <c r="U528" i="26"/>
  <c r="V528" i="26"/>
  <c r="O538" i="26"/>
  <c r="Q540" i="26"/>
  <c r="R540" i="26"/>
  <c r="S540" i="26"/>
  <c r="T540" i="26"/>
  <c r="U540" i="26"/>
  <c r="V540" i="26"/>
  <c r="P552" i="26"/>
  <c r="Q551" i="26"/>
  <c r="R551" i="26"/>
  <c r="S551" i="26"/>
  <c r="T551" i="26"/>
  <c r="U551" i="26"/>
  <c r="V551" i="26"/>
  <c r="O552" i="26"/>
  <c r="Q554" i="26"/>
  <c r="R554" i="26"/>
  <c r="S554" i="26"/>
  <c r="T554" i="26"/>
  <c r="U554" i="26"/>
  <c r="V554" i="26"/>
  <c r="Q565" i="26"/>
  <c r="R565" i="26"/>
  <c r="S565" i="26"/>
  <c r="T565" i="26"/>
  <c r="U565" i="26"/>
  <c r="V565" i="26"/>
  <c r="Q576" i="26"/>
  <c r="R576" i="26"/>
  <c r="S576" i="26"/>
  <c r="T576" i="26"/>
  <c r="U576" i="26"/>
  <c r="V576" i="26"/>
  <c r="Q587" i="26"/>
  <c r="R587" i="26"/>
  <c r="S587" i="26"/>
  <c r="T587" i="26"/>
  <c r="U587" i="26"/>
  <c r="V587" i="26"/>
  <c r="P599" i="26"/>
  <c r="Q598" i="26"/>
  <c r="R598" i="26"/>
  <c r="S598" i="26"/>
  <c r="T598" i="26"/>
  <c r="U598" i="26"/>
  <c r="V598" i="26"/>
  <c r="O599" i="26"/>
  <c r="Q601" i="26"/>
  <c r="R601" i="26"/>
  <c r="S601" i="26"/>
  <c r="T601" i="26"/>
  <c r="U601" i="26"/>
  <c r="V601" i="26"/>
  <c r="P610" i="26"/>
  <c r="Q612" i="26"/>
  <c r="R612" i="26"/>
  <c r="S612" i="26"/>
  <c r="T612" i="26"/>
  <c r="U612" i="26"/>
  <c r="V612" i="26"/>
  <c r="Q623" i="26"/>
  <c r="R623" i="26"/>
  <c r="S623" i="26"/>
  <c r="T623" i="26"/>
  <c r="U623" i="26"/>
  <c r="V623" i="26"/>
  <c r="Q635" i="26"/>
  <c r="R635" i="26"/>
  <c r="S635" i="26"/>
  <c r="T635" i="26"/>
  <c r="U635" i="26"/>
  <c r="V635" i="26"/>
  <c r="Q646" i="26"/>
  <c r="R646" i="26"/>
  <c r="S646" i="26"/>
  <c r="T646" i="26"/>
  <c r="U646" i="26"/>
  <c r="V646" i="26"/>
  <c r="O647" i="26"/>
  <c r="Q649" i="26"/>
  <c r="R649" i="26"/>
  <c r="S649" i="26"/>
  <c r="T649" i="26"/>
  <c r="U649" i="26"/>
  <c r="V649" i="26"/>
  <c r="P658" i="26"/>
  <c r="Q660" i="26"/>
  <c r="R660" i="26"/>
  <c r="S660" i="26"/>
  <c r="T660" i="26"/>
  <c r="U660" i="26"/>
  <c r="V660" i="26"/>
  <c r="O669" i="26"/>
  <c r="P669" i="26"/>
  <c r="Q671" i="26"/>
  <c r="R671" i="26"/>
  <c r="S671" i="26"/>
  <c r="T671" i="26"/>
  <c r="U671" i="26"/>
  <c r="V671" i="26"/>
  <c r="P681" i="26"/>
  <c r="O681" i="26"/>
  <c r="Q683" i="26"/>
  <c r="R683" i="26"/>
  <c r="S683" i="26"/>
  <c r="T683" i="26"/>
  <c r="U683" i="26"/>
  <c r="V683" i="26"/>
  <c r="O692" i="26"/>
  <c r="O695" i="26"/>
  <c r="Q694" i="26"/>
  <c r="R694" i="26"/>
  <c r="S694" i="26"/>
  <c r="T694" i="26"/>
  <c r="U694" i="26"/>
  <c r="V694" i="26"/>
  <c r="P695" i="26"/>
  <c r="Q697" i="26"/>
  <c r="R697" i="26"/>
  <c r="S697" i="26"/>
  <c r="T697" i="26"/>
  <c r="U697" i="26"/>
  <c r="V697" i="26"/>
  <c r="P706" i="26"/>
  <c r="Q708" i="26"/>
  <c r="R708" i="26"/>
  <c r="S708" i="26"/>
  <c r="T708" i="26"/>
  <c r="U708" i="26"/>
  <c r="V708" i="26"/>
  <c r="P717" i="26"/>
  <c r="Q719" i="26"/>
  <c r="R719" i="26"/>
  <c r="S719" i="26"/>
  <c r="T719" i="26"/>
  <c r="U719" i="26"/>
  <c r="V719" i="26"/>
  <c r="Q731" i="26"/>
  <c r="R731" i="26"/>
  <c r="S731" i="26"/>
  <c r="T731" i="26"/>
  <c r="U731" i="26"/>
  <c r="V731" i="26"/>
  <c r="P740" i="26"/>
  <c r="O740" i="26"/>
  <c r="Q742" i="26"/>
  <c r="R742" i="26"/>
  <c r="S742" i="26"/>
  <c r="T742" i="26"/>
  <c r="U742" i="26"/>
  <c r="V742" i="26"/>
  <c r="O743" i="26"/>
  <c r="P743" i="26"/>
  <c r="Q745" i="26"/>
  <c r="R745" i="26"/>
  <c r="S745" i="26"/>
  <c r="O754" i="26" s="1"/>
  <c r="T745" i="26"/>
  <c r="U745" i="26"/>
  <c r="V745" i="26"/>
  <c r="P754" i="26"/>
  <c r="Q756" i="26"/>
  <c r="R756" i="26"/>
  <c r="S756" i="26"/>
  <c r="T756" i="26"/>
  <c r="U756" i="26"/>
  <c r="V756" i="26"/>
  <c r="Q767" i="26"/>
  <c r="R767" i="26"/>
  <c r="S767" i="26"/>
  <c r="T767" i="26"/>
  <c r="U767" i="26"/>
  <c r="V767" i="26"/>
  <c r="O777" i="26"/>
  <c r="Q779" i="26"/>
  <c r="R779" i="26"/>
  <c r="S779" i="26"/>
  <c r="T779" i="26"/>
  <c r="U779" i="26"/>
  <c r="V779" i="26"/>
  <c r="P788" i="26"/>
  <c r="Q790" i="26"/>
  <c r="R790" i="26"/>
  <c r="S790" i="26"/>
  <c r="T790" i="26"/>
  <c r="U790" i="26"/>
  <c r="V790" i="26"/>
  <c r="P791" i="26"/>
  <c r="Q793" i="26"/>
  <c r="R793" i="26"/>
  <c r="S793" i="26"/>
  <c r="T793" i="26"/>
  <c r="U793" i="26"/>
  <c r="V793" i="26"/>
  <c r="P802" i="26"/>
  <c r="O802" i="26"/>
  <c r="Q804" i="26"/>
  <c r="R804" i="26"/>
  <c r="S804" i="26"/>
  <c r="T804" i="26"/>
  <c r="U804" i="26"/>
  <c r="V804" i="26"/>
  <c r="Q815" i="26"/>
  <c r="R815" i="26"/>
  <c r="S815" i="26"/>
  <c r="T815" i="26"/>
  <c r="U815" i="26"/>
  <c r="V815" i="26"/>
  <c r="P825" i="26"/>
  <c r="Q827" i="26"/>
  <c r="R827" i="26"/>
  <c r="S827" i="26"/>
  <c r="T827" i="26"/>
  <c r="U827" i="26"/>
  <c r="V827" i="26"/>
  <c r="P836" i="26"/>
  <c r="O836" i="26"/>
  <c r="Q838" i="26"/>
  <c r="R838" i="26"/>
  <c r="S838" i="26"/>
  <c r="T838" i="26"/>
  <c r="U838" i="26"/>
  <c r="V838" i="26"/>
  <c r="O839" i="26"/>
  <c r="P839" i="26"/>
  <c r="Q841" i="26"/>
  <c r="R841" i="26"/>
  <c r="S841" i="26"/>
  <c r="O850" i="26" s="1"/>
  <c r="T841" i="26"/>
  <c r="U841" i="26"/>
  <c r="V841" i="26"/>
  <c r="P850" i="26"/>
  <c r="Q852" i="26"/>
  <c r="R852" i="26"/>
  <c r="S852" i="26"/>
  <c r="T852" i="26"/>
  <c r="U852" i="26"/>
  <c r="V852" i="26"/>
  <c r="Q863" i="26"/>
  <c r="R863" i="26"/>
  <c r="P873" i="26" s="1"/>
  <c r="S863" i="26"/>
  <c r="T863" i="26"/>
  <c r="U863" i="26"/>
  <c r="V863" i="26"/>
  <c r="Q875" i="26"/>
  <c r="R875" i="26"/>
  <c r="S875" i="26"/>
  <c r="T875" i="26"/>
  <c r="U875" i="26"/>
  <c r="V875" i="26"/>
  <c r="P884" i="26"/>
  <c r="O884" i="26"/>
  <c r="Q886" i="26"/>
  <c r="R886" i="26"/>
  <c r="S886" i="26"/>
  <c r="T886" i="26"/>
  <c r="U886" i="26"/>
  <c r="V886" i="26"/>
  <c r="P887" i="26"/>
  <c r="Q889" i="26"/>
  <c r="R889" i="26"/>
  <c r="S889" i="26"/>
  <c r="T889" i="26"/>
  <c r="U889" i="26"/>
  <c r="V889" i="26"/>
  <c r="P898" i="26"/>
  <c r="Q900" i="26"/>
  <c r="R900" i="26"/>
  <c r="S900" i="26"/>
  <c r="T900" i="26"/>
  <c r="U900" i="26"/>
  <c r="V900" i="26"/>
  <c r="P909" i="26"/>
  <c r="Q911" i="26"/>
  <c r="R911" i="26"/>
  <c r="S911" i="26"/>
  <c r="T911" i="26"/>
  <c r="U911" i="26"/>
  <c r="V911" i="26"/>
  <c r="P920" i="26"/>
  <c r="Q922" i="26"/>
  <c r="R922" i="26"/>
  <c r="S922" i="26"/>
  <c r="O931" i="26" s="1"/>
  <c r="T922" i="26"/>
  <c r="U922" i="26"/>
  <c r="V922" i="26"/>
  <c r="Q933" i="26"/>
  <c r="R933" i="26"/>
  <c r="S933" i="26"/>
  <c r="T933" i="26"/>
  <c r="U933" i="26"/>
  <c r="V933" i="26"/>
  <c r="P934" i="26"/>
  <c r="Q936" i="26"/>
  <c r="R936" i="26"/>
  <c r="S936" i="26"/>
  <c r="T936" i="26"/>
  <c r="U936" i="26"/>
  <c r="V936" i="26"/>
  <c r="P945" i="26"/>
  <c r="Q947" i="26"/>
  <c r="R947" i="26"/>
  <c r="S947" i="26"/>
  <c r="T947" i="26"/>
  <c r="U947" i="26"/>
  <c r="V947" i="26"/>
  <c r="Q958" i="26"/>
  <c r="R958" i="26"/>
  <c r="S958" i="26"/>
  <c r="T958" i="26"/>
  <c r="U958" i="26"/>
  <c r="V958" i="26"/>
  <c r="Q969" i="26"/>
  <c r="R969" i="26"/>
  <c r="S969" i="26"/>
  <c r="T969" i="26"/>
  <c r="U969" i="26"/>
  <c r="V969" i="26"/>
  <c r="Q980" i="26"/>
  <c r="R980" i="26"/>
  <c r="S980" i="26"/>
  <c r="T980" i="26"/>
  <c r="U980" i="26"/>
  <c r="V980" i="26"/>
  <c r="Q983" i="26"/>
  <c r="R983" i="26"/>
  <c r="S983" i="26"/>
  <c r="T983" i="26"/>
  <c r="U983" i="26"/>
  <c r="V983" i="26"/>
  <c r="P992" i="26"/>
  <c r="Q994" i="26"/>
  <c r="R994" i="26"/>
  <c r="S994" i="26"/>
  <c r="T994" i="26"/>
  <c r="U994" i="26"/>
  <c r="V994" i="26"/>
  <c r="Q1005" i="26"/>
  <c r="R1005" i="26"/>
  <c r="S1005" i="26"/>
  <c r="T1005" i="26"/>
  <c r="U1005" i="26"/>
  <c r="V1005" i="26"/>
  <c r="Q1017" i="26"/>
  <c r="R1017" i="26"/>
  <c r="P1026" i="26" s="1"/>
  <c r="S1017" i="26"/>
  <c r="T1017" i="26"/>
  <c r="U1017" i="26"/>
  <c r="V1017" i="26"/>
  <c r="P1029" i="26"/>
  <c r="Q1028" i="26"/>
  <c r="R1028" i="26"/>
  <c r="S1028" i="26"/>
  <c r="T1028" i="26"/>
  <c r="U1028" i="26"/>
  <c r="V1028" i="26"/>
  <c r="Q1031" i="26"/>
  <c r="R1031" i="26"/>
  <c r="S1031" i="26"/>
  <c r="T1031" i="26"/>
  <c r="U1031" i="26"/>
  <c r="V1031" i="26"/>
  <c r="P1040" i="26"/>
  <c r="Q1042" i="26"/>
  <c r="O1051" i="26" s="1"/>
  <c r="R1042" i="26"/>
  <c r="S1042" i="26"/>
  <c r="T1042" i="26"/>
  <c r="U1042" i="26"/>
  <c r="V1042" i="26"/>
  <c r="P1051" i="26"/>
  <c r="Q1053" i="26"/>
  <c r="R1053" i="26"/>
  <c r="S1053" i="26"/>
  <c r="T1053" i="26"/>
  <c r="U1053" i="26"/>
  <c r="V1053" i="26"/>
  <c r="P1063" i="26"/>
  <c r="Q1065" i="26"/>
  <c r="R1065" i="26"/>
  <c r="S1065" i="26"/>
  <c r="O1074" i="26" s="1"/>
  <c r="T1065" i="26"/>
  <c r="U1065" i="26"/>
  <c r="V1065" i="26"/>
  <c r="P1074" i="26"/>
  <c r="Q1076" i="26"/>
  <c r="R1076" i="26"/>
  <c r="S1076" i="26"/>
  <c r="T1076" i="26"/>
  <c r="U1076" i="26"/>
  <c r="V1076" i="26"/>
  <c r="O1077" i="26"/>
  <c r="P1077" i="26"/>
  <c r="Q1079" i="26"/>
  <c r="R1079" i="26"/>
  <c r="S1079" i="26"/>
  <c r="T1079" i="26"/>
  <c r="U1079" i="26"/>
  <c r="V1079" i="26"/>
  <c r="O1088" i="26"/>
  <c r="P1088" i="26"/>
  <c r="Q1090" i="26"/>
  <c r="R1090" i="26"/>
  <c r="S1090" i="26"/>
  <c r="T1090" i="26"/>
  <c r="U1090" i="26"/>
  <c r="V1090" i="26"/>
  <c r="P1099" i="26"/>
  <c r="Q1101" i="26"/>
  <c r="R1101" i="26"/>
  <c r="S1101" i="26"/>
  <c r="T1101" i="26"/>
  <c r="U1101" i="26"/>
  <c r="V1101" i="26"/>
  <c r="P1111" i="26"/>
  <c r="Q1113" i="26"/>
  <c r="R1113" i="26"/>
  <c r="S1113" i="26"/>
  <c r="T1113" i="26"/>
  <c r="U1113" i="26"/>
  <c r="V1113" i="26"/>
  <c r="Q1124" i="26"/>
  <c r="R1124" i="26"/>
  <c r="S1124" i="26"/>
  <c r="T1124" i="26"/>
  <c r="U1124" i="26"/>
  <c r="V1124" i="26"/>
  <c r="P1125" i="26"/>
  <c r="Q1127" i="26"/>
  <c r="R1127" i="26"/>
  <c r="S1127" i="26"/>
  <c r="T1127" i="26"/>
  <c r="U1127" i="26"/>
  <c r="V1127" i="26"/>
  <c r="P1136" i="26"/>
  <c r="Q1138" i="26"/>
  <c r="R1138" i="26"/>
  <c r="S1138" i="26"/>
  <c r="T1138" i="26"/>
  <c r="U1138" i="26"/>
  <c r="V1138" i="26"/>
  <c r="Q1149" i="26"/>
  <c r="R1149" i="26"/>
  <c r="S1149" i="26"/>
  <c r="T1149" i="26"/>
  <c r="U1149" i="26"/>
  <c r="V1149" i="26"/>
  <c r="O1159" i="26"/>
  <c r="Q1161" i="26"/>
  <c r="R1161" i="26"/>
  <c r="S1161" i="26"/>
  <c r="T1161" i="26"/>
  <c r="U1161" i="26"/>
  <c r="V1161" i="26"/>
  <c r="O1170" i="26"/>
  <c r="P1170" i="26"/>
  <c r="O1173" i="26"/>
  <c r="P1173" i="26"/>
  <c r="Q1172" i="26"/>
  <c r="R1172" i="26"/>
  <c r="S1172" i="26"/>
  <c r="T1172" i="26"/>
  <c r="U1172" i="26"/>
  <c r="V1172" i="26"/>
  <c r="Q1175" i="26"/>
  <c r="R1175" i="26"/>
  <c r="S1175" i="26"/>
  <c r="T1175" i="26"/>
  <c r="U1175" i="26"/>
  <c r="V1175" i="26"/>
  <c r="P1184" i="26"/>
  <c r="Q1186" i="26"/>
  <c r="R1186" i="26"/>
  <c r="S1186" i="26"/>
  <c r="T1186" i="26"/>
  <c r="U1186" i="26"/>
  <c r="V1186" i="26"/>
  <c r="P1195" i="26"/>
  <c r="O1195" i="26"/>
  <c r="Q1197" i="26"/>
  <c r="R1197" i="26"/>
  <c r="S1197" i="26"/>
  <c r="T1197" i="26"/>
  <c r="U1197" i="26"/>
  <c r="V1197" i="26"/>
  <c r="O1207" i="26"/>
  <c r="P1207" i="26"/>
  <c r="Q1209" i="26"/>
  <c r="R1209" i="26"/>
  <c r="S1209" i="26"/>
  <c r="T1209" i="26"/>
  <c r="U1209" i="26"/>
  <c r="O1218" i="26" s="1"/>
  <c r="V1209" i="26"/>
  <c r="O1221" i="26"/>
  <c r="Q1220" i="26"/>
  <c r="R1220" i="26"/>
  <c r="S1220" i="26"/>
  <c r="T1220" i="26"/>
  <c r="U1220" i="26"/>
  <c r="V1220" i="26"/>
  <c r="P1221" i="26"/>
  <c r="Q1223" i="26"/>
  <c r="R1223" i="26"/>
  <c r="S1223" i="26"/>
  <c r="T1223" i="26"/>
  <c r="U1223" i="26"/>
  <c r="V1223" i="26"/>
  <c r="P1232" i="26"/>
  <c r="Q1234" i="26"/>
  <c r="R1234" i="26"/>
  <c r="S1234" i="26"/>
  <c r="T1234" i="26"/>
  <c r="U1234" i="26"/>
  <c r="V1234" i="26"/>
  <c r="P1243" i="26"/>
  <c r="Q1245" i="26"/>
  <c r="R1245" i="26"/>
  <c r="S1245" i="26"/>
  <c r="T1245" i="26"/>
  <c r="U1245" i="26"/>
  <c r="V1245" i="26"/>
  <c r="O1255" i="26"/>
  <c r="P1255" i="26"/>
  <c r="Q1257" i="26"/>
  <c r="R1257" i="26"/>
  <c r="S1257" i="26"/>
  <c r="T1257" i="26"/>
  <c r="U1257" i="26"/>
  <c r="V1257" i="26"/>
  <c r="P1266" i="26"/>
  <c r="Q1268" i="26"/>
  <c r="R1268" i="26"/>
  <c r="S1268" i="26"/>
  <c r="T1268" i="26"/>
  <c r="U1268" i="26"/>
  <c r="V1268" i="26"/>
  <c r="P1269" i="26"/>
  <c r="Q1271" i="26"/>
  <c r="R1271" i="26"/>
  <c r="S1271" i="26"/>
  <c r="T1271" i="26"/>
  <c r="U1271" i="26"/>
  <c r="V1271" i="26"/>
  <c r="P1280" i="26"/>
  <c r="O1280" i="26"/>
  <c r="Q1282" i="26"/>
  <c r="R1282" i="26"/>
  <c r="S1282" i="26"/>
  <c r="T1282" i="26"/>
  <c r="U1282" i="26"/>
  <c r="V1282" i="26"/>
  <c r="P1291" i="26"/>
  <c r="Q1293" i="26"/>
  <c r="R1293" i="26"/>
  <c r="S1293" i="26"/>
  <c r="T1293" i="26"/>
  <c r="U1293" i="26"/>
  <c r="V1293" i="26"/>
  <c r="O1303" i="26"/>
  <c r="Q1305" i="26"/>
  <c r="R1305" i="26"/>
  <c r="S1305" i="26"/>
  <c r="T1305" i="26"/>
  <c r="U1305" i="26"/>
  <c r="V1305" i="26"/>
  <c r="P1314" i="26"/>
  <c r="O1317" i="26"/>
  <c r="P1317" i="26"/>
  <c r="Q1316" i="26"/>
  <c r="R1316" i="26"/>
  <c r="S1316" i="26"/>
  <c r="T1316" i="26"/>
  <c r="U1316" i="26"/>
  <c r="V1316" i="26"/>
  <c r="Q1319" i="26"/>
  <c r="R1319" i="26"/>
  <c r="S1319" i="26"/>
  <c r="T1319" i="26"/>
  <c r="U1319" i="26"/>
  <c r="V1319" i="26"/>
  <c r="P1328" i="26"/>
  <c r="Q1330" i="26"/>
  <c r="R1330" i="26"/>
  <c r="S1330" i="26"/>
  <c r="T1330" i="26"/>
  <c r="U1330" i="26"/>
  <c r="V1330" i="26"/>
  <c r="O1339" i="26"/>
  <c r="Q1341" i="26"/>
  <c r="R1341" i="26"/>
  <c r="S1341" i="26"/>
  <c r="T1341" i="26"/>
  <c r="U1341" i="26"/>
  <c r="V1341" i="26"/>
  <c r="O1351" i="26"/>
  <c r="P1351" i="26"/>
  <c r="Q1353" i="26"/>
  <c r="R1353" i="26"/>
  <c r="S1353" i="26"/>
  <c r="T1353" i="26"/>
  <c r="U1353" i="26"/>
  <c r="V1353" i="26"/>
  <c r="P1362" i="26"/>
  <c r="Q1364" i="26"/>
  <c r="R1364" i="26"/>
  <c r="S1364" i="26"/>
  <c r="T1364" i="26"/>
  <c r="U1364" i="26"/>
  <c r="V1364" i="26"/>
  <c r="P1365" i="26"/>
  <c r="Q1367" i="26"/>
  <c r="R1367" i="26"/>
  <c r="S1367" i="26"/>
  <c r="T1367" i="26"/>
  <c r="U1367" i="26"/>
  <c r="V1367" i="26"/>
  <c r="P1376" i="26"/>
  <c r="Q1378" i="26"/>
  <c r="R1378" i="26"/>
  <c r="S1378" i="26"/>
  <c r="T1378" i="26"/>
  <c r="U1378" i="26"/>
  <c r="V1378" i="26"/>
  <c r="P1387" i="26"/>
  <c r="Q1389" i="26"/>
  <c r="R1389" i="26"/>
  <c r="S1389" i="26"/>
  <c r="T1389" i="26"/>
  <c r="U1389" i="26"/>
  <c r="V1389" i="26"/>
  <c r="P1399" i="26"/>
  <c r="Q1401" i="26"/>
  <c r="R1401" i="26"/>
  <c r="S1401" i="26"/>
  <c r="T1401" i="26"/>
  <c r="U1401" i="26"/>
  <c r="V1401" i="26"/>
  <c r="P1410" i="26"/>
  <c r="O1410" i="26"/>
  <c r="Q1412" i="26"/>
  <c r="R1412" i="26"/>
  <c r="S1412" i="26"/>
  <c r="T1412" i="26"/>
  <c r="U1412" i="26"/>
  <c r="V1412" i="26"/>
  <c r="O1413" i="26"/>
  <c r="P1413" i="26"/>
  <c r="Q1415" i="26"/>
  <c r="R1415" i="26"/>
  <c r="S1415" i="26"/>
  <c r="T1415" i="26"/>
  <c r="P1424" i="26" s="1"/>
  <c r="U1415" i="26"/>
  <c r="V1415" i="26"/>
  <c r="Q1426" i="26"/>
  <c r="R1426" i="26"/>
  <c r="S1426" i="26"/>
  <c r="T1426" i="26"/>
  <c r="P1435" i="26" s="1"/>
  <c r="U1426" i="26"/>
  <c r="V1426" i="26"/>
  <c r="Q1437" i="26"/>
  <c r="R1437" i="26"/>
  <c r="S1437" i="26"/>
  <c r="T1437" i="26"/>
  <c r="P1447" i="26" s="1"/>
  <c r="U1437" i="26"/>
  <c r="V1437" i="26"/>
  <c r="O1447" i="26"/>
  <c r="Q1449" i="26"/>
  <c r="R1449" i="26"/>
  <c r="S1449" i="26"/>
  <c r="T1449" i="26"/>
  <c r="U1449" i="26"/>
  <c r="V1449" i="26"/>
  <c r="P1458" i="26"/>
  <c r="P1461" i="26"/>
  <c r="Q1460" i="26"/>
  <c r="R1460" i="26"/>
  <c r="S1460" i="26"/>
  <c r="T1460" i="26"/>
  <c r="U1460" i="26"/>
  <c r="V1460" i="26"/>
  <c r="O1461" i="26"/>
  <c r="Q1463" i="26"/>
  <c r="R1463" i="26"/>
  <c r="S1463" i="26"/>
  <c r="T1463" i="26"/>
  <c r="U1463" i="26"/>
  <c r="V1463" i="26"/>
  <c r="Q1474" i="26"/>
  <c r="R1474" i="26"/>
  <c r="S1474" i="26"/>
  <c r="T1474" i="26"/>
  <c r="U1474" i="26"/>
  <c r="V1474" i="26"/>
  <c r="P1483" i="26"/>
  <c r="Q1485" i="26"/>
  <c r="R1485" i="26"/>
  <c r="S1485" i="26"/>
  <c r="T1485" i="26"/>
  <c r="U1485" i="26"/>
  <c r="V1485" i="26"/>
  <c r="O1495" i="26"/>
  <c r="O1498" i="26"/>
  <c r="Q1497" i="26"/>
  <c r="R1497" i="26"/>
  <c r="S1497" i="26"/>
  <c r="T1497" i="26"/>
  <c r="U1497" i="26"/>
  <c r="V1497" i="26"/>
  <c r="P1498" i="26"/>
  <c r="Q1500" i="26"/>
  <c r="R1500" i="26"/>
  <c r="S1500" i="26"/>
  <c r="T1500" i="26"/>
  <c r="U1500" i="26"/>
  <c r="V1500" i="26"/>
  <c r="P1509" i="26"/>
  <c r="Q1511" i="26"/>
  <c r="R1511" i="26"/>
  <c r="S1511" i="26"/>
  <c r="T1511" i="26"/>
  <c r="U1511" i="26"/>
  <c r="V1511" i="26"/>
  <c r="O1520" i="26"/>
  <c r="P1520" i="26"/>
  <c r="Q1522" i="26"/>
  <c r="R1522" i="26"/>
  <c r="S1522" i="26"/>
  <c r="T1522" i="26"/>
  <c r="U1522" i="26"/>
  <c r="V1522" i="26"/>
  <c r="O1532" i="26"/>
  <c r="P1535" i="26"/>
  <c r="Q1534" i="26"/>
  <c r="R1534" i="26"/>
  <c r="S1534" i="26"/>
  <c r="T1534" i="26"/>
  <c r="U1534" i="26"/>
  <c r="V1534" i="26"/>
  <c r="O1535" i="26"/>
  <c r="Q1537" i="26"/>
  <c r="R1537" i="26"/>
  <c r="S1537" i="26"/>
  <c r="T1537" i="26"/>
  <c r="U1537" i="26"/>
  <c r="V1537" i="26"/>
  <c r="P1546" i="26"/>
  <c r="O1546" i="26"/>
  <c r="Q1548" i="26"/>
  <c r="R1548" i="26"/>
  <c r="S1548" i="26"/>
  <c r="T1548" i="26"/>
  <c r="U1548" i="26"/>
  <c r="V1548" i="26"/>
  <c r="P1557" i="26"/>
  <c r="Q1559" i="26"/>
  <c r="R1559" i="26"/>
  <c r="S1559" i="26"/>
  <c r="T1559" i="26"/>
  <c r="U1559" i="26"/>
  <c r="V1559" i="26"/>
  <c r="O1569" i="26"/>
  <c r="Q1571" i="26"/>
  <c r="R1571" i="26"/>
  <c r="S1571" i="26"/>
  <c r="T1571" i="26"/>
  <c r="U1571" i="26"/>
  <c r="V1571" i="26"/>
  <c r="P1572" i="26"/>
  <c r="Q1574" i="26"/>
  <c r="R1574" i="26"/>
  <c r="S1574" i="26"/>
  <c r="T1574" i="26"/>
  <c r="P1583" i="26" s="1"/>
  <c r="U1574" i="26"/>
  <c r="V1574" i="26"/>
  <c r="O1583" i="26"/>
  <c r="Q1585" i="26"/>
  <c r="R1585" i="26"/>
  <c r="S1585" i="26"/>
  <c r="T1585" i="26"/>
  <c r="U1585" i="26"/>
  <c r="V1585" i="26"/>
  <c r="P1594" i="26"/>
  <c r="Q1596" i="26"/>
  <c r="R1596" i="26"/>
  <c r="S1596" i="26"/>
  <c r="T1596" i="26"/>
  <c r="U1596" i="26"/>
  <c r="V1596" i="26"/>
  <c r="O1609" i="26"/>
  <c r="Q1608" i="26"/>
  <c r="R1608" i="26"/>
  <c r="S1608" i="26"/>
  <c r="T1608" i="26"/>
  <c r="U1608" i="26"/>
  <c r="V1608" i="26"/>
  <c r="P1609" i="26"/>
  <c r="Q1611" i="26"/>
  <c r="R1611" i="26"/>
  <c r="S1611" i="26"/>
  <c r="T1611" i="26"/>
  <c r="U1611" i="26"/>
  <c r="V1611" i="26"/>
  <c r="P1620" i="26"/>
  <c r="Q1622" i="26"/>
  <c r="R1622" i="26"/>
  <c r="S1622" i="26"/>
  <c r="T1622" i="26"/>
  <c r="U1622" i="26"/>
  <c r="V1622" i="26"/>
  <c r="Q1633" i="26"/>
  <c r="R1633" i="26"/>
  <c r="S1633" i="26"/>
  <c r="T1633" i="26"/>
  <c r="U1633" i="26"/>
  <c r="V1633" i="26"/>
  <c r="O1646" i="26"/>
  <c r="P1646" i="26"/>
  <c r="Q1645" i="26"/>
  <c r="R1645" i="26"/>
  <c r="S1645" i="26"/>
  <c r="T1645" i="26"/>
  <c r="U1645" i="26"/>
  <c r="V1645" i="26"/>
  <c r="Q1648" i="26"/>
  <c r="R1648" i="26"/>
  <c r="S1648" i="26"/>
  <c r="T1648" i="26"/>
  <c r="U1648" i="26"/>
  <c r="V1648" i="26"/>
  <c r="P1657" i="26"/>
  <c r="Q1659" i="26"/>
  <c r="R1659" i="26"/>
  <c r="S1659" i="26"/>
  <c r="T1659" i="26"/>
  <c r="U1659" i="26"/>
  <c r="V1659" i="26"/>
  <c r="P1660" i="26"/>
  <c r="Q1672" i="26"/>
  <c r="R1672" i="26"/>
  <c r="S1672" i="26"/>
  <c r="T1672" i="26"/>
  <c r="U1672" i="26"/>
  <c r="V1672" i="26"/>
  <c r="Q1678" i="26"/>
  <c r="R1678" i="26"/>
  <c r="S1678" i="26"/>
  <c r="T1678" i="26"/>
  <c r="U1678" i="26"/>
  <c r="V1678" i="26"/>
  <c r="Q1679" i="26"/>
  <c r="R1679" i="26"/>
  <c r="S1679" i="26"/>
  <c r="T1679" i="26"/>
  <c r="U1679" i="26"/>
  <c r="V1679" i="26"/>
  <c r="Q1686" i="26"/>
  <c r="R1686" i="26"/>
  <c r="S1686" i="26"/>
  <c r="T1686" i="26"/>
  <c r="U1686" i="26"/>
  <c r="V1686" i="26"/>
  <c r="Q1692" i="26"/>
  <c r="R1692" i="26"/>
  <c r="S1692" i="26"/>
  <c r="T1692" i="26"/>
  <c r="U1692" i="26"/>
  <c r="V1692" i="26"/>
  <c r="Q1693" i="26"/>
  <c r="R1693" i="26"/>
  <c r="S1693" i="26"/>
  <c r="T1693" i="26"/>
  <c r="U1693" i="26"/>
  <c r="V1693" i="26"/>
  <c r="Q1700" i="26"/>
  <c r="R1700" i="26"/>
  <c r="S1700" i="26"/>
  <c r="T1700" i="26"/>
  <c r="U1700" i="26"/>
  <c r="V1700" i="26"/>
  <c r="Q1706" i="26"/>
  <c r="R1706" i="26"/>
  <c r="S1706" i="26"/>
  <c r="T1706" i="26"/>
  <c r="U1706" i="26"/>
  <c r="V1706" i="26"/>
  <c r="Q1707" i="26"/>
  <c r="R1707" i="26"/>
  <c r="S1707" i="26"/>
  <c r="T1707" i="26"/>
  <c r="U1707" i="26"/>
  <c r="V1707" i="26"/>
  <c r="Q1714" i="26"/>
  <c r="R1714" i="26"/>
  <c r="S1714" i="26"/>
  <c r="T1714" i="26"/>
  <c r="U1714" i="26"/>
  <c r="V1714" i="26"/>
  <c r="Q1720" i="26"/>
  <c r="R1720" i="26"/>
  <c r="S1720" i="26"/>
  <c r="T1720" i="26"/>
  <c r="U1720" i="26"/>
  <c r="V1720" i="26"/>
  <c r="Q1721" i="26"/>
  <c r="R1721" i="26"/>
  <c r="S1721" i="26"/>
  <c r="T1721" i="26"/>
  <c r="U1721" i="26"/>
  <c r="V1721" i="26"/>
  <c r="Q1728" i="26"/>
  <c r="R1728" i="26"/>
  <c r="S1728" i="26"/>
  <c r="T1728" i="26"/>
  <c r="U1728" i="26"/>
  <c r="V1728" i="26"/>
  <c r="Q1734" i="26"/>
  <c r="R1734" i="26"/>
  <c r="S1734" i="26"/>
  <c r="T1734" i="26"/>
  <c r="U1734" i="26"/>
  <c r="V1734" i="26"/>
  <c r="Q1735" i="26"/>
  <c r="R1735" i="26"/>
  <c r="S1735" i="26"/>
  <c r="T1735" i="26"/>
  <c r="U1735" i="26"/>
  <c r="V1735" i="26"/>
  <c r="Q1736" i="26"/>
  <c r="R1736" i="26"/>
  <c r="S1736" i="26"/>
  <c r="T1736" i="26"/>
  <c r="U1736" i="26"/>
  <c r="V1736" i="26"/>
  <c r="Q1743" i="26"/>
  <c r="R1743" i="26"/>
  <c r="S1743" i="26"/>
  <c r="T1743" i="26"/>
  <c r="U1743" i="26"/>
  <c r="V1743" i="26"/>
  <c r="Q1749" i="26"/>
  <c r="R1749" i="26"/>
  <c r="S1749" i="26"/>
  <c r="T1749" i="26"/>
  <c r="U1749" i="26"/>
  <c r="V1749" i="26"/>
  <c r="Q1750" i="26"/>
  <c r="R1750" i="26"/>
  <c r="S1750" i="26"/>
  <c r="T1750" i="26"/>
  <c r="U1750" i="26"/>
  <c r="V1750" i="26"/>
  <c r="Q1751" i="26"/>
  <c r="R1751" i="26"/>
  <c r="S1751" i="26"/>
  <c r="T1751" i="26"/>
  <c r="U1751" i="26"/>
  <c r="V1751" i="26"/>
  <c r="Q1758" i="26"/>
  <c r="R1758" i="26"/>
  <c r="S1758" i="26"/>
  <c r="T1758" i="26"/>
  <c r="U1758" i="26"/>
  <c r="V1758" i="26"/>
  <c r="Q1764" i="26"/>
  <c r="R1764" i="26"/>
  <c r="S1764" i="26"/>
  <c r="T1764" i="26"/>
  <c r="U1764" i="26"/>
  <c r="V1764" i="26"/>
  <c r="Q1765" i="26"/>
  <c r="R1765" i="26"/>
  <c r="S1765" i="26"/>
  <c r="T1765" i="26"/>
  <c r="U1765" i="26"/>
  <c r="V1765" i="26"/>
  <c r="Q1766" i="26"/>
  <c r="R1766" i="26"/>
  <c r="S1766" i="26"/>
  <c r="T1766" i="26"/>
  <c r="U1766" i="26"/>
  <c r="V1766" i="26"/>
  <c r="Q1773" i="26"/>
  <c r="R1773" i="26"/>
  <c r="S1773" i="26"/>
  <c r="T1773" i="26"/>
  <c r="U1773" i="26"/>
  <c r="V1773" i="26"/>
  <c r="Q1779" i="26"/>
  <c r="R1779" i="26"/>
  <c r="S1779" i="26"/>
  <c r="T1779" i="26"/>
  <c r="U1779" i="26"/>
  <c r="V1779" i="26"/>
  <c r="Q1780" i="26"/>
  <c r="R1780" i="26"/>
  <c r="S1780" i="26"/>
  <c r="T1780" i="26"/>
  <c r="U1780" i="26"/>
  <c r="V1780" i="26"/>
  <c r="Q1781" i="26"/>
  <c r="R1781" i="26"/>
  <c r="S1781" i="26"/>
  <c r="T1781" i="26"/>
  <c r="U1781" i="26"/>
  <c r="V1781" i="26"/>
  <c r="Q1788" i="26"/>
  <c r="R1788" i="26"/>
  <c r="S1788" i="26"/>
  <c r="T1788" i="26"/>
  <c r="U1788" i="26"/>
  <c r="V1788" i="26"/>
  <c r="Q1794" i="26"/>
  <c r="R1794" i="26"/>
  <c r="S1794" i="26"/>
  <c r="T1794" i="26"/>
  <c r="U1794" i="26"/>
  <c r="V1794" i="26"/>
  <c r="Q1795" i="26"/>
  <c r="R1795" i="26"/>
  <c r="S1795" i="26"/>
  <c r="T1795" i="26"/>
  <c r="U1795" i="26"/>
  <c r="V1795" i="26"/>
  <c r="Q1796" i="26"/>
  <c r="R1796" i="26"/>
  <c r="S1796" i="26"/>
  <c r="T1796" i="26"/>
  <c r="U1796" i="26"/>
  <c r="V1796" i="26"/>
  <c r="Q1803" i="26"/>
  <c r="R1803" i="26"/>
  <c r="S1803" i="26"/>
  <c r="T1803" i="26"/>
  <c r="U1803" i="26"/>
  <c r="V1803" i="26"/>
  <c r="O1816" i="26"/>
  <c r="P1816" i="26"/>
  <c r="Q1815" i="26"/>
  <c r="R1815" i="26"/>
  <c r="S1815" i="26"/>
  <c r="T1815" i="26"/>
  <c r="U1815" i="26"/>
  <c r="V1815" i="26"/>
  <c r="O1819" i="26"/>
  <c r="Q1818" i="26"/>
  <c r="R1818" i="26"/>
  <c r="S1818" i="26"/>
  <c r="T1818" i="26"/>
  <c r="U1818" i="26"/>
  <c r="V1818" i="26"/>
  <c r="P1819" i="26"/>
  <c r="O1822" i="26"/>
  <c r="P1822" i="26"/>
  <c r="Q1821" i="26"/>
  <c r="R1821" i="26"/>
  <c r="S1821" i="26"/>
  <c r="T1821" i="26"/>
  <c r="U1821" i="26"/>
  <c r="V1821" i="26"/>
  <c r="O1825" i="26"/>
  <c r="P1825" i="26"/>
  <c r="Q1824" i="26"/>
  <c r="R1824" i="26"/>
  <c r="S1824" i="26"/>
  <c r="T1824" i="26"/>
  <c r="U1824" i="26"/>
  <c r="V1824" i="26"/>
  <c r="O1828" i="26"/>
  <c r="P1828" i="26"/>
  <c r="Q1827" i="26"/>
  <c r="R1827" i="26"/>
  <c r="S1827" i="26"/>
  <c r="T1827" i="26"/>
  <c r="U1827" i="26"/>
  <c r="V1827" i="26"/>
  <c r="O1831" i="26"/>
  <c r="Q1830" i="26"/>
  <c r="R1830" i="26"/>
  <c r="S1830" i="26"/>
  <c r="T1830" i="26"/>
  <c r="U1830" i="26"/>
  <c r="V1830" i="26"/>
  <c r="P1831" i="26"/>
  <c r="Q1833" i="26"/>
  <c r="R1833" i="26"/>
  <c r="S1833" i="26"/>
  <c r="T1833" i="26"/>
  <c r="U1833" i="26"/>
  <c r="V1833" i="26"/>
  <c r="P1842" i="26"/>
  <c r="Q1844" i="26"/>
  <c r="R1844" i="26"/>
  <c r="S1844" i="26"/>
  <c r="T1844" i="26"/>
  <c r="U1844" i="26"/>
  <c r="V1844" i="26"/>
  <c r="O1846" i="26"/>
  <c r="P1846" i="26"/>
  <c r="Q1848" i="26"/>
  <c r="R1848" i="26"/>
  <c r="S1848" i="26"/>
  <c r="T1848" i="26"/>
  <c r="U1848" i="26"/>
  <c r="V1848" i="26"/>
  <c r="Q1852" i="26"/>
  <c r="R1852" i="26"/>
  <c r="S1852" i="26"/>
  <c r="T1852" i="26"/>
  <c r="U1852" i="26"/>
  <c r="V1852" i="26"/>
  <c r="P1864" i="26"/>
  <c r="Q1863" i="26"/>
  <c r="R1863" i="26"/>
  <c r="S1863" i="26"/>
  <c r="T1863" i="26"/>
  <c r="U1863" i="26"/>
  <c r="V1863" i="26"/>
  <c r="O1864" i="26"/>
  <c r="Q1866" i="26"/>
  <c r="R1866" i="26"/>
  <c r="S1866" i="26"/>
  <c r="T1866" i="26"/>
  <c r="U1866" i="26"/>
  <c r="V1866" i="26"/>
  <c r="Q1872" i="26"/>
  <c r="R1872" i="26"/>
  <c r="S1872" i="26"/>
  <c r="T1872" i="26"/>
  <c r="U1872" i="26"/>
  <c r="V1872" i="26"/>
  <c r="Q1873" i="26"/>
  <c r="R1873" i="26"/>
  <c r="S1873" i="26"/>
  <c r="T1873" i="26"/>
  <c r="U1873" i="26"/>
  <c r="V1873" i="26"/>
  <c r="Q1874" i="26"/>
  <c r="R1874" i="26"/>
  <c r="S1874" i="26"/>
  <c r="T1874" i="26"/>
  <c r="U1874" i="26"/>
  <c r="V1874" i="26"/>
  <c r="Q1881" i="26"/>
  <c r="R1881" i="26"/>
  <c r="S1881" i="26"/>
  <c r="T1881" i="26"/>
  <c r="U1881" i="26"/>
  <c r="V1881" i="26"/>
  <c r="Q1886" i="26"/>
  <c r="R1886" i="26"/>
  <c r="S1886" i="26"/>
  <c r="T1886" i="26"/>
  <c r="U1886" i="26"/>
  <c r="V1886" i="26"/>
  <c r="Q1887" i="26"/>
  <c r="R1887" i="26"/>
  <c r="S1887" i="26"/>
  <c r="T1887" i="26"/>
  <c r="U1887" i="26"/>
  <c r="V1887" i="26"/>
  <c r="Q1888" i="26"/>
  <c r="R1888" i="26"/>
  <c r="S1888" i="26"/>
  <c r="T1888" i="26"/>
  <c r="U1888" i="26"/>
  <c r="V1888" i="26"/>
  <c r="Q1889" i="26"/>
  <c r="R1889" i="26"/>
  <c r="S1889" i="26"/>
  <c r="T1889" i="26"/>
  <c r="U1889" i="26"/>
  <c r="V1889" i="26"/>
  <c r="Q1890" i="26"/>
  <c r="R1890" i="26"/>
  <c r="S1890" i="26"/>
  <c r="T1890" i="26"/>
  <c r="U1890" i="26"/>
  <c r="V1890" i="26"/>
  <c r="Q1891" i="26"/>
  <c r="R1891" i="26"/>
  <c r="S1891" i="26"/>
  <c r="T1891" i="26"/>
  <c r="U1891" i="26"/>
  <c r="V1891" i="26"/>
  <c r="Q1898" i="26"/>
  <c r="R1898" i="26"/>
  <c r="S1898" i="26"/>
  <c r="T1898" i="26"/>
  <c r="U1898" i="26"/>
  <c r="V1898" i="26"/>
  <c r="Q1903" i="26"/>
  <c r="R1903" i="26"/>
  <c r="S1903" i="26"/>
  <c r="T1903" i="26"/>
  <c r="U1903" i="26"/>
  <c r="V1903" i="26"/>
  <c r="Q1904" i="26"/>
  <c r="R1904" i="26"/>
  <c r="S1904" i="26"/>
  <c r="T1904" i="26"/>
  <c r="U1904" i="26"/>
  <c r="V1904" i="26"/>
  <c r="O1909" i="26"/>
  <c r="Q1911" i="26"/>
  <c r="R1911" i="26"/>
  <c r="S1911" i="26"/>
  <c r="T1911" i="26"/>
  <c r="U1911" i="26"/>
  <c r="V1911" i="26"/>
  <c r="Q1917" i="26"/>
  <c r="R1917" i="26"/>
  <c r="S1917" i="26"/>
  <c r="T1917" i="26"/>
  <c r="U1917" i="26"/>
  <c r="V1917" i="26"/>
  <c r="Q1918" i="26"/>
  <c r="R1918" i="26"/>
  <c r="S1918" i="26"/>
  <c r="T1918" i="26"/>
  <c r="U1918" i="26"/>
  <c r="V1918" i="26"/>
  <c r="Q1919" i="26"/>
  <c r="R1919" i="26"/>
  <c r="S1919" i="26"/>
  <c r="T1919" i="26"/>
  <c r="U1919" i="26"/>
  <c r="V1919" i="26"/>
  <c r="Q1920" i="26"/>
  <c r="R1920" i="26"/>
  <c r="S1920" i="26"/>
  <c r="T1920" i="26"/>
  <c r="U1920" i="26"/>
  <c r="V1920" i="26"/>
  <c r="Q1927" i="26"/>
  <c r="R1927" i="26"/>
  <c r="S1927" i="26"/>
  <c r="T1927" i="26"/>
  <c r="U1927" i="26"/>
  <c r="V1927" i="26"/>
  <c r="Q1932" i="26"/>
  <c r="R1932" i="26"/>
  <c r="S1932" i="26"/>
  <c r="T1932" i="26"/>
  <c r="U1932" i="26"/>
  <c r="V1932" i="26"/>
  <c r="Q1933" i="26"/>
  <c r="R1933" i="26"/>
  <c r="S1933" i="26"/>
  <c r="T1933" i="26"/>
  <c r="U1933" i="26"/>
  <c r="V1933" i="26"/>
  <c r="Q1940" i="26"/>
  <c r="R1940" i="26"/>
  <c r="S1940" i="26"/>
  <c r="T1940" i="26"/>
  <c r="U1940" i="26"/>
  <c r="V1940" i="26"/>
  <c r="Q1946" i="26"/>
  <c r="R1946" i="26"/>
  <c r="S1946" i="26"/>
  <c r="T1946" i="26"/>
  <c r="U1946" i="26"/>
  <c r="V1946" i="26"/>
  <c r="Q1947" i="26"/>
  <c r="R1947" i="26"/>
  <c r="S1947" i="26"/>
  <c r="T1947" i="26"/>
  <c r="U1947" i="26"/>
  <c r="V1947" i="26"/>
  <c r="Q1948" i="26"/>
  <c r="R1948" i="26"/>
  <c r="S1948" i="26"/>
  <c r="T1948" i="26"/>
  <c r="U1948" i="26"/>
  <c r="V1948" i="26"/>
  <c r="Q1949" i="26"/>
  <c r="R1949" i="26"/>
  <c r="S1949" i="26"/>
  <c r="T1949" i="26"/>
  <c r="U1949" i="26"/>
  <c r="V1949" i="26"/>
  <c r="Q1956" i="26"/>
  <c r="R1956" i="26"/>
  <c r="S1956" i="26"/>
  <c r="T1956" i="26"/>
  <c r="U1956" i="26"/>
  <c r="V1956" i="26"/>
  <c r="Q1961" i="26"/>
  <c r="R1961" i="26"/>
  <c r="S1961" i="26"/>
  <c r="T1961" i="26"/>
  <c r="U1961" i="26"/>
  <c r="V1961" i="26"/>
  <c r="Q1962" i="26"/>
  <c r="R1962" i="26"/>
  <c r="S1962" i="26"/>
  <c r="T1962" i="26"/>
  <c r="U1962" i="26"/>
  <c r="V1962" i="26"/>
  <c r="Q1969" i="26"/>
  <c r="R1969" i="26"/>
  <c r="S1969" i="26"/>
  <c r="T1969" i="26"/>
  <c r="U1969" i="26"/>
  <c r="V1969" i="26"/>
  <c r="Q1974" i="26"/>
  <c r="R1974" i="26"/>
  <c r="S1974" i="26"/>
  <c r="T1974" i="26"/>
  <c r="U1974" i="26"/>
  <c r="V1974" i="26"/>
  <c r="Q1975" i="26"/>
  <c r="R1975" i="26"/>
  <c r="S1975" i="26"/>
  <c r="T1975" i="26"/>
  <c r="U1975" i="26"/>
  <c r="V1975" i="26"/>
  <c r="Q1976" i="26"/>
  <c r="R1976" i="26"/>
  <c r="S1976" i="26"/>
  <c r="T1976" i="26"/>
  <c r="U1976" i="26"/>
  <c r="V1976" i="26"/>
  <c r="Q1977" i="26"/>
  <c r="R1977" i="26"/>
  <c r="S1977" i="26"/>
  <c r="T1977" i="26"/>
  <c r="U1977" i="26"/>
  <c r="V1977" i="26"/>
  <c r="Q1978" i="26"/>
  <c r="R1978" i="26"/>
  <c r="S1978" i="26"/>
  <c r="T1978" i="26"/>
  <c r="U1978" i="26"/>
  <c r="V1978" i="26"/>
  <c r="Q1991" i="26"/>
  <c r="R1991" i="26"/>
  <c r="S1991" i="26"/>
  <c r="T1991" i="26"/>
  <c r="U1991" i="26"/>
  <c r="V1991" i="26"/>
  <c r="Q1998" i="26"/>
  <c r="R1998" i="26"/>
  <c r="S1998" i="26"/>
  <c r="T1998" i="26"/>
  <c r="U1998" i="26"/>
  <c r="V1998" i="26"/>
  <c r="Q2005" i="26"/>
  <c r="R2005" i="26"/>
  <c r="S2005" i="26"/>
  <c r="T2005" i="26"/>
  <c r="U2005" i="26"/>
  <c r="V2005" i="26"/>
  <c r="O2011" i="26"/>
  <c r="Q2019" i="26"/>
  <c r="R2019" i="26"/>
  <c r="S2019" i="26"/>
  <c r="T2019" i="26"/>
  <c r="U2019" i="26"/>
  <c r="V2019" i="26"/>
  <c r="Q2025" i="26"/>
  <c r="R2025" i="26"/>
  <c r="S2025" i="26"/>
  <c r="T2025" i="26"/>
  <c r="U2025" i="26"/>
  <c r="V2025" i="26"/>
  <c r="Q2026" i="26"/>
  <c r="R2026" i="26"/>
  <c r="S2026" i="26"/>
  <c r="T2026" i="26"/>
  <c r="U2026" i="26"/>
  <c r="V2026" i="26"/>
  <c r="Q2033" i="26"/>
  <c r="R2033" i="26"/>
  <c r="S2033" i="26"/>
  <c r="T2033" i="26"/>
  <c r="U2033" i="26"/>
  <c r="V2033" i="26"/>
  <c r="Q2039" i="26"/>
  <c r="R2039" i="26"/>
  <c r="S2039" i="26"/>
  <c r="T2039" i="26"/>
  <c r="U2039" i="26"/>
  <c r="V2039" i="26"/>
  <c r="Q2040" i="26"/>
  <c r="R2040" i="26"/>
  <c r="S2040" i="26"/>
  <c r="T2040" i="26"/>
  <c r="U2040" i="26"/>
  <c r="V2040" i="26"/>
  <c r="Q2047" i="26"/>
  <c r="R2047" i="26"/>
  <c r="S2047" i="26"/>
  <c r="T2047" i="26"/>
  <c r="U2047" i="26"/>
  <c r="V2047" i="26"/>
  <c r="Q2053" i="26"/>
  <c r="R2053" i="26"/>
  <c r="S2053" i="26"/>
  <c r="T2053" i="26"/>
  <c r="U2053" i="26"/>
  <c r="V2053" i="26"/>
  <c r="Q2054" i="26"/>
  <c r="R2054" i="26"/>
  <c r="S2054" i="26"/>
  <c r="T2054" i="26"/>
  <c r="U2054" i="26"/>
  <c r="V2054" i="26"/>
  <c r="Q2061" i="26"/>
  <c r="R2061" i="26"/>
  <c r="S2061" i="26"/>
  <c r="T2061" i="26"/>
  <c r="U2061" i="26"/>
  <c r="V2061" i="26"/>
  <c r="Q2067" i="26"/>
  <c r="R2067" i="26"/>
  <c r="S2067" i="26"/>
  <c r="T2067" i="26"/>
  <c r="U2067" i="26"/>
  <c r="V2067" i="26"/>
  <c r="Q2068" i="26"/>
  <c r="R2068" i="26"/>
  <c r="S2068" i="26"/>
  <c r="T2068" i="26"/>
  <c r="U2068" i="26"/>
  <c r="V2068" i="26"/>
  <c r="Q2075" i="26"/>
  <c r="R2075" i="26"/>
  <c r="S2075" i="26"/>
  <c r="T2075" i="26"/>
  <c r="U2075" i="26"/>
  <c r="V2075" i="26"/>
  <c r="Q2081" i="26"/>
  <c r="R2081" i="26"/>
  <c r="S2081" i="26"/>
  <c r="T2081" i="26"/>
  <c r="U2081" i="26"/>
  <c r="V2081" i="26"/>
  <c r="Q2082" i="26"/>
  <c r="R2082" i="26"/>
  <c r="S2082" i="26"/>
  <c r="T2082" i="26"/>
  <c r="U2082" i="26"/>
  <c r="V2082" i="26"/>
  <c r="Q2089" i="26"/>
  <c r="R2089" i="26"/>
  <c r="S2089" i="26"/>
  <c r="T2089" i="26"/>
  <c r="U2089" i="26"/>
  <c r="V2089" i="26"/>
  <c r="Q2095" i="26"/>
  <c r="R2095" i="26"/>
  <c r="S2095" i="26"/>
  <c r="T2095" i="26"/>
  <c r="U2095" i="26"/>
  <c r="V2095" i="26"/>
  <c r="Q2096" i="26"/>
  <c r="R2096" i="26"/>
  <c r="S2096" i="26"/>
  <c r="T2096" i="26"/>
  <c r="U2096" i="26"/>
  <c r="V2096" i="26"/>
  <c r="Q2103" i="26"/>
  <c r="R2103" i="26"/>
  <c r="S2103" i="26"/>
  <c r="T2103" i="26"/>
  <c r="U2103" i="26"/>
  <c r="V2103" i="26"/>
  <c r="Q2109" i="26"/>
  <c r="R2109" i="26"/>
  <c r="S2109" i="26"/>
  <c r="T2109" i="26"/>
  <c r="U2109" i="26"/>
  <c r="V2109" i="26"/>
  <c r="Q2110" i="26"/>
  <c r="R2110" i="26"/>
  <c r="S2110" i="26"/>
  <c r="T2110" i="26"/>
  <c r="U2110" i="26"/>
  <c r="V2110" i="26"/>
  <c r="Q2111" i="26"/>
  <c r="R2111" i="26"/>
  <c r="S2111" i="26"/>
  <c r="T2111" i="26"/>
  <c r="U2111" i="26"/>
  <c r="V2111" i="26"/>
  <c r="Q2112" i="26"/>
  <c r="R2112" i="26"/>
  <c r="S2112" i="26"/>
  <c r="T2112" i="26"/>
  <c r="U2112" i="26"/>
  <c r="V2112" i="26"/>
  <c r="Q2113" i="26"/>
  <c r="R2113" i="26"/>
  <c r="S2113" i="26"/>
  <c r="T2113" i="26"/>
  <c r="U2113" i="26"/>
  <c r="V2113" i="26"/>
  <c r="Q2114" i="26"/>
  <c r="R2114" i="26"/>
  <c r="S2114" i="26"/>
  <c r="T2114" i="26"/>
  <c r="U2114" i="26"/>
  <c r="V2114" i="26"/>
  <c r="Q2115" i="26"/>
  <c r="R2115" i="26"/>
  <c r="S2115" i="26"/>
  <c r="T2115" i="26"/>
  <c r="U2115" i="26"/>
  <c r="V2115" i="26"/>
  <c r="Q2116" i="26"/>
  <c r="R2116" i="26"/>
  <c r="S2116" i="26"/>
  <c r="T2116" i="26"/>
  <c r="U2116" i="26"/>
  <c r="V2116" i="26"/>
  <c r="Q2117" i="26"/>
  <c r="R2117" i="26"/>
  <c r="S2117" i="26"/>
  <c r="T2117" i="26"/>
  <c r="U2117" i="26"/>
  <c r="V2117" i="26"/>
  <c r="Q2124" i="26"/>
  <c r="R2124" i="26"/>
  <c r="S2124" i="26"/>
  <c r="T2124" i="26"/>
  <c r="U2124" i="26"/>
  <c r="V2124" i="26"/>
  <c r="Q2133" i="26"/>
  <c r="R2133" i="26"/>
  <c r="S2133" i="26"/>
  <c r="T2133" i="26"/>
  <c r="U2133" i="26"/>
  <c r="V2133" i="26"/>
  <c r="O2140" i="26"/>
  <c r="Q2148" i="26"/>
  <c r="R2148" i="26"/>
  <c r="S2148" i="26"/>
  <c r="T2148" i="26"/>
  <c r="U2148" i="26"/>
  <c r="V2148" i="26"/>
  <c r="Q2153" i="26"/>
  <c r="R2153" i="26"/>
  <c r="S2153" i="26"/>
  <c r="T2153" i="26"/>
  <c r="U2153" i="26"/>
  <c r="V2153" i="26"/>
  <c r="Q2154" i="26"/>
  <c r="R2154" i="26"/>
  <c r="S2154" i="26"/>
  <c r="T2154" i="26"/>
  <c r="U2154" i="26"/>
  <c r="V2154" i="26"/>
  <c r="Q2161" i="26"/>
  <c r="R2161" i="26"/>
  <c r="S2161" i="26"/>
  <c r="T2161" i="26"/>
  <c r="U2161" i="26"/>
  <c r="V2161" i="26"/>
  <c r="Q2173" i="26"/>
  <c r="R2173" i="26"/>
  <c r="S2173" i="26"/>
  <c r="T2173" i="26"/>
  <c r="U2173" i="26"/>
  <c r="V2173" i="26"/>
  <c r="O2183" i="26"/>
  <c r="Q2185" i="26"/>
  <c r="R2185" i="26"/>
  <c r="S2185" i="26"/>
  <c r="T2185" i="26"/>
  <c r="U2185" i="26"/>
  <c r="V2185" i="26"/>
  <c r="O2186" i="26"/>
  <c r="P2186" i="26"/>
  <c r="P2189" i="26"/>
  <c r="Q2188" i="26"/>
  <c r="R2188" i="26"/>
  <c r="S2188" i="26"/>
  <c r="T2188" i="26"/>
  <c r="U2188" i="26"/>
  <c r="V2188" i="26"/>
  <c r="O2189" i="26"/>
  <c r="P2192" i="26"/>
  <c r="Q2191" i="26"/>
  <c r="R2191" i="26"/>
  <c r="S2191" i="26"/>
  <c r="T2191" i="26"/>
  <c r="U2191" i="26"/>
  <c r="V2191" i="26"/>
  <c r="O2192" i="26"/>
  <c r="P2195" i="26"/>
  <c r="Q2194" i="26"/>
  <c r="R2194" i="26"/>
  <c r="S2194" i="26"/>
  <c r="T2194" i="26"/>
  <c r="U2194" i="26"/>
  <c r="V2194" i="26"/>
  <c r="O2195" i="26"/>
  <c r="P2198" i="26"/>
  <c r="Q2197" i="26"/>
  <c r="R2197" i="26"/>
  <c r="S2197" i="26"/>
  <c r="T2197" i="26"/>
  <c r="U2197" i="26"/>
  <c r="V2197" i="26"/>
  <c r="O2198" i="26"/>
  <c r="P2201" i="26"/>
  <c r="Q2200" i="26"/>
  <c r="R2200" i="26"/>
  <c r="S2200" i="26"/>
  <c r="T2200" i="26"/>
  <c r="U2200" i="26"/>
  <c r="V2200" i="26"/>
  <c r="O2201" i="26"/>
  <c r="Q2203" i="26"/>
  <c r="R2203" i="26"/>
  <c r="S2203" i="26"/>
  <c r="T2203" i="26"/>
  <c r="U2203" i="26"/>
  <c r="V2203" i="26"/>
  <c r="O2205" i="26"/>
  <c r="P2205" i="26"/>
  <c r="Q2207" i="26"/>
  <c r="R2207" i="26"/>
  <c r="S2207" i="26"/>
  <c r="T2207" i="26"/>
  <c r="U2207" i="26"/>
  <c r="V2207" i="26"/>
  <c r="Q2215" i="26"/>
  <c r="R2215" i="26"/>
  <c r="S2215" i="26"/>
  <c r="T2215" i="26"/>
  <c r="U2215" i="26"/>
  <c r="V2215" i="26"/>
  <c r="P2216" i="26"/>
  <c r="Q2218" i="26"/>
  <c r="R2218" i="26"/>
  <c r="S2218" i="26"/>
  <c r="T2218" i="26"/>
  <c r="U2218" i="26"/>
  <c r="V2218" i="26"/>
  <c r="P2219" i="26"/>
  <c r="Q2221" i="26"/>
  <c r="R2221" i="26"/>
  <c r="S2221" i="26"/>
  <c r="T2221" i="26"/>
  <c r="U2221" i="26"/>
  <c r="V2221" i="26"/>
  <c r="P2222" i="26"/>
  <c r="Q2224" i="26"/>
  <c r="R2224" i="26"/>
  <c r="S2224" i="26"/>
  <c r="T2224" i="26"/>
  <c r="U2224" i="26"/>
  <c r="V2224" i="26"/>
  <c r="O2234" i="26"/>
  <c r="Q2236" i="26"/>
  <c r="R2236" i="26"/>
  <c r="S2236" i="26"/>
  <c r="T2236" i="26"/>
  <c r="U2236" i="26"/>
  <c r="V2236" i="26"/>
  <c r="Q2241" i="26"/>
  <c r="R2241" i="26"/>
  <c r="S2241" i="26"/>
  <c r="T2241" i="26"/>
  <c r="U2241" i="26"/>
  <c r="V2241" i="26"/>
  <c r="Q2248" i="26"/>
  <c r="R2248" i="26"/>
  <c r="S2248" i="26"/>
  <c r="T2248" i="26"/>
  <c r="U2248" i="26"/>
  <c r="V2248" i="26"/>
  <c r="O2255" i="26"/>
  <c r="O2258" i="26"/>
  <c r="Q2257" i="26"/>
  <c r="R2257" i="26"/>
  <c r="S2257" i="26"/>
  <c r="T2257" i="26"/>
  <c r="U2257" i="26"/>
  <c r="V2257" i="26"/>
  <c r="P2258" i="26"/>
  <c r="O2261" i="26"/>
  <c r="Q2260" i="26"/>
  <c r="R2260" i="26"/>
  <c r="S2260" i="26"/>
  <c r="T2260" i="26"/>
  <c r="U2260" i="26"/>
  <c r="V2260" i="26"/>
  <c r="P2261" i="26"/>
  <c r="O2264" i="26"/>
  <c r="Q2263" i="26"/>
  <c r="R2263" i="26"/>
  <c r="S2263" i="26"/>
  <c r="T2263" i="26"/>
  <c r="U2263" i="26"/>
  <c r="V2263" i="26"/>
  <c r="P2264" i="26"/>
  <c r="O2267" i="26"/>
  <c r="P2267" i="26"/>
  <c r="Q2266" i="26"/>
  <c r="R2266" i="26"/>
  <c r="S2266" i="26"/>
  <c r="T2266" i="26"/>
  <c r="U2266" i="26"/>
  <c r="V2266" i="26"/>
  <c r="O2270" i="26"/>
  <c r="Q2269" i="26"/>
  <c r="R2269" i="26"/>
  <c r="S2269" i="26"/>
  <c r="T2269" i="26"/>
  <c r="U2269" i="26"/>
  <c r="V2269" i="26"/>
  <c r="P2270" i="26"/>
  <c r="Q2272" i="26"/>
  <c r="R2272" i="26"/>
  <c r="S2272" i="26"/>
  <c r="T2272" i="26"/>
  <c r="U2272" i="26"/>
  <c r="V2272" i="26"/>
  <c r="Q2277" i="26"/>
  <c r="R2277" i="26"/>
  <c r="S2277" i="26"/>
  <c r="T2277" i="26"/>
  <c r="U2277" i="26"/>
  <c r="V2277" i="26"/>
  <c r="Q2284" i="26"/>
  <c r="R2284" i="26"/>
  <c r="S2284" i="26"/>
  <c r="T2284" i="26"/>
  <c r="U2284" i="26"/>
  <c r="V2284" i="26"/>
  <c r="P2294" i="26"/>
  <c r="P2297" i="26"/>
  <c r="Q2296" i="26"/>
  <c r="R2296" i="26"/>
  <c r="S2296" i="26"/>
  <c r="T2296" i="26"/>
  <c r="U2296" i="26"/>
  <c r="V2296" i="26"/>
  <c r="P2300" i="26"/>
  <c r="Q2299" i="26"/>
  <c r="R2299" i="26"/>
  <c r="S2299" i="26"/>
  <c r="T2299" i="26"/>
  <c r="U2299" i="26"/>
  <c r="V2299" i="26"/>
  <c r="P2303" i="26"/>
  <c r="Q2302" i="26"/>
  <c r="R2302" i="26"/>
  <c r="S2302" i="26"/>
  <c r="T2302" i="26"/>
  <c r="U2302" i="26"/>
  <c r="V2302" i="26"/>
  <c r="P2306" i="26"/>
  <c r="Q2305" i="26"/>
  <c r="R2305" i="26"/>
  <c r="S2305" i="26"/>
  <c r="T2305" i="26"/>
  <c r="U2305" i="26"/>
  <c r="V2305" i="26"/>
  <c r="P2309" i="26"/>
  <c r="Q2308" i="26"/>
  <c r="R2308" i="26"/>
  <c r="S2308" i="26"/>
  <c r="T2308" i="26"/>
  <c r="U2308" i="26"/>
  <c r="V2308" i="26"/>
  <c r="P2312" i="26"/>
  <c r="Q2311" i="26"/>
  <c r="R2311" i="26"/>
  <c r="S2311" i="26"/>
  <c r="T2311" i="26"/>
  <c r="U2311" i="26"/>
  <c r="V2311" i="26"/>
  <c r="Q2314" i="26"/>
  <c r="R2314" i="26"/>
  <c r="S2314" i="26"/>
  <c r="T2314" i="26"/>
  <c r="U2314" i="26"/>
  <c r="V2314" i="26"/>
  <c r="Q2326" i="26"/>
  <c r="R2326" i="26"/>
  <c r="S2326" i="26"/>
  <c r="T2326" i="26"/>
  <c r="U2326" i="26"/>
  <c r="V2326" i="26"/>
  <c r="O2327" i="26"/>
  <c r="P2327" i="26"/>
  <c r="Q2329" i="26"/>
  <c r="R2329" i="26"/>
  <c r="S2329" i="26"/>
  <c r="T2329" i="26"/>
  <c r="U2329" i="26"/>
  <c r="V2329" i="26"/>
  <c r="O2330" i="26"/>
  <c r="P2330" i="26"/>
  <c r="Q2332" i="26"/>
  <c r="R2332" i="26"/>
  <c r="S2332" i="26"/>
  <c r="T2332" i="26"/>
  <c r="U2332" i="26"/>
  <c r="V2332" i="26"/>
  <c r="O2333" i="26"/>
  <c r="P2333" i="26"/>
  <c r="Q2335" i="26"/>
  <c r="R2335" i="26"/>
  <c r="S2335" i="26"/>
  <c r="T2335" i="26"/>
  <c r="U2335" i="26"/>
  <c r="V2335" i="26"/>
  <c r="P2345" i="26"/>
  <c r="O2348" i="26"/>
  <c r="Q2347" i="26"/>
  <c r="R2347" i="26"/>
  <c r="S2347" i="26"/>
  <c r="T2347" i="26"/>
  <c r="U2347" i="26"/>
  <c r="V2347" i="26"/>
  <c r="P2348" i="26"/>
  <c r="Q2350" i="26"/>
  <c r="R2350" i="26"/>
  <c r="S2350" i="26"/>
  <c r="T2350" i="26"/>
  <c r="U2350" i="26"/>
  <c r="V2350" i="26"/>
  <c r="P2363" i="26"/>
  <c r="Q2362" i="26"/>
  <c r="R2362" i="26"/>
  <c r="S2362" i="26"/>
  <c r="T2362" i="26"/>
  <c r="U2362" i="26"/>
  <c r="V2362" i="26"/>
  <c r="Q2365" i="26"/>
  <c r="R2365" i="26"/>
  <c r="S2365" i="26"/>
  <c r="T2365" i="26"/>
  <c r="U2365" i="26"/>
  <c r="V2365" i="26"/>
  <c r="Q2371" i="26"/>
  <c r="R2371" i="26"/>
  <c r="S2371" i="26"/>
  <c r="T2371" i="26"/>
  <c r="U2371" i="26"/>
  <c r="V2371" i="26"/>
  <c r="Q2372" i="26"/>
  <c r="R2372" i="26"/>
  <c r="S2372" i="26"/>
  <c r="T2372" i="26"/>
  <c r="U2372" i="26"/>
  <c r="V2372" i="26"/>
  <c r="Q2373" i="26"/>
  <c r="R2373" i="26"/>
  <c r="S2373" i="26"/>
  <c r="T2373" i="26"/>
  <c r="U2373" i="26"/>
  <c r="V2373" i="26"/>
  <c r="Q2374" i="26"/>
  <c r="R2374" i="26"/>
  <c r="S2374" i="26"/>
  <c r="T2374" i="26"/>
  <c r="U2374" i="26"/>
  <c r="V2374" i="26"/>
  <c r="Q2375" i="26"/>
  <c r="R2375" i="26"/>
  <c r="S2375" i="26"/>
  <c r="T2375" i="26"/>
  <c r="U2375" i="26"/>
  <c r="V2375" i="26"/>
  <c r="Q2376" i="26"/>
  <c r="R2376" i="26"/>
  <c r="S2376" i="26"/>
  <c r="T2376" i="26"/>
  <c r="U2376" i="26"/>
  <c r="V2376" i="26"/>
  <c r="Q2377" i="26"/>
  <c r="R2377" i="26"/>
  <c r="S2377" i="26"/>
  <c r="T2377" i="26"/>
  <c r="U2377" i="26"/>
  <c r="V2377" i="26"/>
  <c r="Q2384" i="26"/>
  <c r="R2384" i="26"/>
  <c r="S2384" i="26"/>
  <c r="T2384" i="26"/>
  <c r="U2384" i="26"/>
  <c r="V2384" i="26"/>
  <c r="Q2390" i="26"/>
  <c r="R2390" i="26"/>
  <c r="S2390" i="26"/>
  <c r="T2390" i="26"/>
  <c r="U2390" i="26"/>
  <c r="V2390" i="26"/>
  <c r="Q2391" i="26"/>
  <c r="R2391" i="26"/>
  <c r="S2391" i="26"/>
  <c r="T2391" i="26"/>
  <c r="U2391" i="26"/>
  <c r="V2391" i="26"/>
  <c r="Q2392" i="26"/>
  <c r="R2392" i="26"/>
  <c r="S2392" i="26"/>
  <c r="T2392" i="26"/>
  <c r="U2392" i="26"/>
  <c r="V2392" i="26"/>
  <c r="Q2399" i="26"/>
  <c r="R2399" i="26"/>
  <c r="S2399" i="26"/>
  <c r="T2399" i="26"/>
  <c r="U2399" i="26"/>
  <c r="V2399" i="26"/>
  <c r="Q2405" i="26"/>
  <c r="R2405" i="26"/>
  <c r="S2405" i="26"/>
  <c r="T2405" i="26"/>
  <c r="U2405" i="26"/>
  <c r="V2405" i="26"/>
  <c r="Q2406" i="26"/>
  <c r="R2406" i="26"/>
  <c r="S2406" i="26"/>
  <c r="T2406" i="26"/>
  <c r="U2406" i="26"/>
  <c r="V2406" i="26"/>
  <c r="Q2413" i="26"/>
  <c r="R2413" i="26"/>
  <c r="S2413" i="26"/>
  <c r="T2413" i="26"/>
  <c r="U2413" i="26"/>
  <c r="V2413" i="26"/>
  <c r="Q2419" i="26"/>
  <c r="R2419" i="26"/>
  <c r="S2419" i="26"/>
  <c r="T2419" i="26"/>
  <c r="U2419" i="26"/>
  <c r="V2419" i="26"/>
  <c r="Q2420" i="26"/>
  <c r="R2420" i="26"/>
  <c r="S2420" i="26"/>
  <c r="T2420" i="26"/>
  <c r="U2420" i="26"/>
  <c r="V2420" i="26"/>
  <c r="Q2421" i="26"/>
  <c r="R2421" i="26"/>
  <c r="S2421" i="26"/>
  <c r="T2421" i="26"/>
  <c r="U2421" i="26"/>
  <c r="V2421" i="26"/>
  <c r="P2429" i="26"/>
  <c r="Q2428" i="26"/>
  <c r="R2428" i="26"/>
  <c r="S2428" i="26"/>
  <c r="T2428" i="26"/>
  <c r="U2428" i="26"/>
  <c r="V2428" i="26"/>
  <c r="P2432" i="26"/>
  <c r="Q2431" i="26"/>
  <c r="R2431" i="26"/>
  <c r="S2431" i="26"/>
  <c r="T2431" i="26"/>
  <c r="U2431" i="26"/>
  <c r="V2431" i="26"/>
  <c r="P2435" i="26"/>
  <c r="Q2434" i="26"/>
  <c r="R2434" i="26"/>
  <c r="S2434" i="26"/>
  <c r="T2434" i="26"/>
  <c r="U2434" i="26"/>
  <c r="V2434" i="26"/>
  <c r="Q2437" i="26"/>
  <c r="R2437" i="26"/>
  <c r="S2437" i="26"/>
  <c r="T2437" i="26"/>
  <c r="U2437" i="26"/>
  <c r="V2437" i="26"/>
  <c r="Q2442" i="26"/>
  <c r="R2442" i="26"/>
  <c r="S2442" i="26"/>
  <c r="T2442" i="26"/>
  <c r="U2442" i="26"/>
  <c r="V2442" i="26"/>
  <c r="Q2455" i="26"/>
  <c r="R2455" i="26"/>
  <c r="S2455" i="26"/>
  <c r="T2455" i="26"/>
  <c r="P2460" i="26" s="1"/>
  <c r="U2455" i="26"/>
  <c r="V2455" i="26"/>
  <c r="Q2462" i="26"/>
  <c r="R2462" i="26"/>
  <c r="S2462" i="26"/>
  <c r="T2462" i="26"/>
  <c r="U2462" i="26"/>
  <c r="V2462" i="26"/>
  <c r="Q2475" i="26"/>
  <c r="R2475" i="26"/>
  <c r="S2475" i="26"/>
  <c r="T2475" i="26"/>
  <c r="U2475" i="26"/>
  <c r="V2475" i="26"/>
  <c r="Q2481" i="26"/>
  <c r="R2481" i="26"/>
  <c r="S2481" i="26"/>
  <c r="T2481" i="26"/>
  <c r="U2481" i="26"/>
  <c r="V2481" i="26"/>
  <c r="Q2482" i="26"/>
  <c r="R2482" i="26"/>
  <c r="S2482" i="26"/>
  <c r="T2482" i="26"/>
  <c r="U2482" i="26"/>
  <c r="V2482" i="26"/>
  <c r="Q2489" i="26"/>
  <c r="R2489" i="26"/>
  <c r="S2489" i="26"/>
  <c r="T2489" i="26"/>
  <c r="U2489" i="26"/>
  <c r="V2489" i="26"/>
  <c r="Q2495" i="26"/>
  <c r="R2495" i="26"/>
  <c r="S2495" i="26"/>
  <c r="T2495" i="26"/>
  <c r="U2495" i="26"/>
  <c r="V2495" i="26"/>
  <c r="Q2496" i="26"/>
  <c r="R2496" i="26"/>
  <c r="S2496" i="26"/>
  <c r="T2496" i="26"/>
  <c r="U2496" i="26"/>
  <c r="V2496" i="26"/>
  <c r="Q2503" i="26"/>
  <c r="R2503" i="26"/>
  <c r="S2503" i="26"/>
  <c r="T2503" i="26"/>
  <c r="U2503" i="26"/>
  <c r="V2503" i="26"/>
  <c r="Q2509" i="26"/>
  <c r="R2509" i="26"/>
  <c r="S2509" i="26"/>
  <c r="T2509" i="26"/>
  <c r="U2509" i="26"/>
  <c r="V2509" i="26"/>
  <c r="Q2510" i="26"/>
  <c r="R2510" i="26"/>
  <c r="S2510" i="26"/>
  <c r="T2510" i="26"/>
  <c r="U2510" i="26"/>
  <c r="V2510" i="26"/>
  <c r="Q2517" i="26"/>
  <c r="R2517" i="26"/>
  <c r="S2517" i="26"/>
  <c r="T2517" i="26"/>
  <c r="U2517" i="26"/>
  <c r="V2517" i="26"/>
  <c r="Q2523" i="26"/>
  <c r="R2523" i="26"/>
  <c r="S2523" i="26"/>
  <c r="T2523" i="26"/>
  <c r="U2523" i="26"/>
  <c r="V2523" i="26"/>
  <c r="Q2524" i="26"/>
  <c r="R2524" i="26"/>
  <c r="S2524" i="26"/>
  <c r="T2524" i="26"/>
  <c r="U2524" i="26"/>
  <c r="V2524" i="26"/>
  <c r="Q2531" i="26"/>
  <c r="R2531" i="26"/>
  <c r="S2531" i="26"/>
  <c r="T2531" i="26"/>
  <c r="U2531" i="26"/>
  <c r="V2531" i="26"/>
  <c r="Q2537" i="26"/>
  <c r="R2537" i="26"/>
  <c r="S2537" i="26"/>
  <c r="T2537" i="26"/>
  <c r="U2537" i="26"/>
  <c r="V2537" i="26"/>
  <c r="Q2538" i="26"/>
  <c r="R2538" i="26"/>
  <c r="S2538" i="26"/>
  <c r="T2538" i="26"/>
  <c r="U2538" i="26"/>
  <c r="V2538" i="26"/>
  <c r="Q2545" i="26"/>
  <c r="R2545" i="26"/>
  <c r="S2545" i="26"/>
  <c r="T2545" i="26"/>
  <c r="U2545" i="26"/>
  <c r="V2545" i="26"/>
  <c r="Q2551" i="26"/>
  <c r="R2551" i="26"/>
  <c r="S2551" i="26"/>
  <c r="T2551" i="26"/>
  <c r="U2551" i="26"/>
  <c r="V2551" i="26"/>
  <c r="Q2552" i="26"/>
  <c r="R2552" i="26"/>
  <c r="S2552" i="26"/>
  <c r="T2552" i="26"/>
  <c r="U2552" i="26"/>
  <c r="V2552" i="26"/>
  <c r="Q2559" i="26"/>
  <c r="R2559" i="26"/>
  <c r="S2559" i="26"/>
  <c r="T2559" i="26"/>
  <c r="U2559" i="26"/>
  <c r="V2559" i="26"/>
  <c r="Q2565" i="26"/>
  <c r="R2565" i="26"/>
  <c r="S2565" i="26"/>
  <c r="T2565" i="26"/>
  <c r="U2565" i="26"/>
  <c r="V2565" i="26"/>
  <c r="Q2566" i="26"/>
  <c r="R2566" i="26"/>
  <c r="S2566" i="26"/>
  <c r="T2566" i="26"/>
  <c r="U2566" i="26"/>
  <c r="V2566" i="26"/>
  <c r="Q2567" i="26"/>
  <c r="R2567" i="26"/>
  <c r="S2567" i="26"/>
  <c r="T2567" i="26"/>
  <c r="U2567" i="26"/>
  <c r="V2567" i="26"/>
  <c r="Q2568" i="26"/>
  <c r="R2568" i="26"/>
  <c r="S2568" i="26"/>
  <c r="T2568" i="26"/>
  <c r="U2568" i="26"/>
  <c r="V2568" i="26"/>
  <c r="Q2569" i="26"/>
  <c r="R2569" i="26"/>
  <c r="S2569" i="26"/>
  <c r="T2569" i="26"/>
  <c r="U2569" i="26"/>
  <c r="V2569" i="26"/>
  <c r="Q2570" i="26"/>
  <c r="R2570" i="26"/>
  <c r="S2570" i="26"/>
  <c r="T2570" i="26"/>
  <c r="U2570" i="26"/>
  <c r="V2570" i="26"/>
  <c r="Q2571" i="26"/>
  <c r="R2571" i="26"/>
  <c r="S2571" i="26"/>
  <c r="T2571" i="26"/>
  <c r="U2571" i="26"/>
  <c r="V2571" i="26"/>
  <c r="Q2572" i="26"/>
  <c r="R2572" i="26"/>
  <c r="S2572" i="26"/>
  <c r="T2572" i="26"/>
  <c r="U2572" i="26"/>
  <c r="V2572" i="26"/>
  <c r="Q2573" i="26"/>
  <c r="R2573" i="26"/>
  <c r="S2573" i="26"/>
  <c r="T2573" i="26"/>
  <c r="U2573" i="26"/>
  <c r="V2573" i="26"/>
  <c r="Q2580" i="26"/>
  <c r="R2580" i="26"/>
  <c r="S2580" i="26"/>
  <c r="T2580" i="26"/>
  <c r="U2580" i="26"/>
  <c r="V2580" i="26"/>
  <c r="O2587" i="26"/>
  <c r="Q2589" i="26"/>
  <c r="R2589" i="26"/>
  <c r="S2589" i="26"/>
  <c r="T2589" i="26"/>
  <c r="U2589" i="26"/>
  <c r="V2589" i="26"/>
  <c r="P2578" i="26" l="1"/>
  <c r="O2324" i="26"/>
  <c r="P2059" i="26"/>
  <c r="O2543" i="26"/>
  <c r="O2073" i="26"/>
  <c r="O2596" i="26"/>
  <c r="P2543" i="26"/>
  <c r="O2501" i="26"/>
  <c r="O2360" i="26"/>
  <c r="O2345" i="26"/>
  <c r="P2003" i="26"/>
  <c r="O1458" i="26"/>
  <c r="P1122" i="26"/>
  <c r="P2596" i="26"/>
  <c r="O2557" i="26"/>
  <c r="P2515" i="26"/>
  <c r="P2487" i="26"/>
  <c r="P2467" i="26"/>
  <c r="O2363" i="26"/>
  <c r="P2282" i="26"/>
  <c r="P2171" i="26"/>
  <c r="O2101" i="26"/>
  <c r="O2045" i="26"/>
  <c r="P1909" i="26"/>
  <c r="P1861" i="26"/>
  <c r="O1850" i="26"/>
  <c r="P1303" i="26"/>
  <c r="O1232" i="26"/>
  <c r="P1159" i="26"/>
  <c r="O2397" i="26"/>
  <c r="P2255" i="26"/>
  <c r="P2011" i="26"/>
  <c r="P1996" i="26"/>
  <c r="P1741" i="26"/>
  <c r="P1569" i="26"/>
  <c r="O1472" i="26"/>
  <c r="O1387" i="26"/>
  <c r="O1243" i="26"/>
  <c r="P2131" i="26"/>
  <c r="O1842" i="26"/>
  <c r="P1631" i="26"/>
  <c r="O1557" i="26"/>
  <c r="P1532" i="26"/>
  <c r="O1509" i="26"/>
  <c r="P1495" i="26"/>
  <c r="O1362" i="26"/>
  <c r="P1339" i="26"/>
  <c r="O1314" i="26"/>
  <c r="O1291" i="26"/>
  <c r="P1218" i="26"/>
  <c r="O1122" i="26"/>
  <c r="O1594" i="26"/>
  <c r="O1435" i="26"/>
  <c r="O1111" i="26"/>
  <c r="O1063" i="26"/>
  <c r="O1029" i="26"/>
  <c r="O1003" i="26"/>
  <c r="O992" i="26"/>
  <c r="O898" i="26"/>
  <c r="P813" i="26"/>
  <c r="P1813" i="26"/>
  <c r="P1756" i="26"/>
  <c r="O1606" i="26"/>
  <c r="P1606" i="26"/>
  <c r="O1572" i="26"/>
  <c r="O1399" i="26"/>
  <c r="O1328" i="26"/>
  <c r="O1269" i="26"/>
  <c r="O1266" i="26"/>
  <c r="O1184" i="26"/>
  <c r="O1125" i="26"/>
  <c r="O1040" i="26"/>
  <c r="O1015" i="26"/>
  <c r="P1015" i="26"/>
  <c r="P956" i="26"/>
  <c r="P931" i="26"/>
  <c r="P861" i="26"/>
  <c r="O1813" i="26"/>
  <c r="O1483" i="26"/>
  <c r="P1472" i="26"/>
  <c r="O1376" i="26"/>
  <c r="O1147" i="26"/>
  <c r="P1147" i="26"/>
  <c r="O1099" i="26"/>
  <c r="O1026" i="26"/>
  <c r="P1003" i="26"/>
  <c r="P981" i="26"/>
  <c r="P967" i="26"/>
  <c r="O945" i="26"/>
  <c r="O920" i="26"/>
  <c r="O1643" i="26"/>
  <c r="P1643" i="26"/>
  <c r="O1365" i="26"/>
  <c r="O1136" i="26"/>
  <c r="P978" i="26"/>
  <c r="O967" i="26"/>
  <c r="P777" i="26"/>
  <c r="O706" i="26"/>
  <c r="P633" i="26"/>
  <c r="P621" i="26"/>
  <c r="P596" i="26"/>
  <c r="O526" i="26"/>
  <c r="O255" i="26"/>
  <c r="O887" i="26"/>
  <c r="O873" i="26"/>
  <c r="O825" i="26"/>
  <c r="O791" i="26"/>
  <c r="O788" i="26"/>
  <c r="P585" i="26"/>
  <c r="P574" i="26"/>
  <c r="P563" i="26"/>
  <c r="O504" i="26"/>
  <c r="P467" i="26"/>
  <c r="P259" i="26"/>
  <c r="P765" i="26"/>
  <c r="O717" i="26"/>
  <c r="P453" i="26"/>
  <c r="P430" i="26"/>
  <c r="P293" i="26"/>
  <c r="O978" i="26"/>
  <c r="O813" i="26"/>
  <c r="O729" i="26"/>
  <c r="P729" i="26"/>
  <c r="P692" i="26"/>
  <c r="P647" i="26"/>
  <c r="P644" i="26"/>
  <c r="P442" i="26"/>
  <c r="O419" i="26"/>
  <c r="P221" i="26"/>
  <c r="O221" i="26"/>
  <c r="P549" i="26"/>
  <c r="P501" i="26"/>
  <c r="P419" i="26"/>
  <c r="P82" i="26"/>
  <c r="O78" i="26"/>
  <c r="O633" i="26"/>
  <c r="O378" i="26"/>
  <c r="P342" i="26"/>
  <c r="O263" i="26"/>
  <c r="O235" i="26"/>
  <c r="O765" i="26"/>
  <c r="O658" i="26"/>
  <c r="O549" i="26"/>
  <c r="P538" i="26"/>
  <c r="P390" i="26"/>
  <c r="P366" i="26"/>
  <c r="O267" i="26"/>
  <c r="P2587" i="26"/>
  <c r="O2578" i="26"/>
  <c r="P2557" i="26"/>
  <c r="O2515" i="26"/>
  <c r="O2460" i="26"/>
  <c r="O2447" i="26"/>
  <c r="P2426" i="26"/>
  <c r="O2411" i="26"/>
  <c r="P2397" i="26"/>
  <c r="P1983" i="26"/>
  <c r="P1771" i="26"/>
  <c r="O2467" i="26"/>
  <c r="P2324" i="26"/>
  <c r="P1786" i="26"/>
  <c r="P2501" i="26"/>
  <c r="P2447" i="26"/>
  <c r="P2411" i="26"/>
  <c r="P2382" i="26"/>
  <c r="O2382" i="26"/>
  <c r="P2360" i="26"/>
  <c r="O2487" i="26"/>
  <c r="P2246" i="26"/>
  <c r="P1925" i="26"/>
  <c r="O2213" i="26"/>
  <c r="P2183" i="26"/>
  <c r="P2073" i="26"/>
  <c r="P2031" i="26"/>
  <c r="O2031" i="26"/>
  <c r="O1938" i="26"/>
  <c r="O1801" i="26"/>
  <c r="O1712" i="26"/>
  <c r="O2435" i="26"/>
  <c r="O2432" i="26"/>
  <c r="O2429" i="26"/>
  <c r="O2426" i="26"/>
  <c r="O2312" i="26"/>
  <c r="O2309" i="26"/>
  <c r="O2306" i="26"/>
  <c r="O2303" i="26"/>
  <c r="O2300" i="26"/>
  <c r="O2297" i="26"/>
  <c r="O2294" i="26"/>
  <c r="O2246" i="26"/>
  <c r="P2234" i="26"/>
  <c r="O2219" i="26"/>
  <c r="O2171" i="26"/>
  <c r="P2159" i="26"/>
  <c r="O2159" i="26"/>
  <c r="P2140" i="26"/>
  <c r="O2003" i="26"/>
  <c r="O1996" i="26"/>
  <c r="P1938" i="26"/>
  <c r="P1879" i="26"/>
  <c r="O1861" i="26"/>
  <c r="O1756" i="26"/>
  <c r="P1967" i="26"/>
  <c r="O1967" i="26"/>
  <c r="O1925" i="26"/>
  <c r="P1850" i="26"/>
  <c r="O1771" i="26"/>
  <c r="O1698" i="26"/>
  <c r="P1684" i="26"/>
  <c r="O621" i="26"/>
  <c r="O596" i="26"/>
  <c r="O585" i="26"/>
  <c r="O563" i="26"/>
  <c r="P515" i="26"/>
  <c r="O2222" i="26"/>
  <c r="O2216" i="26"/>
  <c r="P2213" i="26"/>
  <c r="O2131" i="26"/>
  <c r="P2087" i="26"/>
  <c r="O2087" i="26"/>
  <c r="O1954" i="26"/>
  <c r="O1879" i="26"/>
  <c r="O1786" i="26"/>
  <c r="O1631" i="26"/>
  <c r="O1620" i="26"/>
  <c r="P1726" i="26"/>
  <c r="O610" i="26"/>
  <c r="O574" i="26"/>
  <c r="O981" i="26"/>
  <c r="O956" i="26"/>
  <c r="O934" i="26"/>
  <c r="O909" i="26"/>
  <c r="P402" i="26"/>
  <c r="P378" i="26"/>
  <c r="O366" i="26"/>
  <c r="P354" i="26"/>
  <c r="O293" i="26"/>
  <c r="P235" i="26"/>
  <c r="O208" i="26"/>
  <c r="O193" i="26"/>
  <c r="P152" i="26"/>
  <c r="P59" i="26"/>
  <c r="O59" i="26"/>
  <c r="O1660" i="26"/>
  <c r="O1657" i="26"/>
  <c r="O1424" i="26"/>
  <c r="O861" i="26"/>
  <c r="O644" i="26"/>
  <c r="O515" i="26"/>
  <c r="P490" i="26"/>
  <c r="O478" i="26"/>
  <c r="O467" i="26"/>
  <c r="O456" i="26"/>
  <c r="O390" i="26"/>
  <c r="O342" i="26"/>
  <c r="O318" i="26"/>
  <c r="P284" i="26"/>
  <c r="O251" i="26"/>
  <c r="O152" i="26"/>
  <c r="P122" i="26"/>
  <c r="O122" i="26"/>
  <c r="O490" i="26"/>
  <c r="P318" i="26"/>
  <c r="P306" i="26"/>
  <c r="P263" i="26"/>
  <c r="O180" i="26"/>
  <c r="P72" i="26"/>
  <c r="O453" i="26"/>
  <c r="O442" i="26"/>
  <c r="O354" i="26"/>
  <c r="O271" i="26"/>
  <c r="P208" i="26"/>
  <c r="P180" i="26"/>
  <c r="O166" i="26"/>
  <c r="O137" i="26"/>
  <c r="P137" i="26"/>
  <c r="O110" i="26"/>
  <c r="O72" i="26"/>
  <c r="O46" i="26"/>
  <c r="P46" i="26"/>
  <c r="O306" i="26"/>
  <c r="O2059" i="26" l="1"/>
  <c r="P1801" i="26"/>
  <c r="O2282" i="26"/>
  <c r="P110" i="26"/>
  <c r="P251" i="26"/>
  <c r="O402" i="26"/>
  <c r="O1726" i="26"/>
  <c r="O1741" i="26"/>
  <c r="O1684" i="26"/>
  <c r="O1983" i="26"/>
  <c r="O2122" i="26"/>
  <c r="P1954" i="26"/>
  <c r="P1712" i="26"/>
  <c r="P1896" i="26"/>
  <c r="O2529" i="26"/>
  <c r="P2101" i="26"/>
  <c r="P2122" i="26"/>
  <c r="O1896" i="26"/>
  <c r="P2529" i="26"/>
  <c r="P166" i="26"/>
  <c r="P193" i="26"/>
  <c r="P1698" i="26"/>
  <c r="P2045" i="26"/>
  <c r="AE10" i="25" l="1"/>
  <c r="Q39" i="25"/>
  <c r="R39" i="25"/>
  <c r="S39" i="25"/>
  <c r="T39" i="25"/>
  <c r="U39" i="25"/>
  <c r="V39" i="25"/>
  <c r="Q44" i="25"/>
  <c r="R44" i="25"/>
  <c r="S44" i="25"/>
  <c r="T44" i="25"/>
  <c r="U44" i="25"/>
  <c r="V44" i="25"/>
  <c r="Q45" i="25"/>
  <c r="R45" i="25"/>
  <c r="S45" i="25"/>
  <c r="T45" i="25"/>
  <c r="U45" i="25"/>
  <c r="V45" i="25"/>
  <c r="Q46" i="25"/>
  <c r="R46" i="25"/>
  <c r="S46" i="25"/>
  <c r="T46" i="25"/>
  <c r="U46" i="25"/>
  <c r="V46" i="25"/>
  <c r="Q47" i="25"/>
  <c r="R47" i="25"/>
  <c r="S47" i="25"/>
  <c r="T47" i="25"/>
  <c r="U47" i="25"/>
  <c r="V47" i="25"/>
  <c r="Q48" i="25"/>
  <c r="R48" i="25"/>
  <c r="S48" i="25"/>
  <c r="T48" i="25"/>
  <c r="U48" i="25"/>
  <c r="V48" i="25"/>
  <c r="Q49" i="25"/>
  <c r="R49" i="25"/>
  <c r="S49" i="25"/>
  <c r="T49" i="25"/>
  <c r="U49" i="25"/>
  <c r="V49" i="25"/>
  <c r="Q56" i="25"/>
  <c r="R56" i="25"/>
  <c r="S56" i="25"/>
  <c r="T56" i="25"/>
  <c r="U56" i="25"/>
  <c r="V56" i="25"/>
  <c r="Q61" i="25"/>
  <c r="R61" i="25"/>
  <c r="S61" i="25"/>
  <c r="T61" i="25"/>
  <c r="U61" i="25"/>
  <c r="V61" i="25"/>
  <c r="Q68" i="25"/>
  <c r="R68" i="25"/>
  <c r="S68" i="25"/>
  <c r="T68" i="25"/>
  <c r="U68" i="25"/>
  <c r="V68" i="25"/>
  <c r="P77" i="25"/>
  <c r="Q79" i="25"/>
  <c r="R79" i="25"/>
  <c r="S79" i="25"/>
  <c r="T79" i="25"/>
  <c r="U79" i="25"/>
  <c r="V79" i="25"/>
  <c r="Q84" i="25"/>
  <c r="R84" i="25"/>
  <c r="S84" i="25"/>
  <c r="T84" i="25"/>
  <c r="U84" i="25"/>
  <c r="V84" i="25"/>
  <c r="Q91" i="25"/>
  <c r="R91" i="25"/>
  <c r="S91" i="25"/>
  <c r="T91" i="25"/>
  <c r="U91" i="25"/>
  <c r="V91" i="25"/>
  <c r="Q102" i="25"/>
  <c r="R102" i="25"/>
  <c r="S102" i="25"/>
  <c r="T102" i="25"/>
  <c r="U102" i="25"/>
  <c r="V102" i="25"/>
  <c r="P111" i="25"/>
  <c r="Q113" i="25"/>
  <c r="R113" i="25"/>
  <c r="S113" i="25"/>
  <c r="T113" i="25"/>
  <c r="U113" i="25"/>
  <c r="V113" i="25"/>
  <c r="Q118" i="25"/>
  <c r="R118" i="25"/>
  <c r="S118" i="25"/>
  <c r="T118" i="25"/>
  <c r="U118" i="25"/>
  <c r="V118" i="25"/>
  <c r="Q125" i="25"/>
  <c r="R125" i="25"/>
  <c r="S125" i="25"/>
  <c r="T125" i="25"/>
  <c r="U125" i="25"/>
  <c r="V125" i="25"/>
  <c r="P134" i="25"/>
  <c r="Q136" i="25"/>
  <c r="R136" i="25"/>
  <c r="S136" i="25"/>
  <c r="T136" i="25"/>
  <c r="U136" i="25"/>
  <c r="V136" i="25"/>
  <c r="P145" i="25"/>
  <c r="Q147" i="25"/>
  <c r="R147" i="25"/>
  <c r="S147" i="25"/>
  <c r="T147" i="25"/>
  <c r="U147" i="25"/>
  <c r="V147" i="25"/>
  <c r="P156" i="25"/>
  <c r="Q164" i="25"/>
  <c r="R164" i="25"/>
  <c r="S164" i="25"/>
  <c r="T164" i="25"/>
  <c r="U164" i="25"/>
  <c r="V164" i="25"/>
  <c r="P165" i="25"/>
  <c r="Q167" i="25"/>
  <c r="R167" i="25"/>
  <c r="S167" i="25"/>
  <c r="T167" i="25"/>
  <c r="U167" i="25"/>
  <c r="V167" i="25"/>
  <c r="P168" i="25"/>
  <c r="Q170" i="25"/>
  <c r="R170" i="25"/>
  <c r="S170" i="25"/>
  <c r="T170" i="25"/>
  <c r="U170" i="25"/>
  <c r="V170" i="25"/>
  <c r="P171" i="25"/>
  <c r="Q173" i="25"/>
  <c r="R173" i="25"/>
  <c r="S173" i="25"/>
  <c r="T173" i="25"/>
  <c r="U173" i="25"/>
  <c r="V173" i="25"/>
  <c r="P174" i="25"/>
  <c r="Q176" i="25"/>
  <c r="R176" i="25"/>
  <c r="S176" i="25"/>
  <c r="T176" i="25"/>
  <c r="U176" i="25"/>
  <c r="V176" i="25"/>
  <c r="P177" i="25"/>
  <c r="Q179" i="25"/>
  <c r="R179" i="25"/>
  <c r="S179" i="25"/>
  <c r="T179" i="25"/>
  <c r="U179" i="25"/>
  <c r="V179" i="25"/>
  <c r="P180" i="25"/>
  <c r="Q188" i="25"/>
  <c r="R188" i="25"/>
  <c r="S188" i="25"/>
  <c r="T188" i="25"/>
  <c r="U188" i="25"/>
  <c r="V188" i="25"/>
  <c r="P194" i="25"/>
  <c r="Q196" i="25"/>
  <c r="R196" i="25"/>
  <c r="S196" i="25"/>
  <c r="T196" i="25"/>
  <c r="U196" i="25"/>
  <c r="V196" i="25"/>
  <c r="O212" i="25"/>
  <c r="P212" i="25"/>
  <c r="Q211" i="25"/>
  <c r="R211" i="25"/>
  <c r="S211" i="25"/>
  <c r="T211" i="25"/>
  <c r="U211" i="25"/>
  <c r="V211" i="25"/>
  <c r="O215" i="25"/>
  <c r="P215" i="25"/>
  <c r="Q214" i="25"/>
  <c r="R214" i="25"/>
  <c r="S214" i="25"/>
  <c r="T214" i="25"/>
  <c r="U214" i="25"/>
  <c r="V214" i="25"/>
  <c r="O218" i="25"/>
  <c r="Q217" i="25"/>
  <c r="R217" i="25"/>
  <c r="S217" i="25"/>
  <c r="T217" i="25"/>
  <c r="U217" i="25"/>
  <c r="V217" i="25"/>
  <c r="O221" i="25"/>
  <c r="P221" i="25"/>
  <c r="Q220" i="25"/>
  <c r="R220" i="25"/>
  <c r="S220" i="25"/>
  <c r="T220" i="25"/>
  <c r="U220" i="25"/>
  <c r="V220" i="25"/>
  <c r="O224" i="25"/>
  <c r="Q223" i="25"/>
  <c r="R223" i="25"/>
  <c r="S223" i="25"/>
  <c r="T223" i="25"/>
  <c r="U223" i="25"/>
  <c r="V223" i="25"/>
  <c r="O227" i="25"/>
  <c r="P227" i="25"/>
  <c r="Q226" i="25"/>
  <c r="R226" i="25"/>
  <c r="S226" i="25"/>
  <c r="T226" i="25"/>
  <c r="U226" i="25"/>
  <c r="V226" i="25"/>
  <c r="Q235" i="25"/>
  <c r="R235" i="25"/>
  <c r="S235" i="25"/>
  <c r="T235" i="25"/>
  <c r="U235" i="25"/>
  <c r="V235" i="25"/>
  <c r="O245" i="25"/>
  <c r="Q247" i="25"/>
  <c r="R247" i="25"/>
  <c r="S247" i="25"/>
  <c r="T247" i="25"/>
  <c r="U247" i="25"/>
  <c r="V247" i="25"/>
  <c r="Q253" i="25"/>
  <c r="R253" i="25"/>
  <c r="S253" i="25"/>
  <c r="T253" i="25"/>
  <c r="U253" i="25"/>
  <c r="V253" i="25"/>
  <c r="Q260" i="25"/>
  <c r="R260" i="25"/>
  <c r="S260" i="25"/>
  <c r="T260" i="25"/>
  <c r="U260" i="25"/>
  <c r="V260" i="25"/>
  <c r="O279" i="25"/>
  <c r="P279" i="25"/>
  <c r="Q278" i="25"/>
  <c r="R278" i="25"/>
  <c r="S278" i="25"/>
  <c r="T278" i="25"/>
  <c r="U278" i="25"/>
  <c r="V278" i="25"/>
  <c r="O282" i="25"/>
  <c r="P282" i="25"/>
  <c r="Q281" i="25"/>
  <c r="R281" i="25"/>
  <c r="S281" i="25"/>
  <c r="T281" i="25"/>
  <c r="U281" i="25"/>
  <c r="V281" i="25"/>
  <c r="O285" i="25"/>
  <c r="P285" i="25"/>
  <c r="Q284" i="25"/>
  <c r="R284" i="25"/>
  <c r="S284" i="25"/>
  <c r="T284" i="25"/>
  <c r="U284" i="25"/>
  <c r="V284" i="25"/>
  <c r="Q293" i="25"/>
  <c r="R293" i="25"/>
  <c r="S293" i="25"/>
  <c r="T293" i="25"/>
  <c r="U293" i="25"/>
  <c r="V293" i="25"/>
  <c r="Q299" i="25"/>
  <c r="R299" i="25"/>
  <c r="S299" i="25"/>
  <c r="T299" i="25"/>
  <c r="U299" i="25"/>
  <c r="V299" i="25"/>
  <c r="Q300" i="25"/>
  <c r="R300" i="25"/>
  <c r="S300" i="25"/>
  <c r="T300" i="25"/>
  <c r="U300" i="25"/>
  <c r="V300" i="25"/>
  <c r="Q301" i="25"/>
  <c r="R301" i="25"/>
  <c r="S301" i="25"/>
  <c r="T301" i="25"/>
  <c r="U301" i="25"/>
  <c r="V301" i="25"/>
  <c r="Q308" i="25"/>
  <c r="R308" i="25"/>
  <c r="S308" i="25"/>
  <c r="T308" i="25"/>
  <c r="U308" i="25"/>
  <c r="V308" i="25"/>
  <c r="P319" i="25"/>
  <c r="Q314" i="25"/>
  <c r="R314" i="25"/>
  <c r="S314" i="25"/>
  <c r="T314" i="25"/>
  <c r="U314" i="25"/>
  <c r="V314" i="25"/>
  <c r="Q331" i="25"/>
  <c r="R331" i="25"/>
  <c r="S331" i="25"/>
  <c r="T331" i="25"/>
  <c r="P336" i="25" s="1"/>
  <c r="U331" i="25"/>
  <c r="V331" i="25"/>
  <c r="O306" i="25" l="1"/>
  <c r="P54" i="25"/>
  <c r="O54" i="25"/>
  <c r="O319" i="25"/>
  <c r="O270" i="25"/>
  <c r="P270" i="25"/>
  <c r="O194" i="25"/>
  <c r="O145" i="25"/>
  <c r="O123" i="25"/>
  <c r="P89" i="25"/>
  <c r="O66" i="25"/>
  <c r="P203" i="25"/>
  <c r="O203" i="25"/>
  <c r="P100" i="25"/>
  <c r="O336" i="25"/>
  <c r="P245" i="25"/>
  <c r="P306" i="25"/>
  <c r="O258" i="25"/>
  <c r="P123" i="25"/>
  <c r="O111" i="25"/>
  <c r="O100" i="25"/>
  <c r="O89" i="25"/>
  <c r="P66" i="25"/>
  <c r="P258" i="25"/>
  <c r="O180" i="25"/>
  <c r="O177" i="25"/>
  <c r="O174" i="25"/>
  <c r="O171" i="25"/>
  <c r="O168" i="25"/>
  <c r="O165" i="25"/>
  <c r="O156" i="25"/>
  <c r="O134" i="25"/>
  <c r="O77" i="25"/>
  <c r="P224" i="25"/>
  <c r="P218" i="25"/>
  <c r="AE10" i="23" l="1"/>
  <c r="Y35" i="23"/>
  <c r="Q35" i="23"/>
  <c r="R35" i="23"/>
  <c r="S35" i="23"/>
  <c r="T35" i="23"/>
  <c r="U35" i="23"/>
  <c r="V35" i="23"/>
  <c r="Z35" i="23"/>
  <c r="Y39" i="23"/>
  <c r="Z39" i="23"/>
  <c r="Q39" i="23"/>
  <c r="R39" i="23"/>
  <c r="S39" i="23"/>
  <c r="T39" i="23"/>
  <c r="U39" i="23"/>
  <c r="V39" i="23"/>
  <c r="Y42" i="23"/>
  <c r="Z42" i="23"/>
  <c r="Q42" i="23"/>
  <c r="R42" i="23"/>
  <c r="S42" i="23"/>
  <c r="T42" i="23"/>
  <c r="U42" i="23"/>
  <c r="V42" i="23"/>
  <c r="Y45" i="23"/>
  <c r="Q45" i="23"/>
  <c r="R45" i="23"/>
  <c r="S45" i="23"/>
  <c r="T45" i="23"/>
  <c r="U45" i="23"/>
  <c r="V45" i="23"/>
  <c r="AE10" i="22"/>
  <c r="Q37" i="22"/>
  <c r="R37" i="22"/>
  <c r="S37" i="22"/>
  <c r="T37" i="22"/>
  <c r="U37" i="22"/>
  <c r="V37" i="22"/>
  <c r="Q42" i="22"/>
  <c r="R42" i="22"/>
  <c r="S42" i="22"/>
  <c r="T42" i="22"/>
  <c r="U42" i="22"/>
  <c r="V42" i="22"/>
  <c r="Q49" i="22"/>
  <c r="R49" i="22"/>
  <c r="S49" i="22"/>
  <c r="T49" i="22"/>
  <c r="U49" i="22"/>
  <c r="V49" i="22"/>
  <c r="Q55" i="22"/>
  <c r="R55" i="22"/>
  <c r="S55" i="22"/>
  <c r="T55" i="22"/>
  <c r="U55" i="22"/>
  <c r="V55" i="22"/>
  <c r="Q56" i="22"/>
  <c r="R56" i="22"/>
  <c r="S56" i="22"/>
  <c r="T56" i="22"/>
  <c r="U56" i="22"/>
  <c r="V56" i="22"/>
  <c r="Q57" i="22"/>
  <c r="R57" i="22"/>
  <c r="S57" i="22"/>
  <c r="T57" i="22"/>
  <c r="U57" i="22"/>
  <c r="V57" i="22"/>
  <c r="Q64" i="22"/>
  <c r="R64" i="22"/>
  <c r="S64" i="22"/>
  <c r="T64" i="22"/>
  <c r="U64" i="22"/>
  <c r="V64" i="22"/>
  <c r="Q69" i="22"/>
  <c r="R69" i="22"/>
  <c r="S69" i="22"/>
  <c r="T69" i="22"/>
  <c r="U69" i="22"/>
  <c r="V69" i="22"/>
  <c r="Q70" i="22"/>
  <c r="R70" i="22"/>
  <c r="S70" i="22"/>
  <c r="T70" i="22"/>
  <c r="U70" i="22"/>
  <c r="V70" i="22"/>
  <c r="Q77" i="22"/>
  <c r="R77" i="22"/>
  <c r="S77" i="22"/>
  <c r="T77" i="22"/>
  <c r="U77" i="22"/>
  <c r="V77" i="22"/>
  <c r="Q82" i="22"/>
  <c r="R82" i="22"/>
  <c r="S82" i="22"/>
  <c r="T82" i="22"/>
  <c r="U82" i="22"/>
  <c r="V82" i="22"/>
  <c r="Q95" i="22"/>
  <c r="R95" i="22"/>
  <c r="S95" i="22"/>
  <c r="T95" i="22"/>
  <c r="U95" i="22"/>
  <c r="V95" i="22"/>
  <c r="Q100" i="22"/>
  <c r="R100" i="22"/>
  <c r="S100" i="22"/>
  <c r="T100" i="22"/>
  <c r="U100" i="22"/>
  <c r="V100" i="22"/>
  <c r="Q107" i="22"/>
  <c r="R107" i="22"/>
  <c r="S107" i="22"/>
  <c r="T107" i="22"/>
  <c r="U107" i="22"/>
  <c r="V107" i="22"/>
  <c r="Q110" i="22"/>
  <c r="R110" i="22"/>
  <c r="S110" i="22"/>
  <c r="T110" i="22"/>
  <c r="U110" i="22"/>
  <c r="V110" i="22"/>
  <c r="Q116" i="22"/>
  <c r="R116" i="22"/>
  <c r="S116" i="22"/>
  <c r="T116" i="22"/>
  <c r="U116" i="22"/>
  <c r="V116" i="22"/>
  <c r="Q121" i="22"/>
  <c r="R121" i="22"/>
  <c r="S121" i="22"/>
  <c r="T121" i="22"/>
  <c r="U121" i="22"/>
  <c r="V121" i="22"/>
  <c r="Q122" i="22"/>
  <c r="R122" i="22"/>
  <c r="S122" i="22"/>
  <c r="T122" i="22"/>
  <c r="U122" i="22"/>
  <c r="V122" i="22"/>
  <c r="Q123" i="22"/>
  <c r="R123" i="22"/>
  <c r="S123" i="22"/>
  <c r="T123" i="22"/>
  <c r="U123" i="22"/>
  <c r="V123" i="22"/>
  <c r="Q124" i="22"/>
  <c r="R124" i="22"/>
  <c r="S124" i="22"/>
  <c r="T124" i="22"/>
  <c r="U124" i="22"/>
  <c r="V124" i="22"/>
  <c r="Q125" i="22"/>
  <c r="R125" i="22"/>
  <c r="S125" i="22"/>
  <c r="T125" i="22"/>
  <c r="U125" i="22"/>
  <c r="V125" i="22"/>
  <c r="Q132" i="22"/>
  <c r="R132" i="22"/>
  <c r="S132" i="22"/>
  <c r="T132" i="22"/>
  <c r="U132" i="22"/>
  <c r="V132" i="22"/>
  <c r="Q137" i="22"/>
  <c r="R137" i="22"/>
  <c r="S137" i="22"/>
  <c r="T137" i="22"/>
  <c r="U137" i="22"/>
  <c r="V137" i="22"/>
  <c r="Q138" i="22"/>
  <c r="R138" i="22"/>
  <c r="S138" i="22"/>
  <c r="T138" i="22"/>
  <c r="U138" i="22"/>
  <c r="V138" i="22"/>
  <c r="Q145" i="22"/>
  <c r="R145" i="22"/>
  <c r="S145" i="22"/>
  <c r="T145" i="22"/>
  <c r="U145" i="22"/>
  <c r="V145" i="22"/>
  <c r="Q150" i="22"/>
  <c r="R150" i="22"/>
  <c r="S150" i="22"/>
  <c r="T150" i="22"/>
  <c r="U150" i="22"/>
  <c r="V150" i="22"/>
  <c r="Q151" i="22"/>
  <c r="R151" i="22"/>
  <c r="S151" i="22"/>
  <c r="T151" i="22"/>
  <c r="U151" i="22"/>
  <c r="V151" i="22"/>
  <c r="Q152" i="22"/>
  <c r="R152" i="22"/>
  <c r="S152" i="22"/>
  <c r="T152" i="22"/>
  <c r="U152" i="22"/>
  <c r="V152" i="22"/>
  <c r="Q159" i="22"/>
  <c r="R159" i="22"/>
  <c r="S159" i="22"/>
  <c r="T159" i="22"/>
  <c r="U159" i="22"/>
  <c r="V159" i="22"/>
  <c r="Q164" i="22"/>
  <c r="R164" i="22"/>
  <c r="S164" i="22"/>
  <c r="T164" i="22"/>
  <c r="U164" i="22"/>
  <c r="V164" i="22"/>
  <c r="Q171" i="22"/>
  <c r="R171" i="22"/>
  <c r="S171" i="22"/>
  <c r="T171" i="22"/>
  <c r="U171" i="22"/>
  <c r="V171" i="22"/>
  <c r="Q176" i="22"/>
  <c r="R176" i="22"/>
  <c r="S176" i="22"/>
  <c r="T176" i="22"/>
  <c r="U176" i="22"/>
  <c r="V176" i="22"/>
  <c r="Q183" i="22"/>
  <c r="R183" i="22"/>
  <c r="S183" i="22"/>
  <c r="T183" i="22"/>
  <c r="U183" i="22"/>
  <c r="V183" i="22"/>
  <c r="Q186" i="22"/>
  <c r="R186" i="22"/>
  <c r="S186" i="22"/>
  <c r="T186" i="22"/>
  <c r="U186" i="22"/>
  <c r="V186" i="22"/>
  <c r="Q192" i="22"/>
  <c r="R192" i="22"/>
  <c r="S192" i="22"/>
  <c r="T192" i="22"/>
  <c r="U192" i="22"/>
  <c r="V192" i="22"/>
  <c r="Q197" i="22"/>
  <c r="R197" i="22"/>
  <c r="S197" i="22"/>
  <c r="T197" i="22"/>
  <c r="U197" i="22"/>
  <c r="V197" i="22"/>
  <c r="Q198" i="22"/>
  <c r="R198" i="22"/>
  <c r="S198" i="22"/>
  <c r="T198" i="22"/>
  <c r="U198" i="22"/>
  <c r="V198" i="22"/>
  <c r="Q205" i="22"/>
  <c r="R205" i="22"/>
  <c r="S205" i="22"/>
  <c r="T205" i="22"/>
  <c r="U205" i="22"/>
  <c r="V205" i="22"/>
  <c r="Q210" i="22"/>
  <c r="R210" i="22"/>
  <c r="S210" i="22"/>
  <c r="T210" i="22"/>
  <c r="U210" i="22"/>
  <c r="V210" i="22"/>
  <c r="Q223" i="22"/>
  <c r="R223" i="22"/>
  <c r="S223" i="22"/>
  <c r="T223" i="22"/>
  <c r="U223" i="22"/>
  <c r="V223" i="22"/>
  <c r="Q229" i="22"/>
  <c r="R229" i="22"/>
  <c r="S229" i="22"/>
  <c r="T229" i="22"/>
  <c r="U229" i="22"/>
  <c r="V229" i="22"/>
  <c r="Q230" i="22"/>
  <c r="R230" i="22"/>
  <c r="S230" i="22"/>
  <c r="T230" i="22"/>
  <c r="U230" i="22"/>
  <c r="V230" i="22"/>
  <c r="Q231" i="22"/>
  <c r="R231" i="22"/>
  <c r="S231" i="22"/>
  <c r="T231" i="22"/>
  <c r="U231" i="22"/>
  <c r="V231" i="22"/>
  <c r="Q238" i="22"/>
  <c r="R238" i="22"/>
  <c r="S238" i="22"/>
  <c r="T238" i="22"/>
  <c r="U238" i="22"/>
  <c r="V238" i="22"/>
  <c r="Q244" i="22"/>
  <c r="R244" i="22"/>
  <c r="S244" i="22"/>
  <c r="T244" i="22"/>
  <c r="U244" i="22"/>
  <c r="V244" i="22"/>
  <c r="Q245" i="22"/>
  <c r="R245" i="22"/>
  <c r="S245" i="22"/>
  <c r="T245" i="22"/>
  <c r="U245" i="22"/>
  <c r="V245" i="22"/>
  <c r="Q246" i="22"/>
  <c r="R246" i="22"/>
  <c r="S246" i="22"/>
  <c r="T246" i="22"/>
  <c r="U246" i="22"/>
  <c r="V246" i="22"/>
  <c r="Q247" i="22"/>
  <c r="R247" i="22"/>
  <c r="S247" i="22"/>
  <c r="T247" i="22"/>
  <c r="U247" i="22"/>
  <c r="V247" i="22"/>
  <c r="Q254" i="22"/>
  <c r="R254" i="22"/>
  <c r="S254" i="22"/>
  <c r="T254" i="22"/>
  <c r="U254" i="22"/>
  <c r="V254" i="22"/>
  <c r="Q260" i="22"/>
  <c r="R260" i="22"/>
  <c r="S260" i="22"/>
  <c r="T260" i="22"/>
  <c r="U260" i="22"/>
  <c r="V260" i="22"/>
  <c r="Q261" i="22"/>
  <c r="R261" i="22"/>
  <c r="S261" i="22"/>
  <c r="T261" i="22"/>
  <c r="U261" i="22"/>
  <c r="V261" i="22"/>
  <c r="Q262" i="22"/>
  <c r="R262" i="22"/>
  <c r="S262" i="22"/>
  <c r="T262" i="22"/>
  <c r="U262" i="22"/>
  <c r="V262" i="22"/>
  <c r="Q263" i="22"/>
  <c r="R263" i="22"/>
  <c r="S263" i="22"/>
  <c r="T263" i="22"/>
  <c r="U263" i="22"/>
  <c r="V263" i="22"/>
  <c r="Q264" i="22"/>
  <c r="R264" i="22"/>
  <c r="S264" i="22"/>
  <c r="T264" i="22"/>
  <c r="U264" i="22"/>
  <c r="V264" i="22"/>
  <c r="Q271" i="22"/>
  <c r="R271" i="22"/>
  <c r="S271" i="22"/>
  <c r="T271" i="22"/>
  <c r="U271" i="22"/>
  <c r="V271" i="22"/>
  <c r="Q276" i="22"/>
  <c r="R276" i="22"/>
  <c r="S276" i="22"/>
  <c r="T276" i="22"/>
  <c r="U276" i="22"/>
  <c r="V276" i="22"/>
  <c r="Q283" i="22"/>
  <c r="R283" i="22"/>
  <c r="S283" i="22"/>
  <c r="T283" i="22"/>
  <c r="U283" i="22"/>
  <c r="V283" i="22"/>
  <c r="Q288" i="22"/>
  <c r="R288" i="22"/>
  <c r="S288" i="22"/>
  <c r="T288" i="22"/>
  <c r="U288" i="22"/>
  <c r="V288" i="22"/>
  <c r="Q295" i="22"/>
  <c r="R295" i="22"/>
  <c r="S295" i="22"/>
  <c r="T295" i="22"/>
  <c r="U295" i="22"/>
  <c r="V295" i="22"/>
  <c r="Q301" i="22"/>
  <c r="R301" i="22"/>
  <c r="S301" i="22"/>
  <c r="T301" i="22"/>
  <c r="U301" i="22"/>
  <c r="V301" i="22"/>
  <c r="Q308" i="22"/>
  <c r="R308" i="22"/>
  <c r="S308" i="22"/>
  <c r="T308" i="22"/>
  <c r="U308" i="22"/>
  <c r="V308" i="22"/>
  <c r="Q314" i="22"/>
  <c r="R314" i="22"/>
  <c r="S314" i="22"/>
  <c r="T314" i="22"/>
  <c r="U314" i="22"/>
  <c r="V314" i="22"/>
  <c r="Q315" i="22"/>
  <c r="R315" i="22"/>
  <c r="S315" i="22"/>
  <c r="T315" i="22"/>
  <c r="U315" i="22"/>
  <c r="V315" i="22"/>
  <c r="Q316" i="22"/>
  <c r="R316" i="22"/>
  <c r="S316" i="22"/>
  <c r="T316" i="22"/>
  <c r="U316" i="22"/>
  <c r="V316" i="22"/>
  <c r="Q317" i="22"/>
  <c r="R317" i="22"/>
  <c r="S317" i="22"/>
  <c r="T317" i="22"/>
  <c r="U317" i="22"/>
  <c r="V317" i="22"/>
  <c r="Q318" i="22"/>
  <c r="R318" i="22"/>
  <c r="S318" i="22"/>
  <c r="T318" i="22"/>
  <c r="U318" i="22"/>
  <c r="V318" i="22"/>
  <c r="Q331" i="22"/>
  <c r="R331" i="22"/>
  <c r="S331" i="22"/>
  <c r="T331" i="22"/>
  <c r="U331" i="22"/>
  <c r="V331" i="22"/>
  <c r="Q334" i="22"/>
  <c r="R334" i="22"/>
  <c r="S334" i="22"/>
  <c r="T334" i="22"/>
  <c r="U334" i="22"/>
  <c r="V334" i="22"/>
  <c r="Q340" i="22"/>
  <c r="R340" i="22"/>
  <c r="S340" i="22"/>
  <c r="T340" i="22"/>
  <c r="U340" i="22"/>
  <c r="V340" i="22"/>
  <c r="Q343" i="22"/>
  <c r="R343" i="22"/>
  <c r="S343" i="22"/>
  <c r="T343" i="22"/>
  <c r="U343" i="22"/>
  <c r="V343" i="22"/>
  <c r="Q349" i="22"/>
  <c r="R349" i="22"/>
  <c r="S349" i="22"/>
  <c r="T349" i="22"/>
  <c r="U349" i="22"/>
  <c r="V349" i="22"/>
  <c r="Q352" i="22"/>
  <c r="R352" i="22"/>
  <c r="S352" i="22"/>
  <c r="T352" i="22"/>
  <c r="U352" i="22"/>
  <c r="V352" i="22"/>
  <c r="Q358" i="22"/>
  <c r="R358" i="22"/>
  <c r="S358" i="22"/>
  <c r="T358" i="22"/>
  <c r="U358" i="22"/>
  <c r="V358" i="22"/>
  <c r="Q361" i="22"/>
  <c r="R361" i="22"/>
  <c r="S361" i="22"/>
  <c r="T361" i="22"/>
  <c r="U361" i="22"/>
  <c r="V361" i="22"/>
  <c r="Q367" i="22"/>
  <c r="R367" i="22"/>
  <c r="S367" i="22"/>
  <c r="T367" i="22"/>
  <c r="U367" i="22"/>
  <c r="V367" i="22"/>
  <c r="Q370" i="22"/>
  <c r="R370" i="22"/>
  <c r="S370" i="22"/>
  <c r="T370" i="22"/>
  <c r="U370" i="22"/>
  <c r="V370" i="22"/>
  <c r="Q376" i="22"/>
  <c r="R376" i="22"/>
  <c r="S376" i="22"/>
  <c r="T376" i="22"/>
  <c r="U376" i="22"/>
  <c r="V376" i="22"/>
  <c r="Q379" i="22"/>
  <c r="R379" i="22"/>
  <c r="S379" i="22"/>
  <c r="T379" i="22"/>
  <c r="U379" i="22"/>
  <c r="V379" i="22"/>
  <c r="Q391" i="22"/>
  <c r="R391" i="22"/>
  <c r="S391" i="22"/>
  <c r="T391" i="22"/>
  <c r="U391" i="22"/>
  <c r="V391" i="22"/>
  <c r="Q404" i="22"/>
  <c r="R404" i="22"/>
  <c r="S404" i="22"/>
  <c r="T404" i="22"/>
  <c r="U404" i="22"/>
  <c r="V404" i="22"/>
  <c r="P406" i="22"/>
  <c r="O406" i="22"/>
  <c r="Q408" i="22"/>
  <c r="R408" i="22"/>
  <c r="S408" i="22"/>
  <c r="T408" i="22"/>
  <c r="U408" i="22"/>
  <c r="V408" i="22"/>
  <c r="O410" i="22"/>
  <c r="AE10" i="21"/>
  <c r="Q37" i="21"/>
  <c r="R37" i="21"/>
  <c r="S37" i="21"/>
  <c r="T37" i="21"/>
  <c r="U37" i="21"/>
  <c r="V37" i="21"/>
  <c r="Q42" i="21"/>
  <c r="R42" i="21"/>
  <c r="S42" i="21"/>
  <c r="T42" i="21"/>
  <c r="U42" i="21"/>
  <c r="V42" i="21"/>
  <c r="Q43" i="21"/>
  <c r="R43" i="21"/>
  <c r="S43" i="21"/>
  <c r="T43" i="21"/>
  <c r="U43" i="21"/>
  <c r="V43" i="21"/>
  <c r="Q44" i="21"/>
  <c r="R44" i="21"/>
  <c r="S44" i="21"/>
  <c r="T44" i="21"/>
  <c r="U44" i="21"/>
  <c r="V44" i="21"/>
  <c r="Q45" i="21"/>
  <c r="R45" i="21"/>
  <c r="S45" i="21"/>
  <c r="T45" i="21"/>
  <c r="U45" i="21"/>
  <c r="V45" i="21"/>
  <c r="Q46" i="21"/>
  <c r="R46" i="21"/>
  <c r="S46" i="21"/>
  <c r="T46" i="21"/>
  <c r="U46" i="21"/>
  <c r="V46" i="21"/>
  <c r="Q47" i="21"/>
  <c r="R47" i="21"/>
  <c r="S47" i="21"/>
  <c r="T47" i="21"/>
  <c r="U47" i="21"/>
  <c r="V47" i="21"/>
  <c r="Q48" i="21"/>
  <c r="R48" i="21"/>
  <c r="S48" i="21"/>
  <c r="T48" i="21"/>
  <c r="U48" i="21"/>
  <c r="V48" i="21"/>
  <c r="Q49" i="21"/>
  <c r="R49" i="21"/>
  <c r="S49" i="21"/>
  <c r="T49" i="21"/>
  <c r="U49" i="21"/>
  <c r="V49" i="21"/>
  <c r="Q56" i="21"/>
  <c r="R56" i="21"/>
  <c r="S56" i="21"/>
  <c r="T56" i="21"/>
  <c r="U56" i="21"/>
  <c r="V56" i="21"/>
  <c r="Q61" i="21"/>
  <c r="R61" i="21"/>
  <c r="S61" i="21"/>
  <c r="T61" i="21"/>
  <c r="U61" i="21"/>
  <c r="V61" i="21"/>
  <c r="Q62" i="21"/>
  <c r="R62" i="21"/>
  <c r="S62" i="21"/>
  <c r="T62" i="21"/>
  <c r="U62" i="21"/>
  <c r="V62" i="21"/>
  <c r="Q69" i="21"/>
  <c r="R69" i="21"/>
  <c r="S69" i="21"/>
  <c r="T69" i="21"/>
  <c r="U69" i="21"/>
  <c r="V69" i="21"/>
  <c r="Q72" i="21"/>
  <c r="R72" i="21"/>
  <c r="P76" i="21" s="1"/>
  <c r="S72" i="21"/>
  <c r="T72" i="21"/>
  <c r="U72" i="21"/>
  <c r="V72" i="21"/>
  <c r="Q78" i="21"/>
  <c r="R78" i="21"/>
  <c r="S78" i="21"/>
  <c r="T78" i="21"/>
  <c r="U78" i="21"/>
  <c r="V78" i="21"/>
  <c r="Q83" i="21"/>
  <c r="R83" i="21"/>
  <c r="S83" i="21"/>
  <c r="T83" i="21"/>
  <c r="U83" i="21"/>
  <c r="V83" i="21"/>
  <c r="Q90" i="21"/>
  <c r="R90" i="21"/>
  <c r="S90" i="21"/>
  <c r="T90" i="21"/>
  <c r="U90" i="21"/>
  <c r="V90" i="21"/>
  <c r="Q95" i="21"/>
  <c r="R95" i="21"/>
  <c r="S95" i="21"/>
  <c r="T95" i="21"/>
  <c r="U95" i="21"/>
  <c r="V95" i="21"/>
  <c r="Q108" i="21"/>
  <c r="R108" i="21"/>
  <c r="S108" i="21"/>
  <c r="T108" i="21"/>
  <c r="U108" i="21"/>
  <c r="V108" i="21"/>
  <c r="Q114" i="21"/>
  <c r="R114" i="21"/>
  <c r="S114" i="21"/>
  <c r="T114" i="21"/>
  <c r="U114" i="21"/>
  <c r="V114" i="21"/>
  <c r="Q115" i="21"/>
  <c r="R115" i="21"/>
  <c r="S115" i="21"/>
  <c r="T115" i="21"/>
  <c r="U115" i="21"/>
  <c r="V115" i="21"/>
  <c r="Q116" i="21"/>
  <c r="R116" i="21"/>
  <c r="S116" i="21"/>
  <c r="T116" i="21"/>
  <c r="U116" i="21"/>
  <c r="V116" i="21"/>
  <c r="Q117" i="21"/>
  <c r="R117" i="21"/>
  <c r="S117" i="21"/>
  <c r="T117" i="21"/>
  <c r="U117" i="21"/>
  <c r="V117" i="21"/>
  <c r="Q124" i="21"/>
  <c r="R124" i="21"/>
  <c r="S124" i="21"/>
  <c r="T124" i="21"/>
  <c r="U124" i="21"/>
  <c r="V124" i="21"/>
  <c r="Q130" i="21"/>
  <c r="R130" i="21"/>
  <c r="S130" i="21"/>
  <c r="T130" i="21"/>
  <c r="U130" i="21"/>
  <c r="V130" i="21"/>
  <c r="Q131" i="21"/>
  <c r="R131" i="21"/>
  <c r="S131" i="21"/>
  <c r="T131" i="21"/>
  <c r="U131" i="21"/>
  <c r="V131" i="21"/>
  <c r="Q132" i="21"/>
  <c r="R132" i="21"/>
  <c r="S132" i="21"/>
  <c r="T132" i="21"/>
  <c r="U132" i="21"/>
  <c r="V132" i="21"/>
  <c r="Q139" i="21"/>
  <c r="R139" i="21"/>
  <c r="S139" i="21"/>
  <c r="T139" i="21"/>
  <c r="U139" i="21"/>
  <c r="V139" i="21"/>
  <c r="Q145" i="21"/>
  <c r="R145" i="21"/>
  <c r="S145" i="21"/>
  <c r="T145" i="21"/>
  <c r="U145" i="21"/>
  <c r="V145" i="21"/>
  <c r="Q146" i="21"/>
  <c r="R146" i="21"/>
  <c r="S146" i="21"/>
  <c r="T146" i="21"/>
  <c r="U146" i="21"/>
  <c r="V146" i="21"/>
  <c r="Q147" i="21"/>
  <c r="R147" i="21"/>
  <c r="S147" i="21"/>
  <c r="T147" i="21"/>
  <c r="U147" i="21"/>
  <c r="V147" i="21"/>
  <c r="Q154" i="21"/>
  <c r="R154" i="21"/>
  <c r="S154" i="21"/>
  <c r="T154" i="21"/>
  <c r="U154" i="21"/>
  <c r="V154" i="21"/>
  <c r="Q160" i="21"/>
  <c r="R160" i="21"/>
  <c r="S160" i="21"/>
  <c r="T160" i="21"/>
  <c r="U160" i="21"/>
  <c r="V160" i="21"/>
  <c r="Q161" i="21"/>
  <c r="R161" i="21"/>
  <c r="S161" i="21"/>
  <c r="T161" i="21"/>
  <c r="U161" i="21"/>
  <c r="V161" i="21"/>
  <c r="Q162" i="21"/>
  <c r="R162" i="21"/>
  <c r="S162" i="21"/>
  <c r="T162" i="21"/>
  <c r="U162" i="21"/>
  <c r="V162" i="21"/>
  <c r="Q169" i="21"/>
  <c r="R169" i="21"/>
  <c r="S169" i="21"/>
  <c r="T169" i="21"/>
  <c r="U169" i="21"/>
  <c r="V169" i="21"/>
  <c r="Q175" i="21"/>
  <c r="R175" i="21"/>
  <c r="S175" i="21"/>
  <c r="T175" i="21"/>
  <c r="U175" i="21"/>
  <c r="V175" i="21"/>
  <c r="Q176" i="21"/>
  <c r="R176" i="21"/>
  <c r="S176" i="21"/>
  <c r="T176" i="21"/>
  <c r="U176" i="21"/>
  <c r="V176" i="21"/>
  <c r="Q183" i="21"/>
  <c r="R183" i="21"/>
  <c r="S183" i="21"/>
  <c r="T183" i="21"/>
  <c r="U183" i="21"/>
  <c r="V183" i="21"/>
  <c r="Q192" i="21"/>
  <c r="R192" i="21"/>
  <c r="S192" i="21"/>
  <c r="T192" i="21"/>
  <c r="U192" i="21"/>
  <c r="V192" i="21"/>
  <c r="O199" i="21"/>
  <c r="Q201" i="21"/>
  <c r="R201" i="21"/>
  <c r="S201" i="21"/>
  <c r="T201" i="21"/>
  <c r="U201" i="21"/>
  <c r="V201" i="21"/>
  <c r="Q207" i="21"/>
  <c r="R207" i="21"/>
  <c r="S207" i="21"/>
  <c r="T207" i="21"/>
  <c r="U207" i="21"/>
  <c r="V207" i="21"/>
  <c r="Q208" i="21"/>
  <c r="R208" i="21"/>
  <c r="S208" i="21"/>
  <c r="T208" i="21"/>
  <c r="U208" i="21"/>
  <c r="V208" i="21"/>
  <c r="Q209" i="21"/>
  <c r="R209" i="21"/>
  <c r="S209" i="21"/>
  <c r="T209" i="21"/>
  <c r="U209" i="21"/>
  <c r="V209" i="21"/>
  <c r="Q210" i="21"/>
  <c r="R210" i="21"/>
  <c r="S210" i="21"/>
  <c r="T210" i="21"/>
  <c r="U210" i="21"/>
  <c r="V210" i="21"/>
  <c r="Q211" i="21"/>
  <c r="R211" i="21"/>
  <c r="S211" i="21"/>
  <c r="T211" i="21"/>
  <c r="U211" i="21"/>
  <c r="V211" i="21"/>
  <c r="Q212" i="21"/>
  <c r="R212" i="21"/>
  <c r="S212" i="21"/>
  <c r="T212" i="21"/>
  <c r="U212" i="21"/>
  <c r="V212" i="21"/>
  <c r="Q213" i="21"/>
  <c r="R213" i="21"/>
  <c r="S213" i="21"/>
  <c r="T213" i="21"/>
  <c r="U213" i="21"/>
  <c r="V213" i="21"/>
  <c r="Q220" i="21"/>
  <c r="R220" i="21"/>
  <c r="S220" i="21"/>
  <c r="T220" i="21"/>
  <c r="U220" i="21"/>
  <c r="V220" i="21"/>
  <c r="Q225" i="21"/>
  <c r="R225" i="21"/>
  <c r="S225" i="21"/>
  <c r="T225" i="21"/>
  <c r="U225" i="21"/>
  <c r="V225" i="21"/>
  <c r="Q226" i="21"/>
  <c r="R226" i="21"/>
  <c r="S226" i="21"/>
  <c r="T226" i="21"/>
  <c r="U226" i="21"/>
  <c r="V226" i="21"/>
  <c r="Q233" i="21"/>
  <c r="R233" i="21"/>
  <c r="S233" i="21"/>
  <c r="T233" i="21"/>
  <c r="U233" i="21"/>
  <c r="V233" i="21"/>
  <c r="Q238" i="21"/>
  <c r="R238" i="21"/>
  <c r="S238" i="21"/>
  <c r="T238" i="21"/>
  <c r="U238" i="21"/>
  <c r="V238" i="21"/>
  <c r="Q251" i="21"/>
  <c r="R251" i="21"/>
  <c r="S251" i="21"/>
  <c r="T251" i="21"/>
  <c r="U251" i="21"/>
  <c r="V251" i="21"/>
  <c r="Q256" i="21"/>
  <c r="R256" i="21"/>
  <c r="S256" i="21"/>
  <c r="T256" i="21"/>
  <c r="U256" i="21"/>
  <c r="V256" i="21"/>
  <c r="Q257" i="21"/>
  <c r="R257" i="21"/>
  <c r="S257" i="21"/>
  <c r="T257" i="21"/>
  <c r="U257" i="21"/>
  <c r="V257" i="21"/>
  <c r="Q264" i="21"/>
  <c r="R264" i="21"/>
  <c r="S264" i="21"/>
  <c r="T264" i="21"/>
  <c r="U264" i="21"/>
  <c r="V264" i="21"/>
  <c r="Q269" i="21"/>
  <c r="R269" i="21"/>
  <c r="S269" i="21"/>
  <c r="T269" i="21"/>
  <c r="U269" i="21"/>
  <c r="V269" i="21"/>
  <c r="P277" i="21"/>
  <c r="Q276" i="21"/>
  <c r="R276" i="21"/>
  <c r="S276" i="21"/>
  <c r="T276" i="21"/>
  <c r="U276" i="21"/>
  <c r="V276" i="21"/>
  <c r="Q285" i="21"/>
  <c r="R285" i="21"/>
  <c r="S285" i="21"/>
  <c r="T285" i="21"/>
  <c r="U285" i="21"/>
  <c r="V285" i="21"/>
  <c r="Q291" i="21"/>
  <c r="R291" i="21"/>
  <c r="S291" i="21"/>
  <c r="T291" i="21"/>
  <c r="U291" i="21"/>
  <c r="V291" i="21"/>
  <c r="Q292" i="21"/>
  <c r="R292" i="21"/>
  <c r="S292" i="21"/>
  <c r="T292" i="21"/>
  <c r="U292" i="21"/>
  <c r="V292" i="21"/>
  <c r="Q293" i="21"/>
  <c r="R293" i="21"/>
  <c r="S293" i="21"/>
  <c r="T293" i="21"/>
  <c r="U293" i="21"/>
  <c r="V293" i="21"/>
  <c r="Q294" i="21"/>
  <c r="R294" i="21"/>
  <c r="S294" i="21"/>
  <c r="T294" i="21"/>
  <c r="U294" i="21"/>
  <c r="V294" i="21"/>
  <c r="Q301" i="21"/>
  <c r="R301" i="21"/>
  <c r="S301" i="21"/>
  <c r="T301" i="21"/>
  <c r="U301" i="21"/>
  <c r="V301" i="21"/>
  <c r="Q307" i="21"/>
  <c r="R307" i="21"/>
  <c r="S307" i="21"/>
  <c r="T307" i="21"/>
  <c r="U307" i="21"/>
  <c r="V307" i="21"/>
  <c r="Q308" i="21"/>
  <c r="R308" i="21"/>
  <c r="S308" i="21"/>
  <c r="T308" i="21"/>
  <c r="U308" i="21"/>
  <c r="V308" i="21"/>
  <c r="Q309" i="21"/>
  <c r="R309" i="21"/>
  <c r="S309" i="21"/>
  <c r="T309" i="21"/>
  <c r="U309" i="21"/>
  <c r="V309" i="21"/>
  <c r="Q310" i="21"/>
  <c r="R310" i="21"/>
  <c r="S310" i="21"/>
  <c r="T310" i="21"/>
  <c r="U310" i="21"/>
  <c r="V310" i="21"/>
  <c r="Q317" i="21"/>
  <c r="R317" i="21"/>
  <c r="S317" i="21"/>
  <c r="T317" i="21"/>
  <c r="U317" i="21"/>
  <c r="V317" i="21"/>
  <c r="Q323" i="21"/>
  <c r="R323" i="21"/>
  <c r="S323" i="21"/>
  <c r="T323" i="21"/>
  <c r="U323" i="21"/>
  <c r="V323" i="21"/>
  <c r="Q324" i="21"/>
  <c r="R324" i="21"/>
  <c r="S324" i="21"/>
  <c r="T324" i="21"/>
  <c r="U324" i="21"/>
  <c r="V324" i="21"/>
  <c r="Q325" i="21"/>
  <c r="R325" i="21"/>
  <c r="S325" i="21"/>
  <c r="T325" i="21"/>
  <c r="U325" i="21"/>
  <c r="V325" i="21"/>
  <c r="Q332" i="21"/>
  <c r="R332" i="21"/>
  <c r="S332" i="21"/>
  <c r="T332" i="21"/>
  <c r="U332" i="21"/>
  <c r="V332" i="21"/>
  <c r="Q338" i="21"/>
  <c r="R338" i="21"/>
  <c r="S338" i="21"/>
  <c r="T338" i="21"/>
  <c r="U338" i="21"/>
  <c r="V338" i="21"/>
  <c r="Q339" i="21"/>
  <c r="R339" i="21"/>
  <c r="S339" i="21"/>
  <c r="T339" i="21"/>
  <c r="U339" i="21"/>
  <c r="V339" i="21"/>
  <c r="Q340" i="21"/>
  <c r="R340" i="21"/>
  <c r="S340" i="21"/>
  <c r="T340" i="21"/>
  <c r="U340" i="21"/>
  <c r="V340" i="21"/>
  <c r="Q341" i="21"/>
  <c r="R341" i="21"/>
  <c r="S341" i="21"/>
  <c r="T341" i="21"/>
  <c r="U341" i="21"/>
  <c r="V341" i="21"/>
  <c r="Q348" i="21"/>
  <c r="R348" i="21"/>
  <c r="S348" i="21"/>
  <c r="T348" i="21"/>
  <c r="U348" i="21"/>
  <c r="V348" i="21"/>
  <c r="Q354" i="21"/>
  <c r="R354" i="21"/>
  <c r="S354" i="21"/>
  <c r="T354" i="21"/>
  <c r="U354" i="21"/>
  <c r="V354" i="21"/>
  <c r="Q355" i="21"/>
  <c r="R355" i="21"/>
  <c r="S355" i="21"/>
  <c r="T355" i="21"/>
  <c r="U355" i="21"/>
  <c r="V355" i="21"/>
  <c r="Q356" i="21"/>
  <c r="R356" i="21"/>
  <c r="S356" i="21"/>
  <c r="T356" i="21"/>
  <c r="U356" i="21"/>
  <c r="V356" i="21"/>
  <c r="Q363" i="21"/>
  <c r="R363" i="21"/>
  <c r="S363" i="21"/>
  <c r="T363" i="21"/>
  <c r="U363" i="21"/>
  <c r="V363" i="21"/>
  <c r="Q369" i="21"/>
  <c r="R369" i="21"/>
  <c r="S369" i="21"/>
  <c r="T369" i="21"/>
  <c r="U369" i="21"/>
  <c r="V369" i="21"/>
  <c r="Q370" i="21"/>
  <c r="R370" i="21"/>
  <c r="S370" i="21"/>
  <c r="T370" i="21"/>
  <c r="U370" i="21"/>
  <c r="V370" i="21"/>
  <c r="Q371" i="21"/>
  <c r="R371" i="21"/>
  <c r="S371" i="21"/>
  <c r="T371" i="21"/>
  <c r="U371" i="21"/>
  <c r="V371" i="21"/>
  <c r="Q378" i="21"/>
  <c r="R378" i="21"/>
  <c r="S378" i="21"/>
  <c r="T378" i="21"/>
  <c r="U378" i="21"/>
  <c r="V378" i="21"/>
  <c r="Q384" i="21"/>
  <c r="R384" i="21"/>
  <c r="S384" i="21"/>
  <c r="T384" i="21"/>
  <c r="U384" i="21"/>
  <c r="V384" i="21"/>
  <c r="Q385" i="21"/>
  <c r="R385" i="21"/>
  <c r="S385" i="21"/>
  <c r="T385" i="21"/>
  <c r="U385" i="21"/>
  <c r="V385" i="21"/>
  <c r="Q392" i="21"/>
  <c r="R392" i="21"/>
  <c r="S392" i="21"/>
  <c r="T392" i="21"/>
  <c r="U392" i="21"/>
  <c r="V392" i="21"/>
  <c r="Q401" i="21"/>
  <c r="R401" i="21"/>
  <c r="S401" i="21"/>
  <c r="T401" i="21"/>
  <c r="U401" i="21"/>
  <c r="V401" i="21"/>
  <c r="P408" i="21"/>
  <c r="O408" i="21"/>
  <c r="Q410" i="21"/>
  <c r="R410" i="21"/>
  <c r="S410" i="21"/>
  <c r="T410" i="21"/>
  <c r="U410" i="21"/>
  <c r="V410" i="21"/>
  <c r="Q416" i="21"/>
  <c r="R416" i="21"/>
  <c r="S416" i="21"/>
  <c r="T416" i="21"/>
  <c r="U416" i="21"/>
  <c r="V416" i="21"/>
  <c r="Q417" i="21"/>
  <c r="R417" i="21"/>
  <c r="S417" i="21"/>
  <c r="T417" i="21"/>
  <c r="U417" i="21"/>
  <c r="V417" i="21"/>
  <c r="Q418" i="21"/>
  <c r="R418" i="21"/>
  <c r="S418" i="21"/>
  <c r="T418" i="21"/>
  <c r="U418" i="21"/>
  <c r="V418" i="21"/>
  <c r="Q419" i="21"/>
  <c r="R419" i="21"/>
  <c r="S419" i="21"/>
  <c r="T419" i="21"/>
  <c r="U419" i="21"/>
  <c r="V419" i="21"/>
  <c r="Q420" i="21"/>
  <c r="R420" i="21"/>
  <c r="S420" i="21"/>
  <c r="T420" i="21"/>
  <c r="U420" i="21"/>
  <c r="V420" i="21"/>
  <c r="Q421" i="21"/>
  <c r="R421" i="21"/>
  <c r="S421" i="21"/>
  <c r="T421" i="21"/>
  <c r="U421" i="21"/>
  <c r="V421" i="21"/>
  <c r="Q422" i="21"/>
  <c r="R422" i="21"/>
  <c r="S422" i="21"/>
  <c r="T422" i="21"/>
  <c r="U422" i="21"/>
  <c r="V422" i="21"/>
  <c r="Q429" i="21"/>
  <c r="R429" i="21"/>
  <c r="S429" i="21"/>
  <c r="T429" i="21"/>
  <c r="U429" i="21"/>
  <c r="V429" i="21"/>
  <c r="Q434" i="21"/>
  <c r="R434" i="21"/>
  <c r="S434" i="21"/>
  <c r="T434" i="21"/>
  <c r="U434" i="21"/>
  <c r="V434" i="21"/>
  <c r="Q435" i="21"/>
  <c r="R435" i="21"/>
  <c r="S435" i="21"/>
  <c r="T435" i="21"/>
  <c r="U435" i="21"/>
  <c r="V435" i="21"/>
  <c r="Q436" i="21"/>
  <c r="R436" i="21"/>
  <c r="S436" i="21"/>
  <c r="T436" i="21"/>
  <c r="U436" i="21"/>
  <c r="V436" i="21"/>
  <c r="Q443" i="21"/>
  <c r="R443" i="21"/>
  <c r="S443" i="21"/>
  <c r="T443" i="21"/>
  <c r="U443" i="21"/>
  <c r="V443" i="21"/>
  <c r="Q446" i="21"/>
  <c r="R446" i="21"/>
  <c r="S446" i="21"/>
  <c r="T446" i="21"/>
  <c r="U446" i="21"/>
  <c r="V446" i="21"/>
  <c r="Q452" i="21"/>
  <c r="R452" i="21"/>
  <c r="S452" i="21"/>
  <c r="T452" i="21"/>
  <c r="U452" i="21"/>
  <c r="V452" i="21"/>
  <c r="Q457" i="21"/>
  <c r="R457" i="21"/>
  <c r="S457" i="21"/>
  <c r="T457" i="21"/>
  <c r="U457" i="21"/>
  <c r="V457" i="21"/>
  <c r="Q464" i="21"/>
  <c r="R464" i="21"/>
  <c r="S464" i="21"/>
  <c r="T464" i="21"/>
  <c r="U464" i="21"/>
  <c r="V464" i="21"/>
  <c r="Q469" i="21"/>
  <c r="R469" i="21"/>
  <c r="S469" i="21"/>
  <c r="T469" i="21"/>
  <c r="U469" i="21"/>
  <c r="V469" i="21"/>
  <c r="Q482" i="21"/>
  <c r="R482" i="21"/>
  <c r="S482" i="21"/>
  <c r="T482" i="21"/>
  <c r="U482" i="21"/>
  <c r="V482" i="21"/>
  <c r="Q487" i="21"/>
  <c r="R487" i="21"/>
  <c r="S487" i="21"/>
  <c r="T487" i="21"/>
  <c r="U487" i="21"/>
  <c r="V487" i="21"/>
  <c r="Q494" i="21"/>
  <c r="R494" i="21"/>
  <c r="S494" i="21"/>
  <c r="T494" i="21"/>
  <c r="U494" i="21"/>
  <c r="V494" i="21"/>
  <c r="Q499" i="21"/>
  <c r="R499" i="21"/>
  <c r="S499" i="21"/>
  <c r="T499" i="21"/>
  <c r="U499" i="21"/>
  <c r="V499" i="21"/>
  <c r="Q506" i="21"/>
  <c r="R506" i="21"/>
  <c r="S506" i="21"/>
  <c r="T506" i="21"/>
  <c r="U506" i="21"/>
  <c r="V506" i="21"/>
  <c r="Q511" i="21"/>
  <c r="R511" i="21"/>
  <c r="S511" i="21"/>
  <c r="T511" i="21"/>
  <c r="U511" i="21"/>
  <c r="V511" i="21"/>
  <c r="Q518" i="21"/>
  <c r="R518" i="21"/>
  <c r="S518" i="21"/>
  <c r="T518" i="21"/>
  <c r="U518" i="21"/>
  <c r="V518" i="21"/>
  <c r="Q524" i="21"/>
  <c r="R524" i="21"/>
  <c r="S524" i="21"/>
  <c r="T524" i="21"/>
  <c r="U524" i="21"/>
  <c r="V524" i="21"/>
  <c r="F29" i="1" l="1"/>
  <c r="O399" i="21"/>
  <c r="P410" i="22"/>
  <c r="P190" i="22"/>
  <c r="P62" i="22"/>
  <c r="O516" i="21"/>
  <c r="O190" i="21"/>
  <c r="P100" i="21"/>
  <c r="O383" i="22"/>
  <c r="O306" i="22"/>
  <c r="P199" i="21"/>
  <c r="P396" i="22"/>
  <c r="P181" i="22"/>
  <c r="O67" i="21"/>
  <c r="P236" i="22"/>
  <c r="P203" i="22"/>
  <c r="P143" i="22"/>
  <c r="O462" i="21"/>
  <c r="P441" i="21"/>
  <c r="O441" i="21"/>
  <c r="P262" i="21"/>
  <c r="P231" i="21"/>
  <c r="O137" i="21"/>
  <c r="O76" i="21"/>
  <c r="P299" i="21"/>
  <c r="P152" i="21"/>
  <c r="O100" i="21"/>
  <c r="P356" i="22"/>
  <c r="O323" i="22"/>
  <c r="P462" i="21"/>
  <c r="O346" i="21"/>
  <c r="O277" i="21"/>
  <c r="P383" i="22"/>
  <c r="O143" i="22"/>
  <c r="O130" i="22"/>
  <c r="Z45" i="23"/>
  <c r="P157" i="22"/>
  <c r="O114" i="22"/>
  <c r="P47" i="22"/>
  <c r="O365" i="22"/>
  <c r="O347" i="22"/>
  <c r="O215" i="22"/>
  <c r="O190" i="22"/>
  <c r="O374" i="22"/>
  <c r="O338" i="22"/>
  <c r="O105" i="22"/>
  <c r="P365" i="22"/>
  <c r="O281" i="22"/>
  <c r="O236" i="22"/>
  <c r="O169" i="22"/>
  <c r="P114" i="22"/>
  <c r="P105" i="22"/>
  <c r="P374" i="22"/>
  <c r="P338" i="22"/>
  <c r="O157" i="22"/>
  <c r="O75" i="22"/>
  <c r="O396" i="22"/>
  <c r="P323" i="22"/>
  <c r="P293" i="22"/>
  <c r="P281" i="22"/>
  <c r="P269" i="22"/>
  <c r="O252" i="22"/>
  <c r="O181" i="22"/>
  <c r="P130" i="22"/>
  <c r="O87" i="22"/>
  <c r="P504" i="21"/>
  <c r="P450" i="21"/>
  <c r="P361" i="21"/>
  <c r="P274" i="21"/>
  <c r="P181" i="21"/>
  <c r="O529" i="21"/>
  <c r="P474" i="21"/>
  <c r="P390" i="21"/>
  <c r="O262" i="21"/>
  <c r="O492" i="21"/>
  <c r="P516" i="21"/>
  <c r="P492" i="21"/>
  <c r="P427" i="21"/>
  <c r="O315" i="21"/>
  <c r="O474" i="21"/>
  <c r="P330" i="21"/>
  <c r="O231" i="21"/>
  <c r="P122" i="21"/>
  <c r="P88" i="21"/>
  <c r="O122" i="21"/>
  <c r="P67" i="21"/>
  <c r="P54" i="21"/>
  <c r="O504" i="21"/>
  <c r="O450" i="21"/>
  <c r="P399" i="21"/>
  <c r="P376" i="21"/>
  <c r="O361" i="21"/>
  <c r="P346" i="21"/>
  <c r="O274" i="21"/>
  <c r="P190" i="21"/>
  <c r="P167" i="21"/>
  <c r="O152" i="21"/>
  <c r="P529" i="21" l="1"/>
  <c r="P315" i="21"/>
  <c r="P252" i="22"/>
  <c r="O203" i="22"/>
  <c r="P75" i="22"/>
  <c r="P169" i="22"/>
  <c r="P306" i="22"/>
  <c r="P347" i="22"/>
  <c r="O243" i="21"/>
  <c r="P87" i="22"/>
  <c r="O293" i="22"/>
  <c r="O356" i="22"/>
  <c r="O299" i="21"/>
  <c r="O427" i="21"/>
  <c r="O47" i="22"/>
  <c r="O88" i="21"/>
  <c r="O376" i="21"/>
  <c r="P215" i="22"/>
  <c r="O269" i="22"/>
  <c r="O62" i="22"/>
  <c r="O218" i="21"/>
  <c r="P243" i="21"/>
  <c r="O181" i="21"/>
  <c r="O167" i="21"/>
  <c r="P218" i="21"/>
  <c r="O330" i="21"/>
  <c r="P137" i="21"/>
  <c r="O390" i="21"/>
  <c r="O54" i="21"/>
  <c r="F31" i="2" l="1"/>
  <c r="F30" i="1"/>
  <c r="G27" i="2" l="1"/>
  <c r="G26" i="1" l="1"/>
  <c r="H27" i="2"/>
  <c r="H28" i="2" s="1"/>
  <c r="G28" i="2"/>
  <c r="F30" i="2"/>
  <c r="AE10" i="18"/>
  <c r="Q39" i="18"/>
  <c r="R39" i="18"/>
  <c r="S39" i="18"/>
  <c r="T39" i="18"/>
  <c r="U39" i="18"/>
  <c r="V39" i="18"/>
  <c r="Q41" i="18"/>
  <c r="R41" i="18"/>
  <c r="S41" i="18"/>
  <c r="T41" i="18"/>
  <c r="U41" i="18"/>
  <c r="V41" i="18"/>
  <c r="Q46" i="18"/>
  <c r="R46" i="18"/>
  <c r="S46" i="18"/>
  <c r="T46" i="18"/>
  <c r="U46" i="18"/>
  <c r="V46" i="18"/>
  <c r="Q53" i="18"/>
  <c r="R53" i="18"/>
  <c r="S53" i="18"/>
  <c r="T53" i="18"/>
  <c r="U53" i="18"/>
  <c r="V53" i="18"/>
  <c r="Q59" i="18"/>
  <c r="R59" i="18"/>
  <c r="S59" i="18"/>
  <c r="T59" i="18"/>
  <c r="U59" i="18"/>
  <c r="V59" i="18"/>
  <c r="Q65" i="18"/>
  <c r="R65" i="18"/>
  <c r="S65" i="18"/>
  <c r="T65" i="18"/>
  <c r="U65" i="18"/>
  <c r="V65" i="18"/>
  <c r="Q72" i="18"/>
  <c r="R72" i="18"/>
  <c r="S72" i="18"/>
  <c r="T72" i="18"/>
  <c r="U72" i="18"/>
  <c r="V72" i="18"/>
  <c r="Q75" i="18"/>
  <c r="R75" i="18"/>
  <c r="S75" i="18"/>
  <c r="T75" i="18"/>
  <c r="U75" i="18"/>
  <c r="V75" i="18"/>
  <c r="Q76" i="18"/>
  <c r="R76" i="18"/>
  <c r="S76" i="18"/>
  <c r="T76" i="18"/>
  <c r="U76" i="18"/>
  <c r="V76" i="18"/>
  <c r="Q77" i="18"/>
  <c r="R77" i="18"/>
  <c r="S77" i="18"/>
  <c r="T77" i="18"/>
  <c r="U77" i="18"/>
  <c r="V77" i="18"/>
  <c r="Q78" i="18"/>
  <c r="R78" i="18"/>
  <c r="S78" i="18"/>
  <c r="T78" i="18"/>
  <c r="U78" i="18"/>
  <c r="V78" i="18"/>
  <c r="Q84" i="18"/>
  <c r="R84" i="18"/>
  <c r="S84" i="18"/>
  <c r="T84" i="18"/>
  <c r="U84" i="18"/>
  <c r="V84" i="18"/>
  <c r="Q87" i="18"/>
  <c r="R87" i="18"/>
  <c r="S87" i="18"/>
  <c r="T87" i="18"/>
  <c r="U87" i="18"/>
  <c r="V87" i="18"/>
  <c r="Q88" i="18"/>
  <c r="R88" i="18"/>
  <c r="S88" i="18"/>
  <c r="T88" i="18"/>
  <c r="U88" i="18"/>
  <c r="V88" i="18"/>
  <c r="Q89" i="18"/>
  <c r="R89" i="18"/>
  <c r="S89" i="18"/>
  <c r="T89" i="18"/>
  <c r="U89" i="18"/>
  <c r="V89" i="18"/>
  <c r="Q90" i="18"/>
  <c r="R90" i="18"/>
  <c r="S90" i="18"/>
  <c r="T90" i="18"/>
  <c r="U90" i="18"/>
  <c r="V90" i="18"/>
  <c r="Q96" i="18"/>
  <c r="R96" i="18"/>
  <c r="S96" i="18"/>
  <c r="T96" i="18"/>
  <c r="U96" i="18"/>
  <c r="V96" i="18"/>
  <c r="Q99" i="18"/>
  <c r="R99" i="18"/>
  <c r="S99" i="18"/>
  <c r="T99" i="18"/>
  <c r="U99" i="18"/>
  <c r="V99" i="18"/>
  <c r="Q100" i="18"/>
  <c r="R100" i="18"/>
  <c r="S100" i="18"/>
  <c r="T100" i="18"/>
  <c r="U100" i="18"/>
  <c r="V100" i="18"/>
  <c r="Q101" i="18"/>
  <c r="R101" i="18"/>
  <c r="S101" i="18"/>
  <c r="T101" i="18"/>
  <c r="U101" i="18"/>
  <c r="V101" i="18"/>
  <c r="Q107" i="18"/>
  <c r="R107" i="18"/>
  <c r="S107" i="18"/>
  <c r="T107" i="18"/>
  <c r="U107" i="18"/>
  <c r="V107" i="18"/>
  <c r="Q109" i="18"/>
  <c r="R109" i="18"/>
  <c r="S109" i="18"/>
  <c r="T109" i="18"/>
  <c r="U109" i="18"/>
  <c r="V109" i="18"/>
  <c r="Q110" i="18"/>
  <c r="R110" i="18"/>
  <c r="S110" i="18"/>
  <c r="T110" i="18"/>
  <c r="U110" i="18"/>
  <c r="V110" i="18"/>
  <c r="Q111" i="18"/>
  <c r="R111" i="18"/>
  <c r="S111" i="18"/>
  <c r="T111" i="18"/>
  <c r="U111" i="18"/>
  <c r="V111" i="18"/>
  <c r="Q117" i="18"/>
  <c r="R117" i="18"/>
  <c r="S117" i="18"/>
  <c r="T117" i="18"/>
  <c r="U117" i="18"/>
  <c r="V117" i="18"/>
  <c r="Q124" i="18"/>
  <c r="R124" i="18"/>
  <c r="S124" i="18"/>
  <c r="T124" i="18"/>
  <c r="U124" i="18"/>
  <c r="V124" i="18"/>
  <c r="O129" i="18"/>
  <c r="Q131" i="18"/>
  <c r="R131" i="18"/>
  <c r="S131" i="18"/>
  <c r="T131" i="18"/>
  <c r="U131" i="18"/>
  <c r="V131" i="18"/>
  <c r="Q138" i="18"/>
  <c r="R138" i="18"/>
  <c r="S138" i="18"/>
  <c r="T138" i="18"/>
  <c r="U138" i="18"/>
  <c r="V138" i="18"/>
  <c r="Q140" i="18"/>
  <c r="R140" i="18"/>
  <c r="S140" i="18"/>
  <c r="T140" i="18"/>
  <c r="U140" i="18"/>
  <c r="V140" i="18"/>
  <c r="Q141" i="18"/>
  <c r="R141" i="18"/>
  <c r="S141" i="18"/>
  <c r="T141" i="18"/>
  <c r="U141" i="18"/>
  <c r="V141" i="18"/>
  <c r="Q142" i="18"/>
  <c r="R142" i="18"/>
  <c r="S142" i="18"/>
  <c r="T142" i="18"/>
  <c r="U142" i="18"/>
  <c r="V142" i="18"/>
  <c r="Q143" i="18"/>
  <c r="R143" i="18"/>
  <c r="S143" i="18"/>
  <c r="T143" i="18"/>
  <c r="U143" i="18"/>
  <c r="V143" i="18"/>
  <c r="Q149" i="18"/>
  <c r="R149" i="18"/>
  <c r="S149" i="18"/>
  <c r="T149" i="18"/>
  <c r="U149" i="18"/>
  <c r="V149" i="18"/>
  <c r="Q151" i="18"/>
  <c r="R151" i="18"/>
  <c r="S151" i="18"/>
  <c r="T151" i="18"/>
  <c r="U151" i="18"/>
  <c r="V151" i="18"/>
  <c r="Q152" i="18"/>
  <c r="R152" i="18"/>
  <c r="S152" i="18"/>
  <c r="T152" i="18"/>
  <c r="U152" i="18"/>
  <c r="V152" i="18"/>
  <c r="Q153" i="18"/>
  <c r="R153" i="18"/>
  <c r="S153" i="18"/>
  <c r="T153" i="18"/>
  <c r="U153" i="18"/>
  <c r="V153" i="18"/>
  <c r="Q159" i="18"/>
  <c r="R159" i="18"/>
  <c r="S159" i="18"/>
  <c r="T159" i="18"/>
  <c r="U159" i="18"/>
  <c r="V159" i="18"/>
  <c r="Q161" i="18"/>
  <c r="R161" i="18"/>
  <c r="S161" i="18"/>
  <c r="O165" i="18" s="1"/>
  <c r="T161" i="18"/>
  <c r="U161" i="18"/>
  <c r="V161" i="18"/>
  <c r="Q167" i="18"/>
  <c r="R167" i="18"/>
  <c r="S167" i="18"/>
  <c r="T167" i="18"/>
  <c r="U167" i="18"/>
  <c r="V167" i="18"/>
  <c r="Q177" i="18"/>
  <c r="R177" i="18"/>
  <c r="S177" i="18"/>
  <c r="T177" i="18"/>
  <c r="U177" i="18"/>
  <c r="V177" i="18"/>
  <c r="Q183" i="18"/>
  <c r="R183" i="18"/>
  <c r="S183" i="18"/>
  <c r="T183" i="18"/>
  <c r="U183" i="18"/>
  <c r="V183" i="18"/>
  <c r="Q189" i="18"/>
  <c r="R189" i="18"/>
  <c r="S189" i="18"/>
  <c r="T189" i="18"/>
  <c r="U189" i="18"/>
  <c r="V189" i="18"/>
  <c r="Q193" i="18"/>
  <c r="R193" i="18"/>
  <c r="S193" i="18"/>
  <c r="T193" i="18"/>
  <c r="U193" i="18"/>
  <c r="V193" i="18"/>
  <c r="Q204" i="18"/>
  <c r="R204" i="18"/>
  <c r="S204" i="18"/>
  <c r="T204" i="18"/>
  <c r="U204" i="18"/>
  <c r="V204" i="18"/>
  <c r="Q211" i="18"/>
  <c r="R211" i="18"/>
  <c r="S211" i="18"/>
  <c r="T211" i="18"/>
  <c r="U211" i="18"/>
  <c r="V211" i="18"/>
  <c r="Q216" i="18"/>
  <c r="R216" i="18"/>
  <c r="S216" i="18"/>
  <c r="T216" i="18"/>
  <c r="U216" i="18"/>
  <c r="V216" i="18"/>
  <c r="Q223" i="18"/>
  <c r="R223" i="18"/>
  <c r="S223" i="18"/>
  <c r="T223" i="18"/>
  <c r="U223" i="18"/>
  <c r="V223" i="18"/>
  <c r="Q226" i="18"/>
  <c r="R226" i="18"/>
  <c r="S226" i="18"/>
  <c r="T226" i="18"/>
  <c r="U226" i="18"/>
  <c r="V226" i="18"/>
  <c r="Q227" i="18"/>
  <c r="R227" i="18"/>
  <c r="S227" i="18"/>
  <c r="T227" i="18"/>
  <c r="U227" i="18"/>
  <c r="V227" i="18"/>
  <c r="Q233" i="18"/>
  <c r="R233" i="18"/>
  <c r="S233" i="18"/>
  <c r="T233" i="18"/>
  <c r="U233" i="18"/>
  <c r="V233" i="18"/>
  <c r="Q238" i="18"/>
  <c r="R238" i="18"/>
  <c r="S238" i="18"/>
  <c r="T238" i="18"/>
  <c r="U238" i="18"/>
  <c r="V238" i="18"/>
  <c r="Q256" i="18"/>
  <c r="R256" i="18"/>
  <c r="S256" i="18"/>
  <c r="T256" i="18"/>
  <c r="U256" i="18"/>
  <c r="V256" i="18"/>
  <c r="Q258" i="18"/>
  <c r="R258" i="18"/>
  <c r="S258" i="18"/>
  <c r="T258" i="18"/>
  <c r="U258" i="18"/>
  <c r="V258" i="18"/>
  <c r="Q263" i="18"/>
  <c r="R263" i="18"/>
  <c r="S263" i="18"/>
  <c r="T263" i="18"/>
  <c r="U263" i="18"/>
  <c r="V263" i="18"/>
  <c r="Q269" i="18"/>
  <c r="R269" i="18"/>
  <c r="S269" i="18"/>
  <c r="T269" i="18"/>
  <c r="U269" i="18"/>
  <c r="V269" i="18"/>
  <c r="Q273" i="18"/>
  <c r="R273" i="18"/>
  <c r="S273" i="18"/>
  <c r="T273" i="18"/>
  <c r="U273" i="18"/>
  <c r="V273" i="18"/>
  <c r="Q279" i="18"/>
  <c r="R279" i="18"/>
  <c r="S279" i="18"/>
  <c r="T279" i="18"/>
  <c r="U279" i="18"/>
  <c r="V279" i="18"/>
  <c r="Q284" i="18"/>
  <c r="R284" i="18"/>
  <c r="S284" i="18"/>
  <c r="T284" i="18"/>
  <c r="U284" i="18"/>
  <c r="V284" i="18"/>
  <c r="Q290" i="18"/>
  <c r="R290" i="18"/>
  <c r="S290" i="18"/>
  <c r="T290" i="18"/>
  <c r="U290" i="18"/>
  <c r="V290" i="18"/>
  <c r="Q295" i="18"/>
  <c r="R295" i="18"/>
  <c r="S295" i="18"/>
  <c r="T295" i="18"/>
  <c r="U295" i="18"/>
  <c r="V295" i="18"/>
  <c r="Q301" i="18"/>
  <c r="R301" i="18"/>
  <c r="S301" i="18"/>
  <c r="T301" i="18"/>
  <c r="U301" i="18"/>
  <c r="V301" i="18"/>
  <c r="Q306" i="18"/>
  <c r="R306" i="18"/>
  <c r="S306" i="18"/>
  <c r="T306" i="18"/>
  <c r="U306" i="18"/>
  <c r="V306" i="18"/>
  <c r="Q312" i="18"/>
  <c r="R312" i="18"/>
  <c r="S312" i="18"/>
  <c r="T312" i="18"/>
  <c r="U312" i="18"/>
  <c r="V312" i="18"/>
  <c r="Q325" i="18"/>
  <c r="R325" i="18"/>
  <c r="S325" i="18"/>
  <c r="T325" i="18"/>
  <c r="U325" i="18"/>
  <c r="V325" i="18"/>
  <c r="Q328" i="18"/>
  <c r="R328" i="18"/>
  <c r="S328" i="18"/>
  <c r="T328" i="18"/>
  <c r="U328" i="18"/>
  <c r="V328" i="18"/>
  <c r="Q334" i="18"/>
  <c r="R334" i="18"/>
  <c r="S334" i="18"/>
  <c r="T334" i="18"/>
  <c r="U334" i="18"/>
  <c r="V334" i="18"/>
  <c r="Q337" i="18"/>
  <c r="R337" i="18"/>
  <c r="S337" i="18"/>
  <c r="T337" i="18"/>
  <c r="U337" i="18"/>
  <c r="V337" i="18"/>
  <c r="Q342" i="18"/>
  <c r="R342" i="18"/>
  <c r="S342" i="18"/>
  <c r="T342" i="18"/>
  <c r="U342" i="18"/>
  <c r="V342" i="18"/>
  <c r="Q355" i="18"/>
  <c r="R355" i="18"/>
  <c r="S355" i="18"/>
  <c r="T355" i="18"/>
  <c r="U355" i="18"/>
  <c r="V355" i="18"/>
  <c r="Q360" i="18"/>
  <c r="R360" i="18"/>
  <c r="S360" i="18"/>
  <c r="T360" i="18"/>
  <c r="U360" i="18"/>
  <c r="V360" i="18"/>
  <c r="Q366" i="18"/>
  <c r="R366" i="18"/>
  <c r="S366" i="18"/>
  <c r="T366" i="18"/>
  <c r="U366" i="18"/>
  <c r="V366" i="18"/>
  <c r="Q371" i="18"/>
  <c r="R371" i="18"/>
  <c r="S371" i="18"/>
  <c r="T371" i="18"/>
  <c r="U371" i="18"/>
  <c r="V371" i="18"/>
  <c r="Q372" i="18"/>
  <c r="R372" i="18"/>
  <c r="S372" i="18"/>
  <c r="T372" i="18"/>
  <c r="U372" i="18"/>
  <c r="V372" i="18"/>
  <c r="Q378" i="18"/>
  <c r="R378" i="18"/>
  <c r="S378" i="18"/>
  <c r="T378" i="18"/>
  <c r="U378" i="18"/>
  <c r="V378" i="18"/>
  <c r="Q395" i="18"/>
  <c r="R395" i="18"/>
  <c r="S395" i="18"/>
  <c r="T395" i="18"/>
  <c r="U395" i="18"/>
  <c r="V395" i="18"/>
  <c r="Q400" i="18"/>
  <c r="R400" i="18"/>
  <c r="S400" i="18"/>
  <c r="T400" i="18"/>
  <c r="U400" i="18"/>
  <c r="V400" i="18"/>
  <c r="Q406" i="18"/>
  <c r="R406" i="18"/>
  <c r="S406" i="18"/>
  <c r="T406" i="18"/>
  <c r="U406" i="18"/>
  <c r="V406" i="18"/>
  <c r="Q409" i="18"/>
  <c r="R409" i="18"/>
  <c r="S409" i="18"/>
  <c r="T409" i="18"/>
  <c r="U409" i="18"/>
  <c r="V409" i="18"/>
  <c r="Q415" i="18"/>
  <c r="R415" i="18"/>
  <c r="S415" i="18"/>
  <c r="T415" i="18"/>
  <c r="U415" i="18"/>
  <c r="V415" i="18"/>
  <c r="Q419" i="18"/>
  <c r="R419" i="18"/>
  <c r="S419" i="18"/>
  <c r="T419" i="18"/>
  <c r="U419" i="18"/>
  <c r="V419" i="18"/>
  <c r="Q425" i="18"/>
  <c r="R425" i="18"/>
  <c r="S425" i="18"/>
  <c r="T425" i="18"/>
  <c r="U425" i="18"/>
  <c r="V425" i="18"/>
  <c r="Q428" i="18"/>
  <c r="R428" i="18"/>
  <c r="S428" i="18"/>
  <c r="T428" i="18"/>
  <c r="U428" i="18"/>
  <c r="V428" i="18"/>
  <c r="Q434" i="18"/>
  <c r="R434" i="18"/>
  <c r="S434" i="18"/>
  <c r="T434" i="18"/>
  <c r="U434" i="18"/>
  <c r="V434" i="18"/>
  <c r="Q439" i="18"/>
  <c r="R439" i="18"/>
  <c r="S439" i="18"/>
  <c r="T439" i="18"/>
  <c r="U439" i="18"/>
  <c r="V439" i="18"/>
  <c r="Q446" i="18"/>
  <c r="R446" i="18"/>
  <c r="S446" i="18"/>
  <c r="T446" i="18"/>
  <c r="U446" i="18"/>
  <c r="V446" i="18"/>
  <c r="Q456" i="18"/>
  <c r="R456" i="18"/>
  <c r="S456" i="18"/>
  <c r="T456" i="18"/>
  <c r="U456" i="18"/>
  <c r="V456" i="18"/>
  <c r="Q462" i="18"/>
  <c r="R462" i="18"/>
  <c r="S462" i="18"/>
  <c r="T462" i="18"/>
  <c r="U462" i="18"/>
  <c r="V462" i="18"/>
  <c r="Q471" i="18"/>
  <c r="R471" i="18"/>
  <c r="S471" i="18"/>
  <c r="T471" i="18"/>
  <c r="U471" i="18"/>
  <c r="V471" i="18"/>
  <c r="Q478" i="18"/>
  <c r="R478" i="18"/>
  <c r="S478" i="18"/>
  <c r="T478" i="18"/>
  <c r="U478" i="18"/>
  <c r="V478" i="18"/>
  <c r="Q491" i="18"/>
  <c r="R491" i="18"/>
  <c r="S491" i="18"/>
  <c r="T491" i="18"/>
  <c r="U491" i="18"/>
  <c r="V491" i="18"/>
  <c r="P496" i="18"/>
  <c r="Y498" i="18"/>
  <c r="Q498" i="18"/>
  <c r="R498" i="18"/>
  <c r="S498" i="18"/>
  <c r="T498" i="18"/>
  <c r="U498" i="18"/>
  <c r="V498" i="18"/>
  <c r="Q508" i="18"/>
  <c r="R508" i="18"/>
  <c r="S508" i="18"/>
  <c r="T508" i="18"/>
  <c r="U508" i="18"/>
  <c r="V508" i="18"/>
  <c r="Q512" i="18"/>
  <c r="R512" i="18"/>
  <c r="S512" i="18"/>
  <c r="T512" i="18"/>
  <c r="U512" i="18"/>
  <c r="V512" i="18"/>
  <c r="H26" i="1" l="1"/>
  <c r="H27" i="1" s="1"/>
  <c r="G27" i="1"/>
  <c r="O413" i="18"/>
  <c r="O404" i="18"/>
  <c r="P267" i="18"/>
  <c r="O514" i="18"/>
  <c r="P383" i="18"/>
  <c r="P317" i="18"/>
  <c r="O136" i="18"/>
  <c r="O469" i="18"/>
  <c r="P347" i="18"/>
  <c r="P332" i="18"/>
  <c r="O332" i="18"/>
  <c r="O510" i="18"/>
  <c r="O364" i="18"/>
  <c r="P175" i="18"/>
  <c r="P129" i="18"/>
  <c r="O51" i="18"/>
  <c r="O44" i="18"/>
  <c r="P483" i="18"/>
  <c r="O483" i="18"/>
  <c r="P469" i="18"/>
  <c r="P460" i="18"/>
  <c r="O340" i="18"/>
  <c r="O310" i="18"/>
  <c r="O242" i="18"/>
  <c r="P209" i="18"/>
  <c r="O147" i="18"/>
  <c r="O70" i="18"/>
  <c r="P70" i="18"/>
  <c r="Z498" i="18"/>
  <c r="P404" i="18"/>
  <c r="O299" i="18"/>
  <c r="P231" i="18"/>
  <c r="O122" i="18"/>
  <c r="P57" i="18"/>
  <c r="P476" i="18"/>
  <c r="P432" i="18"/>
  <c r="P423" i="18"/>
  <c r="P63" i="18"/>
  <c r="O496" i="18"/>
  <c r="O460" i="18"/>
  <c r="O423" i="18"/>
  <c r="P364" i="18"/>
  <c r="P221" i="18"/>
  <c r="O82" i="18"/>
  <c r="P44" i="18"/>
  <c r="O476" i="18"/>
  <c r="P454" i="18"/>
  <c r="O454" i="18"/>
  <c r="P299" i="18"/>
  <c r="P242" i="18"/>
  <c r="P444" i="18"/>
  <c r="P187" i="18"/>
  <c r="P122" i="18"/>
  <c r="P510" i="18"/>
  <c r="O115" i="18"/>
  <c r="O288" i="18"/>
  <c r="O209" i="18"/>
  <c r="O432" i="18"/>
  <c r="O383" i="18"/>
  <c r="P376" i="18"/>
  <c r="O317" i="18"/>
  <c r="O267" i="18"/>
  <c r="O196" i="18"/>
  <c r="O105" i="18"/>
  <c r="O63" i="18"/>
  <c r="P514" i="18"/>
  <c r="O347" i="18"/>
  <c r="O175" i="18"/>
  <c r="O444" i="18"/>
  <c r="O376" i="18"/>
  <c r="P288" i="18"/>
  <c r="O277" i="18"/>
  <c r="P261" i="18"/>
  <c r="P136" i="18"/>
  <c r="P105" i="18"/>
  <c r="O57" i="18"/>
  <c r="P51" i="18"/>
  <c r="P94" i="18" l="1"/>
  <c r="O157" i="18"/>
  <c r="P413" i="18"/>
  <c r="O221" i="18"/>
  <c r="P340" i="18"/>
  <c r="P310" i="18"/>
  <c r="P196" i="18"/>
  <c r="O231" i="18"/>
  <c r="O94" i="18"/>
  <c r="P165" i="18"/>
  <c r="P157" i="18"/>
  <c r="P82" i="18"/>
  <c r="O261" i="18"/>
  <c r="P277" i="18"/>
  <c r="P115" i="18"/>
  <c r="P147" i="18"/>
  <c r="O187" i="18"/>
  <c r="AE10" i="17" l="1"/>
  <c r="Q39" i="17"/>
  <c r="R39" i="17"/>
  <c r="S39" i="17"/>
  <c r="T39" i="17"/>
  <c r="U39" i="17"/>
  <c r="V39" i="17"/>
  <c r="Q42" i="17"/>
  <c r="R42" i="17"/>
  <c r="S42" i="17"/>
  <c r="T42" i="17"/>
  <c r="U42" i="17"/>
  <c r="V42" i="17"/>
  <c r="Q48" i="17"/>
  <c r="R48" i="17"/>
  <c r="S48" i="17"/>
  <c r="T48" i="17"/>
  <c r="U48" i="17"/>
  <c r="V48" i="17"/>
  <c r="Q51" i="17"/>
  <c r="R51" i="17"/>
  <c r="S51" i="17"/>
  <c r="T51" i="17"/>
  <c r="U51" i="17"/>
  <c r="V51" i="17"/>
  <c r="Q57" i="17"/>
  <c r="R57" i="17"/>
  <c r="S57" i="17"/>
  <c r="T57" i="17"/>
  <c r="U57" i="17"/>
  <c r="V57" i="17"/>
  <c r="Q60" i="17"/>
  <c r="R60" i="17"/>
  <c r="S60" i="17"/>
  <c r="T60" i="17"/>
  <c r="U60" i="17"/>
  <c r="V60" i="17"/>
  <c r="Q65" i="17"/>
  <c r="R65" i="17"/>
  <c r="S65" i="17"/>
  <c r="T65" i="17"/>
  <c r="U65" i="17"/>
  <c r="V65" i="17"/>
  <c r="Q69" i="17"/>
  <c r="R69" i="17"/>
  <c r="S69" i="17"/>
  <c r="T69" i="17"/>
  <c r="U69" i="17"/>
  <c r="V69" i="17"/>
  <c r="Q80" i="17"/>
  <c r="R80" i="17"/>
  <c r="S80" i="17"/>
  <c r="T80" i="17"/>
  <c r="U80" i="17"/>
  <c r="V80" i="17"/>
  <c r="Q82" i="17"/>
  <c r="R82" i="17"/>
  <c r="S82" i="17"/>
  <c r="T82" i="17"/>
  <c r="U82" i="17"/>
  <c r="V82" i="17"/>
  <c r="Q83" i="17"/>
  <c r="R83" i="17"/>
  <c r="S83" i="17"/>
  <c r="T83" i="17"/>
  <c r="U83" i="17"/>
  <c r="V83" i="17"/>
  <c r="Q88" i="17"/>
  <c r="R88" i="17"/>
  <c r="S88" i="17"/>
  <c r="T88" i="17"/>
  <c r="U88" i="17"/>
  <c r="V88" i="17"/>
  <c r="Q90" i="17"/>
  <c r="R90" i="17"/>
  <c r="S90" i="17"/>
  <c r="T90" i="17"/>
  <c r="U90" i="17"/>
  <c r="V90" i="17"/>
  <c r="Q91" i="17"/>
  <c r="R91" i="17"/>
  <c r="S91" i="17"/>
  <c r="T91" i="17"/>
  <c r="U91" i="17"/>
  <c r="V91" i="17"/>
  <c r="Q96" i="17"/>
  <c r="R96" i="17"/>
  <c r="S96" i="17"/>
  <c r="T96" i="17"/>
  <c r="U96" i="17"/>
  <c r="V96" i="17"/>
  <c r="Q98" i="17"/>
  <c r="R98" i="17"/>
  <c r="S98" i="17"/>
  <c r="T98" i="17"/>
  <c r="U98" i="17"/>
  <c r="V98" i="17"/>
  <c r="Q99" i="17"/>
  <c r="R99" i="17"/>
  <c r="S99" i="17"/>
  <c r="T99" i="17"/>
  <c r="U99" i="17"/>
  <c r="V99" i="17"/>
  <c r="Q104" i="17"/>
  <c r="R104" i="17"/>
  <c r="S104" i="17"/>
  <c r="T104" i="17"/>
  <c r="U104" i="17"/>
  <c r="V104" i="17"/>
  <c r="Q106" i="17"/>
  <c r="R106" i="17"/>
  <c r="S106" i="17"/>
  <c r="T106" i="17"/>
  <c r="U106" i="17"/>
  <c r="V106" i="17"/>
  <c r="Q107" i="17"/>
  <c r="R107" i="17"/>
  <c r="S107" i="17"/>
  <c r="T107" i="17"/>
  <c r="U107" i="17"/>
  <c r="V107" i="17"/>
  <c r="Q118" i="17"/>
  <c r="R118" i="17"/>
  <c r="S118" i="17"/>
  <c r="T118" i="17"/>
  <c r="U118" i="17"/>
  <c r="V118" i="17"/>
  <c r="Q124" i="17"/>
  <c r="R124" i="17"/>
  <c r="S124" i="17"/>
  <c r="T124" i="17"/>
  <c r="U124" i="17"/>
  <c r="V124" i="17"/>
  <c r="Q125" i="17"/>
  <c r="R125" i="17"/>
  <c r="S125" i="17"/>
  <c r="T125" i="17"/>
  <c r="U125" i="17"/>
  <c r="V125" i="17"/>
  <c r="Q126" i="17"/>
  <c r="R126" i="17"/>
  <c r="S126" i="17"/>
  <c r="T126" i="17"/>
  <c r="U126" i="17"/>
  <c r="V126" i="17"/>
  <c r="Q127" i="17"/>
  <c r="R127" i="17"/>
  <c r="S127" i="17"/>
  <c r="T127" i="17"/>
  <c r="U127" i="17"/>
  <c r="V127" i="17"/>
  <c r="Q134" i="17"/>
  <c r="R134" i="17"/>
  <c r="S134" i="17"/>
  <c r="T134" i="17"/>
  <c r="U134" i="17"/>
  <c r="V134" i="17"/>
  <c r="Q139" i="17"/>
  <c r="R139" i="17"/>
  <c r="S139" i="17"/>
  <c r="T139" i="17"/>
  <c r="U139" i="17"/>
  <c r="V139" i="17"/>
  <c r="Q140" i="17"/>
  <c r="R140" i="17"/>
  <c r="S140" i="17"/>
  <c r="T140" i="17"/>
  <c r="U140" i="17"/>
  <c r="V140" i="17"/>
  <c r="Q146" i="17"/>
  <c r="R146" i="17"/>
  <c r="S146" i="17"/>
  <c r="T146" i="17"/>
  <c r="U146" i="17"/>
  <c r="V146" i="17"/>
  <c r="Q152" i="17"/>
  <c r="R152" i="17"/>
  <c r="S152" i="17"/>
  <c r="T152" i="17"/>
  <c r="U152" i="17"/>
  <c r="V152" i="17"/>
  <c r="Q153" i="17"/>
  <c r="R153" i="17"/>
  <c r="S153" i="17"/>
  <c r="T153" i="17"/>
  <c r="U153" i="17"/>
  <c r="V153" i="17"/>
  <c r="Q160" i="17"/>
  <c r="R160" i="17"/>
  <c r="S160" i="17"/>
  <c r="T160" i="17"/>
  <c r="U160" i="17"/>
  <c r="V160" i="17"/>
  <c r="Q166" i="17"/>
  <c r="R166" i="17"/>
  <c r="S166" i="17"/>
  <c r="T166" i="17"/>
  <c r="U166" i="17"/>
  <c r="V166" i="17"/>
  <c r="Q167" i="17"/>
  <c r="R167" i="17"/>
  <c r="S167" i="17"/>
  <c r="T167" i="17"/>
  <c r="U167" i="17"/>
  <c r="V167" i="17"/>
  <c r="Q174" i="17"/>
  <c r="R174" i="17"/>
  <c r="S174" i="17"/>
  <c r="T174" i="17"/>
  <c r="U174" i="17"/>
  <c r="V174" i="17"/>
  <c r="Q178" i="17"/>
  <c r="R178" i="17"/>
  <c r="S178" i="17"/>
  <c r="T178" i="17"/>
  <c r="U178" i="17"/>
  <c r="V178" i="17"/>
  <c r="Q184" i="17"/>
  <c r="R184" i="17"/>
  <c r="S184" i="17"/>
  <c r="T184" i="17"/>
  <c r="U184" i="17"/>
  <c r="V184" i="17"/>
  <c r="Q189" i="17"/>
  <c r="R189" i="17"/>
  <c r="S189" i="17"/>
  <c r="T189" i="17"/>
  <c r="U189" i="17"/>
  <c r="V189" i="17"/>
  <c r="Q190" i="17"/>
  <c r="R190" i="17"/>
  <c r="S190" i="17"/>
  <c r="T190" i="17"/>
  <c r="U190" i="17"/>
  <c r="V190" i="17"/>
  <c r="Q191" i="17"/>
  <c r="R191" i="17"/>
  <c r="S191" i="17"/>
  <c r="T191" i="17"/>
  <c r="U191" i="17"/>
  <c r="V191" i="17"/>
  <c r="Q198" i="17"/>
  <c r="R198" i="17"/>
  <c r="S198" i="17"/>
  <c r="T198" i="17"/>
  <c r="U198" i="17"/>
  <c r="V198" i="17"/>
  <c r="Q203" i="17"/>
  <c r="R203" i="17"/>
  <c r="S203" i="17"/>
  <c r="T203" i="17"/>
  <c r="U203" i="17"/>
  <c r="V203" i="17"/>
  <c r="Q210" i="17"/>
  <c r="R210" i="17"/>
  <c r="S210" i="17"/>
  <c r="T210" i="17"/>
  <c r="U210" i="17"/>
  <c r="V210" i="17"/>
  <c r="Q215" i="17"/>
  <c r="R215" i="17"/>
  <c r="S215" i="17"/>
  <c r="T215" i="17"/>
  <c r="U215" i="17"/>
  <c r="V215" i="17"/>
  <c r="Q216" i="17"/>
  <c r="R216" i="17"/>
  <c r="S216" i="17"/>
  <c r="T216" i="17"/>
  <c r="U216" i="17"/>
  <c r="V216" i="17"/>
  <c r="Q217" i="17"/>
  <c r="R217" i="17"/>
  <c r="S217" i="17"/>
  <c r="T217" i="17"/>
  <c r="U217" i="17"/>
  <c r="V217" i="17"/>
  <c r="Q223" i="17"/>
  <c r="R223" i="17"/>
  <c r="S223" i="17"/>
  <c r="T223" i="17"/>
  <c r="U223" i="17"/>
  <c r="V223" i="17"/>
  <c r="Q228" i="17"/>
  <c r="R228" i="17"/>
  <c r="S228" i="17"/>
  <c r="T228" i="17"/>
  <c r="U228" i="17"/>
  <c r="V228" i="17"/>
  <c r="Q229" i="17"/>
  <c r="R229" i="17"/>
  <c r="S229" i="17"/>
  <c r="T229" i="17"/>
  <c r="U229" i="17"/>
  <c r="V229" i="17"/>
  <c r="Q236" i="17"/>
  <c r="R236" i="17"/>
  <c r="S236" i="17"/>
  <c r="T236" i="17"/>
  <c r="U236" i="17"/>
  <c r="V236" i="17"/>
  <c r="Q254" i="17"/>
  <c r="R254" i="17"/>
  <c r="S254" i="17"/>
  <c r="T254" i="17"/>
  <c r="U254" i="17"/>
  <c r="V254" i="17"/>
  <c r="Y261" i="17"/>
  <c r="Q261" i="17"/>
  <c r="R261" i="17"/>
  <c r="S261" i="17"/>
  <c r="T261" i="17"/>
  <c r="U261" i="17"/>
  <c r="V261" i="17"/>
  <c r="Q271" i="17"/>
  <c r="R271" i="17"/>
  <c r="S271" i="17"/>
  <c r="T271" i="17"/>
  <c r="U271" i="17"/>
  <c r="V271" i="17"/>
  <c r="O273" i="17"/>
  <c r="Q275" i="17"/>
  <c r="R275" i="17"/>
  <c r="S275" i="17"/>
  <c r="T275" i="17"/>
  <c r="U275" i="17"/>
  <c r="V275" i="17"/>
  <c r="O278" i="17"/>
  <c r="Z261" i="17" l="1"/>
  <c r="O55" i="17"/>
  <c r="O259" i="17"/>
  <c r="O86" i="17"/>
  <c r="P72" i="17"/>
  <c r="P144" i="17"/>
  <c r="P242" i="17"/>
  <c r="O46" i="17"/>
  <c r="P182" i="17"/>
  <c r="O110" i="17"/>
  <c r="O63" i="17"/>
  <c r="P55" i="17"/>
  <c r="P273" i="17"/>
  <c r="P259" i="17"/>
  <c r="P196" i="17"/>
  <c r="P110" i="17"/>
  <c r="O102" i="17"/>
  <c r="P94" i="17"/>
  <c r="P86" i="17"/>
  <c r="P208" i="17"/>
  <c r="P102" i="17"/>
  <c r="O72" i="17"/>
  <c r="P234" i="17"/>
  <c r="O234" i="17"/>
  <c r="O208" i="17"/>
  <c r="O158" i="17"/>
  <c r="O144" i="17"/>
  <c r="P278" i="17"/>
  <c r="O242" i="17"/>
  <c r="O221" i="17"/>
  <c r="P158" i="17"/>
  <c r="O132" i="17"/>
  <c r="P63" i="17"/>
  <c r="P46" i="17"/>
  <c r="O94" i="17"/>
  <c r="O182" i="17" l="1"/>
  <c r="P132" i="17"/>
  <c r="O196" i="17"/>
  <c r="P172" i="17"/>
  <c r="O172" i="17"/>
  <c r="P221" i="17"/>
  <c r="AE10" i="16" l="1"/>
  <c r="Q37" i="16"/>
  <c r="R37" i="16"/>
  <c r="S37" i="16"/>
  <c r="T37" i="16"/>
  <c r="U37" i="16"/>
  <c r="V37" i="16"/>
  <c r="P45" i="16"/>
  <c r="Q47" i="16"/>
  <c r="R47" i="16"/>
  <c r="S47" i="16"/>
  <c r="T47" i="16"/>
  <c r="U47" i="16"/>
  <c r="V47" i="16"/>
  <c r="Q59" i="16"/>
  <c r="R59" i="16"/>
  <c r="S59" i="16"/>
  <c r="T59" i="16"/>
  <c r="U59" i="16"/>
  <c r="V59" i="16"/>
  <c r="Q62" i="16"/>
  <c r="R62" i="16"/>
  <c r="P66" i="16" s="1"/>
  <c r="S62" i="16"/>
  <c r="T62" i="16"/>
  <c r="U62" i="16"/>
  <c r="V62" i="16"/>
  <c r="Q74" i="16"/>
  <c r="R74" i="16"/>
  <c r="S74" i="16"/>
  <c r="T74" i="16"/>
  <c r="U74" i="16"/>
  <c r="V74" i="16"/>
  <c r="Q84" i="16"/>
  <c r="R84" i="16"/>
  <c r="S84" i="16"/>
  <c r="T84" i="16"/>
  <c r="U84" i="16"/>
  <c r="V84" i="16"/>
  <c r="Q96" i="16"/>
  <c r="R96" i="16"/>
  <c r="S96" i="16"/>
  <c r="T96" i="16"/>
  <c r="U96" i="16"/>
  <c r="V96" i="16"/>
  <c r="Q99" i="16"/>
  <c r="R99" i="16"/>
  <c r="S99" i="16"/>
  <c r="T99" i="16"/>
  <c r="U99" i="16"/>
  <c r="V99" i="16"/>
  <c r="Q111" i="16"/>
  <c r="R111" i="16"/>
  <c r="S111" i="16"/>
  <c r="T111" i="16"/>
  <c r="U111" i="16"/>
  <c r="V111" i="16"/>
  <c r="Q113" i="16"/>
  <c r="R113" i="16"/>
  <c r="S113" i="16"/>
  <c r="T113" i="16"/>
  <c r="U113" i="16"/>
  <c r="V113" i="16"/>
  <c r="Q119" i="16"/>
  <c r="R119" i="16"/>
  <c r="S119" i="16"/>
  <c r="T119" i="16"/>
  <c r="U119" i="16"/>
  <c r="V119" i="16"/>
  <c r="Q124" i="16"/>
  <c r="R124" i="16"/>
  <c r="S124" i="16"/>
  <c r="T124" i="16"/>
  <c r="U124" i="16"/>
  <c r="V124" i="16"/>
  <c r="Q131" i="16"/>
  <c r="R131" i="16"/>
  <c r="S131" i="16"/>
  <c r="T131" i="16"/>
  <c r="U131" i="16"/>
  <c r="V131" i="16"/>
  <c r="Q136" i="16"/>
  <c r="R136" i="16"/>
  <c r="S136" i="16"/>
  <c r="T136" i="16"/>
  <c r="U136" i="16"/>
  <c r="V136" i="16"/>
  <c r="Q143" i="16"/>
  <c r="R143" i="16"/>
  <c r="S143" i="16"/>
  <c r="T143" i="16"/>
  <c r="U143" i="16"/>
  <c r="V143" i="16"/>
  <c r="Q148" i="16"/>
  <c r="R148" i="16"/>
  <c r="S148" i="16"/>
  <c r="T148" i="16"/>
  <c r="U148" i="16"/>
  <c r="V148" i="16"/>
  <c r="Q155" i="16"/>
  <c r="R155" i="16"/>
  <c r="S155" i="16"/>
  <c r="T155" i="16"/>
  <c r="U155" i="16"/>
  <c r="V155" i="16"/>
  <c r="Q160" i="16"/>
  <c r="R160" i="16"/>
  <c r="S160" i="16"/>
  <c r="T160" i="16"/>
  <c r="U160" i="16"/>
  <c r="V160" i="16"/>
  <c r="Q167" i="16"/>
  <c r="R167" i="16"/>
  <c r="S167" i="16"/>
  <c r="T167" i="16"/>
  <c r="U167" i="16"/>
  <c r="V167" i="16"/>
  <c r="Q172" i="16"/>
  <c r="R172" i="16"/>
  <c r="S172" i="16"/>
  <c r="T172" i="16"/>
  <c r="U172" i="16"/>
  <c r="V172" i="16"/>
  <c r="Q179" i="16"/>
  <c r="R179" i="16"/>
  <c r="S179" i="16"/>
  <c r="T179" i="16"/>
  <c r="U179" i="16"/>
  <c r="V179" i="16"/>
  <c r="Q183" i="16"/>
  <c r="R183" i="16"/>
  <c r="S183" i="16"/>
  <c r="T183" i="16"/>
  <c r="U183" i="16"/>
  <c r="V183" i="16"/>
  <c r="Q190" i="16"/>
  <c r="R190" i="16"/>
  <c r="S190" i="16"/>
  <c r="T190" i="16"/>
  <c r="U190" i="16"/>
  <c r="V190" i="16"/>
  <c r="Q196" i="16"/>
  <c r="R196" i="16"/>
  <c r="S196" i="16"/>
  <c r="T196" i="16"/>
  <c r="U196" i="16"/>
  <c r="V196" i="16"/>
  <c r="Q203" i="16"/>
  <c r="R203" i="16"/>
  <c r="S203" i="16"/>
  <c r="T203" i="16"/>
  <c r="U203" i="16"/>
  <c r="V203" i="16"/>
  <c r="Q214" i="16"/>
  <c r="R214" i="16"/>
  <c r="S214" i="16"/>
  <c r="T214" i="16"/>
  <c r="U214" i="16"/>
  <c r="V214" i="16"/>
  <c r="Q219" i="16"/>
  <c r="R219" i="16"/>
  <c r="S219" i="16"/>
  <c r="T219" i="16"/>
  <c r="U219" i="16"/>
  <c r="V219" i="16"/>
  <c r="Q226" i="16"/>
  <c r="R226" i="16"/>
  <c r="S226" i="16"/>
  <c r="T226" i="16"/>
  <c r="U226" i="16"/>
  <c r="V226" i="16"/>
  <c r="Q231" i="16"/>
  <c r="R231" i="16"/>
  <c r="S231" i="16"/>
  <c r="T231" i="16"/>
  <c r="U231" i="16"/>
  <c r="V231" i="16"/>
  <c r="Q238" i="16"/>
  <c r="R238" i="16"/>
  <c r="S238" i="16"/>
  <c r="T238" i="16"/>
  <c r="U238" i="16"/>
  <c r="V238" i="16"/>
  <c r="Q243" i="16"/>
  <c r="R243" i="16"/>
  <c r="S243" i="16"/>
  <c r="T243" i="16"/>
  <c r="U243" i="16"/>
  <c r="V243" i="16"/>
  <c r="Q250" i="16"/>
  <c r="R250" i="16"/>
  <c r="S250" i="16"/>
  <c r="T250" i="16"/>
  <c r="U250" i="16"/>
  <c r="V250" i="16"/>
  <c r="Q255" i="16"/>
  <c r="R255" i="16"/>
  <c r="S255" i="16"/>
  <c r="T255" i="16"/>
  <c r="U255" i="16"/>
  <c r="V255" i="16"/>
  <c r="Q262" i="16"/>
  <c r="R262" i="16"/>
  <c r="S262" i="16"/>
  <c r="T262" i="16"/>
  <c r="U262" i="16"/>
  <c r="V262" i="16"/>
  <c r="Q267" i="16"/>
  <c r="R267" i="16"/>
  <c r="S267" i="16"/>
  <c r="T267" i="16"/>
  <c r="U267" i="16"/>
  <c r="V267" i="16"/>
  <c r="Q274" i="16"/>
  <c r="R274" i="16"/>
  <c r="S274" i="16"/>
  <c r="T274" i="16"/>
  <c r="U274" i="16"/>
  <c r="V274" i="16"/>
  <c r="Q276" i="16"/>
  <c r="R276" i="16"/>
  <c r="S276" i="16"/>
  <c r="T276" i="16"/>
  <c r="U276" i="16"/>
  <c r="V276" i="16"/>
  <c r="Q277" i="16"/>
  <c r="R277" i="16"/>
  <c r="S277" i="16"/>
  <c r="T277" i="16"/>
  <c r="U277" i="16"/>
  <c r="V277" i="16"/>
  <c r="AF284" i="16"/>
  <c r="Q289" i="16"/>
  <c r="R289" i="16"/>
  <c r="S289" i="16"/>
  <c r="T289" i="16"/>
  <c r="U289" i="16"/>
  <c r="V289" i="16"/>
  <c r="Q301" i="16"/>
  <c r="R301" i="16"/>
  <c r="S301" i="16"/>
  <c r="T301" i="16"/>
  <c r="U301" i="16"/>
  <c r="V301" i="16"/>
  <c r="O303" i="16"/>
  <c r="Q305" i="16"/>
  <c r="R305" i="16"/>
  <c r="S305" i="16"/>
  <c r="T305" i="16"/>
  <c r="U305" i="16"/>
  <c r="V305" i="16"/>
  <c r="O307" i="16"/>
  <c r="P307" i="16"/>
  <c r="P82" i="16" l="1"/>
  <c r="P212" i="16"/>
  <c r="P303" i="16"/>
  <c r="O260" i="16"/>
  <c r="P293" i="16"/>
  <c r="O272" i="16"/>
  <c r="O248" i="16"/>
  <c r="P103" i="16"/>
  <c r="O103" i="16"/>
  <c r="O57" i="16"/>
  <c r="O236" i="16"/>
  <c r="O153" i="16"/>
  <c r="P94" i="16"/>
  <c r="O165" i="16"/>
  <c r="O94" i="16"/>
  <c r="P57" i="16"/>
  <c r="P236" i="16"/>
  <c r="P177" i="16"/>
  <c r="P165" i="16"/>
  <c r="O45" i="16"/>
  <c r="O212" i="16"/>
  <c r="P201" i="16"/>
  <c r="O201" i="16"/>
  <c r="O66" i="16"/>
  <c r="O293" i="16"/>
  <c r="O117" i="16"/>
  <c r="P188" i="16"/>
  <c r="O177" i="16"/>
  <c r="P153" i="16"/>
  <c r="P141" i="16"/>
  <c r="O141" i="16"/>
  <c r="O129" i="16"/>
  <c r="P281" i="16"/>
  <c r="O281" i="16"/>
  <c r="P224" i="16"/>
  <c r="O224" i="16"/>
  <c r="O188" i="16"/>
  <c r="P117" i="16"/>
  <c r="O82" i="16"/>
  <c r="P129" i="16" l="1"/>
  <c r="P272" i="16"/>
  <c r="P248" i="16"/>
  <c r="P260" i="16"/>
  <c r="AE10" i="15" l="1"/>
  <c r="Q39" i="15"/>
  <c r="R39" i="15"/>
  <c r="S39" i="15"/>
  <c r="T39" i="15"/>
  <c r="U39" i="15"/>
  <c r="V39" i="15"/>
  <c r="Q47" i="15"/>
  <c r="R47" i="15"/>
  <c r="S47" i="15"/>
  <c r="T47" i="15"/>
  <c r="U47" i="15"/>
  <c r="V47" i="15"/>
  <c r="Q58" i="15"/>
  <c r="R58" i="15"/>
  <c r="S58" i="15"/>
  <c r="T58" i="15"/>
  <c r="U58" i="15"/>
  <c r="V58" i="15"/>
  <c r="Q64" i="15"/>
  <c r="R64" i="15"/>
  <c r="S64" i="15"/>
  <c r="T64" i="15"/>
  <c r="U64" i="15"/>
  <c r="V64" i="15"/>
  <c r="Q71" i="15"/>
  <c r="R71" i="15"/>
  <c r="S71" i="15"/>
  <c r="T71" i="15"/>
  <c r="U71" i="15"/>
  <c r="V71" i="15"/>
  <c r="Q77" i="15"/>
  <c r="R77" i="15"/>
  <c r="S77" i="15"/>
  <c r="T77" i="15"/>
  <c r="U77" i="15"/>
  <c r="V77" i="15"/>
  <c r="Q84" i="15"/>
  <c r="R84" i="15"/>
  <c r="S84" i="15"/>
  <c r="T84" i="15"/>
  <c r="U84" i="15"/>
  <c r="V84" i="15"/>
  <c r="Q90" i="15"/>
  <c r="R90" i="15"/>
  <c r="S90" i="15"/>
  <c r="T90" i="15"/>
  <c r="U90" i="15"/>
  <c r="V90" i="15"/>
  <c r="Q91" i="15"/>
  <c r="R91" i="15"/>
  <c r="S91" i="15"/>
  <c r="T91" i="15"/>
  <c r="U91" i="15"/>
  <c r="V91" i="15"/>
  <c r="Q92" i="15"/>
  <c r="R92" i="15"/>
  <c r="S92" i="15"/>
  <c r="T92" i="15"/>
  <c r="U92" i="15"/>
  <c r="V92" i="15"/>
  <c r="Q93" i="15"/>
  <c r="R93" i="15"/>
  <c r="S93" i="15"/>
  <c r="T93" i="15"/>
  <c r="U93" i="15"/>
  <c r="V93" i="15"/>
  <c r="Q100" i="15"/>
  <c r="R100" i="15"/>
  <c r="S100" i="15"/>
  <c r="T100" i="15"/>
  <c r="U100" i="15"/>
  <c r="V100" i="15"/>
  <c r="Q104" i="15"/>
  <c r="R104" i="15"/>
  <c r="S104" i="15"/>
  <c r="T104" i="15"/>
  <c r="U104" i="15"/>
  <c r="V104" i="15"/>
  <c r="AF112" i="15"/>
  <c r="Q117" i="15"/>
  <c r="R117" i="15"/>
  <c r="S117" i="15"/>
  <c r="T117" i="15"/>
  <c r="U117" i="15"/>
  <c r="V117" i="15"/>
  <c r="Q128" i="15"/>
  <c r="R128" i="15"/>
  <c r="S128" i="15"/>
  <c r="T128" i="15"/>
  <c r="U128" i="15"/>
  <c r="V128" i="15"/>
  <c r="Q133" i="15"/>
  <c r="R133" i="15"/>
  <c r="S133" i="15"/>
  <c r="T133" i="15"/>
  <c r="U133" i="15"/>
  <c r="V133" i="15"/>
  <c r="Q139" i="15"/>
  <c r="R139" i="15"/>
  <c r="S139" i="15"/>
  <c r="T139" i="15"/>
  <c r="U139" i="15"/>
  <c r="V139" i="15"/>
  <c r="Q145" i="15"/>
  <c r="R145" i="15"/>
  <c r="S145" i="15"/>
  <c r="T145" i="15"/>
  <c r="U145" i="15"/>
  <c r="V145" i="15"/>
  <c r="Q152" i="15"/>
  <c r="R152" i="15"/>
  <c r="S152" i="15"/>
  <c r="T152" i="15"/>
  <c r="U152" i="15"/>
  <c r="V152" i="15"/>
  <c r="Q158" i="15"/>
  <c r="R158" i="15"/>
  <c r="S158" i="15"/>
  <c r="T158" i="15"/>
  <c r="U158" i="15"/>
  <c r="V158" i="15"/>
  <c r="Q159" i="15"/>
  <c r="R159" i="15"/>
  <c r="S159" i="15"/>
  <c r="T159" i="15"/>
  <c r="U159" i="15"/>
  <c r="V159" i="15"/>
  <c r="Q160" i="15"/>
  <c r="R160" i="15"/>
  <c r="S160" i="15"/>
  <c r="T160" i="15"/>
  <c r="U160" i="15"/>
  <c r="V160" i="15"/>
  <c r="Q161" i="15"/>
  <c r="R161" i="15"/>
  <c r="S161" i="15"/>
  <c r="T161" i="15"/>
  <c r="U161" i="15"/>
  <c r="V161" i="15"/>
  <c r="AF169" i="15"/>
  <c r="Q178" i="15"/>
  <c r="R178" i="15"/>
  <c r="S178" i="15"/>
  <c r="T178" i="15"/>
  <c r="U178" i="15"/>
  <c r="V178" i="15"/>
  <c r="Q189" i="15"/>
  <c r="R189" i="15"/>
  <c r="S189" i="15"/>
  <c r="T189" i="15"/>
  <c r="U189" i="15"/>
  <c r="V189" i="15"/>
  <c r="Q195" i="15"/>
  <c r="R195" i="15"/>
  <c r="S195" i="15"/>
  <c r="T195" i="15"/>
  <c r="U195" i="15"/>
  <c r="V195" i="15"/>
  <c r="Q202" i="15"/>
  <c r="R202" i="15"/>
  <c r="S202" i="15"/>
  <c r="T202" i="15"/>
  <c r="U202" i="15"/>
  <c r="V202" i="15"/>
  <c r="Q208" i="15"/>
  <c r="R208" i="15"/>
  <c r="S208" i="15"/>
  <c r="T208" i="15"/>
  <c r="U208" i="15"/>
  <c r="V208" i="15"/>
  <c r="Q215" i="15"/>
  <c r="R215" i="15"/>
  <c r="S215" i="15"/>
  <c r="T215" i="15"/>
  <c r="U215" i="15"/>
  <c r="V215" i="15"/>
  <c r="Q221" i="15"/>
  <c r="R221" i="15"/>
  <c r="S221" i="15"/>
  <c r="T221" i="15"/>
  <c r="U221" i="15"/>
  <c r="V221" i="15"/>
  <c r="Q228" i="15"/>
  <c r="R228" i="15"/>
  <c r="S228" i="15"/>
  <c r="T228" i="15"/>
  <c r="U228" i="15"/>
  <c r="V228" i="15"/>
  <c r="Q234" i="15"/>
  <c r="R234" i="15"/>
  <c r="S234" i="15"/>
  <c r="T234" i="15"/>
  <c r="U234" i="15"/>
  <c r="V234" i="15"/>
  <c r="Q235" i="15"/>
  <c r="R235" i="15"/>
  <c r="S235" i="15"/>
  <c r="T235" i="15"/>
  <c r="U235" i="15"/>
  <c r="V235" i="15"/>
  <c r="Q236" i="15"/>
  <c r="R236" i="15"/>
  <c r="S236" i="15"/>
  <c r="T236" i="15"/>
  <c r="U236" i="15"/>
  <c r="V236" i="15"/>
  <c r="AF244" i="15"/>
  <c r="Q251" i="15"/>
  <c r="R251" i="15"/>
  <c r="S251" i="15"/>
  <c r="T251" i="15"/>
  <c r="U251" i="15"/>
  <c r="V251" i="15"/>
  <c r="O261" i="15"/>
  <c r="Q263" i="15"/>
  <c r="R263" i="15"/>
  <c r="S263" i="15"/>
  <c r="T263" i="15"/>
  <c r="U263" i="15"/>
  <c r="V263" i="15"/>
  <c r="Q269" i="15"/>
  <c r="R269" i="15"/>
  <c r="S269" i="15"/>
  <c r="T269" i="15"/>
  <c r="U269" i="15"/>
  <c r="V269" i="15"/>
  <c r="Q276" i="15"/>
  <c r="R276" i="15"/>
  <c r="S276" i="15"/>
  <c r="T276" i="15"/>
  <c r="U276" i="15"/>
  <c r="V276" i="15"/>
  <c r="Q282" i="15"/>
  <c r="R282" i="15"/>
  <c r="S282" i="15"/>
  <c r="T282" i="15"/>
  <c r="U282" i="15"/>
  <c r="V282" i="15"/>
  <c r="Q283" i="15"/>
  <c r="R283" i="15"/>
  <c r="S283" i="15"/>
  <c r="T283" i="15"/>
  <c r="U283" i="15"/>
  <c r="V283" i="15"/>
  <c r="Q290" i="15"/>
  <c r="R290" i="15"/>
  <c r="S290" i="15"/>
  <c r="T290" i="15"/>
  <c r="U290" i="15"/>
  <c r="V290" i="15"/>
  <c r="Q296" i="15"/>
  <c r="R296" i="15"/>
  <c r="S296" i="15"/>
  <c r="T296" i="15"/>
  <c r="U296" i="15"/>
  <c r="V296" i="15"/>
  <c r="Q303" i="15"/>
  <c r="R303" i="15"/>
  <c r="S303" i="15"/>
  <c r="T303" i="15"/>
  <c r="U303" i="15"/>
  <c r="V303" i="15"/>
  <c r="AF316" i="15"/>
  <c r="Q321" i="15"/>
  <c r="R321" i="15"/>
  <c r="S321" i="15"/>
  <c r="T321" i="15"/>
  <c r="U321" i="15"/>
  <c r="V321" i="15"/>
  <c r="Q333" i="15"/>
  <c r="R333" i="15"/>
  <c r="S333" i="15"/>
  <c r="T333" i="15"/>
  <c r="U333" i="15"/>
  <c r="V333" i="15"/>
  <c r="Q339" i="15"/>
  <c r="R339" i="15"/>
  <c r="S339" i="15"/>
  <c r="T339" i="15"/>
  <c r="U339" i="15"/>
  <c r="V339" i="15"/>
  <c r="Q346" i="15"/>
  <c r="R346" i="15"/>
  <c r="S346" i="15"/>
  <c r="T346" i="15"/>
  <c r="U346" i="15"/>
  <c r="V346" i="15"/>
  <c r="Q352" i="15"/>
  <c r="R352" i="15"/>
  <c r="S352" i="15"/>
  <c r="T352" i="15"/>
  <c r="U352" i="15"/>
  <c r="V352" i="15"/>
  <c r="Q353" i="15"/>
  <c r="R353" i="15"/>
  <c r="S353" i="15"/>
  <c r="T353" i="15"/>
  <c r="U353" i="15"/>
  <c r="V353" i="15"/>
  <c r="Q360" i="15"/>
  <c r="R360" i="15"/>
  <c r="S360" i="15"/>
  <c r="T360" i="15"/>
  <c r="U360" i="15"/>
  <c r="V360" i="15"/>
  <c r="Q366" i="15"/>
  <c r="R366" i="15"/>
  <c r="S366" i="15"/>
  <c r="T366" i="15"/>
  <c r="U366" i="15"/>
  <c r="V366" i="15"/>
  <c r="Q373" i="15"/>
  <c r="R373" i="15"/>
  <c r="S373" i="15"/>
  <c r="T373" i="15"/>
  <c r="U373" i="15"/>
  <c r="V373" i="15"/>
  <c r="P383" i="15"/>
  <c r="AF386" i="15"/>
  <c r="Q391" i="15"/>
  <c r="R391" i="15"/>
  <c r="S391" i="15"/>
  <c r="T391" i="15"/>
  <c r="U391" i="15"/>
  <c r="V391" i="15"/>
  <c r="Q396" i="15"/>
  <c r="R396" i="15"/>
  <c r="S396" i="15"/>
  <c r="T396" i="15"/>
  <c r="U396" i="15"/>
  <c r="V396" i="15"/>
  <c r="Q403" i="15"/>
  <c r="R403" i="15"/>
  <c r="S403" i="15"/>
  <c r="T403" i="15"/>
  <c r="U403" i="15"/>
  <c r="V403" i="15"/>
  <c r="Q409" i="15"/>
  <c r="R409" i="15"/>
  <c r="S409" i="15"/>
  <c r="T409" i="15"/>
  <c r="U409" i="15"/>
  <c r="V409" i="15"/>
  <c r="Q416" i="15"/>
  <c r="R416" i="15"/>
  <c r="S416" i="15"/>
  <c r="T416" i="15"/>
  <c r="U416" i="15"/>
  <c r="V416" i="15"/>
  <c r="Q421" i="15"/>
  <c r="R421" i="15"/>
  <c r="S421" i="15"/>
  <c r="T421" i="15"/>
  <c r="U421" i="15"/>
  <c r="V421" i="15"/>
  <c r="Q428" i="15"/>
  <c r="R428" i="15"/>
  <c r="S428" i="15"/>
  <c r="T428" i="15"/>
  <c r="U428" i="15"/>
  <c r="V428" i="15"/>
  <c r="Q434" i="15"/>
  <c r="R434" i="15"/>
  <c r="S434" i="15"/>
  <c r="T434" i="15"/>
  <c r="U434" i="15"/>
  <c r="V434" i="15"/>
  <c r="Q435" i="15"/>
  <c r="R435" i="15"/>
  <c r="S435" i="15"/>
  <c r="T435" i="15"/>
  <c r="U435" i="15"/>
  <c r="V435" i="15"/>
  <c r="AF443" i="15"/>
  <c r="Q448" i="15"/>
  <c r="R448" i="15"/>
  <c r="S448" i="15"/>
  <c r="T448" i="15"/>
  <c r="U448" i="15"/>
  <c r="V448" i="15"/>
  <c r="Q453" i="15"/>
  <c r="R453" i="15"/>
  <c r="S453" i="15"/>
  <c r="T453" i="15"/>
  <c r="U453" i="15"/>
  <c r="V453" i="15"/>
  <c r="Q454" i="15"/>
  <c r="R454" i="15"/>
  <c r="S454" i="15"/>
  <c r="T454" i="15"/>
  <c r="U454" i="15"/>
  <c r="V454" i="15"/>
  <c r="Q461" i="15"/>
  <c r="R461" i="15"/>
  <c r="S461" i="15"/>
  <c r="T461" i="15"/>
  <c r="U461" i="15"/>
  <c r="V461" i="15"/>
  <c r="Q466" i="15"/>
  <c r="R466" i="15"/>
  <c r="S466" i="15"/>
  <c r="T466" i="15"/>
  <c r="U466" i="15"/>
  <c r="V466" i="15"/>
  <c r="Q467" i="15"/>
  <c r="R467" i="15"/>
  <c r="S467" i="15"/>
  <c r="T467" i="15"/>
  <c r="U467" i="15"/>
  <c r="V467" i="15"/>
  <c r="Q480" i="15"/>
  <c r="R480" i="15"/>
  <c r="S480" i="15"/>
  <c r="T480" i="15"/>
  <c r="U480" i="15"/>
  <c r="V480" i="15"/>
  <c r="Q486" i="15"/>
  <c r="R486" i="15"/>
  <c r="S486" i="15"/>
  <c r="T486" i="15"/>
  <c r="U486" i="15"/>
  <c r="V486" i="15"/>
  <c r="Q487" i="15"/>
  <c r="R487" i="15"/>
  <c r="S487" i="15"/>
  <c r="T487" i="15"/>
  <c r="U487" i="15"/>
  <c r="V487" i="15"/>
  <c r="Q488" i="15"/>
  <c r="R488" i="15"/>
  <c r="S488" i="15"/>
  <c r="T488" i="15"/>
  <c r="U488" i="15"/>
  <c r="V488" i="15"/>
  <c r="Q495" i="15"/>
  <c r="R495" i="15"/>
  <c r="S495" i="15"/>
  <c r="T495" i="15"/>
  <c r="U495" i="15"/>
  <c r="V495" i="15"/>
  <c r="Q506" i="15"/>
  <c r="R506" i="15"/>
  <c r="S506" i="15"/>
  <c r="T506" i="15"/>
  <c r="U506" i="15"/>
  <c r="V506" i="15"/>
  <c r="Q510" i="15"/>
  <c r="R510" i="15"/>
  <c r="S510" i="15"/>
  <c r="T510" i="15"/>
  <c r="U510" i="15"/>
  <c r="V510" i="15"/>
  <c r="Q517" i="15"/>
  <c r="R517" i="15"/>
  <c r="S517" i="15"/>
  <c r="T517" i="15"/>
  <c r="U517" i="15"/>
  <c r="V517" i="15"/>
  <c r="Q523" i="15"/>
  <c r="R523" i="15"/>
  <c r="S523" i="15"/>
  <c r="T523" i="15"/>
  <c r="U523" i="15"/>
  <c r="V523" i="15"/>
  <c r="AF531" i="15"/>
  <c r="AF535" i="15"/>
  <c r="Q540" i="15"/>
  <c r="R540" i="15"/>
  <c r="S540" i="15"/>
  <c r="T540" i="15"/>
  <c r="U540" i="15"/>
  <c r="V540" i="15"/>
  <c r="Q546" i="15"/>
  <c r="R546" i="15"/>
  <c r="S546" i="15"/>
  <c r="T546" i="15"/>
  <c r="U546" i="15"/>
  <c r="V546" i="15"/>
  <c r="Q547" i="15"/>
  <c r="R547" i="15"/>
  <c r="S547" i="15"/>
  <c r="T547" i="15"/>
  <c r="U547" i="15"/>
  <c r="V547" i="15"/>
  <c r="Q548" i="15"/>
  <c r="R548" i="15"/>
  <c r="S548" i="15"/>
  <c r="T548" i="15"/>
  <c r="U548" i="15"/>
  <c r="V548" i="15"/>
  <c r="Q549" i="15"/>
  <c r="R549" i="15"/>
  <c r="S549" i="15"/>
  <c r="T549" i="15"/>
  <c r="U549" i="15"/>
  <c r="V549" i="15"/>
  <c r="Q556" i="15"/>
  <c r="R556" i="15"/>
  <c r="S556" i="15"/>
  <c r="T556" i="15"/>
  <c r="U556" i="15"/>
  <c r="V556" i="15"/>
  <c r="Q561" i="15"/>
  <c r="R561" i="15"/>
  <c r="S561" i="15"/>
  <c r="T561" i="15"/>
  <c r="U561" i="15"/>
  <c r="V561" i="15"/>
  <c r="Q568" i="15"/>
  <c r="R568" i="15"/>
  <c r="S568" i="15"/>
  <c r="T568" i="15"/>
  <c r="U568" i="15"/>
  <c r="V568" i="15"/>
  <c r="Q574" i="15"/>
  <c r="R574" i="15"/>
  <c r="S574" i="15"/>
  <c r="T574" i="15"/>
  <c r="U574" i="15"/>
  <c r="V574" i="15"/>
  <c r="Q575" i="15"/>
  <c r="R575" i="15"/>
  <c r="S575" i="15"/>
  <c r="T575" i="15"/>
  <c r="U575" i="15"/>
  <c r="V575" i="15"/>
  <c r="Q588" i="15"/>
  <c r="R588" i="15"/>
  <c r="S588" i="15"/>
  <c r="T588" i="15"/>
  <c r="U588" i="15"/>
  <c r="V588" i="15"/>
  <c r="Q594" i="15"/>
  <c r="R594" i="15"/>
  <c r="S594" i="15"/>
  <c r="T594" i="15"/>
  <c r="U594" i="15"/>
  <c r="V594" i="15"/>
  <c r="Q601" i="15"/>
  <c r="R601" i="15"/>
  <c r="S601" i="15"/>
  <c r="T601" i="15"/>
  <c r="U601" i="15"/>
  <c r="V601" i="15"/>
  <c r="Q607" i="15"/>
  <c r="R607" i="15"/>
  <c r="S607" i="15"/>
  <c r="T607" i="15"/>
  <c r="U607" i="15"/>
  <c r="V607" i="15"/>
  <c r="Q614" i="15"/>
  <c r="R614" i="15"/>
  <c r="S614" i="15"/>
  <c r="T614" i="15"/>
  <c r="U614" i="15"/>
  <c r="V614" i="15"/>
  <c r="Q620" i="15"/>
  <c r="R620" i="15"/>
  <c r="S620" i="15"/>
  <c r="T620" i="15"/>
  <c r="U620" i="15"/>
  <c r="V620" i="15"/>
  <c r="AF628" i="15"/>
  <c r="Q633" i="15"/>
  <c r="R633" i="15"/>
  <c r="S633" i="15"/>
  <c r="T633" i="15"/>
  <c r="U633" i="15"/>
  <c r="V633" i="15"/>
  <c r="O643" i="15"/>
  <c r="Q638" i="15"/>
  <c r="R638" i="15"/>
  <c r="S638" i="15"/>
  <c r="T638" i="15"/>
  <c r="U638" i="15"/>
  <c r="V638" i="15"/>
  <c r="Q645" i="15"/>
  <c r="R645" i="15"/>
  <c r="S645" i="15"/>
  <c r="T645" i="15"/>
  <c r="U645" i="15"/>
  <c r="V645" i="15"/>
  <c r="Q650" i="15"/>
  <c r="R650" i="15"/>
  <c r="S650" i="15"/>
  <c r="T650" i="15"/>
  <c r="U650" i="15"/>
  <c r="V650" i="15"/>
  <c r="Q657" i="15"/>
  <c r="R657" i="15"/>
  <c r="S657" i="15"/>
  <c r="T657" i="15"/>
  <c r="U657" i="15"/>
  <c r="V657" i="15"/>
  <c r="Q669" i="15"/>
  <c r="R669" i="15"/>
  <c r="S669" i="15"/>
  <c r="T669" i="15"/>
  <c r="U669" i="15"/>
  <c r="V669" i="15"/>
  <c r="Q675" i="15"/>
  <c r="R675" i="15"/>
  <c r="S675" i="15"/>
  <c r="T675" i="15"/>
  <c r="U675" i="15"/>
  <c r="V675" i="15"/>
  <c r="Q682" i="15"/>
  <c r="R682" i="15"/>
  <c r="S682" i="15"/>
  <c r="T682" i="15"/>
  <c r="U682" i="15"/>
  <c r="V682" i="15"/>
  <c r="Q688" i="15"/>
  <c r="R688" i="15"/>
  <c r="S688" i="15"/>
  <c r="T688" i="15"/>
  <c r="U688" i="15"/>
  <c r="V688" i="15"/>
  <c r="Q695" i="15"/>
  <c r="R695" i="15"/>
  <c r="S695" i="15"/>
  <c r="T695" i="15"/>
  <c r="U695" i="15"/>
  <c r="V695" i="15"/>
  <c r="Q700" i="15"/>
  <c r="R700" i="15"/>
  <c r="S700" i="15"/>
  <c r="T700" i="15"/>
  <c r="U700" i="15"/>
  <c r="V700" i="15"/>
  <c r="Q701" i="15"/>
  <c r="R701" i="15"/>
  <c r="S701" i="15"/>
  <c r="T701" i="15"/>
  <c r="U701" i="15"/>
  <c r="V701" i="15"/>
  <c r="Q714" i="15"/>
  <c r="R714" i="15"/>
  <c r="S714" i="15"/>
  <c r="T714" i="15"/>
  <c r="U714" i="15"/>
  <c r="V714" i="15"/>
  <c r="Q717" i="15"/>
  <c r="R717" i="15"/>
  <c r="S717" i="15"/>
  <c r="T717" i="15"/>
  <c r="U717" i="15"/>
  <c r="V717" i="15"/>
  <c r="Q723" i="15"/>
  <c r="R723" i="15"/>
  <c r="S723" i="15"/>
  <c r="T723" i="15"/>
  <c r="U723" i="15"/>
  <c r="V723" i="15"/>
  <c r="Q728" i="15"/>
  <c r="R728" i="15"/>
  <c r="S728" i="15"/>
  <c r="T728" i="15"/>
  <c r="U728" i="15"/>
  <c r="V728" i="15"/>
  <c r="Q735" i="15"/>
  <c r="R735" i="15"/>
  <c r="S735" i="15"/>
  <c r="T735" i="15"/>
  <c r="U735" i="15"/>
  <c r="V735" i="15"/>
  <c r="Q741" i="15"/>
  <c r="R741" i="15"/>
  <c r="S741" i="15"/>
  <c r="T741" i="15"/>
  <c r="U741" i="15"/>
  <c r="V741" i="15"/>
  <c r="Q748" i="15"/>
  <c r="R748" i="15"/>
  <c r="S748" i="15"/>
  <c r="T748" i="15"/>
  <c r="U748" i="15"/>
  <c r="V748" i="15"/>
  <c r="Q753" i="15"/>
  <c r="R753" i="15"/>
  <c r="S753" i="15"/>
  <c r="T753" i="15"/>
  <c r="U753" i="15"/>
  <c r="V753" i="15"/>
  <c r="Q760" i="15"/>
  <c r="R760" i="15"/>
  <c r="S760" i="15"/>
  <c r="T760" i="15"/>
  <c r="U760" i="15"/>
  <c r="V760" i="15"/>
  <c r="Q766" i="15"/>
  <c r="R766" i="15"/>
  <c r="S766" i="15"/>
  <c r="T766" i="15"/>
  <c r="U766" i="15"/>
  <c r="V766" i="15"/>
  <c r="Q773" i="15"/>
  <c r="R773" i="15"/>
  <c r="S773" i="15"/>
  <c r="T773" i="15"/>
  <c r="U773" i="15"/>
  <c r="V773" i="15"/>
  <c r="Q784" i="15"/>
  <c r="R784" i="15"/>
  <c r="S784" i="15"/>
  <c r="T784" i="15"/>
  <c r="U784" i="15"/>
  <c r="V784" i="15"/>
  <c r="Q789" i="15"/>
  <c r="R789" i="15"/>
  <c r="S789" i="15"/>
  <c r="T789" i="15"/>
  <c r="U789" i="15"/>
  <c r="V789" i="15"/>
  <c r="Q796" i="15"/>
  <c r="R796" i="15"/>
  <c r="S796" i="15"/>
  <c r="T796" i="15"/>
  <c r="U796" i="15"/>
  <c r="V796" i="15"/>
  <c r="Q801" i="15"/>
  <c r="R801" i="15"/>
  <c r="S801" i="15"/>
  <c r="T801" i="15"/>
  <c r="U801" i="15"/>
  <c r="V801" i="15"/>
  <c r="Q802" i="15"/>
  <c r="R802" i="15"/>
  <c r="S802" i="15"/>
  <c r="T802" i="15"/>
  <c r="U802" i="15"/>
  <c r="V802" i="15"/>
  <c r="Q809" i="15"/>
  <c r="R809" i="15"/>
  <c r="S809" i="15"/>
  <c r="T809" i="15"/>
  <c r="U809" i="15"/>
  <c r="V809" i="15"/>
  <c r="Q815" i="15"/>
  <c r="R815" i="15"/>
  <c r="S815" i="15"/>
  <c r="T815" i="15"/>
  <c r="U815" i="15"/>
  <c r="V815" i="15"/>
  <c r="Q822" i="15"/>
  <c r="R822" i="15"/>
  <c r="S822" i="15"/>
  <c r="T822" i="15"/>
  <c r="U822" i="15"/>
  <c r="V822" i="15"/>
  <c r="P828" i="15"/>
  <c r="Q832" i="15"/>
  <c r="R832" i="15"/>
  <c r="S832" i="15"/>
  <c r="T832" i="15"/>
  <c r="U832" i="15"/>
  <c r="V832" i="15"/>
  <c r="Q837" i="15"/>
  <c r="R837" i="15"/>
  <c r="S837" i="15"/>
  <c r="T837" i="15"/>
  <c r="U837" i="15"/>
  <c r="V837" i="15"/>
  <c r="Q844" i="15"/>
  <c r="R844" i="15"/>
  <c r="S844" i="15"/>
  <c r="T844" i="15"/>
  <c r="U844" i="15"/>
  <c r="V844" i="15"/>
  <c r="Q850" i="15"/>
  <c r="R850" i="15"/>
  <c r="S850" i="15"/>
  <c r="T850" i="15"/>
  <c r="U850" i="15"/>
  <c r="V850" i="15"/>
  <c r="Q857" i="15"/>
  <c r="R857" i="15"/>
  <c r="S857" i="15"/>
  <c r="T857" i="15"/>
  <c r="U857" i="15"/>
  <c r="V857" i="15"/>
  <c r="Q863" i="15"/>
  <c r="R863" i="15"/>
  <c r="S863" i="15"/>
  <c r="T863" i="15"/>
  <c r="U863" i="15"/>
  <c r="V863" i="15"/>
  <c r="Q870" i="15"/>
  <c r="R870" i="15"/>
  <c r="S870" i="15"/>
  <c r="T870" i="15"/>
  <c r="U870" i="15"/>
  <c r="V870" i="15"/>
  <c r="AF883" i="15"/>
  <c r="Q894" i="15"/>
  <c r="R894" i="15"/>
  <c r="S894" i="15"/>
  <c r="T894" i="15"/>
  <c r="U894" i="15"/>
  <c r="V894" i="15"/>
  <c r="Q900" i="15"/>
  <c r="R900" i="15"/>
  <c r="S900" i="15"/>
  <c r="T900" i="15"/>
  <c r="U900" i="15"/>
  <c r="V900" i="15"/>
  <c r="Q901" i="15"/>
  <c r="R901" i="15"/>
  <c r="S901" i="15"/>
  <c r="T901" i="15"/>
  <c r="U901" i="15"/>
  <c r="V901" i="15"/>
  <c r="Q902" i="15"/>
  <c r="R902" i="15"/>
  <c r="S902" i="15"/>
  <c r="T902" i="15"/>
  <c r="U902" i="15"/>
  <c r="V902" i="15"/>
  <c r="Q903" i="15"/>
  <c r="R903" i="15"/>
  <c r="S903" i="15"/>
  <c r="T903" i="15"/>
  <c r="U903" i="15"/>
  <c r="V903" i="15"/>
  <c r="Q904" i="15"/>
  <c r="R904" i="15"/>
  <c r="S904" i="15"/>
  <c r="T904" i="15"/>
  <c r="U904" i="15"/>
  <c r="V904" i="15"/>
  <c r="Q905" i="15"/>
  <c r="R905" i="15"/>
  <c r="S905" i="15"/>
  <c r="T905" i="15"/>
  <c r="U905" i="15"/>
  <c r="V905" i="15"/>
  <c r="Q906" i="15"/>
  <c r="R906" i="15"/>
  <c r="S906" i="15"/>
  <c r="T906" i="15"/>
  <c r="U906" i="15"/>
  <c r="V906" i="15"/>
  <c r="Q913" i="15"/>
  <c r="R913" i="15"/>
  <c r="S913" i="15"/>
  <c r="T913" i="15"/>
  <c r="U913" i="15"/>
  <c r="V913" i="15"/>
  <c r="Q916" i="15"/>
  <c r="R916" i="15"/>
  <c r="S916" i="15"/>
  <c r="T916" i="15"/>
  <c r="U916" i="15"/>
  <c r="V916" i="15"/>
  <c r="Q922" i="15"/>
  <c r="R922" i="15"/>
  <c r="S922" i="15"/>
  <c r="T922" i="15"/>
  <c r="U922" i="15"/>
  <c r="V922" i="15"/>
  <c r="Q925" i="15"/>
  <c r="R925" i="15"/>
  <c r="S925" i="15"/>
  <c r="T925" i="15"/>
  <c r="U925" i="15"/>
  <c r="V925" i="15"/>
  <c r="Q937" i="15"/>
  <c r="R937" i="15"/>
  <c r="S937" i="15"/>
  <c r="T937" i="15"/>
  <c r="U937" i="15"/>
  <c r="V937" i="15"/>
  <c r="Q943" i="15"/>
  <c r="R943" i="15"/>
  <c r="S943" i="15"/>
  <c r="T943" i="15"/>
  <c r="U943" i="15"/>
  <c r="V943" i="15"/>
  <c r="Q944" i="15"/>
  <c r="R944" i="15"/>
  <c r="S944" i="15"/>
  <c r="T944" i="15"/>
  <c r="U944" i="15"/>
  <c r="V944" i="15"/>
  <c r="Q945" i="15"/>
  <c r="R945" i="15"/>
  <c r="S945" i="15"/>
  <c r="T945" i="15"/>
  <c r="U945" i="15"/>
  <c r="V945" i="15"/>
  <c r="Q946" i="15"/>
  <c r="R946" i="15"/>
  <c r="S946" i="15"/>
  <c r="T946" i="15"/>
  <c r="U946" i="15"/>
  <c r="V946" i="15"/>
  <c r="Q947" i="15"/>
  <c r="R947" i="15"/>
  <c r="S947" i="15"/>
  <c r="T947" i="15"/>
  <c r="U947" i="15"/>
  <c r="V947" i="15"/>
  <c r="Q948" i="15"/>
  <c r="R948" i="15"/>
  <c r="S948" i="15"/>
  <c r="T948" i="15"/>
  <c r="U948" i="15"/>
  <c r="V948" i="15"/>
  <c r="Q949" i="15"/>
  <c r="R949" i="15"/>
  <c r="S949" i="15"/>
  <c r="T949" i="15"/>
  <c r="U949" i="15"/>
  <c r="V949" i="15"/>
  <c r="Q962" i="15"/>
  <c r="R962" i="15"/>
  <c r="S962" i="15"/>
  <c r="T962" i="15"/>
  <c r="U962" i="15"/>
  <c r="V962" i="15"/>
  <c r="Q968" i="15"/>
  <c r="R968" i="15"/>
  <c r="S968" i="15"/>
  <c r="T968" i="15"/>
  <c r="U968" i="15"/>
  <c r="V968" i="15"/>
  <c r="Q969" i="15"/>
  <c r="R969" i="15"/>
  <c r="S969" i="15"/>
  <c r="T969" i="15"/>
  <c r="U969" i="15"/>
  <c r="V969" i="15"/>
  <c r="Q970" i="15"/>
  <c r="R970" i="15"/>
  <c r="S970" i="15"/>
  <c r="T970" i="15"/>
  <c r="U970" i="15"/>
  <c r="V970" i="15"/>
  <c r="Q971" i="15"/>
  <c r="R971" i="15"/>
  <c r="S971" i="15"/>
  <c r="T971" i="15"/>
  <c r="U971" i="15"/>
  <c r="V971" i="15"/>
  <c r="Q972" i="15"/>
  <c r="R972" i="15"/>
  <c r="S972" i="15"/>
  <c r="T972" i="15"/>
  <c r="U972" i="15"/>
  <c r="V972" i="15"/>
  <c r="Q973" i="15"/>
  <c r="R973" i="15"/>
  <c r="S973" i="15"/>
  <c r="T973" i="15"/>
  <c r="U973" i="15"/>
  <c r="V973" i="15"/>
  <c r="Q974" i="15"/>
  <c r="R974" i="15"/>
  <c r="S974" i="15"/>
  <c r="T974" i="15"/>
  <c r="U974" i="15"/>
  <c r="V974" i="15"/>
  <c r="Q987" i="15"/>
  <c r="R987" i="15"/>
  <c r="S987" i="15"/>
  <c r="T987" i="15"/>
  <c r="U987" i="15"/>
  <c r="V987" i="15"/>
  <c r="Q993" i="15"/>
  <c r="R993" i="15"/>
  <c r="S993" i="15"/>
  <c r="T993" i="15"/>
  <c r="U993" i="15"/>
  <c r="V993" i="15"/>
  <c r="Q994" i="15"/>
  <c r="R994" i="15"/>
  <c r="S994" i="15"/>
  <c r="T994" i="15"/>
  <c r="U994" i="15"/>
  <c r="V994" i="15"/>
  <c r="Q995" i="15"/>
  <c r="R995" i="15"/>
  <c r="S995" i="15"/>
  <c r="T995" i="15"/>
  <c r="U995" i="15"/>
  <c r="V995" i="15"/>
  <c r="Q996" i="15"/>
  <c r="R996" i="15"/>
  <c r="S996" i="15"/>
  <c r="T996" i="15"/>
  <c r="U996" i="15"/>
  <c r="V996" i="15"/>
  <c r="Q997" i="15"/>
  <c r="R997" i="15"/>
  <c r="S997" i="15"/>
  <c r="T997" i="15"/>
  <c r="U997" i="15"/>
  <c r="V997" i="15"/>
  <c r="Q998" i="15"/>
  <c r="R998" i="15"/>
  <c r="S998" i="15"/>
  <c r="T998" i="15"/>
  <c r="U998" i="15"/>
  <c r="V998" i="15"/>
  <c r="Q999" i="15"/>
  <c r="R999" i="15"/>
  <c r="S999" i="15"/>
  <c r="T999" i="15"/>
  <c r="U999" i="15"/>
  <c r="V999" i="15"/>
  <c r="Q1012" i="15"/>
  <c r="R1012" i="15"/>
  <c r="S1012" i="15"/>
  <c r="T1012" i="15"/>
  <c r="U1012" i="15"/>
  <c r="V1012" i="15"/>
  <c r="Q1017" i="15"/>
  <c r="R1017" i="15"/>
  <c r="S1017" i="15"/>
  <c r="T1017" i="15"/>
  <c r="U1017" i="15"/>
  <c r="V1017" i="15"/>
  <c r="Q1024" i="15"/>
  <c r="R1024" i="15"/>
  <c r="S1024" i="15"/>
  <c r="T1024" i="15"/>
  <c r="U1024" i="15"/>
  <c r="V1024" i="15"/>
  <c r="Q1030" i="15"/>
  <c r="R1030" i="15"/>
  <c r="S1030" i="15"/>
  <c r="T1030" i="15"/>
  <c r="U1030" i="15"/>
  <c r="V1030" i="15"/>
  <c r="Q1031" i="15"/>
  <c r="R1031" i="15"/>
  <c r="S1031" i="15"/>
  <c r="T1031" i="15"/>
  <c r="U1031" i="15"/>
  <c r="V1031" i="15"/>
  <c r="Q1032" i="15"/>
  <c r="R1032" i="15"/>
  <c r="S1032" i="15"/>
  <c r="T1032" i="15"/>
  <c r="U1032" i="15"/>
  <c r="V1032" i="15"/>
  <c r="AF1040" i="15"/>
  <c r="Q1049" i="15"/>
  <c r="R1049" i="15"/>
  <c r="S1049" i="15"/>
  <c r="T1049" i="15"/>
  <c r="U1049" i="15"/>
  <c r="V1049" i="15"/>
  <c r="Q1055" i="15"/>
  <c r="R1055" i="15"/>
  <c r="S1055" i="15"/>
  <c r="T1055" i="15"/>
  <c r="U1055" i="15"/>
  <c r="V1055" i="15"/>
  <c r="Q1062" i="15"/>
  <c r="R1062" i="15"/>
  <c r="S1062" i="15"/>
  <c r="T1062" i="15"/>
  <c r="U1062" i="15"/>
  <c r="V1062" i="15"/>
  <c r="Q1066" i="15"/>
  <c r="R1066" i="15"/>
  <c r="S1066" i="15"/>
  <c r="T1066" i="15"/>
  <c r="U1066" i="15"/>
  <c r="V1066" i="15"/>
  <c r="Q1079" i="15"/>
  <c r="R1079" i="15"/>
  <c r="S1079" i="15"/>
  <c r="T1079" i="15"/>
  <c r="U1079" i="15"/>
  <c r="V1079" i="15"/>
  <c r="Q1084" i="15"/>
  <c r="R1084" i="15"/>
  <c r="S1084" i="15"/>
  <c r="T1084" i="15"/>
  <c r="U1084" i="15"/>
  <c r="V1084" i="15"/>
  <c r="Q1091" i="15"/>
  <c r="R1091" i="15"/>
  <c r="S1091" i="15"/>
  <c r="T1091" i="15"/>
  <c r="U1091" i="15"/>
  <c r="V1091" i="15"/>
  <c r="Q1096" i="15"/>
  <c r="R1096" i="15"/>
  <c r="S1096" i="15"/>
  <c r="T1096" i="15"/>
  <c r="U1096" i="15"/>
  <c r="V1096" i="15"/>
  <c r="Q1103" i="15"/>
  <c r="R1103" i="15"/>
  <c r="S1103" i="15"/>
  <c r="T1103" i="15"/>
  <c r="U1103" i="15"/>
  <c r="V1103" i="15"/>
  <c r="Q1106" i="15"/>
  <c r="R1106" i="15"/>
  <c r="S1106" i="15"/>
  <c r="T1106" i="15"/>
  <c r="U1106" i="15"/>
  <c r="V1106" i="15"/>
  <c r="Q1112" i="15"/>
  <c r="R1112" i="15"/>
  <c r="S1112" i="15"/>
  <c r="T1112" i="15"/>
  <c r="U1112" i="15"/>
  <c r="V1112" i="15"/>
  <c r="Q1117" i="15"/>
  <c r="R1117" i="15"/>
  <c r="S1117" i="15"/>
  <c r="T1117" i="15"/>
  <c r="U1117" i="15"/>
  <c r="V1117" i="15"/>
  <c r="Q1124" i="15"/>
  <c r="R1124" i="15"/>
  <c r="S1124" i="15"/>
  <c r="T1124" i="15"/>
  <c r="U1124" i="15"/>
  <c r="V1124" i="15"/>
  <c r="Q1129" i="15"/>
  <c r="R1129" i="15"/>
  <c r="S1129" i="15"/>
  <c r="T1129" i="15"/>
  <c r="U1129" i="15"/>
  <c r="V1129" i="15"/>
  <c r="Q1136" i="15"/>
  <c r="R1136" i="15"/>
  <c r="S1136" i="15"/>
  <c r="T1136" i="15"/>
  <c r="U1136" i="15"/>
  <c r="V1136" i="15"/>
  <c r="Q1139" i="15"/>
  <c r="R1139" i="15"/>
  <c r="S1139" i="15"/>
  <c r="T1139" i="15"/>
  <c r="U1139" i="15"/>
  <c r="V1139" i="15"/>
  <c r="AF1146" i="15"/>
  <c r="Q1151" i="15"/>
  <c r="R1151" i="15"/>
  <c r="S1151" i="15"/>
  <c r="T1151" i="15"/>
  <c r="U1151" i="15"/>
  <c r="V1151" i="15"/>
  <c r="Q1156" i="15"/>
  <c r="R1156" i="15"/>
  <c r="S1156" i="15"/>
  <c r="T1156" i="15"/>
  <c r="U1156" i="15"/>
  <c r="V1156" i="15"/>
  <c r="Q1163" i="15"/>
  <c r="R1163" i="15"/>
  <c r="S1163" i="15"/>
  <c r="T1163" i="15"/>
  <c r="U1163" i="15"/>
  <c r="V1163" i="15"/>
  <c r="Q1168" i="15"/>
  <c r="R1168" i="15"/>
  <c r="S1168" i="15"/>
  <c r="T1168" i="15"/>
  <c r="U1168" i="15"/>
  <c r="V1168" i="15"/>
  <c r="Q1175" i="15"/>
  <c r="R1175" i="15"/>
  <c r="S1175" i="15"/>
  <c r="T1175" i="15"/>
  <c r="U1175" i="15"/>
  <c r="V1175" i="15"/>
  <c r="Q1180" i="15"/>
  <c r="R1180" i="15"/>
  <c r="S1180" i="15"/>
  <c r="T1180" i="15"/>
  <c r="U1180" i="15"/>
  <c r="V1180" i="15"/>
  <c r="Q1193" i="15"/>
  <c r="R1193" i="15"/>
  <c r="S1193" i="15"/>
  <c r="T1193" i="15"/>
  <c r="U1193" i="15"/>
  <c r="V1193" i="15"/>
  <c r="O1198" i="15"/>
  <c r="Q1206" i="15"/>
  <c r="R1206" i="15"/>
  <c r="S1206" i="15"/>
  <c r="T1206" i="15"/>
  <c r="U1206" i="15"/>
  <c r="V1206" i="15"/>
  <c r="Q1210" i="15"/>
  <c r="R1210" i="15"/>
  <c r="S1210" i="15"/>
  <c r="T1210" i="15"/>
  <c r="U1210" i="15"/>
  <c r="V1210" i="15"/>
  <c r="O1212" i="15"/>
  <c r="P1212" i="15"/>
  <c r="O45" i="15" l="1"/>
  <c r="O1208" i="15"/>
  <c r="P782" i="15"/>
  <c r="P625" i="15"/>
  <c r="O655" i="15"/>
  <c r="O313" i="15"/>
  <c r="O880" i="15"/>
  <c r="O758" i="15"/>
  <c r="P426" i="15"/>
  <c r="O414" i="15"/>
  <c r="P807" i="15"/>
  <c r="P680" i="15"/>
  <c r="P1208" i="15"/>
  <c r="P1198" i="15"/>
  <c r="P1134" i="15"/>
  <c r="P472" i="15"/>
  <c r="P288" i="15"/>
  <c r="O288" i="15"/>
  <c r="P109" i="15"/>
  <c r="P920" i="15"/>
  <c r="O828" i="15"/>
  <c r="P706" i="15"/>
  <c r="P667" i="15"/>
  <c r="P599" i="15"/>
  <c r="P566" i="15"/>
  <c r="P401" i="15"/>
  <c r="P371" i="15"/>
  <c r="P187" i="15"/>
  <c r="P929" i="15"/>
  <c r="O667" i="15"/>
  <c r="O612" i="15"/>
  <c r="O109" i="15"/>
  <c r="P98" i="15"/>
  <c r="P855" i="15"/>
  <c r="P1122" i="15"/>
  <c r="O1004" i="15"/>
  <c r="P1143" i="15"/>
  <c r="P820" i="15"/>
  <c r="O693" i="15"/>
  <c r="O1185" i="15"/>
  <c r="O979" i="15"/>
  <c r="O911" i="15"/>
  <c r="O794" i="15"/>
  <c r="P721" i="15"/>
  <c r="P82" i="15"/>
  <c r="O1173" i="15"/>
  <c r="P1173" i="15"/>
  <c r="O1161" i="15"/>
  <c r="P1161" i="15"/>
  <c r="O1089" i="15"/>
  <c r="P1089" i="15"/>
  <c r="P1060" i="15"/>
  <c r="P1022" i="15"/>
  <c r="O954" i="15"/>
  <c r="O920" i="15"/>
  <c r="P880" i="15"/>
  <c r="O868" i="15"/>
  <c r="O807" i="15"/>
  <c r="O782" i="15"/>
  <c r="O771" i="15"/>
  <c r="P758" i="15"/>
  <c r="O721" i="15"/>
  <c r="O680" i="15"/>
  <c r="P643" i="15"/>
  <c r="O625" i="15"/>
  <c r="P226" i="15"/>
  <c r="O1143" i="15"/>
  <c r="O1122" i="15"/>
  <c r="O733" i="15"/>
  <c r="P1185" i="15"/>
  <c r="O842" i="15"/>
  <c r="P842" i="15"/>
  <c r="O820" i="15"/>
  <c r="P794" i="15"/>
  <c r="P746" i="15"/>
  <c r="O1134" i="15"/>
  <c r="P1110" i="15"/>
  <c r="O1110" i="15"/>
  <c r="P1101" i="15"/>
  <c r="O1101" i="15"/>
  <c r="O1071" i="15"/>
  <c r="P1071" i="15"/>
  <c r="P1037" i="15"/>
  <c r="O1037" i="15"/>
  <c r="P979" i="15"/>
  <c r="O929" i="15"/>
  <c r="P655" i="15"/>
  <c r="P612" i="15"/>
  <c r="O599" i="15"/>
  <c r="P493" i="15"/>
  <c r="O166" i="15"/>
  <c r="P580" i="15"/>
  <c r="O459" i="15"/>
  <c r="O401" i="15"/>
  <c r="P261" i="15"/>
  <c r="P213" i="15"/>
  <c r="P150" i="15"/>
  <c r="O137" i="15"/>
  <c r="P504" i="15"/>
  <c r="P69" i="15"/>
  <c r="P200" i="15"/>
  <c r="O580" i="15"/>
  <c r="O554" i="15"/>
  <c r="O493" i="15"/>
  <c r="O301" i="15"/>
  <c r="P274" i="15"/>
  <c r="P166" i="15"/>
  <c r="O515" i="15"/>
  <c r="O440" i="15"/>
  <c r="P358" i="15"/>
  <c r="P344" i="15"/>
  <c r="O187" i="15"/>
  <c r="O528" i="15"/>
  <c r="O331" i="15"/>
  <c r="O126" i="15"/>
  <c r="O56" i="15"/>
  <c r="O504" i="15"/>
  <c r="O371" i="15"/>
  <c r="P331" i="15"/>
  <c r="O274" i="15"/>
  <c r="P241" i="15"/>
  <c r="O226" i="15"/>
  <c r="P137" i="15"/>
  <c r="P126" i="15"/>
  <c r="O82" i="15"/>
  <c r="P56" i="15"/>
  <c r="P45" i="15"/>
  <c r="P554" i="15"/>
  <c r="O426" i="15"/>
  <c r="P414" i="15"/>
  <c r="O383" i="15"/>
  <c r="P313" i="15"/>
  <c r="P301" i="15"/>
  <c r="O98" i="15"/>
  <c r="O358" i="15" l="1"/>
  <c r="O1022" i="15"/>
  <c r="O706" i="15"/>
  <c r="P440" i="15"/>
  <c r="P515" i="15"/>
  <c r="P528" i="15"/>
  <c r="O69" i="15"/>
  <c r="P733" i="15"/>
  <c r="O855" i="15"/>
  <c r="O566" i="15"/>
  <c r="P1004" i="15"/>
  <c r="O472" i="15"/>
  <c r="O344" i="15"/>
  <c r="O200" i="15"/>
  <c r="O150" i="15"/>
  <c r="O213" i="15"/>
  <c r="P911" i="15"/>
  <c r="P868" i="15"/>
  <c r="P459" i="15"/>
  <c r="O746" i="15"/>
  <c r="P954" i="15"/>
  <c r="O1060" i="15"/>
  <c r="P771" i="15"/>
  <c r="O241" i="15"/>
  <c r="P693" i="15"/>
  <c r="AE10" i="14" l="1"/>
  <c r="Q37" i="14"/>
  <c r="R37" i="14"/>
  <c r="S37" i="14"/>
  <c r="T37" i="14"/>
  <c r="U37" i="14"/>
  <c r="V37" i="14"/>
  <c r="Q39" i="14"/>
  <c r="R39" i="14"/>
  <c r="S39" i="14"/>
  <c r="T39" i="14"/>
  <c r="U39" i="14"/>
  <c r="V39" i="14"/>
  <c r="Q44" i="14"/>
  <c r="R44" i="14"/>
  <c r="S44" i="14"/>
  <c r="T44" i="14"/>
  <c r="U44" i="14"/>
  <c r="V44" i="14"/>
  <c r="Q47" i="14"/>
  <c r="R47" i="14"/>
  <c r="S47" i="14"/>
  <c r="T47" i="14"/>
  <c r="U47" i="14"/>
  <c r="V47" i="14"/>
  <c r="Q53" i="14"/>
  <c r="R53" i="14"/>
  <c r="S53" i="14"/>
  <c r="T53" i="14"/>
  <c r="U53" i="14"/>
  <c r="V53" i="14"/>
  <c r="Q57" i="14"/>
  <c r="R57" i="14"/>
  <c r="S57" i="14"/>
  <c r="T57" i="14"/>
  <c r="U57" i="14"/>
  <c r="V57" i="14"/>
  <c r="Q63" i="14"/>
  <c r="R63" i="14"/>
  <c r="S63" i="14"/>
  <c r="T63" i="14"/>
  <c r="U63" i="14"/>
  <c r="V63" i="14"/>
  <c r="Q65" i="14"/>
  <c r="R65" i="14"/>
  <c r="S65" i="14"/>
  <c r="T65" i="14"/>
  <c r="U65" i="14"/>
  <c r="V65" i="14"/>
  <c r="Q70" i="14"/>
  <c r="R70" i="14"/>
  <c r="S70" i="14"/>
  <c r="T70" i="14"/>
  <c r="U70" i="14"/>
  <c r="V70" i="14"/>
  <c r="Q72" i="14"/>
  <c r="R72" i="14"/>
  <c r="S72" i="14"/>
  <c r="T72" i="14"/>
  <c r="U72" i="14"/>
  <c r="V72" i="14"/>
  <c r="Q77" i="14"/>
  <c r="R77" i="14"/>
  <c r="S77" i="14"/>
  <c r="T77" i="14"/>
  <c r="U77" i="14"/>
  <c r="V77" i="14"/>
  <c r="Q85" i="14"/>
  <c r="R85" i="14"/>
  <c r="S85" i="14"/>
  <c r="T85" i="14"/>
  <c r="U85" i="14"/>
  <c r="V85" i="14"/>
  <c r="Q93" i="14"/>
  <c r="R93" i="14"/>
  <c r="S93" i="14"/>
  <c r="T93" i="14"/>
  <c r="U93" i="14"/>
  <c r="V93" i="14"/>
  <c r="Q101" i="14"/>
  <c r="R101" i="14"/>
  <c r="S101" i="14"/>
  <c r="T101" i="14"/>
  <c r="U101" i="14"/>
  <c r="V101" i="14"/>
  <c r="Q108" i="14"/>
  <c r="R108" i="14"/>
  <c r="S108" i="14"/>
  <c r="T108" i="14"/>
  <c r="U108" i="14"/>
  <c r="V108" i="14"/>
  <c r="Q111" i="14"/>
  <c r="R111" i="14"/>
  <c r="S111" i="14"/>
  <c r="T111" i="14"/>
  <c r="U111" i="14"/>
  <c r="V111" i="14"/>
  <c r="Q112" i="14"/>
  <c r="R112" i="14"/>
  <c r="S112" i="14"/>
  <c r="T112" i="14"/>
  <c r="U112" i="14"/>
  <c r="V112" i="14"/>
  <c r="Q113" i="14"/>
  <c r="R113" i="14"/>
  <c r="S113" i="14"/>
  <c r="T113" i="14"/>
  <c r="U113" i="14"/>
  <c r="V113" i="14"/>
  <c r="Q119" i="14"/>
  <c r="R119" i="14"/>
  <c r="S119" i="14"/>
  <c r="T119" i="14"/>
  <c r="U119" i="14"/>
  <c r="V119" i="14"/>
  <c r="Q121" i="14"/>
  <c r="R121" i="14"/>
  <c r="S121" i="14"/>
  <c r="T121" i="14"/>
  <c r="U121" i="14"/>
  <c r="V121" i="14"/>
  <c r="Q122" i="14"/>
  <c r="R122" i="14"/>
  <c r="S122" i="14"/>
  <c r="T122" i="14"/>
  <c r="U122" i="14"/>
  <c r="V122" i="14"/>
  <c r="Q128" i="14"/>
  <c r="R128" i="14"/>
  <c r="S128" i="14"/>
  <c r="T128" i="14"/>
  <c r="U128" i="14"/>
  <c r="V128" i="14"/>
  <c r="Q134" i="14"/>
  <c r="R134" i="14"/>
  <c r="S134" i="14"/>
  <c r="T134" i="14"/>
  <c r="U134" i="14"/>
  <c r="V134" i="14"/>
  <c r="Q140" i="14"/>
  <c r="R140" i="14"/>
  <c r="S140" i="14"/>
  <c r="T140" i="14"/>
  <c r="U140" i="14"/>
  <c r="V140" i="14"/>
  <c r="Q143" i="14"/>
  <c r="R143" i="14"/>
  <c r="S143" i="14"/>
  <c r="T143" i="14"/>
  <c r="U143" i="14"/>
  <c r="V143" i="14"/>
  <c r="Q148" i="14"/>
  <c r="R148" i="14"/>
  <c r="S148" i="14"/>
  <c r="T148" i="14"/>
  <c r="U148" i="14"/>
  <c r="V148" i="14"/>
  <c r="Q151" i="14"/>
  <c r="R151" i="14"/>
  <c r="S151" i="14"/>
  <c r="T151" i="14"/>
  <c r="U151" i="14"/>
  <c r="V151" i="14"/>
  <c r="Q157" i="14"/>
  <c r="R157" i="14"/>
  <c r="S157" i="14"/>
  <c r="T157" i="14"/>
  <c r="U157" i="14"/>
  <c r="V157" i="14"/>
  <c r="Q160" i="14"/>
  <c r="R160" i="14"/>
  <c r="S160" i="14"/>
  <c r="T160" i="14"/>
  <c r="U160" i="14"/>
  <c r="V160" i="14"/>
  <c r="Q166" i="14"/>
  <c r="R166" i="14"/>
  <c r="S166" i="14"/>
  <c r="T166" i="14"/>
  <c r="U166" i="14"/>
  <c r="V166" i="14"/>
  <c r="Q169" i="14"/>
  <c r="R169" i="14"/>
  <c r="S169" i="14"/>
  <c r="T169" i="14"/>
  <c r="U169" i="14"/>
  <c r="V169" i="14"/>
  <c r="Q175" i="14"/>
  <c r="R175" i="14"/>
  <c r="S175" i="14"/>
  <c r="T175" i="14"/>
  <c r="U175" i="14"/>
  <c r="V175" i="14"/>
  <c r="Q180" i="14"/>
  <c r="R180" i="14"/>
  <c r="S180" i="14"/>
  <c r="T180" i="14"/>
  <c r="U180" i="14"/>
  <c r="V180" i="14"/>
  <c r="Q195" i="14"/>
  <c r="R195" i="14"/>
  <c r="S195" i="14"/>
  <c r="T195" i="14"/>
  <c r="U195" i="14"/>
  <c r="V195" i="14"/>
  <c r="Q198" i="14"/>
  <c r="R198" i="14"/>
  <c r="S198" i="14"/>
  <c r="T198" i="14"/>
  <c r="U198" i="14"/>
  <c r="V198" i="14"/>
  <c r="Q204" i="14"/>
  <c r="R204" i="14"/>
  <c r="S204" i="14"/>
  <c r="T204" i="14"/>
  <c r="U204" i="14"/>
  <c r="V204" i="14"/>
  <c r="Q207" i="14"/>
  <c r="R207" i="14"/>
  <c r="S207" i="14"/>
  <c r="T207" i="14"/>
  <c r="U207" i="14"/>
  <c r="V207" i="14"/>
  <c r="Q213" i="14"/>
  <c r="R213" i="14"/>
  <c r="S213" i="14"/>
  <c r="T213" i="14"/>
  <c r="U213" i="14"/>
  <c r="V213" i="14"/>
  <c r="Q216" i="14"/>
  <c r="R216" i="14"/>
  <c r="S216" i="14"/>
  <c r="T216" i="14"/>
  <c r="U216" i="14"/>
  <c r="V216" i="14"/>
  <c r="Q222" i="14"/>
  <c r="R222" i="14"/>
  <c r="S222" i="14"/>
  <c r="T222" i="14"/>
  <c r="U222" i="14"/>
  <c r="V222" i="14"/>
  <c r="Q227" i="14"/>
  <c r="R227" i="14"/>
  <c r="S227" i="14"/>
  <c r="T227" i="14"/>
  <c r="U227" i="14"/>
  <c r="V227" i="14"/>
  <c r="Q233" i="14"/>
  <c r="R233" i="14"/>
  <c r="S233" i="14"/>
  <c r="T233" i="14"/>
  <c r="U233" i="14"/>
  <c r="V233" i="14"/>
  <c r="Q238" i="14"/>
  <c r="R238" i="14"/>
  <c r="S238" i="14"/>
  <c r="T238" i="14"/>
  <c r="U238" i="14"/>
  <c r="V238" i="14"/>
  <c r="Q244" i="14"/>
  <c r="R244" i="14"/>
  <c r="S244" i="14"/>
  <c r="T244" i="14"/>
  <c r="U244" i="14"/>
  <c r="V244" i="14"/>
  <c r="Q254" i="14"/>
  <c r="R254" i="14"/>
  <c r="S254" i="14"/>
  <c r="T254" i="14"/>
  <c r="U254" i="14"/>
  <c r="V254" i="14"/>
  <c r="Q259" i="14"/>
  <c r="R259" i="14"/>
  <c r="S259" i="14"/>
  <c r="T259" i="14"/>
  <c r="U259" i="14"/>
  <c r="V259" i="14"/>
  <c r="Q265" i="14"/>
  <c r="R265" i="14"/>
  <c r="S265" i="14"/>
  <c r="T265" i="14"/>
  <c r="U265" i="14"/>
  <c r="V265" i="14"/>
  <c r="Q270" i="14"/>
  <c r="R270" i="14"/>
  <c r="S270" i="14"/>
  <c r="T270" i="14"/>
  <c r="U270" i="14"/>
  <c r="V270" i="14"/>
  <c r="Q276" i="14"/>
  <c r="R276" i="14"/>
  <c r="S276" i="14"/>
  <c r="T276" i="14"/>
  <c r="U276" i="14"/>
  <c r="V276" i="14"/>
  <c r="Q281" i="14"/>
  <c r="R281" i="14"/>
  <c r="S281" i="14"/>
  <c r="T281" i="14"/>
  <c r="U281" i="14"/>
  <c r="V281" i="14"/>
  <c r="Q287" i="14"/>
  <c r="R287" i="14"/>
  <c r="S287" i="14"/>
  <c r="T287" i="14"/>
  <c r="U287" i="14"/>
  <c r="V287" i="14"/>
  <c r="Q292" i="14"/>
  <c r="R292" i="14"/>
  <c r="S292" i="14"/>
  <c r="T292" i="14"/>
  <c r="U292" i="14"/>
  <c r="V292" i="14"/>
  <c r="Q293" i="14"/>
  <c r="R293" i="14"/>
  <c r="S293" i="14"/>
  <c r="T293" i="14"/>
  <c r="U293" i="14"/>
  <c r="V293" i="14"/>
  <c r="Q299" i="14"/>
  <c r="R299" i="14"/>
  <c r="S299" i="14"/>
  <c r="T299" i="14"/>
  <c r="U299" i="14"/>
  <c r="V299" i="14"/>
  <c r="Q304" i="14"/>
  <c r="R304" i="14"/>
  <c r="S304" i="14"/>
  <c r="T304" i="14"/>
  <c r="U304" i="14"/>
  <c r="V304" i="14"/>
  <c r="Q310" i="14"/>
  <c r="R310" i="14"/>
  <c r="S310" i="14"/>
  <c r="T310" i="14"/>
  <c r="U310" i="14"/>
  <c r="V310" i="14"/>
  <c r="Q313" i="14"/>
  <c r="R313" i="14"/>
  <c r="S313" i="14"/>
  <c r="T313" i="14"/>
  <c r="U313" i="14"/>
  <c r="V313" i="14"/>
  <c r="Q318" i="14"/>
  <c r="R318" i="14"/>
  <c r="S318" i="14"/>
  <c r="T318" i="14"/>
  <c r="U318" i="14"/>
  <c r="V318" i="14"/>
  <c r="Q321" i="14"/>
  <c r="R321" i="14"/>
  <c r="S321" i="14"/>
  <c r="T321" i="14"/>
  <c r="U321" i="14"/>
  <c r="V321" i="14"/>
  <c r="Q326" i="14"/>
  <c r="R326" i="14"/>
  <c r="S326" i="14"/>
  <c r="T326" i="14"/>
  <c r="U326" i="14"/>
  <c r="V326" i="14"/>
  <c r="Q330" i="14"/>
  <c r="R330" i="14"/>
  <c r="S330" i="14"/>
  <c r="T330" i="14"/>
  <c r="U330" i="14"/>
  <c r="V330" i="14"/>
  <c r="Q331" i="14"/>
  <c r="R331" i="14"/>
  <c r="S331" i="14"/>
  <c r="T331" i="14"/>
  <c r="U331" i="14"/>
  <c r="V331" i="14"/>
  <c r="Q332" i="14"/>
  <c r="R332" i="14"/>
  <c r="S332" i="14"/>
  <c r="T332" i="14"/>
  <c r="U332" i="14"/>
  <c r="V332" i="14"/>
  <c r="Q333" i="14"/>
  <c r="R333" i="14"/>
  <c r="S333" i="14"/>
  <c r="T333" i="14"/>
  <c r="U333" i="14"/>
  <c r="V333" i="14"/>
  <c r="Q334" i="14"/>
  <c r="R334" i="14"/>
  <c r="S334" i="14"/>
  <c r="T334" i="14"/>
  <c r="U334" i="14"/>
  <c r="V334" i="14"/>
  <c r="Q335" i="14"/>
  <c r="R335" i="14"/>
  <c r="S335" i="14"/>
  <c r="T335" i="14"/>
  <c r="U335" i="14"/>
  <c r="V335" i="14"/>
  <c r="Q336" i="14"/>
  <c r="R336" i="14"/>
  <c r="S336" i="14"/>
  <c r="T336" i="14"/>
  <c r="U336" i="14"/>
  <c r="V336" i="14"/>
  <c r="Q337" i="14"/>
  <c r="R337" i="14"/>
  <c r="S337" i="14"/>
  <c r="T337" i="14"/>
  <c r="U337" i="14"/>
  <c r="V337" i="14"/>
  <c r="Q342" i="14"/>
  <c r="R342" i="14"/>
  <c r="S342" i="14"/>
  <c r="T342" i="14"/>
  <c r="U342" i="14"/>
  <c r="V342" i="14"/>
  <c r="Q348" i="14"/>
  <c r="R348" i="14"/>
  <c r="S348" i="14"/>
  <c r="T348" i="14"/>
  <c r="U348" i="14"/>
  <c r="V348" i="14"/>
  <c r="Q351" i="14"/>
  <c r="R351" i="14"/>
  <c r="S351" i="14"/>
  <c r="T351" i="14"/>
  <c r="U351" i="14"/>
  <c r="V351" i="14"/>
  <c r="Q352" i="14"/>
  <c r="R352" i="14"/>
  <c r="S352" i="14"/>
  <c r="T352" i="14"/>
  <c r="U352" i="14"/>
  <c r="V352" i="14"/>
  <c r="Q353" i="14"/>
  <c r="R353" i="14"/>
  <c r="S353" i="14"/>
  <c r="T353" i="14"/>
  <c r="U353" i="14"/>
  <c r="V353" i="14"/>
  <c r="Q358" i="14"/>
  <c r="R358" i="14"/>
  <c r="S358" i="14"/>
  <c r="T358" i="14"/>
  <c r="U358" i="14"/>
  <c r="V358" i="14"/>
  <c r="P362" i="14"/>
  <c r="Q370" i="14"/>
  <c r="R370" i="14"/>
  <c r="S370" i="14"/>
  <c r="T370" i="14"/>
  <c r="U370" i="14"/>
  <c r="V370" i="14"/>
  <c r="Q372" i="14"/>
  <c r="R372" i="14"/>
  <c r="S372" i="14"/>
  <c r="T372" i="14"/>
  <c r="U372" i="14"/>
  <c r="V372" i="14"/>
  <c r="Q377" i="14"/>
  <c r="R377" i="14"/>
  <c r="S377" i="14"/>
  <c r="T377" i="14"/>
  <c r="U377" i="14"/>
  <c r="V377" i="14"/>
  <c r="Q379" i="14"/>
  <c r="R379" i="14"/>
  <c r="S379" i="14"/>
  <c r="T379" i="14"/>
  <c r="U379" i="14"/>
  <c r="V379" i="14"/>
  <c r="Q384" i="14"/>
  <c r="R384" i="14"/>
  <c r="S384" i="14"/>
  <c r="T384" i="14"/>
  <c r="U384" i="14"/>
  <c r="V384" i="14"/>
  <c r="Q386" i="14"/>
  <c r="R386" i="14"/>
  <c r="S386" i="14"/>
  <c r="T386" i="14"/>
  <c r="U386" i="14"/>
  <c r="V386" i="14"/>
  <c r="Q391" i="14"/>
  <c r="R391" i="14"/>
  <c r="S391" i="14"/>
  <c r="T391" i="14"/>
  <c r="U391" i="14"/>
  <c r="V391" i="14"/>
  <c r="Q393" i="14"/>
  <c r="R393" i="14"/>
  <c r="S393" i="14"/>
  <c r="T393" i="14"/>
  <c r="U393" i="14"/>
  <c r="V393" i="14"/>
  <c r="Q398" i="14"/>
  <c r="R398" i="14"/>
  <c r="S398" i="14"/>
  <c r="T398" i="14"/>
  <c r="U398" i="14"/>
  <c r="V398" i="14"/>
  <c r="Q403" i="14"/>
  <c r="R403" i="14"/>
  <c r="S403" i="14"/>
  <c r="T403" i="14"/>
  <c r="U403" i="14"/>
  <c r="V403" i="14"/>
  <c r="Q409" i="14"/>
  <c r="R409" i="14"/>
  <c r="S409" i="14"/>
  <c r="T409" i="14"/>
  <c r="U409" i="14"/>
  <c r="V409" i="14"/>
  <c r="Q414" i="14"/>
  <c r="R414" i="14"/>
  <c r="S414" i="14"/>
  <c r="T414" i="14"/>
  <c r="U414" i="14"/>
  <c r="V414" i="14"/>
  <c r="Q420" i="14"/>
  <c r="R420" i="14"/>
  <c r="S420" i="14"/>
  <c r="T420" i="14"/>
  <c r="U420" i="14"/>
  <c r="V420" i="14"/>
  <c r="Q425" i="14"/>
  <c r="R425" i="14"/>
  <c r="S425" i="14"/>
  <c r="T425" i="14"/>
  <c r="U425" i="14"/>
  <c r="V425" i="14"/>
  <c r="Q431" i="14"/>
  <c r="R431" i="14"/>
  <c r="S431" i="14"/>
  <c r="T431" i="14"/>
  <c r="U431" i="14"/>
  <c r="V431" i="14"/>
  <c r="Q436" i="14"/>
  <c r="R436" i="14"/>
  <c r="S436" i="14"/>
  <c r="T436" i="14"/>
  <c r="U436" i="14"/>
  <c r="V436" i="14"/>
  <c r="Q437" i="14"/>
  <c r="R437" i="14"/>
  <c r="S437" i="14"/>
  <c r="T437" i="14"/>
  <c r="U437" i="14"/>
  <c r="V437" i="14"/>
  <c r="Q443" i="14"/>
  <c r="R443" i="14"/>
  <c r="S443" i="14"/>
  <c r="T443" i="14"/>
  <c r="U443" i="14"/>
  <c r="V443" i="14"/>
  <c r="Q448" i="14"/>
  <c r="R448" i="14"/>
  <c r="S448" i="14"/>
  <c r="T448" i="14"/>
  <c r="U448" i="14"/>
  <c r="V448" i="14"/>
  <c r="Q454" i="14"/>
  <c r="R454" i="14"/>
  <c r="S454" i="14"/>
  <c r="T454" i="14"/>
  <c r="U454" i="14"/>
  <c r="V454" i="14"/>
  <c r="Q457" i="14"/>
  <c r="R457" i="14"/>
  <c r="S457" i="14"/>
  <c r="T457" i="14"/>
  <c r="U457" i="14"/>
  <c r="V457" i="14"/>
  <c r="Q462" i="14"/>
  <c r="R462" i="14"/>
  <c r="S462" i="14"/>
  <c r="T462" i="14"/>
  <c r="U462" i="14"/>
  <c r="V462" i="14"/>
  <c r="Q465" i="14"/>
  <c r="R465" i="14"/>
  <c r="S465" i="14"/>
  <c r="T465" i="14"/>
  <c r="U465" i="14"/>
  <c r="V465" i="14"/>
  <c r="Q470" i="14"/>
  <c r="R470" i="14"/>
  <c r="S470" i="14"/>
  <c r="T470" i="14"/>
  <c r="U470" i="14"/>
  <c r="V470" i="14"/>
  <c r="Q473" i="14"/>
  <c r="R473" i="14"/>
  <c r="S473" i="14"/>
  <c r="T473" i="14"/>
  <c r="U473" i="14"/>
  <c r="V473" i="14"/>
  <c r="Q478" i="14"/>
  <c r="R478" i="14"/>
  <c r="S478" i="14"/>
  <c r="T478" i="14"/>
  <c r="U478" i="14"/>
  <c r="V478" i="14"/>
  <c r="Q482" i="14"/>
  <c r="R482" i="14"/>
  <c r="S482" i="14"/>
  <c r="T482" i="14"/>
  <c r="U482" i="14"/>
  <c r="V482" i="14"/>
  <c r="Q483" i="14"/>
  <c r="R483" i="14"/>
  <c r="S483" i="14"/>
  <c r="T483" i="14"/>
  <c r="U483" i="14"/>
  <c r="V483" i="14"/>
  <c r="Q484" i="14"/>
  <c r="R484" i="14"/>
  <c r="S484" i="14"/>
  <c r="T484" i="14"/>
  <c r="U484" i="14"/>
  <c r="V484" i="14"/>
  <c r="Q485" i="14"/>
  <c r="R485" i="14"/>
  <c r="S485" i="14"/>
  <c r="T485" i="14"/>
  <c r="U485" i="14"/>
  <c r="V485" i="14"/>
  <c r="Q490" i="14"/>
  <c r="R490" i="14"/>
  <c r="S490" i="14"/>
  <c r="T490" i="14"/>
  <c r="U490" i="14"/>
  <c r="V490" i="14"/>
  <c r="Q496" i="14"/>
  <c r="R496" i="14"/>
  <c r="S496" i="14"/>
  <c r="T496" i="14"/>
  <c r="U496" i="14"/>
  <c r="V496" i="14"/>
  <c r="Q499" i="14"/>
  <c r="R499" i="14"/>
  <c r="S499" i="14"/>
  <c r="T499" i="14"/>
  <c r="U499" i="14"/>
  <c r="V499" i="14"/>
  <c r="Q500" i="14"/>
  <c r="R500" i="14"/>
  <c r="S500" i="14"/>
  <c r="T500" i="14"/>
  <c r="U500" i="14"/>
  <c r="V500" i="14"/>
  <c r="Q501" i="14"/>
  <c r="R501" i="14"/>
  <c r="S501" i="14"/>
  <c r="T501" i="14"/>
  <c r="U501" i="14"/>
  <c r="V501" i="14"/>
  <c r="Q502" i="14"/>
  <c r="R502" i="14"/>
  <c r="S502" i="14"/>
  <c r="T502" i="14"/>
  <c r="U502" i="14"/>
  <c r="V502" i="14"/>
  <c r="Q507" i="14"/>
  <c r="R507" i="14"/>
  <c r="S507" i="14"/>
  <c r="T507" i="14"/>
  <c r="U507" i="14"/>
  <c r="V507" i="14"/>
  <c r="Q513" i="14"/>
  <c r="R513" i="14"/>
  <c r="S513" i="14"/>
  <c r="T513" i="14"/>
  <c r="U513" i="14"/>
  <c r="V513" i="14"/>
  <c r="Q516" i="14"/>
  <c r="R516" i="14"/>
  <c r="S516" i="14"/>
  <c r="T516" i="14"/>
  <c r="U516" i="14"/>
  <c r="V516" i="14"/>
  <c r="Q517" i="14"/>
  <c r="R517" i="14"/>
  <c r="S517" i="14"/>
  <c r="T517" i="14"/>
  <c r="U517" i="14"/>
  <c r="V517" i="14"/>
  <c r="Q522" i="14"/>
  <c r="R522" i="14"/>
  <c r="S522" i="14"/>
  <c r="T522" i="14"/>
  <c r="U522" i="14"/>
  <c r="V522" i="14"/>
  <c r="Q528" i="14"/>
  <c r="R528" i="14"/>
  <c r="S528" i="14"/>
  <c r="T528" i="14"/>
  <c r="U528" i="14"/>
  <c r="V528" i="14"/>
  <c r="Q532" i="14"/>
  <c r="R532" i="14"/>
  <c r="S532" i="14"/>
  <c r="T532" i="14"/>
  <c r="U532" i="14"/>
  <c r="V532" i="14"/>
  <c r="Q538" i="14"/>
  <c r="R538" i="14"/>
  <c r="S538" i="14"/>
  <c r="T538" i="14"/>
  <c r="U538" i="14"/>
  <c r="V538" i="14"/>
  <c r="Q541" i="14"/>
  <c r="R541" i="14"/>
  <c r="S541" i="14"/>
  <c r="T541" i="14"/>
  <c r="U541" i="14"/>
  <c r="V541" i="14"/>
  <c r="Q542" i="14"/>
  <c r="R542" i="14"/>
  <c r="S542" i="14"/>
  <c r="T542" i="14"/>
  <c r="U542" i="14"/>
  <c r="V542" i="14"/>
  <c r="Q543" i="14"/>
  <c r="R543" i="14"/>
  <c r="S543" i="14"/>
  <c r="T543" i="14"/>
  <c r="U543" i="14"/>
  <c r="V543" i="14"/>
  <c r="Q544" i="14"/>
  <c r="R544" i="14"/>
  <c r="S544" i="14"/>
  <c r="T544" i="14"/>
  <c r="U544" i="14"/>
  <c r="V544" i="14"/>
  <c r="Q545" i="14"/>
  <c r="R545" i="14"/>
  <c r="S545" i="14"/>
  <c r="T545" i="14"/>
  <c r="U545" i="14"/>
  <c r="V545" i="14"/>
  <c r="Q551" i="14"/>
  <c r="R551" i="14"/>
  <c r="S551" i="14"/>
  <c r="T551" i="14"/>
  <c r="U551" i="14"/>
  <c r="V551" i="14"/>
  <c r="Q564" i="14"/>
  <c r="R564" i="14"/>
  <c r="S564" i="14"/>
  <c r="T564" i="14"/>
  <c r="U564" i="14"/>
  <c r="V564" i="14"/>
  <c r="Q569" i="14"/>
  <c r="R569" i="14"/>
  <c r="S569" i="14"/>
  <c r="T569" i="14"/>
  <c r="U569" i="14"/>
  <c r="V569" i="14"/>
  <c r="Q576" i="14"/>
  <c r="R576" i="14"/>
  <c r="S576" i="14"/>
  <c r="T576" i="14"/>
  <c r="U576" i="14"/>
  <c r="V576" i="14"/>
  <c r="Q581" i="14"/>
  <c r="R581" i="14"/>
  <c r="S581" i="14"/>
  <c r="T581" i="14"/>
  <c r="U581" i="14"/>
  <c r="V581" i="14"/>
  <c r="Q588" i="14"/>
  <c r="R588" i="14"/>
  <c r="S588" i="14"/>
  <c r="T588" i="14"/>
  <c r="U588" i="14"/>
  <c r="V588" i="14"/>
  <c r="Q590" i="14"/>
  <c r="R590" i="14"/>
  <c r="S590" i="14"/>
  <c r="T590" i="14"/>
  <c r="U590" i="14"/>
  <c r="V590" i="14"/>
  <c r="Q595" i="14"/>
  <c r="R595" i="14"/>
  <c r="S595" i="14"/>
  <c r="T595" i="14"/>
  <c r="U595" i="14"/>
  <c r="V595" i="14"/>
  <c r="Q597" i="14"/>
  <c r="R597" i="14"/>
  <c r="S597" i="14"/>
  <c r="T597" i="14"/>
  <c r="U597" i="14"/>
  <c r="V597" i="14"/>
  <c r="Q602" i="14"/>
  <c r="R602" i="14"/>
  <c r="S602" i="14"/>
  <c r="T602" i="14"/>
  <c r="U602" i="14"/>
  <c r="V602" i="14"/>
  <c r="Q608" i="14"/>
  <c r="R608" i="14"/>
  <c r="S608" i="14"/>
  <c r="T608" i="14"/>
  <c r="U608" i="14"/>
  <c r="V608" i="14"/>
  <c r="Q614" i="14"/>
  <c r="R614" i="14"/>
  <c r="S614" i="14"/>
  <c r="T614" i="14"/>
  <c r="U614" i="14"/>
  <c r="V614" i="14"/>
  <c r="Q622" i="14"/>
  <c r="R622" i="14"/>
  <c r="S622" i="14"/>
  <c r="T622" i="14"/>
  <c r="U622" i="14"/>
  <c r="V622" i="14"/>
  <c r="Q628" i="14"/>
  <c r="R628" i="14"/>
  <c r="S628" i="14"/>
  <c r="T628" i="14"/>
  <c r="U628" i="14"/>
  <c r="V628" i="14"/>
  <c r="Q634" i="14"/>
  <c r="R634" i="14"/>
  <c r="S634" i="14"/>
  <c r="T634" i="14"/>
  <c r="U634" i="14"/>
  <c r="V634" i="14"/>
  <c r="Q640" i="14"/>
  <c r="R640" i="14"/>
  <c r="S640" i="14"/>
  <c r="T640" i="14"/>
  <c r="U640" i="14"/>
  <c r="V640" i="14"/>
  <c r="Q641" i="14"/>
  <c r="R641" i="14"/>
  <c r="S641" i="14"/>
  <c r="T641" i="14"/>
  <c r="U641" i="14"/>
  <c r="V641" i="14"/>
  <c r="Q647" i="14"/>
  <c r="R647" i="14"/>
  <c r="S647" i="14"/>
  <c r="T647" i="14"/>
  <c r="U647" i="14"/>
  <c r="V647" i="14"/>
  <c r="Q654" i="14"/>
  <c r="R654" i="14"/>
  <c r="S654" i="14"/>
  <c r="T654" i="14"/>
  <c r="U654" i="14"/>
  <c r="V654" i="14"/>
  <c r="Q659" i="14"/>
  <c r="R659" i="14"/>
  <c r="S659" i="14"/>
  <c r="T659" i="14"/>
  <c r="U659" i="14"/>
  <c r="V659" i="14"/>
  <c r="Q660" i="14"/>
  <c r="R660" i="14"/>
  <c r="S660" i="14"/>
  <c r="T660" i="14"/>
  <c r="U660" i="14"/>
  <c r="V660" i="14"/>
  <c r="Q666" i="14"/>
  <c r="R666" i="14"/>
  <c r="S666" i="14"/>
  <c r="T666" i="14"/>
  <c r="U666" i="14"/>
  <c r="V666" i="14"/>
  <c r="Q669" i="14"/>
  <c r="R669" i="14"/>
  <c r="S669" i="14"/>
  <c r="T669" i="14"/>
  <c r="U669" i="14"/>
  <c r="V669" i="14"/>
  <c r="Q670" i="14"/>
  <c r="R670" i="14"/>
  <c r="S670" i="14"/>
  <c r="T670" i="14"/>
  <c r="U670" i="14"/>
  <c r="V670" i="14"/>
  <c r="Q671" i="14"/>
  <c r="R671" i="14"/>
  <c r="S671" i="14"/>
  <c r="T671" i="14"/>
  <c r="U671" i="14"/>
  <c r="V671" i="14"/>
  <c r="Q672" i="14"/>
  <c r="R672" i="14"/>
  <c r="S672" i="14"/>
  <c r="T672" i="14"/>
  <c r="U672" i="14"/>
  <c r="V672" i="14"/>
  <c r="Q677" i="14"/>
  <c r="R677" i="14"/>
  <c r="S677" i="14"/>
  <c r="T677" i="14"/>
  <c r="U677" i="14"/>
  <c r="V677" i="14"/>
  <c r="Q683" i="14"/>
  <c r="R683" i="14"/>
  <c r="S683" i="14"/>
  <c r="T683" i="14"/>
  <c r="U683" i="14"/>
  <c r="V683" i="14"/>
  <c r="Q686" i="14"/>
  <c r="R686" i="14"/>
  <c r="S686" i="14"/>
  <c r="T686" i="14"/>
  <c r="U686" i="14"/>
  <c r="V686" i="14"/>
  <c r="Q687" i="14"/>
  <c r="R687" i="14"/>
  <c r="S687" i="14"/>
  <c r="T687" i="14"/>
  <c r="U687" i="14"/>
  <c r="V687" i="14"/>
  <c r="Q688" i="14"/>
  <c r="R688" i="14"/>
  <c r="S688" i="14"/>
  <c r="T688" i="14"/>
  <c r="U688" i="14"/>
  <c r="V688" i="14"/>
  <c r="Q689" i="14"/>
  <c r="R689" i="14"/>
  <c r="S689" i="14"/>
  <c r="T689" i="14"/>
  <c r="U689" i="14"/>
  <c r="V689" i="14"/>
  <c r="Q694" i="14"/>
  <c r="R694" i="14"/>
  <c r="S694" i="14"/>
  <c r="T694" i="14"/>
  <c r="U694" i="14"/>
  <c r="V694" i="14"/>
  <c r="Q697" i="14"/>
  <c r="R697" i="14"/>
  <c r="S697" i="14"/>
  <c r="T697" i="14"/>
  <c r="U697" i="14"/>
  <c r="V697" i="14"/>
  <c r="Q702" i="14"/>
  <c r="R702" i="14"/>
  <c r="S702" i="14"/>
  <c r="T702" i="14"/>
  <c r="U702" i="14"/>
  <c r="V702" i="14"/>
  <c r="Q705" i="14"/>
  <c r="R705" i="14"/>
  <c r="S705" i="14"/>
  <c r="T705" i="14"/>
  <c r="U705" i="14"/>
  <c r="V705" i="14"/>
  <c r="Q710" i="14"/>
  <c r="R710" i="14"/>
  <c r="S710" i="14"/>
  <c r="T710" i="14"/>
  <c r="U710" i="14"/>
  <c r="V710" i="14"/>
  <c r="Q714" i="14"/>
  <c r="R714" i="14"/>
  <c r="S714" i="14"/>
  <c r="T714" i="14"/>
  <c r="U714" i="14"/>
  <c r="V714" i="14"/>
  <c r="Q730" i="14"/>
  <c r="R730" i="14"/>
  <c r="S730" i="14"/>
  <c r="T730" i="14"/>
  <c r="U730" i="14"/>
  <c r="V730" i="14"/>
  <c r="Q743" i="14"/>
  <c r="R743" i="14"/>
  <c r="S743" i="14"/>
  <c r="T743" i="14"/>
  <c r="U743" i="14"/>
  <c r="V743" i="14"/>
  <c r="O745" i="14"/>
  <c r="P745" i="14"/>
  <c r="Q747" i="14"/>
  <c r="R747" i="14"/>
  <c r="S747" i="14"/>
  <c r="T747" i="14"/>
  <c r="U747" i="14"/>
  <c r="V747" i="14"/>
  <c r="O749" i="14"/>
  <c r="P749" i="14"/>
  <c r="AF756" i="14"/>
  <c r="P452" i="14" l="1"/>
  <c r="P308" i="14"/>
  <c r="P718" i="14"/>
  <c r="O526" i="14"/>
  <c r="P132" i="14"/>
  <c r="P735" i="14"/>
  <c r="P600" i="14"/>
  <c r="O735" i="14"/>
  <c r="P612" i="14"/>
  <c r="P536" i="14"/>
  <c r="P460" i="14"/>
  <c r="O389" i="14"/>
  <c r="O511" i="14"/>
  <c r="P407" i="14"/>
  <c r="O285" i="14"/>
  <c r="P274" i="14"/>
  <c r="O708" i="14"/>
  <c r="P632" i="14"/>
  <c r="P606" i="14"/>
  <c r="O574" i="14"/>
  <c r="P526" i="14"/>
  <c r="P520" i="14"/>
  <c r="O418" i="14"/>
  <c r="P389" i="14"/>
  <c r="O75" i="14"/>
  <c r="P700" i="14"/>
  <c r="O536" i="14"/>
  <c r="P138" i="14"/>
  <c r="P593" i="14"/>
  <c r="O652" i="14"/>
  <c r="O600" i="14"/>
  <c r="P708" i="14"/>
  <c r="O460" i="14"/>
  <c r="P396" i="14"/>
  <c r="P574" i="14"/>
  <c r="P556" i="14"/>
  <c r="O681" i="14"/>
  <c r="P652" i="14"/>
  <c r="O620" i="14"/>
  <c r="P620" i="14"/>
  <c r="O494" i="14"/>
  <c r="P494" i="14"/>
  <c r="P356" i="14"/>
  <c r="O346" i="14"/>
  <c r="O242" i="14"/>
  <c r="P146" i="14"/>
  <c r="O146" i="14"/>
  <c r="P106" i="14"/>
  <c r="P51" i="14"/>
  <c r="P42" i="14"/>
  <c r="O556" i="14"/>
  <c r="P263" i="14"/>
  <c r="P252" i="14"/>
  <c r="O117" i="14"/>
  <c r="P68" i="14"/>
  <c r="P692" i="14"/>
  <c r="O593" i="14"/>
  <c r="P586" i="14"/>
  <c r="P346" i="14"/>
  <c r="O155" i="14"/>
  <c r="P99" i="14"/>
  <c r="P681" i="14"/>
  <c r="P505" i="14"/>
  <c r="O664" i="14"/>
  <c r="O586" i="14"/>
  <c r="P664" i="14"/>
  <c r="O632" i="14"/>
  <c r="O612" i="14"/>
  <c r="O606" i="14"/>
  <c r="O274" i="14"/>
  <c r="O91" i="14"/>
  <c r="O452" i="14"/>
  <c r="P476" i="14"/>
  <c r="P231" i="14"/>
  <c r="P75" i="14"/>
  <c r="O396" i="14"/>
  <c r="O382" i="14"/>
  <c r="P340" i="14"/>
  <c r="O83" i="14"/>
  <c r="O324" i="14"/>
  <c r="P316" i="14"/>
  <c r="O476" i="14"/>
  <c r="O252" i="14"/>
  <c r="O132" i="14"/>
  <c r="P91" i="14"/>
  <c r="P511" i="14"/>
  <c r="O468" i="14"/>
  <c r="O441" i="14"/>
  <c r="O429" i="14"/>
  <c r="O185" i="14"/>
  <c r="P185" i="14"/>
  <c r="O173" i="14"/>
  <c r="O138" i="14"/>
  <c r="P83" i="14"/>
  <c r="O68" i="14"/>
  <c r="O61" i="14"/>
  <c r="O51" i="14"/>
  <c r="O362" i="14"/>
  <c r="P297" i="14"/>
  <c r="O297" i="14"/>
  <c r="P242" i="14"/>
  <c r="O211" i="14"/>
  <c r="O126" i="14"/>
  <c r="O106" i="14"/>
  <c r="P211" i="14"/>
  <c r="P202" i="14"/>
  <c r="O99" i="14"/>
  <c r="P164" i="14" l="1"/>
  <c r="O375" i="14"/>
  <c r="O675" i="14"/>
  <c r="P220" i="14"/>
  <c r="O202" i="14"/>
  <c r="O220" i="14"/>
  <c r="O488" i="14"/>
  <c r="O700" i="14"/>
  <c r="O718" i="14"/>
  <c r="P155" i="14"/>
  <c r="P173" i="14"/>
  <c r="P285" i="14"/>
  <c r="P429" i="14"/>
  <c r="P126" i="14"/>
  <c r="O263" i="14"/>
  <c r="P117" i="14"/>
  <c r="O164" i="14"/>
  <c r="O645" i="14"/>
  <c r="O692" i="14"/>
  <c r="O308" i="14"/>
  <c r="P382" i="14"/>
  <c r="P418" i="14"/>
  <c r="P441" i="14"/>
  <c r="O549" i="14"/>
  <c r="P645" i="14"/>
  <c r="P468" i="14"/>
  <c r="P375" i="14"/>
  <c r="O340" i="14"/>
  <c r="O42" i="14"/>
  <c r="O356" i="14"/>
  <c r="P549" i="14"/>
  <c r="P675" i="14"/>
  <c r="O231" i="14"/>
  <c r="P324" i="14"/>
  <c r="P61" i="14"/>
  <c r="O316" i="14"/>
  <c r="O520" i="14"/>
  <c r="O505" i="14"/>
  <c r="O407" i="14"/>
  <c r="P488" i="14"/>
  <c r="AE10" i="13" l="1"/>
  <c r="Q37" i="13"/>
  <c r="R37" i="13"/>
  <c r="S37" i="13"/>
  <c r="T37" i="13"/>
  <c r="U37" i="13"/>
  <c r="V37" i="13"/>
  <c r="Q40" i="13"/>
  <c r="R40" i="13"/>
  <c r="S40" i="13"/>
  <c r="T40" i="13"/>
  <c r="U40" i="13"/>
  <c r="V40" i="13"/>
  <c r="Q46" i="13"/>
  <c r="R46" i="13"/>
  <c r="S46" i="13"/>
  <c r="T46" i="13"/>
  <c r="U46" i="13"/>
  <c r="V46" i="13"/>
  <c r="Q49" i="13"/>
  <c r="R49" i="13"/>
  <c r="S49" i="13"/>
  <c r="T49" i="13"/>
  <c r="U49" i="13"/>
  <c r="V49" i="13"/>
  <c r="Q55" i="13"/>
  <c r="R55" i="13"/>
  <c r="S55" i="13"/>
  <c r="T55" i="13"/>
  <c r="U55" i="13"/>
  <c r="V55" i="13"/>
  <c r="Q58" i="13"/>
  <c r="R58" i="13"/>
  <c r="S58" i="13"/>
  <c r="T58" i="13"/>
  <c r="U58" i="13"/>
  <c r="V58" i="13"/>
  <c r="Q72" i="13"/>
  <c r="R72" i="13"/>
  <c r="S72" i="13"/>
  <c r="T72" i="13"/>
  <c r="U72" i="13"/>
  <c r="V72" i="13"/>
  <c r="Q78" i="13"/>
  <c r="R78" i="13"/>
  <c r="S78" i="13"/>
  <c r="T78" i="13"/>
  <c r="U78" i="13"/>
  <c r="V78" i="13"/>
  <c r="Q79" i="13"/>
  <c r="R79" i="13"/>
  <c r="S79" i="13"/>
  <c r="T79" i="13"/>
  <c r="U79" i="13"/>
  <c r="V79" i="13"/>
  <c r="Q80" i="13"/>
  <c r="R80" i="13"/>
  <c r="S80" i="13"/>
  <c r="T80" i="13"/>
  <c r="U80" i="13"/>
  <c r="V80" i="13"/>
  <c r="Q87" i="13"/>
  <c r="R87" i="13"/>
  <c r="S87" i="13"/>
  <c r="T87" i="13"/>
  <c r="U87" i="13"/>
  <c r="V87" i="13"/>
  <c r="Q91" i="13"/>
  <c r="R91" i="13"/>
  <c r="S91" i="13"/>
  <c r="T91" i="13"/>
  <c r="U91" i="13"/>
  <c r="V91" i="13"/>
  <c r="Q97" i="13"/>
  <c r="R97" i="13"/>
  <c r="S97" i="13"/>
  <c r="T97" i="13"/>
  <c r="U97" i="13"/>
  <c r="V97" i="13"/>
  <c r="Q103" i="13"/>
  <c r="R103" i="13"/>
  <c r="S103" i="13"/>
  <c r="T103" i="13"/>
  <c r="U103" i="13"/>
  <c r="V103" i="13"/>
  <c r="Q104" i="13"/>
  <c r="R104" i="13"/>
  <c r="S104" i="13"/>
  <c r="T104" i="13"/>
  <c r="U104" i="13"/>
  <c r="V104" i="13"/>
  <c r="Q111" i="13"/>
  <c r="R111" i="13"/>
  <c r="S111" i="13"/>
  <c r="O123" i="13" s="1"/>
  <c r="T111" i="13"/>
  <c r="U111" i="13"/>
  <c r="V111" i="13"/>
  <c r="Q117" i="13"/>
  <c r="R117" i="13"/>
  <c r="S117" i="13"/>
  <c r="T117" i="13"/>
  <c r="U117" i="13"/>
  <c r="V117" i="13"/>
  <c r="Q118" i="13"/>
  <c r="R118" i="13"/>
  <c r="S118" i="13"/>
  <c r="T118" i="13"/>
  <c r="U118" i="13"/>
  <c r="V118" i="13"/>
  <c r="Q125" i="13"/>
  <c r="R125" i="13"/>
  <c r="S125" i="13"/>
  <c r="T125" i="13"/>
  <c r="U125" i="13"/>
  <c r="V125" i="13"/>
  <c r="Q131" i="13"/>
  <c r="R131" i="13"/>
  <c r="S131" i="13"/>
  <c r="T131" i="13"/>
  <c r="U131" i="13"/>
  <c r="V131" i="13"/>
  <c r="Q132" i="13"/>
  <c r="R132" i="13"/>
  <c r="S132" i="13"/>
  <c r="T132" i="13"/>
  <c r="U132" i="13"/>
  <c r="V132" i="13"/>
  <c r="Q145" i="13"/>
  <c r="R145" i="13"/>
  <c r="S145" i="13"/>
  <c r="T145" i="13"/>
  <c r="U145" i="13"/>
  <c r="V145" i="13"/>
  <c r="Q151" i="13"/>
  <c r="R151" i="13"/>
  <c r="S151" i="13"/>
  <c r="T151" i="13"/>
  <c r="U151" i="13"/>
  <c r="V151" i="13"/>
  <c r="Q152" i="13"/>
  <c r="R152" i="13"/>
  <c r="S152" i="13"/>
  <c r="T152" i="13"/>
  <c r="U152" i="13"/>
  <c r="V152" i="13"/>
  <c r="Q153" i="13"/>
  <c r="R153" i="13"/>
  <c r="S153" i="13"/>
  <c r="T153" i="13"/>
  <c r="U153" i="13"/>
  <c r="V153" i="13"/>
  <c r="Q160" i="13"/>
  <c r="R160" i="13"/>
  <c r="S160" i="13"/>
  <c r="T160" i="13"/>
  <c r="U160" i="13"/>
  <c r="V160" i="13"/>
  <c r="Q163" i="13"/>
  <c r="R163" i="13"/>
  <c r="S163" i="13"/>
  <c r="T163" i="13"/>
  <c r="U163" i="13"/>
  <c r="V163" i="13"/>
  <c r="Q169" i="13"/>
  <c r="R169" i="13"/>
  <c r="S169" i="13"/>
  <c r="T169" i="13"/>
  <c r="U169" i="13"/>
  <c r="V169" i="13"/>
  <c r="Q175" i="13"/>
  <c r="R175" i="13"/>
  <c r="S175" i="13"/>
  <c r="T175" i="13"/>
  <c r="U175" i="13"/>
  <c r="V175" i="13"/>
  <c r="Q176" i="13"/>
  <c r="R176" i="13"/>
  <c r="S176" i="13"/>
  <c r="T176" i="13"/>
  <c r="U176" i="13"/>
  <c r="V176" i="13"/>
  <c r="Q177" i="13"/>
  <c r="R177" i="13"/>
  <c r="S177" i="13"/>
  <c r="T177" i="13"/>
  <c r="U177" i="13"/>
  <c r="V177" i="13"/>
  <c r="Q184" i="13"/>
  <c r="R184" i="13"/>
  <c r="S184" i="13"/>
  <c r="T184" i="13"/>
  <c r="U184" i="13"/>
  <c r="V184" i="13"/>
  <c r="Q190" i="13"/>
  <c r="R190" i="13"/>
  <c r="S190" i="13"/>
  <c r="T190" i="13"/>
  <c r="U190" i="13"/>
  <c r="V190" i="13"/>
  <c r="Q191" i="13"/>
  <c r="R191" i="13"/>
  <c r="S191" i="13"/>
  <c r="T191" i="13"/>
  <c r="U191" i="13"/>
  <c r="V191" i="13"/>
  <c r="Q198" i="13"/>
  <c r="R198" i="13"/>
  <c r="S198" i="13"/>
  <c r="T198" i="13"/>
  <c r="U198" i="13"/>
  <c r="V198" i="13"/>
  <c r="Q204" i="13"/>
  <c r="R204" i="13"/>
  <c r="S204" i="13"/>
  <c r="T204" i="13"/>
  <c r="U204" i="13"/>
  <c r="V204" i="13"/>
  <c r="Q205" i="13"/>
  <c r="R205" i="13"/>
  <c r="S205" i="13"/>
  <c r="T205" i="13"/>
  <c r="U205" i="13"/>
  <c r="V205" i="13"/>
  <c r="Q206" i="13"/>
  <c r="R206" i="13"/>
  <c r="S206" i="13"/>
  <c r="T206" i="13"/>
  <c r="U206" i="13"/>
  <c r="V206" i="13"/>
  <c r="Q213" i="13"/>
  <c r="R213" i="13"/>
  <c r="S213" i="13"/>
  <c r="T213" i="13"/>
  <c r="U213" i="13"/>
  <c r="V213" i="13"/>
  <c r="Q216" i="13"/>
  <c r="R216" i="13"/>
  <c r="S216" i="13"/>
  <c r="T216" i="13"/>
  <c r="U216" i="13"/>
  <c r="V216" i="13"/>
  <c r="Q222" i="13"/>
  <c r="R222" i="13"/>
  <c r="S222" i="13"/>
  <c r="T222" i="13"/>
  <c r="U222" i="13"/>
  <c r="V222" i="13"/>
  <c r="Q228" i="13"/>
  <c r="R228" i="13"/>
  <c r="S228" i="13"/>
  <c r="T228" i="13"/>
  <c r="U228" i="13"/>
  <c r="V228" i="13"/>
  <c r="Q229" i="13"/>
  <c r="R229" i="13"/>
  <c r="S229" i="13"/>
  <c r="T229" i="13"/>
  <c r="U229" i="13"/>
  <c r="V229" i="13"/>
  <c r="Q230" i="13"/>
  <c r="R230" i="13"/>
  <c r="S230" i="13"/>
  <c r="T230" i="13"/>
  <c r="U230" i="13"/>
  <c r="V230" i="13"/>
  <c r="Q237" i="13"/>
  <c r="R237" i="13"/>
  <c r="S237" i="13"/>
  <c r="T237" i="13"/>
  <c r="U237" i="13"/>
  <c r="V237" i="13"/>
  <c r="Q243" i="13"/>
  <c r="R243" i="13"/>
  <c r="S243" i="13"/>
  <c r="T243" i="13"/>
  <c r="U243" i="13"/>
  <c r="V243" i="13"/>
  <c r="Q244" i="13"/>
  <c r="R244" i="13"/>
  <c r="S244" i="13"/>
  <c r="T244" i="13"/>
  <c r="U244" i="13"/>
  <c r="V244" i="13"/>
  <c r="Q245" i="13"/>
  <c r="R245" i="13"/>
  <c r="S245" i="13"/>
  <c r="T245" i="13"/>
  <c r="U245" i="13"/>
  <c r="V245" i="13"/>
  <c r="Q252" i="13"/>
  <c r="R252" i="13"/>
  <c r="S252" i="13"/>
  <c r="T252" i="13"/>
  <c r="U252" i="13"/>
  <c r="V252" i="13"/>
  <c r="Q258" i="13"/>
  <c r="R258" i="13"/>
  <c r="S258" i="13"/>
  <c r="T258" i="13"/>
  <c r="U258" i="13"/>
  <c r="V258" i="13"/>
  <c r="Q259" i="13"/>
  <c r="R259" i="13"/>
  <c r="S259" i="13"/>
  <c r="T259" i="13"/>
  <c r="U259" i="13"/>
  <c r="V259" i="13"/>
  <c r="Q266" i="13"/>
  <c r="R266" i="13"/>
  <c r="S266" i="13"/>
  <c r="T266" i="13"/>
  <c r="U266" i="13"/>
  <c r="V266" i="13"/>
  <c r="Q272" i="13"/>
  <c r="R272" i="13"/>
  <c r="S272" i="13"/>
  <c r="T272" i="13"/>
  <c r="U272" i="13"/>
  <c r="V272" i="13"/>
  <c r="Q279" i="13"/>
  <c r="R279" i="13"/>
  <c r="S279" i="13"/>
  <c r="T279" i="13"/>
  <c r="U279" i="13"/>
  <c r="V279" i="13"/>
  <c r="Q285" i="13"/>
  <c r="R285" i="13"/>
  <c r="S285" i="13"/>
  <c r="T285" i="13"/>
  <c r="U285" i="13"/>
  <c r="V285" i="13"/>
  <c r="Q286" i="13"/>
  <c r="R286" i="13"/>
  <c r="S286" i="13"/>
  <c r="T286" i="13"/>
  <c r="U286" i="13"/>
  <c r="V286" i="13"/>
  <c r="Q287" i="13"/>
  <c r="R287" i="13"/>
  <c r="S287" i="13"/>
  <c r="T287" i="13"/>
  <c r="U287" i="13"/>
  <c r="V287" i="13"/>
  <c r="Q294" i="13"/>
  <c r="R294" i="13"/>
  <c r="S294" i="13"/>
  <c r="T294" i="13"/>
  <c r="U294" i="13"/>
  <c r="V294" i="13"/>
  <c r="Q297" i="13"/>
  <c r="R297" i="13"/>
  <c r="S297" i="13"/>
  <c r="T297" i="13"/>
  <c r="U297" i="13"/>
  <c r="V297" i="13"/>
  <c r="Q303" i="13"/>
  <c r="R303" i="13"/>
  <c r="S303" i="13"/>
  <c r="T303" i="13"/>
  <c r="U303" i="13"/>
  <c r="V303" i="13"/>
  <c r="Q309" i="13"/>
  <c r="R309" i="13"/>
  <c r="S309" i="13"/>
  <c r="T309" i="13"/>
  <c r="U309" i="13"/>
  <c r="V309" i="13"/>
  <c r="Q310" i="13"/>
  <c r="R310" i="13"/>
  <c r="S310" i="13"/>
  <c r="T310" i="13"/>
  <c r="U310" i="13"/>
  <c r="V310" i="13"/>
  <c r="Q311" i="13"/>
  <c r="R311" i="13"/>
  <c r="S311" i="13"/>
  <c r="T311" i="13"/>
  <c r="U311" i="13"/>
  <c r="V311" i="13"/>
  <c r="Q312" i="13"/>
  <c r="R312" i="13"/>
  <c r="S312" i="13"/>
  <c r="T312" i="13"/>
  <c r="U312" i="13"/>
  <c r="V312" i="13"/>
  <c r="Q319" i="13"/>
  <c r="R319" i="13"/>
  <c r="S319" i="13"/>
  <c r="T319" i="13"/>
  <c r="U319" i="13"/>
  <c r="V319" i="13"/>
  <c r="Q325" i="13"/>
  <c r="R325" i="13"/>
  <c r="S325" i="13"/>
  <c r="T325" i="13"/>
  <c r="U325" i="13"/>
  <c r="V325" i="13"/>
  <c r="Q326" i="13"/>
  <c r="R326" i="13"/>
  <c r="S326" i="13"/>
  <c r="T326" i="13"/>
  <c r="U326" i="13"/>
  <c r="V326" i="13"/>
  <c r="Q327" i="13"/>
  <c r="R327" i="13"/>
  <c r="S327" i="13"/>
  <c r="T327" i="13"/>
  <c r="U327" i="13"/>
  <c r="V327" i="13"/>
  <c r="Q340" i="13"/>
  <c r="R340" i="13"/>
  <c r="S340" i="13"/>
  <c r="T340" i="13"/>
  <c r="U340" i="13"/>
  <c r="V340" i="13"/>
  <c r="Q346" i="13"/>
  <c r="R346" i="13"/>
  <c r="S346" i="13"/>
  <c r="T346" i="13"/>
  <c r="U346" i="13"/>
  <c r="V346" i="13"/>
  <c r="Q347" i="13"/>
  <c r="R347" i="13"/>
  <c r="S347" i="13"/>
  <c r="T347" i="13"/>
  <c r="U347" i="13"/>
  <c r="V347" i="13"/>
  <c r="Q348" i="13"/>
  <c r="R348" i="13"/>
  <c r="S348" i="13"/>
  <c r="T348" i="13"/>
  <c r="U348" i="13"/>
  <c r="V348" i="13"/>
  <c r="Q349" i="13"/>
  <c r="R349" i="13"/>
  <c r="S349" i="13"/>
  <c r="T349" i="13"/>
  <c r="U349" i="13"/>
  <c r="V349" i="13"/>
  <c r="Q350" i="13"/>
  <c r="R350" i="13"/>
  <c r="S350" i="13"/>
  <c r="T350" i="13"/>
  <c r="U350" i="13"/>
  <c r="V350" i="13"/>
  <c r="Q351" i="13"/>
  <c r="R351" i="13"/>
  <c r="S351" i="13"/>
  <c r="T351" i="13"/>
  <c r="U351" i="13"/>
  <c r="V351" i="13"/>
  <c r="Q358" i="13"/>
  <c r="R358" i="13"/>
  <c r="S358" i="13"/>
  <c r="T358" i="13"/>
  <c r="U358" i="13"/>
  <c r="V358" i="13"/>
  <c r="Q362" i="13"/>
  <c r="R362" i="13"/>
  <c r="S362" i="13"/>
  <c r="T362" i="13"/>
  <c r="U362" i="13"/>
  <c r="V362" i="13"/>
  <c r="Q363" i="13"/>
  <c r="R363" i="13"/>
  <c r="S363" i="13"/>
  <c r="T363" i="13"/>
  <c r="U363" i="13"/>
  <c r="V363" i="13"/>
  <c r="Q375" i="13"/>
  <c r="R375" i="13"/>
  <c r="S375" i="13"/>
  <c r="T375" i="13"/>
  <c r="U375" i="13"/>
  <c r="V375" i="13"/>
  <c r="Q381" i="13"/>
  <c r="R381" i="13"/>
  <c r="S381" i="13"/>
  <c r="T381" i="13"/>
  <c r="U381" i="13"/>
  <c r="V381" i="13"/>
  <c r="Q382" i="13"/>
  <c r="R382" i="13"/>
  <c r="S382" i="13"/>
  <c r="T382" i="13"/>
  <c r="U382" i="13"/>
  <c r="V382" i="13"/>
  <c r="Q383" i="13"/>
  <c r="R383" i="13"/>
  <c r="S383" i="13"/>
  <c r="T383" i="13"/>
  <c r="U383" i="13"/>
  <c r="V383" i="13"/>
  <c r="Q384" i="13"/>
  <c r="R384" i="13"/>
  <c r="S384" i="13"/>
  <c r="T384" i="13"/>
  <c r="U384" i="13"/>
  <c r="V384" i="13"/>
  <c r="Q385" i="13"/>
  <c r="R385" i="13"/>
  <c r="S385" i="13"/>
  <c r="T385" i="13"/>
  <c r="U385" i="13"/>
  <c r="V385" i="13"/>
  <c r="Q392" i="13"/>
  <c r="R392" i="13"/>
  <c r="S392" i="13"/>
  <c r="T392" i="13"/>
  <c r="U392" i="13"/>
  <c r="V392" i="13"/>
  <c r="Q398" i="13"/>
  <c r="R398" i="13"/>
  <c r="S398" i="13"/>
  <c r="T398" i="13"/>
  <c r="U398" i="13"/>
  <c r="V398" i="13"/>
  <c r="Q399" i="13"/>
  <c r="R399" i="13"/>
  <c r="S399" i="13"/>
  <c r="T399" i="13"/>
  <c r="U399" i="13"/>
  <c r="V399" i="13"/>
  <c r="Q400" i="13"/>
  <c r="R400" i="13"/>
  <c r="S400" i="13"/>
  <c r="T400" i="13"/>
  <c r="U400" i="13"/>
  <c r="V400" i="13"/>
  <c r="Q413" i="13"/>
  <c r="R413" i="13"/>
  <c r="S413" i="13"/>
  <c r="T413" i="13"/>
  <c r="U413" i="13"/>
  <c r="V413" i="13"/>
  <c r="Q419" i="13"/>
  <c r="R419" i="13"/>
  <c r="S419" i="13"/>
  <c r="T419" i="13"/>
  <c r="U419" i="13"/>
  <c r="V419" i="13"/>
  <c r="Q420" i="13"/>
  <c r="R420" i="13"/>
  <c r="S420" i="13"/>
  <c r="T420" i="13"/>
  <c r="U420" i="13"/>
  <c r="V420" i="13"/>
  <c r="Q421" i="13"/>
  <c r="R421" i="13"/>
  <c r="S421" i="13"/>
  <c r="T421" i="13"/>
  <c r="U421" i="13"/>
  <c r="V421" i="13"/>
  <c r="Q422" i="13"/>
  <c r="R422" i="13"/>
  <c r="S422" i="13"/>
  <c r="T422" i="13"/>
  <c r="U422" i="13"/>
  <c r="V422" i="13"/>
  <c r="Q423" i="13"/>
  <c r="R423" i="13"/>
  <c r="S423" i="13"/>
  <c r="T423" i="13"/>
  <c r="U423" i="13"/>
  <c r="V423" i="13"/>
  <c r="Q430" i="13"/>
  <c r="R430" i="13"/>
  <c r="S430" i="13"/>
  <c r="T430" i="13"/>
  <c r="U430" i="13"/>
  <c r="V430" i="13"/>
  <c r="Q436" i="13"/>
  <c r="R436" i="13"/>
  <c r="S436" i="13"/>
  <c r="T436" i="13"/>
  <c r="U436" i="13"/>
  <c r="V436" i="13"/>
  <c r="Q437" i="13"/>
  <c r="R437" i="13"/>
  <c r="S437" i="13"/>
  <c r="T437" i="13"/>
  <c r="U437" i="13"/>
  <c r="V437" i="13"/>
  <c r="Q438" i="13"/>
  <c r="R438" i="13"/>
  <c r="S438" i="13"/>
  <c r="T438" i="13"/>
  <c r="U438" i="13"/>
  <c r="V438" i="13"/>
  <c r="Q451" i="13"/>
  <c r="R451" i="13"/>
  <c r="S451" i="13"/>
  <c r="T451" i="13"/>
  <c r="U451" i="13"/>
  <c r="V451" i="13"/>
  <c r="Q457" i="13"/>
  <c r="R457" i="13"/>
  <c r="S457" i="13"/>
  <c r="T457" i="13"/>
  <c r="U457" i="13"/>
  <c r="V457" i="13"/>
  <c r="Q458" i="13"/>
  <c r="R458" i="13"/>
  <c r="S458" i="13"/>
  <c r="T458" i="13"/>
  <c r="U458" i="13"/>
  <c r="V458" i="13"/>
  <c r="Q459" i="13"/>
  <c r="R459" i="13"/>
  <c r="S459" i="13"/>
  <c r="T459" i="13"/>
  <c r="U459" i="13"/>
  <c r="V459" i="13"/>
  <c r="Q466" i="13"/>
  <c r="R466" i="13"/>
  <c r="S466" i="13"/>
  <c r="T466" i="13"/>
  <c r="U466" i="13"/>
  <c r="V466" i="13"/>
  <c r="Q472" i="13"/>
  <c r="R472" i="13"/>
  <c r="S472" i="13"/>
  <c r="T472" i="13"/>
  <c r="U472" i="13"/>
  <c r="V472" i="13"/>
  <c r="Q479" i="13"/>
  <c r="R479" i="13"/>
  <c r="S479" i="13"/>
  <c r="T479" i="13"/>
  <c r="U479" i="13"/>
  <c r="V479" i="13"/>
  <c r="Q485" i="13"/>
  <c r="R485" i="13"/>
  <c r="S485" i="13"/>
  <c r="T485" i="13"/>
  <c r="U485" i="13"/>
  <c r="V485" i="13"/>
  <c r="Q486" i="13"/>
  <c r="R486" i="13"/>
  <c r="S486" i="13"/>
  <c r="T486" i="13"/>
  <c r="U486" i="13"/>
  <c r="V486" i="13"/>
  <c r="Q487" i="13"/>
  <c r="R487" i="13"/>
  <c r="S487" i="13"/>
  <c r="T487" i="13"/>
  <c r="U487" i="13"/>
  <c r="V487" i="13"/>
  <c r="Q488" i="13"/>
  <c r="R488" i="13"/>
  <c r="S488" i="13"/>
  <c r="T488" i="13"/>
  <c r="U488" i="13"/>
  <c r="V488" i="13"/>
  <c r="Q495" i="13"/>
  <c r="R495" i="13"/>
  <c r="S495" i="13"/>
  <c r="T495" i="13"/>
  <c r="U495" i="13"/>
  <c r="V495" i="13"/>
  <c r="Q501" i="13"/>
  <c r="R501" i="13"/>
  <c r="S501" i="13"/>
  <c r="T501" i="13"/>
  <c r="U501" i="13"/>
  <c r="V501" i="13"/>
  <c r="Q502" i="13"/>
  <c r="R502" i="13"/>
  <c r="S502" i="13"/>
  <c r="T502" i="13"/>
  <c r="U502" i="13"/>
  <c r="V502" i="13"/>
  <c r="Q521" i="13"/>
  <c r="R521" i="13"/>
  <c r="S521" i="13"/>
  <c r="T521" i="13"/>
  <c r="U521" i="13"/>
  <c r="V521" i="13"/>
  <c r="Q533" i="13"/>
  <c r="R533" i="13"/>
  <c r="S533" i="13"/>
  <c r="T533" i="13"/>
  <c r="U533" i="13"/>
  <c r="V533" i="13"/>
  <c r="Q539" i="13"/>
  <c r="R539" i="13"/>
  <c r="S539" i="13"/>
  <c r="T539" i="13"/>
  <c r="U539" i="13"/>
  <c r="V539" i="13"/>
  <c r="Q546" i="13"/>
  <c r="R546" i="13"/>
  <c r="S546" i="13"/>
  <c r="T546" i="13"/>
  <c r="U546" i="13"/>
  <c r="V546" i="13"/>
  <c r="Q551" i="13"/>
  <c r="R551" i="13"/>
  <c r="S551" i="13"/>
  <c r="T551" i="13"/>
  <c r="U551" i="13"/>
  <c r="V551" i="13"/>
  <c r="Q558" i="13"/>
  <c r="R558" i="13"/>
  <c r="S558" i="13"/>
  <c r="T558" i="13"/>
  <c r="U558" i="13"/>
  <c r="V558" i="13"/>
  <c r="Q564" i="13"/>
  <c r="R564" i="13"/>
  <c r="S564" i="13"/>
  <c r="T564" i="13"/>
  <c r="U564" i="13"/>
  <c r="V564" i="13"/>
  <c r="Q571" i="13"/>
  <c r="R571" i="13"/>
  <c r="S571" i="13"/>
  <c r="T571" i="13"/>
  <c r="U571" i="13"/>
  <c r="V571" i="13"/>
  <c r="Q577" i="13"/>
  <c r="R577" i="13"/>
  <c r="S577" i="13"/>
  <c r="T577" i="13"/>
  <c r="U577" i="13"/>
  <c r="V577" i="13"/>
  <c r="Q584" i="13"/>
  <c r="R584" i="13"/>
  <c r="S584" i="13"/>
  <c r="T584" i="13"/>
  <c r="U584" i="13"/>
  <c r="V584" i="13"/>
  <c r="Q589" i="13"/>
  <c r="R589" i="13"/>
  <c r="S589" i="13"/>
  <c r="T589" i="13"/>
  <c r="U589" i="13"/>
  <c r="V589" i="13"/>
  <c r="Q596" i="13"/>
  <c r="R596" i="13"/>
  <c r="S596" i="13"/>
  <c r="T596" i="13"/>
  <c r="U596" i="13"/>
  <c r="V596" i="13"/>
  <c r="Q602" i="13"/>
  <c r="R602" i="13"/>
  <c r="S602" i="13"/>
  <c r="T602" i="13"/>
  <c r="U602" i="13"/>
  <c r="V602" i="13"/>
  <c r="Q603" i="13"/>
  <c r="R603" i="13"/>
  <c r="S603" i="13"/>
  <c r="T603" i="13"/>
  <c r="U603" i="13"/>
  <c r="V603" i="13"/>
  <c r="Q604" i="13"/>
  <c r="R604" i="13"/>
  <c r="S604" i="13"/>
  <c r="T604" i="13"/>
  <c r="U604" i="13"/>
  <c r="V604" i="13"/>
  <c r="Q617" i="13"/>
  <c r="R617" i="13"/>
  <c r="S617" i="13"/>
  <c r="T617" i="13"/>
  <c r="U617" i="13"/>
  <c r="V617" i="13"/>
  <c r="Q623" i="13"/>
  <c r="R623" i="13"/>
  <c r="S623" i="13"/>
  <c r="T623" i="13"/>
  <c r="U623" i="13"/>
  <c r="V623" i="13"/>
  <c r="Q630" i="13"/>
  <c r="R630" i="13"/>
  <c r="S630" i="13"/>
  <c r="T630" i="13"/>
  <c r="U630" i="13"/>
  <c r="V630" i="13"/>
  <c r="Q635" i="13"/>
  <c r="R635" i="13"/>
  <c r="S635" i="13"/>
  <c r="T635" i="13"/>
  <c r="U635" i="13"/>
  <c r="V635" i="13"/>
  <c r="Q642" i="13"/>
  <c r="R642" i="13"/>
  <c r="S642" i="13"/>
  <c r="T642" i="13"/>
  <c r="U642" i="13"/>
  <c r="V642" i="13"/>
  <c r="Q647" i="13"/>
  <c r="R647" i="13"/>
  <c r="S647" i="13"/>
  <c r="T647" i="13"/>
  <c r="U647" i="13"/>
  <c r="V647" i="13"/>
  <c r="Q654" i="13"/>
  <c r="R654" i="13"/>
  <c r="S654" i="13"/>
  <c r="T654" i="13"/>
  <c r="U654" i="13"/>
  <c r="V654" i="13"/>
  <c r="Q660" i="13"/>
  <c r="R660" i="13"/>
  <c r="S660" i="13"/>
  <c r="T660" i="13"/>
  <c r="U660" i="13"/>
  <c r="V660" i="13"/>
  <c r="Q667" i="13"/>
  <c r="R667" i="13"/>
  <c r="S667" i="13"/>
  <c r="T667" i="13"/>
  <c r="U667" i="13"/>
  <c r="V667" i="13"/>
  <c r="Q672" i="13"/>
  <c r="R672" i="13"/>
  <c r="S672" i="13"/>
  <c r="T672" i="13"/>
  <c r="U672" i="13"/>
  <c r="V672" i="13"/>
  <c r="Q679" i="13"/>
  <c r="R679" i="13"/>
  <c r="S679" i="13"/>
  <c r="T679" i="13"/>
  <c r="U679" i="13"/>
  <c r="V679" i="13"/>
  <c r="Q685" i="13"/>
  <c r="R685" i="13"/>
  <c r="S685" i="13"/>
  <c r="T685" i="13"/>
  <c r="U685" i="13"/>
  <c r="V685" i="13"/>
  <c r="Q692" i="13"/>
  <c r="R692" i="13"/>
  <c r="S692" i="13"/>
  <c r="T692" i="13"/>
  <c r="U692" i="13"/>
  <c r="V692" i="13"/>
  <c r="Q698" i="13"/>
  <c r="R698" i="13"/>
  <c r="S698" i="13"/>
  <c r="T698" i="13"/>
  <c r="U698" i="13"/>
  <c r="V698" i="13"/>
  <c r="Q699" i="13"/>
  <c r="R699" i="13"/>
  <c r="S699" i="13"/>
  <c r="T699" i="13"/>
  <c r="U699" i="13"/>
  <c r="V699" i="13"/>
  <c r="Q700" i="13"/>
  <c r="R700" i="13"/>
  <c r="S700" i="13"/>
  <c r="T700" i="13"/>
  <c r="U700" i="13"/>
  <c r="V700" i="13"/>
  <c r="Q713" i="13"/>
  <c r="R713" i="13"/>
  <c r="S713" i="13"/>
  <c r="T713" i="13"/>
  <c r="U713" i="13"/>
  <c r="V713" i="13"/>
  <c r="Q719" i="13"/>
  <c r="R719" i="13"/>
  <c r="S719" i="13"/>
  <c r="T719" i="13"/>
  <c r="U719" i="13"/>
  <c r="V719" i="13"/>
  <c r="Q726" i="13"/>
  <c r="R726" i="13"/>
  <c r="S726" i="13"/>
  <c r="T726" i="13"/>
  <c r="U726" i="13"/>
  <c r="V726" i="13"/>
  <c r="Q731" i="13"/>
  <c r="R731" i="13"/>
  <c r="S731" i="13"/>
  <c r="T731" i="13"/>
  <c r="U731" i="13"/>
  <c r="V731" i="13"/>
  <c r="Q738" i="13"/>
  <c r="R738" i="13"/>
  <c r="S738" i="13"/>
  <c r="T738" i="13"/>
  <c r="U738" i="13"/>
  <c r="V738" i="13"/>
  <c r="Q744" i="13"/>
  <c r="R744" i="13"/>
  <c r="S744" i="13"/>
  <c r="T744" i="13"/>
  <c r="U744" i="13"/>
  <c r="V744" i="13"/>
  <c r="Q751" i="13"/>
  <c r="R751" i="13"/>
  <c r="S751" i="13"/>
  <c r="T751" i="13"/>
  <c r="U751" i="13"/>
  <c r="V751" i="13"/>
  <c r="Q756" i="13"/>
  <c r="R756" i="13"/>
  <c r="S756" i="13"/>
  <c r="T756" i="13"/>
  <c r="U756" i="13"/>
  <c r="V756" i="13"/>
  <c r="Q763" i="13"/>
  <c r="R763" i="13"/>
  <c r="S763" i="13"/>
  <c r="T763" i="13"/>
  <c r="U763" i="13"/>
  <c r="V763" i="13"/>
  <c r="Q769" i="13"/>
  <c r="R769" i="13"/>
  <c r="S769" i="13"/>
  <c r="T769" i="13"/>
  <c r="U769" i="13"/>
  <c r="V769" i="13"/>
  <c r="Q776" i="13"/>
  <c r="R776" i="13"/>
  <c r="S776" i="13"/>
  <c r="T776" i="13"/>
  <c r="U776" i="13"/>
  <c r="V776" i="13"/>
  <c r="Q782" i="13"/>
  <c r="R782" i="13"/>
  <c r="S782" i="13"/>
  <c r="T782" i="13"/>
  <c r="U782" i="13"/>
  <c r="V782" i="13"/>
  <c r="Q795" i="13"/>
  <c r="R795" i="13"/>
  <c r="S795" i="13"/>
  <c r="T795" i="13"/>
  <c r="U795" i="13"/>
  <c r="V795" i="13"/>
  <c r="Q801" i="13"/>
  <c r="R801" i="13"/>
  <c r="S801" i="13"/>
  <c r="T801" i="13"/>
  <c r="U801" i="13"/>
  <c r="V801" i="13"/>
  <c r="Q808" i="13"/>
  <c r="R808" i="13"/>
  <c r="S808" i="13"/>
  <c r="T808" i="13"/>
  <c r="U808" i="13"/>
  <c r="V808" i="13"/>
  <c r="Q813" i="13"/>
  <c r="R813" i="13"/>
  <c r="S813" i="13"/>
  <c r="T813" i="13"/>
  <c r="U813" i="13"/>
  <c r="V813" i="13"/>
  <c r="Q820" i="13"/>
  <c r="R820" i="13"/>
  <c r="S820" i="13"/>
  <c r="T820" i="13"/>
  <c r="U820" i="13"/>
  <c r="V820" i="13"/>
  <c r="Q825" i="13"/>
  <c r="R825" i="13"/>
  <c r="S825" i="13"/>
  <c r="T825" i="13"/>
  <c r="U825" i="13"/>
  <c r="V825" i="13"/>
  <c r="Q832" i="13"/>
  <c r="R832" i="13"/>
  <c r="S832" i="13"/>
  <c r="T832" i="13"/>
  <c r="U832" i="13"/>
  <c r="V832" i="13"/>
  <c r="Q838" i="13"/>
  <c r="R838" i="13"/>
  <c r="S838" i="13"/>
  <c r="T838" i="13"/>
  <c r="U838" i="13"/>
  <c r="V838" i="13"/>
  <c r="Q845" i="13"/>
  <c r="R845" i="13"/>
  <c r="S845" i="13"/>
  <c r="T845" i="13"/>
  <c r="U845" i="13"/>
  <c r="V845" i="13"/>
  <c r="Q850" i="13"/>
  <c r="R850" i="13"/>
  <c r="S850" i="13"/>
  <c r="T850" i="13"/>
  <c r="U850" i="13"/>
  <c r="V850" i="13"/>
  <c r="Q857" i="13"/>
  <c r="R857" i="13"/>
  <c r="S857" i="13"/>
  <c r="T857" i="13"/>
  <c r="U857" i="13"/>
  <c r="V857" i="13"/>
  <c r="Q863" i="13"/>
  <c r="R863" i="13"/>
  <c r="S863" i="13"/>
  <c r="T863" i="13"/>
  <c r="U863" i="13"/>
  <c r="V863" i="13"/>
  <c r="Q870" i="13"/>
  <c r="R870" i="13"/>
  <c r="S870" i="13"/>
  <c r="T870" i="13"/>
  <c r="U870" i="13"/>
  <c r="V870" i="13"/>
  <c r="Q876" i="13"/>
  <c r="R876" i="13"/>
  <c r="S876" i="13"/>
  <c r="T876" i="13"/>
  <c r="U876" i="13"/>
  <c r="V876" i="13"/>
  <c r="Q877" i="13"/>
  <c r="R877" i="13"/>
  <c r="S877" i="13"/>
  <c r="T877" i="13"/>
  <c r="U877" i="13"/>
  <c r="V877" i="13"/>
  <c r="Q890" i="13"/>
  <c r="R890" i="13"/>
  <c r="S890" i="13"/>
  <c r="T890" i="13"/>
  <c r="U890" i="13"/>
  <c r="V890" i="13"/>
  <c r="Q896" i="13"/>
  <c r="R896" i="13"/>
  <c r="S896" i="13"/>
  <c r="T896" i="13"/>
  <c r="U896" i="13"/>
  <c r="V896" i="13"/>
  <c r="Q903" i="13"/>
  <c r="R903" i="13"/>
  <c r="S903" i="13"/>
  <c r="T903" i="13"/>
  <c r="U903" i="13"/>
  <c r="V903" i="13"/>
  <c r="Q908" i="13"/>
  <c r="R908" i="13"/>
  <c r="S908" i="13"/>
  <c r="T908" i="13"/>
  <c r="U908" i="13"/>
  <c r="V908" i="13"/>
  <c r="Q915" i="13"/>
  <c r="R915" i="13"/>
  <c r="S915" i="13"/>
  <c r="T915" i="13"/>
  <c r="U915" i="13"/>
  <c r="V915" i="13"/>
  <c r="Q920" i="13"/>
  <c r="R920" i="13"/>
  <c r="S920" i="13"/>
  <c r="T920" i="13"/>
  <c r="U920" i="13"/>
  <c r="V920" i="13"/>
  <c r="Q927" i="13"/>
  <c r="R927" i="13"/>
  <c r="S927" i="13"/>
  <c r="T927" i="13"/>
  <c r="U927" i="13"/>
  <c r="V927" i="13"/>
  <c r="Q933" i="13"/>
  <c r="R933" i="13"/>
  <c r="S933" i="13"/>
  <c r="T933" i="13"/>
  <c r="U933" i="13"/>
  <c r="V933" i="13"/>
  <c r="Q940" i="13"/>
  <c r="R940" i="13"/>
  <c r="S940" i="13"/>
  <c r="T940" i="13"/>
  <c r="U940" i="13"/>
  <c r="V940" i="13"/>
  <c r="Q945" i="13"/>
  <c r="R945" i="13"/>
  <c r="S945" i="13"/>
  <c r="T945" i="13"/>
  <c r="U945" i="13"/>
  <c r="V945" i="13"/>
  <c r="Q952" i="13"/>
  <c r="R952" i="13"/>
  <c r="S952" i="13"/>
  <c r="T952" i="13"/>
  <c r="U952" i="13"/>
  <c r="V952" i="13"/>
  <c r="Q958" i="13"/>
  <c r="R958" i="13"/>
  <c r="S958" i="13"/>
  <c r="T958" i="13"/>
  <c r="U958" i="13"/>
  <c r="V958" i="13"/>
  <c r="Q965" i="13"/>
  <c r="R965" i="13"/>
  <c r="S965" i="13"/>
  <c r="T965" i="13"/>
  <c r="U965" i="13"/>
  <c r="V965" i="13"/>
  <c r="Q971" i="13"/>
  <c r="R971" i="13"/>
  <c r="S971" i="13"/>
  <c r="T971" i="13"/>
  <c r="U971" i="13"/>
  <c r="V971" i="13"/>
  <c r="Q972" i="13"/>
  <c r="R972" i="13"/>
  <c r="S972" i="13"/>
  <c r="T972" i="13"/>
  <c r="U972" i="13"/>
  <c r="V972" i="13"/>
  <c r="Q985" i="13"/>
  <c r="R985" i="13"/>
  <c r="S985" i="13"/>
  <c r="T985" i="13"/>
  <c r="U985" i="13"/>
  <c r="V985" i="13"/>
  <c r="Q990" i="13"/>
  <c r="R990" i="13"/>
  <c r="S990" i="13"/>
  <c r="T990" i="13"/>
  <c r="U990" i="13"/>
  <c r="V990" i="13"/>
  <c r="Q997" i="13"/>
  <c r="R997" i="13"/>
  <c r="S997" i="13"/>
  <c r="T997" i="13"/>
  <c r="U997" i="13"/>
  <c r="V997" i="13"/>
  <c r="Q1002" i="13"/>
  <c r="R1002" i="13"/>
  <c r="S1002" i="13"/>
  <c r="T1002" i="13"/>
  <c r="U1002" i="13"/>
  <c r="V1002" i="13"/>
  <c r="Q1009" i="13"/>
  <c r="R1009" i="13"/>
  <c r="S1009" i="13"/>
  <c r="T1009" i="13"/>
  <c r="U1009" i="13"/>
  <c r="V1009" i="13"/>
  <c r="Q1015" i="13"/>
  <c r="R1015" i="13"/>
  <c r="S1015" i="13"/>
  <c r="T1015" i="13"/>
  <c r="U1015" i="13"/>
  <c r="V1015" i="13"/>
  <c r="Q1022" i="13"/>
  <c r="R1022" i="13"/>
  <c r="S1022" i="13"/>
  <c r="T1022" i="13"/>
  <c r="U1022" i="13"/>
  <c r="V1022" i="13"/>
  <c r="Q1027" i="13"/>
  <c r="R1027" i="13"/>
  <c r="S1027" i="13"/>
  <c r="T1027" i="13"/>
  <c r="U1027" i="13"/>
  <c r="V1027" i="13"/>
  <c r="Q1034" i="13"/>
  <c r="R1034" i="13"/>
  <c r="S1034" i="13"/>
  <c r="T1034" i="13"/>
  <c r="U1034" i="13"/>
  <c r="V1034" i="13"/>
  <c r="Q1040" i="13"/>
  <c r="R1040" i="13"/>
  <c r="S1040" i="13"/>
  <c r="T1040" i="13"/>
  <c r="U1040" i="13"/>
  <c r="V1040" i="13"/>
  <c r="Q1047" i="13"/>
  <c r="R1047" i="13"/>
  <c r="S1047" i="13"/>
  <c r="T1047" i="13"/>
  <c r="U1047" i="13"/>
  <c r="V1047" i="13"/>
  <c r="Q1053" i="13"/>
  <c r="R1053" i="13"/>
  <c r="S1053" i="13"/>
  <c r="T1053" i="13"/>
  <c r="U1053" i="13"/>
  <c r="V1053" i="13"/>
  <c r="Q1054" i="13"/>
  <c r="R1054" i="13"/>
  <c r="S1054" i="13"/>
  <c r="T1054" i="13"/>
  <c r="U1054" i="13"/>
  <c r="V1054" i="13"/>
  <c r="Q1055" i="13"/>
  <c r="R1055" i="13"/>
  <c r="S1055" i="13"/>
  <c r="T1055" i="13"/>
  <c r="U1055" i="13"/>
  <c r="V1055" i="13"/>
  <c r="Q1072" i="13"/>
  <c r="R1072" i="13"/>
  <c r="S1072" i="13"/>
  <c r="T1072" i="13"/>
  <c r="U1072" i="13"/>
  <c r="V1072" i="13"/>
  <c r="Q1078" i="13"/>
  <c r="R1078" i="13"/>
  <c r="S1078" i="13"/>
  <c r="T1078" i="13"/>
  <c r="U1078" i="13"/>
  <c r="V1078" i="13"/>
  <c r="Q1079" i="13"/>
  <c r="R1079" i="13"/>
  <c r="S1079" i="13"/>
  <c r="T1079" i="13"/>
  <c r="U1079" i="13"/>
  <c r="V1079" i="13"/>
  <c r="Q1080" i="13"/>
  <c r="R1080" i="13"/>
  <c r="S1080" i="13"/>
  <c r="T1080" i="13"/>
  <c r="U1080" i="13"/>
  <c r="V1080" i="13"/>
  <c r="Q1081" i="13"/>
  <c r="R1081" i="13"/>
  <c r="S1081" i="13"/>
  <c r="T1081" i="13"/>
  <c r="U1081" i="13"/>
  <c r="V1081" i="13"/>
  <c r="Q1082" i="13"/>
  <c r="R1082" i="13"/>
  <c r="S1082" i="13"/>
  <c r="T1082" i="13"/>
  <c r="U1082" i="13"/>
  <c r="V1082" i="13"/>
  <c r="Q1089" i="13"/>
  <c r="R1089" i="13"/>
  <c r="S1089" i="13"/>
  <c r="T1089" i="13"/>
  <c r="U1089" i="13"/>
  <c r="V1089" i="13"/>
  <c r="Q1095" i="13"/>
  <c r="R1095" i="13"/>
  <c r="S1095" i="13"/>
  <c r="T1095" i="13"/>
  <c r="U1095" i="13"/>
  <c r="V1095" i="13"/>
  <c r="Q1102" i="13"/>
  <c r="R1102" i="13"/>
  <c r="S1102" i="13"/>
  <c r="T1102" i="13"/>
  <c r="U1102" i="13"/>
  <c r="V1102" i="13"/>
  <c r="Q1108" i="13"/>
  <c r="R1108" i="13"/>
  <c r="S1108" i="13"/>
  <c r="T1108" i="13"/>
  <c r="U1108" i="13"/>
  <c r="V1108" i="13"/>
  <c r="Q1109" i="13"/>
  <c r="R1109" i="13"/>
  <c r="S1109" i="13"/>
  <c r="T1109" i="13"/>
  <c r="U1109" i="13"/>
  <c r="V1109" i="13"/>
  <c r="Q1110" i="13"/>
  <c r="R1110" i="13"/>
  <c r="S1110" i="13"/>
  <c r="T1110" i="13"/>
  <c r="U1110" i="13"/>
  <c r="V1110" i="13"/>
  <c r="Q1117" i="13"/>
  <c r="R1117" i="13"/>
  <c r="S1117" i="13"/>
  <c r="T1117" i="13"/>
  <c r="U1117" i="13"/>
  <c r="V1117" i="13"/>
  <c r="Q1122" i="13"/>
  <c r="R1122" i="13"/>
  <c r="S1122" i="13"/>
  <c r="T1122" i="13"/>
  <c r="U1122" i="13"/>
  <c r="V1122" i="13"/>
  <c r="Q1129" i="13"/>
  <c r="R1129" i="13"/>
  <c r="S1129" i="13"/>
  <c r="T1129" i="13"/>
  <c r="U1129" i="13"/>
  <c r="V1129" i="13"/>
  <c r="Q1134" i="13"/>
  <c r="R1134" i="13"/>
  <c r="S1134" i="13"/>
  <c r="T1134" i="13"/>
  <c r="U1134" i="13"/>
  <c r="V1134" i="13"/>
  <c r="Q1135" i="13"/>
  <c r="R1135" i="13"/>
  <c r="S1135" i="13"/>
  <c r="T1135" i="13"/>
  <c r="U1135" i="13"/>
  <c r="V1135" i="13"/>
  <c r="Q1142" i="13"/>
  <c r="R1142" i="13"/>
  <c r="S1142" i="13"/>
  <c r="T1142" i="13"/>
  <c r="U1142" i="13"/>
  <c r="V1142" i="13"/>
  <c r="Q1147" i="13"/>
  <c r="R1147" i="13"/>
  <c r="S1147" i="13"/>
  <c r="T1147" i="13"/>
  <c r="U1147" i="13"/>
  <c r="V1147" i="13"/>
  <c r="Q1161" i="13"/>
  <c r="R1161" i="13"/>
  <c r="S1161" i="13"/>
  <c r="T1161" i="13"/>
  <c r="U1161" i="13"/>
  <c r="V1161" i="13"/>
  <c r="P1166" i="13"/>
  <c r="O1166" i="13"/>
  <c r="Q1174" i="13"/>
  <c r="R1174" i="13"/>
  <c r="S1174" i="13"/>
  <c r="T1174" i="13"/>
  <c r="U1174" i="13"/>
  <c r="V1174" i="13"/>
  <c r="Q1178" i="13"/>
  <c r="R1178" i="13"/>
  <c r="S1178" i="13"/>
  <c r="T1178" i="13"/>
  <c r="U1178" i="13"/>
  <c r="V1178" i="13"/>
  <c r="P1180" i="13" l="1"/>
  <c r="P1176" i="13"/>
  <c r="P531" i="13"/>
  <c r="O925" i="13"/>
  <c r="O62" i="13"/>
  <c r="P901" i="13"/>
  <c r="P167" i="13"/>
  <c r="O1180" i="13"/>
  <c r="P1100" i="13"/>
  <c r="P843" i="13"/>
  <c r="P594" i="13"/>
  <c r="P62" i="13"/>
  <c r="O1176" i="13"/>
  <c r="O1115" i="13"/>
  <c r="P544" i="13"/>
  <c r="O95" i="13"/>
  <c r="O301" i="13"/>
  <c r="P1140" i="13"/>
  <c r="P995" i="13"/>
  <c r="P1020" i="13"/>
  <c r="P774" i="13"/>
  <c r="P761" i="13"/>
  <c r="P736" i="13"/>
  <c r="P628" i="13"/>
  <c r="O220" i="13"/>
  <c r="O211" i="13"/>
  <c r="P85" i="13"/>
  <c r="P1152" i="13"/>
  <c r="P1045" i="13"/>
  <c r="P1007" i="13"/>
  <c r="O977" i="13"/>
  <c r="P609" i="13"/>
  <c r="O1060" i="13"/>
  <c r="P913" i="13"/>
  <c r="O855" i="13"/>
  <c r="O690" i="13"/>
  <c r="O390" i="13"/>
  <c r="P158" i="13"/>
  <c r="P507" i="13"/>
  <c r="O356" i="13"/>
  <c r="P44" i="13"/>
  <c r="P1127" i="13"/>
  <c r="O1127" i="13"/>
  <c r="O1032" i="13"/>
  <c r="P938" i="13"/>
  <c r="O938" i="13"/>
  <c r="P925" i="13"/>
  <c r="O913" i="13"/>
  <c r="O736" i="13"/>
  <c r="O652" i="13"/>
  <c r="O640" i="13"/>
  <c r="O556" i="13"/>
  <c r="P220" i="13"/>
  <c r="P1060" i="13"/>
  <c r="P830" i="13"/>
  <c r="P749" i="13"/>
  <c r="O705" i="13"/>
  <c r="O1087" i="13"/>
  <c r="O1007" i="13"/>
  <c r="P963" i="13"/>
  <c r="P950" i="13"/>
  <c r="P868" i="13"/>
  <c r="P855" i="13"/>
  <c r="O843" i="13"/>
  <c r="O806" i="13"/>
  <c r="P787" i="13"/>
  <c r="O774" i="13"/>
  <c r="O761" i="13"/>
  <c r="P724" i="13"/>
  <c r="O724" i="13"/>
  <c r="P677" i="13"/>
  <c r="P569" i="13"/>
  <c r="P556" i="13"/>
  <c r="P277" i="13"/>
  <c r="O250" i="13"/>
  <c r="O235" i="13"/>
  <c r="O167" i="13"/>
  <c r="P665" i="13"/>
  <c r="P582" i="13"/>
  <c r="P464" i="13"/>
  <c r="O493" i="13"/>
  <c r="O367" i="13"/>
  <c r="P317" i="13"/>
  <c r="P235" i="13"/>
  <c r="O44" i="13"/>
  <c r="O609" i="13"/>
  <c r="O531" i="13"/>
  <c r="O477" i="13"/>
  <c r="O137" i="13"/>
  <c r="O53" i="13"/>
  <c r="O443" i="13"/>
  <c r="O332" i="13"/>
  <c r="P1032" i="13" l="1"/>
  <c r="P443" i="13"/>
  <c r="P109" i="13"/>
  <c r="P477" i="13"/>
  <c r="P428" i="13"/>
  <c r="P806" i="13"/>
  <c r="O787" i="13"/>
  <c r="O507" i="13"/>
  <c r="P211" i="13"/>
  <c r="O1045" i="13"/>
  <c r="O1152" i="13"/>
  <c r="O544" i="13"/>
  <c r="O882" i="13"/>
  <c r="O317" i="13"/>
  <c r="P705" i="13"/>
  <c r="P95" i="13"/>
  <c r="P292" i="13"/>
  <c r="P332" i="13"/>
  <c r="O963" i="13"/>
  <c r="P250" i="13"/>
  <c r="O594" i="13"/>
  <c r="O950" i="13"/>
  <c r="P977" i="13"/>
  <c r="O818" i="13"/>
  <c r="O995" i="13"/>
  <c r="O109" i="13"/>
  <c r="O677" i="13"/>
  <c r="P123" i="13"/>
  <c r="O405" i="13"/>
  <c r="O1100" i="13"/>
  <c r="P356" i="13"/>
  <c r="O85" i="13"/>
  <c r="O292" i="13"/>
  <c r="P53" i="13"/>
  <c r="O749" i="13"/>
  <c r="P390" i="13"/>
  <c r="P652" i="13"/>
  <c r="O665" i="13"/>
  <c r="P301" i="13"/>
  <c r="P182" i="13"/>
  <c r="P493" i="13"/>
  <c r="P367" i="13"/>
  <c r="O582" i="13"/>
  <c r="O901" i="13"/>
  <c r="P818" i="13"/>
  <c r="O428" i="13"/>
  <c r="O196" i="13"/>
  <c r="O464" i="13"/>
  <c r="O830" i="13"/>
  <c r="P1115" i="13"/>
  <c r="O182" i="13"/>
  <c r="O277" i="13"/>
  <c r="P137" i="13"/>
  <c r="O264" i="13"/>
  <c r="P405" i="13"/>
  <c r="P196" i="13"/>
  <c r="P640" i="13"/>
  <c r="O868" i="13"/>
  <c r="P1087" i="13"/>
  <c r="O569" i="13"/>
  <c r="O1140" i="13"/>
  <c r="O158" i="13"/>
  <c r="O628" i="13"/>
  <c r="P882" i="13"/>
  <c r="P264" i="13"/>
  <c r="P690" i="13"/>
  <c r="O1020" i="13"/>
  <c r="D30" i="2" l="1"/>
  <c r="E30" i="2"/>
  <c r="G30" i="2"/>
  <c r="G77" i="2"/>
  <c r="H77" i="2" s="1"/>
  <c r="G76" i="1"/>
  <c r="H76" i="1" s="1"/>
  <c r="G77" i="1" l="1"/>
  <c r="G78" i="2"/>
  <c r="G61" i="2"/>
  <c r="H76" i="2" l="1"/>
  <c r="A78" i="1"/>
  <c r="H75" i="1"/>
  <c r="G91" i="2" l="1"/>
  <c r="H91" i="2" s="1"/>
  <c r="G90" i="1"/>
  <c r="H38" i="7"/>
  <c r="H25" i="7" l="1"/>
  <c r="H26" i="7"/>
  <c r="H27" i="7"/>
  <c r="H28" i="7"/>
  <c r="H29" i="7"/>
  <c r="H30" i="7"/>
  <c r="H31" i="7"/>
  <c r="H32" i="7"/>
  <c r="H33" i="7"/>
  <c r="H34" i="7"/>
  <c r="H35" i="7"/>
  <c r="H36" i="7"/>
  <c r="H37" i="7"/>
  <c r="H39" i="7"/>
  <c r="H40" i="7"/>
  <c r="H41" i="7"/>
  <c r="H42" i="7"/>
  <c r="H43" i="7"/>
  <c r="H44" i="7"/>
  <c r="H45" i="7"/>
  <c r="H90" i="1" l="1"/>
  <c r="D29" i="1" l="1"/>
  <c r="D32" i="1"/>
  <c r="D83" i="1" s="1"/>
  <c r="G29" i="1"/>
  <c r="E29" i="1"/>
  <c r="H29" i="1" l="1"/>
  <c r="E46" i="7" l="1"/>
  <c r="F46" i="7"/>
  <c r="G46" i="7"/>
  <c r="I46" i="7"/>
  <c r="D33" i="2" s="1"/>
  <c r="D84" i="2" s="1"/>
  <c r="J46" i="7"/>
  <c r="D46" i="7"/>
  <c r="D15" i="7" l="1"/>
  <c r="A79" i="2" l="1"/>
  <c r="A82" i="2" s="1"/>
  <c r="A25" i="7" l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7" i="7" s="1"/>
  <c r="B24" i="7"/>
  <c r="H24" i="7" l="1"/>
  <c r="G59" i="7"/>
  <c r="C59" i="7"/>
  <c r="G56" i="7"/>
  <c r="C56" i="7"/>
  <c r="G53" i="7"/>
  <c r="C53" i="7"/>
  <c r="G50" i="7"/>
  <c r="K35" i="7"/>
  <c r="K34" i="7"/>
  <c r="K33" i="7"/>
  <c r="K32" i="7"/>
  <c r="K31" i="7"/>
  <c r="K30" i="7"/>
  <c r="K29" i="7"/>
  <c r="K28" i="7"/>
  <c r="E17" i="7"/>
  <c r="D17" i="7"/>
  <c r="A1" i="7"/>
  <c r="H46" i="7" l="1"/>
  <c r="D13" i="7" s="1"/>
  <c r="G103" i="2" l="1"/>
  <c r="C103" i="2"/>
  <c r="G100" i="2"/>
  <c r="C100" i="2"/>
  <c r="G97" i="2"/>
  <c r="C97" i="2"/>
  <c r="G94" i="2"/>
  <c r="F80" i="2"/>
  <c r="E80" i="2"/>
  <c r="D80" i="2"/>
  <c r="H78" i="2"/>
  <c r="H75" i="2"/>
  <c r="H88" i="2" s="1"/>
  <c r="F70" i="2"/>
  <c r="E70" i="2"/>
  <c r="D70" i="2"/>
  <c r="G63" i="2"/>
  <c r="F63" i="2"/>
  <c r="E63" i="2"/>
  <c r="D63" i="2"/>
  <c r="H61" i="2"/>
  <c r="H63" i="2" s="1"/>
  <c r="F57" i="2"/>
  <c r="G52" i="2"/>
  <c r="F52" i="2"/>
  <c r="E52" i="2"/>
  <c r="D52" i="2"/>
  <c r="H51" i="2"/>
  <c r="H52" i="2" s="1"/>
  <c r="A51" i="2"/>
  <c r="A56" i="2" s="1"/>
  <c r="A61" i="2" s="1"/>
  <c r="A68" i="2" s="1"/>
  <c r="A75" i="2" s="1"/>
  <c r="A84" i="2" s="1"/>
  <c r="G48" i="2"/>
  <c r="F48" i="2"/>
  <c r="E48" i="2"/>
  <c r="D48" i="2"/>
  <c r="H46" i="2"/>
  <c r="H48" i="2" s="1"/>
  <c r="H36" i="2"/>
  <c r="G36" i="2"/>
  <c r="F36" i="2"/>
  <c r="E36" i="2"/>
  <c r="D36" i="2"/>
  <c r="G32" i="2"/>
  <c r="F32" i="2"/>
  <c r="F84" i="2" s="1"/>
  <c r="E32" i="2"/>
  <c r="D32" i="2"/>
  <c r="H30" i="2"/>
  <c r="F28" i="2"/>
  <c r="E28" i="2"/>
  <c r="D28" i="2"/>
  <c r="E12" i="2"/>
  <c r="G102" i="1"/>
  <c r="C102" i="1"/>
  <c r="G99" i="1"/>
  <c r="C99" i="1"/>
  <c r="G96" i="1"/>
  <c r="C96" i="1"/>
  <c r="G93" i="1"/>
  <c r="F79" i="1"/>
  <c r="E79" i="1"/>
  <c r="D79" i="1"/>
  <c r="H77" i="1"/>
  <c r="H74" i="1"/>
  <c r="H87" i="1" s="1"/>
  <c r="F69" i="1"/>
  <c r="E69" i="1"/>
  <c r="D69" i="1"/>
  <c r="F62" i="1"/>
  <c r="E62" i="1"/>
  <c r="D62" i="1"/>
  <c r="H60" i="1"/>
  <c r="H62" i="1" s="1"/>
  <c r="F56" i="1"/>
  <c r="G51" i="1"/>
  <c r="F51" i="1"/>
  <c r="E51" i="1"/>
  <c r="D51" i="1"/>
  <c r="H50" i="1"/>
  <c r="H51" i="1" s="1"/>
  <c r="A55" i="1"/>
  <c r="A60" i="1" s="1"/>
  <c r="A67" i="1" s="1"/>
  <c r="G47" i="1"/>
  <c r="F47" i="1"/>
  <c r="E47" i="1"/>
  <c r="D47" i="1"/>
  <c r="H45" i="1"/>
  <c r="H47" i="1" s="1"/>
  <c r="H35" i="1"/>
  <c r="G35" i="1"/>
  <c r="F35" i="1"/>
  <c r="E35" i="1"/>
  <c r="D35" i="1"/>
  <c r="G31" i="1"/>
  <c r="F31" i="1"/>
  <c r="F83" i="1" s="1"/>
  <c r="E31" i="1"/>
  <c r="D31" i="1"/>
  <c r="F27" i="1"/>
  <c r="E27" i="1"/>
  <c r="D27" i="1"/>
  <c r="E11" i="1"/>
  <c r="E52" i="1" l="1"/>
  <c r="E55" i="1" s="1"/>
  <c r="D52" i="1"/>
  <c r="D55" i="1" s="1"/>
  <c r="G53" i="2"/>
  <c r="G58" i="2" s="1"/>
  <c r="G64" i="2" s="1"/>
  <c r="E53" i="2"/>
  <c r="E56" i="2" s="1"/>
  <c r="E57" i="2" s="1"/>
  <c r="E58" i="2" s="1"/>
  <c r="E64" i="2" s="1"/>
  <c r="E81" i="2" s="1"/>
  <c r="E82" i="2" s="1"/>
  <c r="E83" i="2" s="1"/>
  <c r="H32" i="2"/>
  <c r="H53" i="2" s="1"/>
  <c r="G52" i="1"/>
  <c r="G57" i="1" s="1"/>
  <c r="D53" i="2"/>
  <c r="D56" i="2" s="1"/>
  <c r="H84" i="2"/>
  <c r="H83" i="1"/>
  <c r="A68" i="1"/>
  <c r="A74" i="1" s="1"/>
  <c r="A75" i="1" s="1"/>
  <c r="F52" i="1"/>
  <c r="F57" i="1" s="1"/>
  <c r="F63" i="1" s="1"/>
  <c r="F80" i="1" s="1"/>
  <c r="F81" i="1" s="1"/>
  <c r="F82" i="1" s="1"/>
  <c r="F53" i="2"/>
  <c r="F58" i="2" s="1"/>
  <c r="F64" i="2" s="1"/>
  <c r="F81" i="2" s="1"/>
  <c r="F82" i="2" s="1"/>
  <c r="F83" i="2" s="1"/>
  <c r="E56" i="1"/>
  <c r="E57" i="1" s="1"/>
  <c r="E63" i="1" s="1"/>
  <c r="E80" i="1" s="1"/>
  <c r="E81" i="1" s="1"/>
  <c r="E82" i="1" s="1"/>
  <c r="H31" i="1"/>
  <c r="H52" i="1" s="1"/>
  <c r="G62" i="1"/>
  <c r="G63" i="1" l="1"/>
  <c r="A81" i="1"/>
  <c r="A83" i="1" s="1"/>
  <c r="E86" i="2"/>
  <c r="F86" i="2"/>
  <c r="E85" i="1"/>
  <c r="F85" i="1"/>
  <c r="D57" i="2"/>
  <c r="H56" i="2"/>
  <c r="D56" i="1"/>
  <c r="H55" i="1"/>
  <c r="H57" i="2" l="1"/>
  <c r="D58" i="2"/>
  <c r="H56" i="1"/>
  <c r="D57" i="1"/>
  <c r="D64" i="2" l="1"/>
  <c r="H64" i="2" s="1"/>
  <c r="H58" i="2"/>
  <c r="D63" i="1"/>
  <c r="H57" i="1"/>
  <c r="G68" i="2" l="1"/>
  <c r="G69" i="2"/>
  <c r="G79" i="2"/>
  <c r="D81" i="2"/>
  <c r="D82" i="2" s="1"/>
  <c r="D83" i="2" s="1"/>
  <c r="H63" i="1"/>
  <c r="D80" i="1"/>
  <c r="D81" i="1" s="1"/>
  <c r="G78" i="1" l="1"/>
  <c r="G68" i="1"/>
  <c r="G67" i="1"/>
  <c r="G85" i="2"/>
  <c r="H85" i="2" s="1"/>
  <c r="H90" i="2" s="1"/>
  <c r="H68" i="2"/>
  <c r="G67" i="2"/>
  <c r="H67" i="2" s="1"/>
  <c r="G66" i="1"/>
  <c r="H66" i="1" s="1"/>
  <c r="D82" i="1"/>
  <c r="D85" i="1" s="1"/>
  <c r="G84" i="1" l="1"/>
  <c r="H84" i="1" s="1"/>
  <c r="H89" i="1" s="1"/>
  <c r="H67" i="1"/>
  <c r="H79" i="2"/>
  <c r="H80" i="2" s="1"/>
  <c r="G80" i="2"/>
  <c r="G70" i="2"/>
  <c r="H69" i="2"/>
  <c r="H70" i="2" s="1"/>
  <c r="G69" i="1"/>
  <c r="H68" i="1"/>
  <c r="H78" i="1"/>
  <c r="H79" i="1" s="1"/>
  <c r="G79" i="1"/>
  <c r="G81" i="2" l="1"/>
  <c r="G82" i="2" s="1"/>
  <c r="G83" i="2" s="1"/>
  <c r="H69" i="1"/>
  <c r="H80" i="1" s="1"/>
  <c r="H81" i="2"/>
  <c r="G80" i="1"/>
  <c r="G81" i="1" s="1"/>
  <c r="G82" i="1" s="1"/>
  <c r="G85" i="1" s="1"/>
  <c r="H85" i="1" s="1"/>
  <c r="D86" i="2"/>
  <c r="H81" i="1" l="1"/>
  <c r="G86" i="2"/>
  <c r="H82" i="2"/>
  <c r="H82" i="1"/>
  <c r="H83" i="2" l="1"/>
  <c r="E10" i="1" l="1"/>
  <c r="H88" i="1"/>
  <c r="G88" i="1"/>
  <c r="H86" i="2" l="1"/>
  <c r="E11" i="2" s="1"/>
  <c r="H89" i="2"/>
  <c r="G89" i="2"/>
</calcChain>
</file>

<file path=xl/sharedStrings.xml><?xml version="1.0" encoding="utf-8"?>
<sst xmlns="http://schemas.openxmlformats.org/spreadsheetml/2006/main" count="27487" uniqueCount="3902">
  <si>
    <t>"УТВЕРЖДАЮ"</t>
  </si>
  <si>
    <t>СВОДНЫЙ  СМЕТНЫЙ  РАСЧЕТ</t>
  </si>
  <si>
    <t xml:space="preserve">Сводный сметный расчет в сумме  </t>
  </si>
  <si>
    <t>тыс.руб.</t>
  </si>
  <si>
    <t>В том числе возвратных сумм</t>
  </si>
  <si>
    <t>СВОДНЫЙ СМЕТНЫЙ РАСЧЕТ СТОИМОСТИ СТРОИТЕЛЬСТВА</t>
  </si>
  <si>
    <t>(наименование стройки)</t>
  </si>
  <si>
    <t>№ пп</t>
  </si>
  <si>
    <t>Номера сметных расчетов и смет</t>
  </si>
  <si>
    <t>Наименование глав, объектов, работ и затрат</t>
  </si>
  <si>
    <t>Сметная стоимость, тыс. руб.</t>
  </si>
  <si>
    <t>Общая сметная стоимость, тыс. руб.</t>
  </si>
  <si>
    <t>строительных работ</t>
  </si>
  <si>
    <t>монтажных работ</t>
  </si>
  <si>
    <t>оборудования, мебели, инвентаря</t>
  </si>
  <si>
    <t>прочих</t>
  </si>
  <si>
    <t>Глава 1. "Подготовка площадок (территорий) капитального ремонта"</t>
  </si>
  <si>
    <t>Подготовка площадок (территорий) капитального ремонта</t>
  </si>
  <si>
    <t>Итого по главе 1</t>
  </si>
  <si>
    <t>Глава 2. "Основные объекты"</t>
  </si>
  <si>
    <t>02-01</t>
  </si>
  <si>
    <t>Итого по Главе 2</t>
  </si>
  <si>
    <t>Глава 3. "Объекты подсобного и обслуживающего назначения"</t>
  </si>
  <si>
    <t>Объекты подсобного и обслуживающего назначения</t>
  </si>
  <si>
    <t>Итого по Главе 3</t>
  </si>
  <si>
    <t>Глава 4.Объекты энергетического хозяйства</t>
  </si>
  <si>
    <t>Затртат нет</t>
  </si>
  <si>
    <t>Итого по Главе 4</t>
  </si>
  <si>
    <t>Глава 5. Объекты транспортного хозяйства и связи</t>
  </si>
  <si>
    <t>Итого по Главе 5</t>
  </si>
  <si>
    <t>Глава 4. "Наружные сети и сооружения (водоснабжения, водоотведения, теплоснабжения, газоснабжения и т.п.)"</t>
  </si>
  <si>
    <t>Наружные сети и сооружения (водоснабжения, водоотведения, теплоснабжения, газоснабжения и т.п.)</t>
  </si>
  <si>
    <t>Глава 5. "Благоустройство и озеленение территории"</t>
  </si>
  <si>
    <t xml:space="preserve">Благоустройство и озеленение территории </t>
  </si>
  <si>
    <t>Итого по Главам 1-5</t>
  </si>
  <si>
    <t>Глава 6. "Временные здания и сооружения"</t>
  </si>
  <si>
    <t>Итого по Главе 6</t>
  </si>
  <si>
    <t>Итого по Главам 1-6</t>
  </si>
  <si>
    <t>Глава 7. "Прочие работы и затраты"</t>
  </si>
  <si>
    <t>ТСН-2001.11 Табл.1, п.9.
Письмо ДЭПР от 25.08.17 г. № ДПР-20-3/1-93/17</t>
  </si>
  <si>
    <t>Итого по Главе 7</t>
  </si>
  <si>
    <t>Итого по Главам 1-7</t>
  </si>
  <si>
    <t>Глава 8. "Содержание службы заказчика. Строительный контроль"</t>
  </si>
  <si>
    <t>ТСН-2001.12 п. 2.4.13.Приказ МКЭ от 29.08.2014 № 80, т.1, п.2</t>
  </si>
  <si>
    <t>Сопровождение разработки, согласования проектной документации и прохождения государственной экспертизы</t>
  </si>
  <si>
    <t>Приказ Москомэкспертизы от 29.08.14 г. № 80. Прил., п.3, п.4</t>
  </si>
  <si>
    <t>риказ Москомэкспертизы от 29.08.14 г. № 80. Прил. Таб.2</t>
  </si>
  <si>
    <t>Итого по Главе 8</t>
  </si>
  <si>
    <t>Глава 11. Подготовка эксплутационных кадров для строящегося объекта капитального строительства</t>
  </si>
  <si>
    <t>Глава 9. "Публичный технологический и ценовой аудит, аудит проектной документации, проектные и изыскательские работы"</t>
  </si>
  <si>
    <t>ТСН-2001.12  п.12.1</t>
  </si>
  <si>
    <t>Проектные работы</t>
  </si>
  <si>
    <t>Проведение государственной экспертизы проектной документации объекта</t>
  </si>
  <si>
    <t xml:space="preserve">  </t>
  </si>
  <si>
    <t>ТСН-2001.12 Прил.6, п.12.5</t>
  </si>
  <si>
    <t>Согласование проектно-сметной документации - 0,15 % от итога глав 1-7</t>
  </si>
  <si>
    <t>Итого по Главе 9</t>
  </si>
  <si>
    <t>Итого по Главам 1-9</t>
  </si>
  <si>
    <t>ТСН-2001.12 п. 3.2.25а</t>
  </si>
  <si>
    <t>Резерв средств на непредвиденные работы и затраты-2%</t>
  </si>
  <si>
    <t>Итого по сводному сметному расчету (в ценах 2018 г.) без НДС</t>
  </si>
  <si>
    <t>ТСН-2001.12 п.3.2.28</t>
  </si>
  <si>
    <t xml:space="preserve">Всего по сводному сметному расчету </t>
  </si>
  <si>
    <t>В том числе :</t>
  </si>
  <si>
    <t>ПИР без НДС</t>
  </si>
  <si>
    <t>НДС</t>
  </si>
  <si>
    <t>Возвратные суммы (справочно)</t>
  </si>
  <si>
    <t>Главный инженер проекта</t>
  </si>
  <si>
    <t>(подпись, инициалы, фамилия)</t>
  </si>
  <si>
    <t>Начальник отдела</t>
  </si>
  <si>
    <t>(наименование отдела, подпись, инициалы, фамилия)</t>
  </si>
  <si>
    <t>Составил</t>
  </si>
  <si>
    <t>(должность, подпись, инициалы, фамилия)</t>
  </si>
  <si>
    <t>Проверил</t>
  </si>
  <si>
    <t>Форма 3</t>
  </si>
  <si>
    <t>(наименование стройки и/или объекта)</t>
  </si>
  <si>
    <t>(наименование объекта, комплекса работ и затрат)</t>
  </si>
  <si>
    <t>Сметная стоимость, тыс.руб.</t>
  </si>
  <si>
    <t xml:space="preserve">  тыс.руб.</t>
  </si>
  <si>
    <t xml:space="preserve">Средства на оплату труда  </t>
  </si>
  <si>
    <t xml:space="preserve">Расчетный измеритель единичной стоимости  </t>
  </si>
  <si>
    <t>№ п/п</t>
  </si>
  <si>
    <t>Номера локальных сметных расчетов (смет)</t>
  </si>
  <si>
    <t>Наименование работ и затрат</t>
  </si>
  <si>
    <t>Средства на оплату труда, тыс. руб.</t>
  </si>
  <si>
    <t>Показатели единичной стоимости</t>
  </si>
  <si>
    <t>строительных (ремонтно-строительных) работ</t>
  </si>
  <si>
    <t>работ по монтажу оборудования</t>
  </si>
  <si>
    <t>оборудования, мебели и инвентаря</t>
  </si>
  <si>
    <t>прочих затрат</t>
  </si>
  <si>
    <t>всего</t>
  </si>
  <si>
    <t xml:space="preserve">ИТОГО: </t>
  </si>
  <si>
    <t>ОБЪЕКТНЫЙ СМЕТНЫЙ РАСЧЕТ №02-01</t>
  </si>
  <si>
    <t>02-01-02</t>
  </si>
  <si>
    <t>02-01-03</t>
  </si>
  <si>
    <t>02-01-04</t>
  </si>
  <si>
    <t>Составлен(а) в уровне текущих (прогнозных) цен  ТСН-2001 ремонт</t>
  </si>
  <si>
    <t>02-01-13</t>
  </si>
  <si>
    <t>02-01-14</t>
  </si>
  <si>
    <t>02-01-15</t>
  </si>
  <si>
    <t>02-01-16</t>
  </si>
  <si>
    <t>02-01-17</t>
  </si>
  <si>
    <t>Система охранной сигнализации</t>
  </si>
  <si>
    <t>Содержание службы заказчика - 1,25 % х 1,1 = 1,375 % от итога по гл.1-7</t>
  </si>
  <si>
    <t>3</t>
  </si>
  <si>
    <t>5</t>
  </si>
  <si>
    <t>Оборудование</t>
  </si>
  <si>
    <t xml:space="preserve"> </t>
  </si>
  <si>
    <t>Кровля</t>
  </si>
  <si>
    <t>Фасады</t>
  </si>
  <si>
    <t>Отопление</t>
  </si>
  <si>
    <t>Теплоснабжение вентиляции</t>
  </si>
  <si>
    <t>Вентиляция</t>
  </si>
  <si>
    <t>Кондиционирование</t>
  </si>
  <si>
    <t>02-01-05</t>
  </si>
  <si>
    <t>02-01-06</t>
  </si>
  <si>
    <t>02-01-07</t>
  </si>
  <si>
    <t>02-01-08</t>
  </si>
  <si>
    <t>02-01-09</t>
  </si>
  <si>
    <t>02-01-10</t>
  </si>
  <si>
    <t>02-01-11</t>
  </si>
  <si>
    <t>02-01-12</t>
  </si>
  <si>
    <t>Противодымная вентиляция</t>
  </si>
  <si>
    <t>Локальная вычислительная сеть. Структурированная кабельная сеть. Система Телефонизации</t>
  </si>
  <si>
    <t>Система радиофикации</t>
  </si>
  <si>
    <t>Система часофикации</t>
  </si>
  <si>
    <t>Система охранного видеонаблюдения</t>
  </si>
  <si>
    <t>Система контроля доступа</t>
  </si>
  <si>
    <t>Система пожарной сигнализации. Автоматизированная система управления системами противопожарной защиты.</t>
  </si>
  <si>
    <t>Система оповещения и управления эвакуацией людей при пожаре</t>
  </si>
  <si>
    <t>02-01-18</t>
  </si>
  <si>
    <t>02-01-20</t>
  </si>
  <si>
    <t>Система водоснабжения</t>
  </si>
  <si>
    <t>Система водоотведения</t>
  </si>
  <si>
    <t>Электромонтажные работы</t>
  </si>
  <si>
    <t>в т.ч. стоимость материалов</t>
  </si>
  <si>
    <t>Конструктивные решения</t>
  </si>
  <si>
    <t>в т.ч. Стоимость материалов</t>
  </si>
  <si>
    <t>Компенсация затрат НДС-20% на материалы и оборудование</t>
  </si>
  <si>
    <t>02-01-21</t>
  </si>
  <si>
    <t>ОЗДС</t>
  </si>
  <si>
    <t>"_____"________________2019 г.</t>
  </si>
  <si>
    <t>02-01-19.1</t>
  </si>
  <si>
    <t>02-01-19.2</t>
  </si>
  <si>
    <t xml:space="preserve">Интерьеры по проекту приспособления </t>
  </si>
  <si>
    <t>Интерьеры по проекту реставрации</t>
  </si>
  <si>
    <t>02-01-22</t>
  </si>
  <si>
    <t>Возвратные суммы</t>
  </si>
  <si>
    <t>Оплата услуг за круглосуточную усиленную охрану объектов строительства городского заказа. Расчёт:15,04 х 1 х (6 х 365/12) / 1000</t>
  </si>
  <si>
    <t>ТСН -2001.10. т.1 п.21</t>
  </si>
  <si>
    <t>Временные здания и сооружения 1,5%</t>
  </si>
  <si>
    <t>ТСН -2001.10. п.21</t>
  </si>
  <si>
    <t xml:space="preserve">Оплата услуг за круглосуточную усиленную охрану объектов строительства городского заказа. </t>
  </si>
  <si>
    <t>Авторский надзор-2,65%*1,2</t>
  </si>
  <si>
    <t>НДС-20% по п.8 и 13</t>
  </si>
  <si>
    <t>Составлен(а) в уровне текущих (прогнозных) цен ТСН-2001 на 01.01.2001г.</t>
  </si>
  <si>
    <t>ТСН-2001.12, прил.6</t>
  </si>
  <si>
    <t>МРР-10.1-17, табл.1, п.3</t>
  </si>
  <si>
    <t>Строительный контроль (технический надзор) - 2,14 % от итога по гл.1-7</t>
  </si>
  <si>
    <t xml:space="preserve">Проведение государственной историко-культурной экспертизы </t>
  </si>
  <si>
    <t xml:space="preserve">Выполнение работ по капитальному ремонту, реставрации и приспособлению строения №18 под размещение физиотерапевтического отделения ГБУЗ «Психиатрическая клиническая больница №1 им. Н.А. Алексеева Департамента здравоохранения города Москвы» </t>
  </si>
  <si>
    <t>ГБУЗ "Дирекция развития объектов здравоохранения города Москвы"</t>
  </si>
  <si>
    <t>Заместитель директора</t>
  </si>
  <si>
    <t>___________________Миколенко А.М.</t>
  </si>
  <si>
    <t xml:space="preserve"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
</t>
  </si>
  <si>
    <t xml:space="preserve"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
</t>
  </si>
  <si>
    <t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t>
  </si>
  <si>
    <t>Составлен(а) в уровне текущих (прогнозных) цен ТСН-2001 МГЭ ремонт №157 октябрь 2019 года и Коэффициенты пересчета к ТСН-2001.13-2 сентябрь 2019 года</t>
  </si>
  <si>
    <t>Ремонт кровли</t>
  </si>
  <si>
    <t>Отопление, Система вентиляции и Кондиционирование воздуха</t>
  </si>
  <si>
    <t>МУПТ. Модульная установка пожаротушения токораспыленной водой</t>
  </si>
  <si>
    <t>Обеспечение доступа инвалидов</t>
  </si>
  <si>
    <t>РФ Система радиофикации</t>
  </si>
  <si>
    <t>ЭЧ Система часофикации</t>
  </si>
  <si>
    <t>СОВ Система охранного видеонаблюдения</t>
  </si>
  <si>
    <t>СКУД Система контроля управления доступа</t>
  </si>
  <si>
    <t>ОС Система охранной сигнализации</t>
  </si>
  <si>
    <t>СОУЭ Система управления эвакуации</t>
  </si>
  <si>
    <t>АСДУ Автоматическая система диспетчеризации</t>
  </si>
  <si>
    <t xml:space="preserve">Проверил   </t>
  </si>
  <si>
    <t xml:space="preserve">Составил   </t>
  </si>
  <si>
    <t xml:space="preserve">   Итого возвратных сумм</t>
  </si>
  <si>
    <t xml:space="preserve">   Итого по ТСН-2001.16</t>
  </si>
  <si>
    <t>Всего по позиции:</t>
  </si>
  <si>
    <t>ЭМ</t>
  </si>
  <si>
    <t>Содержание свалки отходов строительства и сноса</t>
  </si>
  <si>
    <t>Перевозка строительного мусора на расстояние до 29 км автосамосвалами грузоподъемностью до 10 т</t>
  </si>
  <si>
    <t>%</t>
  </si>
  <si>
    <t>НР и СП от ЗПМ</t>
  </si>
  <si>
    <t>в т.ч. ЗПМ</t>
  </si>
  <si>
    <t>Механизированная погрузка строительного мусора в автомобили-самосвалы</t>
  </si>
  <si>
    <t>чел-ч</t>
  </si>
  <si>
    <t>ЗТР</t>
  </si>
  <si>
    <t>СП от ЗП</t>
  </si>
  <si>
    <t>НР от ЗП</t>
  </si>
  <si>
    <t/>
  </si>
  <si>
    <t>Упоры дверные напольные из цинковых антифрикционных сплавов, хромированные, высота до 24 мм</t>
  </si>
  <si>
    <t>ЗП</t>
  </si>
  <si>
    <t>Постановка болтов нормальной точности</t>
  </si>
  <si>
    <r>
      <t>3.9-44-1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</si>
  <si>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экстренного открывания дверей накладного типа "Антипаника" в комплекте: устройство для аварийного выхода - 1 шт., штанга - 1 шт., наружное устройство доступа - 1 шт.</t>
  </si>
  <si>
    <t>Доводчик дверной типа «НОРА-M» №4S, масса двери до 120 кг</t>
  </si>
  <si>
    <t>Установка дверного доводчика к дверям из древесины</t>
  </si>
  <si>
    <r>
      <t>3.10-78-1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</si>
  <si>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Доводчик дверной типа «НОРА-M» №5S, масса двери до 150 кг</t>
  </si>
  <si>
    <t>МР</t>
  </si>
  <si>
    <t>Установка дверного доводчика к металлическим дверям</t>
  </si>
  <si>
    <r>
      <t>3.10-82-1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</si>
  <si>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Блоки дверные металлические противопожарные с заполнением минеральной ватой, окрашенные порошковыми красками, марка ДПМ-Пульс-02/60, двупольные, 1400х2100 мм, масса 174 кг, с замком-защелкой, без доводчика/ ДВ4*, ДВ5*</t>
  </si>
  <si>
    <t>Блоки дверные металлические противопожарные с заполнением минеральной ватой, окрашенные порошковыми красками, марка ДПМ-Пульс-02/60, двупольные, 1300х2100 мм, масса 166,6 кг, с замком-защелкой, без доводчика/ ДВ7</t>
  </si>
  <si>
    <t>Блоки дверные металлические противопожарные с заполнением минеральной ватой, окрашенные порошковыми красками, марка ДПМ-Пульс-02/60, двупольные, 1200х2100 мм, масса 159 кг, с замком-защелкой, без доводчика/ДВ1*</t>
  </si>
  <si>
    <t>Установка противопожарных металлических двупольных дверных блоков</t>
  </si>
  <si>
    <r>
      <t>3.9-74-2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</si>
  <si>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Блоки дверные металлические противопожарные с заполнением минеральной ватой, окрашенные порошковыми красками, марка ДПМ-Пульс-01/30, однопольные, 1000х2100 мм, масса 105 кг, с замком-защелкой, без доводчика/ ДВ2</t>
  </si>
  <si>
    <t>Установка противопожарных металлических однопольных дверных блоков</t>
  </si>
  <si>
    <r>
      <t>3.9-74-1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</si>
  <si>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Блоки дверные внутренние, двупольные, остекленные, со сплошным заполнением щита, облицованные шпоном строганным твердолиственных и ценных пород, со скобяными приборами, марка ДО21-13, площадь 2,63 м2/ ДВ4, ДВ5</t>
  </si>
  <si>
    <t>Блоки дверные внутренние, двупольные, остекленные, со сплошным заполнением щита, облицованные шпоном строганным твердолиственных и ценных пород, со скобяными приборами, марка ДО21-13, площадь 2,63 м2/ ДВ1</t>
  </si>
  <si>
    <t>Блоки дверные внутренние, однопольные, глухие, со сплошным заполнением щита, облицованные шпоном строганным твердолиственных и ценных пород, со скобяными приборами, марка ДГ21-10, площадь 2,1 м2/ ДВ2*, ДВ2(Л), ДВ2(П)</t>
  </si>
  <si>
    <t>Блоки дверные внутренние, однопольные, глухие, со сплошным заполнением щита, облицованные шпоном строганных твердолиственных и ценных пород, со скобяными приборами, марка ДГ21-9, площадь 1,89 м2/ ДВ3(Л), ДВ3(П)</t>
  </si>
  <si>
    <t>Блоки дверные внутренние, глухие, со сплошным заполнением щита, однопольные, облицованные шпоном строганным твердолиственных и ценных пород, со скобяными приборами, марка ДГ21-8, площадь 1,68 м2/ ДВ6(Л), ДВ6(П)</t>
  </si>
  <si>
    <t>Установка блоков в наружных и внутренних дверных проемах в каменных стенах площадь проема до 3 м2</t>
  </si>
  <si>
    <r>
      <t>3.10-21-1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</si>
  <si>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Плиты керамические, типа керамогранит, неполированные, размер 600х600х10 мм, артикул цвета ST 043; 072; 093</t>
  </si>
  <si>
    <t>Смеси сухие цементно-песчаные, клеевые, высокоадгезионные для плиточных работ, В12,5 (М150), F50, крупность заполнителя не более 0,5 мм</t>
  </si>
  <si>
    <t>Смеси сухие фуговочные для заделки швов между плитками (различная цветовая гамма), В7,5 (М100), F50, крупность заполнителя 0,3 мм</t>
  </si>
  <si>
    <t>Устройство полов из керамических крупноразмерных плиток типа керамогранит на клее из сухих смесей толщиной слоя 4 мм с затиркой швов</t>
  </si>
  <si>
    <r>
      <t>3.11-36-1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</si>
  <si>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Каркасы и сетки арматурные плоские, собранные и сваренные (связанные) в арматурные изделия, класс ВР-I, диаметр 5 мм</t>
  </si>
  <si>
    <t>Армирование подстилающих слоев и набетонок</t>
  </si>
  <si>
    <r>
      <t>3.6-6-10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</si>
  <si>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 нр *4</t>
  </si>
  <si>
    <t>Растворы цементные, марка 150</t>
  </si>
  <si>
    <r>
      <t>1.3-2-6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</si>
  <si>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Добавляется или исключается на каждые 5 мм изменения толщины стяжки к позиции 3.11-10-1</t>
  </si>
  <si>
    <r>
      <t>3.11-10-2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</si>
  <si>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стяжек цементных толщиной 20 мм</t>
  </si>
  <si>
    <r>
      <t>3.11-10-1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</si>
  <si>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Пленка полиэтиленовая армированная</t>
  </si>
  <si>
    <t>Устройство пароизоляции из полиэтиленовой пленки в один слой насухо</t>
  </si>
  <si>
    <r>
      <t>3.11-38-1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</si>
  <si>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Плиты из минеральной ваты на синтетическом связующем, теплоизоляционные, марка ППЖ-180/ ЭКОВЕР СТЭП</t>
  </si>
  <si>
    <t>Устройство тепло и звукоизоляции сплошной из плит или матов минераловатных или стекловолокнистых</t>
  </si>
  <si>
    <r>
      <t>3.11-8-1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</si>
  <si>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Линолеум поливинилхлоридный высокой износостойкости, класс 34/43, истираемость 110 (86) мкм (Р), группа горючести Г1, толщина 2 мм</t>
  </si>
  <si>
    <t>Клей водно-дисперсионный акриловый, универсальный для укладки поливинилхлоридных и текстильных покрытий</t>
  </si>
  <si>
    <t>Устройство покрытий из рулонного линолеума высокой износостойкости на клее со сваркой стыков</t>
  </si>
  <si>
    <r>
      <t>3.11-42-1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</si>
  <si>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 нр *6</t>
  </si>
  <si>
    <t>к нр *36</t>
  </si>
  <si>
    <t>Смеси бетонные, БСГ, легкого бетона на пористых заполнителях, класс прочности В12,5 (М150); средняя плотность D 1500</t>
  </si>
  <si>
    <r>
      <t>1.3-1-25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</si>
  <si>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Добавляется или исключается на каждые 5 мм изменения толщины стяжки к позиции 3.11-10-5</t>
  </si>
  <si>
    <r>
      <t>3.11-10-6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</si>
  <si>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стяжек легкобетонных толщиной 20 мм</t>
  </si>
  <si>
    <r>
      <t>3.11-10-5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</si>
  <si>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Ламинированное напольное покрытие (ламинат) на основе древесноволокнистых плит, бесклеевое, 32 класса воздействия нагрузки, толщина 8 мм</t>
  </si>
  <si>
    <t>Устройство покрытия из ламинат- паркета на основе износостойкого пластика бесклеевым (замковым) способом</t>
  </si>
  <si>
    <r>
      <t>3.11-37-1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</si>
  <si>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 нр *56</t>
  </si>
  <si>
    <t>к нр *2</t>
  </si>
  <si>
    <t>Смеси бетонные, БСГ, тяжелого бетона на гранитном щебне, класс прочности В10 (М150); П3, фракция 5-20</t>
  </si>
  <si>
    <t>Устройство бетонной подготовки</t>
  </si>
  <si>
    <r>
      <t>3.6-1-1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</si>
  <si>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 нр *12</t>
  </si>
  <si>
    <t>Устройство покрытий щебеночных с пропиткой битумом</t>
  </si>
  <si>
    <r>
      <t>3.11-12-3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</si>
  <si>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Краски водно-дисперсионные поливинилацетатные, белые, марка ВД-ВА-17</t>
  </si>
  <si>
    <t>Шпатлевка масляно-клеевая универсальная</t>
  </si>
  <si>
    <t>Улучшенная окраска поливинилацетатными водоэмульсионными составами по штукатурке стен</t>
  </si>
  <si>
    <r>
      <t>3.15-96-3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</si>
  <si>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Раствор известковый, марка 4</t>
  </si>
  <si>
    <t>Растворы цементно-известковые, марка 75</t>
  </si>
  <si>
    <t>Смеси сухие штукатурные цементно-песчаные для внутренних и наружных работ, улучшенные с импортными добавками, В12,5 (М150), F50, крупность заполнителя не более 0,5 мм</t>
  </si>
  <si>
    <t>Вода</t>
  </si>
  <si>
    <t>Штукатурка поверхностей оконных и дверных откосов по бетону и камню плоских</t>
  </si>
  <si>
    <r>
      <t>3.15-57-1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</si>
  <si>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Поливинилацетатная окраска фасадов с лесов с подготовкой поверхности по штукатурке или бетону</t>
  </si>
  <si>
    <r>
      <t>3.15-83-3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</si>
  <si>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Смеси сухие штукатурные цементно-песчаные для внутренних и наружных работ, бездобавочные, В12,5 (М150), F50, крупность заполнителя не более 0,5 мм</t>
  </si>
  <si>
    <t>Высококачественная штукатурка цементно-известковым раствором по камню откосов плоских фасадов при ширине до 200 мм</t>
  </si>
  <si>
    <r>
      <t>3.15-43-1</t>
    </r>
    <r>
      <rPr>
        <i/>
        <sz val="10"/>
        <rFont val="Arial"/>
        <family val="2"/>
        <charset val="204"/>
      </rPr>
      <t xml:space="preserve">
Поправка: 12, п.2.2. 5</t>
    </r>
  </si>
  <si>
    <r>
      <t>Клипса CR-190</t>
    </r>
    <r>
      <rPr>
        <i/>
        <sz val="10"/>
        <rFont val="Arial"/>
        <family val="2"/>
        <charset val="204"/>
      </rPr>
      <t xml:space="preserve">
Базисная стоимость: 17,25 = [110 / 1,2 /  5,42] +  2% Трансп</t>
    </r>
  </si>
  <si>
    <r>
      <t>Торцевой элемент CR-190 с компенсатором</t>
    </r>
    <r>
      <rPr>
        <i/>
        <sz val="10"/>
        <rFont val="Arial"/>
        <family val="2"/>
        <charset val="204"/>
      </rPr>
      <t xml:space="preserve">
Базисная стоимость: 50,18 = [320 / 1,2 /  5,42] +  2% Трансп</t>
    </r>
  </si>
  <si>
    <r>
      <t>Отбойник CR-190</t>
    </r>
    <r>
      <rPr>
        <i/>
        <sz val="10"/>
        <rFont val="Arial"/>
        <family val="2"/>
        <charset val="204"/>
      </rPr>
      <t xml:space="preserve">
Базисная стоимость: 147,42 = [940 / 1,2 /  5,42] +  2% Трансп</t>
    </r>
  </si>
  <si>
    <t>Монтаж доски-отбойника на алюминиевом профиле шириной 200 мм по стенам из кирпича и бетона</t>
  </si>
  <si>
    <r>
      <t>3.15-174-7</t>
    </r>
    <r>
      <rPr>
        <i/>
        <sz val="10"/>
        <rFont val="Arial"/>
        <family val="2"/>
        <charset val="204"/>
      </rPr>
      <t xml:space="preserve">
Поправка: ТСН-2001.6. О.П. п.11</t>
    </r>
  </si>
  <si>
    <r>
      <t>Угловая накладка SO-50. L-3м.п.</t>
    </r>
    <r>
      <rPr>
        <i/>
        <sz val="10"/>
        <rFont val="Arial"/>
        <family val="2"/>
        <charset val="204"/>
      </rPr>
      <t xml:space="preserve">
Базисная стоимость: 89,39 = [570 / 1,2 /  5,42] +  2% Трансп</t>
    </r>
  </si>
  <si>
    <r>
      <t>Соединительный элемент HR-142</t>
    </r>
    <r>
      <rPr>
        <i/>
        <sz val="10"/>
        <rFont val="Arial"/>
        <family val="2"/>
        <charset val="204"/>
      </rPr>
      <t xml:space="preserve">
Базисная стоимость: 29,79 = [190 / 1,2 /  5,42] +  2% Трансп</t>
    </r>
  </si>
  <si>
    <r>
      <t>Кронштейн алюминиевый HR-142</t>
    </r>
    <r>
      <rPr>
        <i/>
        <sz val="10"/>
        <rFont val="Arial"/>
        <family val="2"/>
        <charset val="204"/>
      </rPr>
      <t xml:space="preserve">
Базисная стоимость: 68,22 = [435 / 1,2 /  5,42] +  2% Трансп</t>
    </r>
  </si>
  <si>
    <r>
      <t>Торцевой элемент HR-142 с компенсатором</t>
    </r>
    <r>
      <rPr>
        <i/>
        <sz val="10"/>
        <rFont val="Arial"/>
        <family val="2"/>
        <charset val="204"/>
      </rPr>
      <t xml:space="preserve">
Базисная стоимость: 103,51 = [660 / 1,2 /  5,42] +  2% Трансп</t>
    </r>
  </si>
  <si>
    <r>
      <t>Поручень-отбойник HR-142</t>
    </r>
    <r>
      <rPr>
        <i/>
        <sz val="10"/>
        <rFont val="Arial"/>
        <family val="2"/>
        <charset val="204"/>
      </rPr>
      <t xml:space="preserve">
Базисная стоимость: 263,47 = [1 680 / 1,2 /  5,42] +  2% Трансп</t>
    </r>
  </si>
  <si>
    <t>Монтаж поручня-отбойника на алюминиевом профиле по стенам из кирпича и бетона</t>
  </si>
  <si>
    <r>
      <t>3.15-174-3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</si>
  <si>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Плитки керамические, типа керамогранит, неполированные, размер 30х30 см, толщина 8 мм, цвет: светло-серый, серый, светло-зеленый, бежевый</t>
  </si>
  <si>
    <t>Смеси сухие клеевые, высокоадгезионные, для внутренних и наружных работ, для облицовки поверхностей керамогранитом, натуральным и искусственным камнем, керамической плиткой, для кладки блоков из ячеистого бетона</t>
  </si>
  <si>
    <t>Смеси сухие цементные водостойкие для затирки межплиточных швов</t>
  </si>
  <si>
    <t>Устройство плинтусов из крупноразмерной плитки типа "керамогранит"</t>
  </si>
  <si>
    <r>
      <t>3.11-28-8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</si>
  <si>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Плинтусы поливинилхлоридные электротехнические совмещенные</t>
  </si>
  <si>
    <t>Уголки из ПВХ наружные, для плинтуса, высота 55 мм</t>
  </si>
  <si>
    <t>Уголки из ПВХ внутренние, для плинтуса, высота 55 мм</t>
  </si>
  <si>
    <t>Заглушки торцевые из ПВХ, для плинтуса, высота 55 мм</t>
  </si>
  <si>
    <t>Соединитель из ПВХ, для плинтуса, высота 55 мм</t>
  </si>
  <si>
    <t>Устройство плинтусов поливинилхлоридных на винтах самонарезающих</t>
  </si>
  <si>
    <r>
      <t>3.11-29-3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</si>
  <si>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Камни, марка СКГ-2, гипсобетонные</t>
  </si>
  <si>
    <t>Кладка из легкобетонных камней без облицовки стен при высоте этажа до 4 м</t>
  </si>
  <si>
    <r>
      <t>3.8-18-1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</si>
  <si>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Плиты минераловатные теплоизоляционные на синтетическом связующем, марка П-100</t>
  </si>
  <si>
    <t>Листы гипсокартонные, толщина 12-16 мм</t>
  </si>
  <si>
    <t>Уголки из оцинкованной стали для крепления несущих элементов двери к полу и потолку, размеры 100х99х123х2,0 мм</t>
  </si>
  <si>
    <t>Профили стоек для монтажа гипсовых перегородок и подвесных потолков, стальные, оцинкованные, марка ПС, сечение 100х50х0,6 мм</t>
  </si>
  <si>
    <t>Лента полимерная микропористая уплотнительная самоклеящаяся, типа "Дихтунгсбанд", ширина 95 мм, толщина 3,2 мм</t>
  </si>
  <si>
    <t>Устройство перегородок из гипсокартонных листов (ГКЛ) с одинарным металлическим каркасом и обшивкой с двух сторон по два слоя с каждой по системе типа "КНАУФ" (С 112), с одним дверным проемом</t>
  </si>
  <si>
    <r>
      <t>3.10-89-2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</si>
  <si>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Плитки керамические глазурованные для внутренней облицовки гладкие, белые и цветные (однотонные), квадратные и прямоугольные, сорт I</t>
  </si>
  <si>
    <t>Гладкая облицовка стен (без карнизных, плинтусных и угловых плиток) на клее из сухих смесей по камню и бетону/ АР.ВР л.5</t>
  </si>
  <si>
    <r>
      <t>3.15-149-1</t>
    </r>
    <r>
      <rPr>
        <i/>
        <sz val="10"/>
        <rFont val="Arial"/>
        <family val="2"/>
        <charset val="204"/>
      </rPr>
      <t xml:space="preserve">
Поправка: ТСН-2001.6. О.П. п.11</t>
    </r>
  </si>
  <si>
    <r>
      <t>ЗИПС-Модуль, сэндвич-панель</t>
    </r>
    <r>
      <rPr>
        <i/>
        <sz val="10"/>
        <rFont val="Arial"/>
        <family val="2"/>
        <charset val="204"/>
      </rPr>
      <t xml:space="preserve">
Базисная стоимость: 262,95 = [1 676,69 / 1,2 /  5,42] +  2% Трансп</t>
    </r>
  </si>
  <si>
    <t>Смеси сухие штукатурные цементно-песчаные для внутренних и наружных работ, водоудерживающие и повышающие адгезионные свойства, В12,5 (М150), F50, крупность заполнителя не более 0,5 мм</t>
  </si>
  <si>
    <t>Облицовка гипсовыми и гипсоволокнистыми листами сухой штукатурки стен при отделке под окраску</t>
  </si>
  <si>
    <r>
      <t>3.15-71-1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</si>
  <si>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Краски водно-дисперсионные для внутренних работ, марка "ВД-БИО"</t>
  </si>
  <si>
    <t>Добавляется на окраску поливинилацетатными красками стеклообоев на каждый последующий слой к позициям 3.15-140-1, 3.15-140-2</t>
  </si>
  <si>
    <r>
      <t>3.15-140-3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</si>
  <si>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Обои стеклотканевые под покраску для стен и потолков, однослойные</t>
  </si>
  <si>
    <t>Смеси сухие шпатлевочные для сухих помещений на органическом связующем (Ветонит KR)</t>
  </si>
  <si>
    <t>Настенное покрытие стеклообоями с окраской поливинилацетатными красками за один раз с подготовкой</t>
  </si>
  <si>
    <r>
      <t>3.15-140-1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</si>
  <si>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Смеси сухие штукатурные цементно-известково-песчаные для внутренних и наружных работ, для тонкой штукатурки ячеистых блоков и других пористых оснований, В5 (М75), F25, крупность заполнителя не более 1,0 мм</t>
  </si>
  <si>
    <t>Высококачественная штукатурка стен по бетону полимерцементным раствором толщиной 10 мм</t>
  </si>
  <si>
    <r>
      <t>3.15-56-1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</si>
  <si>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Шпатлевка модифицированная</t>
  </si>
  <si>
    <t>Смеси сухие штукатурные цементно-известково-песчаные для внутренних и наружных работ, для ручного нанесения, В7,5 (М100), F50, крупность заполнителя не более 0,5 мм</t>
  </si>
  <si>
    <t>Улучшенное оштукатуривание стен цементно-известковым раствором по камню и бетону внутри зданий (кирпичные перегородки)</t>
  </si>
  <si>
    <r>
      <t>3.15-52-3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</si>
  <si>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Гладкая облицовка стен (без карнизных, плинтусных и угловых плиток) на клее из сухих смесей по камню и бетону</t>
  </si>
  <si>
    <t>Улучшенная окраска поливинилацетатными водоэмульсионными составами по штукатурке потолков</t>
  </si>
  <si>
    <r>
      <t>3.15-96-4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</si>
  <si>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Отдельные конструктивные элементы с преобладанием толстолистовой стали, средняя масса сборочной единицы до 0,05 т</t>
  </si>
  <si>
    <t>Потолки реечные подвесные из алюминиевых профилей, ширина рейки 30 мм, окрашенные порошковой эмалью</t>
  </si>
  <si>
    <t>Устройство подвесных потолков из алюминиевых реек</t>
  </si>
  <si>
    <r>
      <t>3.34-12-1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</si>
  <si>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Улучшенная окраска поливинилацетатными водоэмульсионными составами потолков по сборным конструкциям, подготовленным под окраску</t>
  </si>
  <si>
    <r>
      <t>3.15-96-6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</si>
  <si>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Подготовка под окраску или оклейку обоями подвесных потолков из гипсокартонных листов</t>
  </si>
  <si>
    <r>
      <t>3.15-104-2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</si>
  <si>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Тяги подвесов из оцинкованной стали для монтажа подвесных потолков, длина 500 мм</t>
  </si>
  <si>
    <t>Устройство подвесных потолков из гипсокартонных листов на металлическом каркасе по системе типа "КНАУФ", одноуровневые (П 113)</t>
  </si>
  <si>
    <r>
      <t>3.10-98-2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</si>
  <si>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Масса мусора</t>
  </si>
  <si>
    <t>Снятие дверных полотен</t>
  </si>
  <si>
    <t>Демонтаж дверных коробок в каменных стенах с отбивкой штукатурки в откосах</t>
  </si>
  <si>
    <t>Разборка кирпичных перегородок/ ТЗК лист 40</t>
  </si>
  <si>
    <t>ВСЕГО затрат в текущем уровне цен, руб.</t>
  </si>
  <si>
    <t>Коэффици-енты (индексы) пересчета, нормы НР и СП</t>
  </si>
  <si>
    <t>Всего в ценах на январь 2000 года, руб.</t>
  </si>
  <si>
    <t>Коэффи-циенты зимних удорожа-ний</t>
  </si>
  <si>
    <t>Попра-вочные коэффи-
циенты</t>
  </si>
  <si>
    <t>Цена на ед. изм., руб.</t>
  </si>
  <si>
    <t>Кол-во единиц</t>
  </si>
  <si>
    <t>Ед. изм.</t>
  </si>
  <si>
    <t>Шифр расценки и коды ресурсов</t>
  </si>
  <si>
    <t>№ и период сборника коэффициентов (индексов) пересчета: ТСН-2001 МГЭ ремонт №157 октябрь 2019 года и Коэффициенты пересчета к ТСН-2001.13-2 сентябрь 2019 года</t>
  </si>
  <si>
    <t>Составлен(а) по ТСН-2001 с учетом Дополнения №: 54</t>
  </si>
  <si>
    <t>тыс. руб.</t>
  </si>
  <si>
    <t>Возврат материалов</t>
  </si>
  <si>
    <t xml:space="preserve">Кроме того: </t>
  </si>
  <si>
    <t>чел.-ч.</t>
  </si>
  <si>
    <t>Затраты труда</t>
  </si>
  <si>
    <t>Средства на оплату труда</t>
  </si>
  <si>
    <t>Прочие работы и затраты</t>
  </si>
  <si>
    <t>Работы по монтажу оборудования</t>
  </si>
  <si>
    <t>Строительные работы</t>
  </si>
  <si>
    <t>Сметная стоимость</t>
  </si>
  <si>
    <t>В текущем уровне цен</t>
  </si>
  <si>
    <t>В базисном уровне цен</t>
  </si>
  <si>
    <t>(наименование работ и затрат)</t>
  </si>
  <si>
    <t>"_____"________________ 2019 г.</t>
  </si>
  <si>
    <t>"СОГЛАСОВАНО"</t>
  </si>
  <si>
    <t>Форма № 4б</t>
  </si>
  <si>
    <t>Размещение строительного мусора</t>
  </si>
  <si>
    <t>Перевозка строительного мусора на расстояние до 29 км автосамосвалами грузоподъемностью до 20 т</t>
  </si>
  <si>
    <t>Доводчик дверной типа «ДОРМА» TS/83, масса двери до 150 кг</t>
  </si>
  <si>
    <t>ПЕТЛИ НАКЛАДНЫЕ</t>
  </si>
  <si>
    <t>Пригонка и навеска вновь изготовленных по старым образцам дверных двупольных полотен</t>
  </si>
  <si>
    <t>Пригонка и навеска вновь изготовленных по старым образцам дверных однопольных полотен</t>
  </si>
  <si>
    <t>Шурупы латунные</t>
  </si>
  <si>
    <t>Листы бронзовые</t>
  </si>
  <si>
    <t>Листы латунные, толщина 0,4-25,0 мм</t>
  </si>
  <si>
    <t>Полоса из стали углеродистой обыкновенного качества, спокойной</t>
  </si>
  <si>
    <t>Изготовление дверных петель (размер карты 175 х 50 мм) с профилированным колпачком старинного образца из черного и цветного металла/ 11 полотен по 3 петли на каждую при высоте больше 2 м</t>
  </si>
  <si>
    <t>Установка изготовленных вновь или реставрированных приборов из 2-х ручек скоб с цапфами</t>
  </si>
  <si>
    <t>Проволока из цветных металлов латунная, толщина 8 мм</t>
  </si>
  <si>
    <t>Сталь круглая нержавеющая, диаметр 8 мм</t>
  </si>
  <si>
    <t>Изготовление комплектов дверных приборов старинного образца из бронзы или латуни из гладких фигурных деталей частично орнаментованных размер ручки 13 см, с розетками и ключевинами полотен 11 = 11 комплектов</t>
  </si>
  <si>
    <t>Стеклопакеты из полированного стекла, однокамерные, площадь до 0,21-0,6 м2, толщина стекла 3 мм</t>
  </si>
  <si>
    <t>Штапики лиственных пород, окрашенные, сечение 10х16 мм</t>
  </si>
  <si>
    <t>Остекление деревянных переплетов стеклопакетами площадью до 0,5 м2</t>
  </si>
  <si>
    <t>Установка неостекленных глухих оконных переплетов</t>
  </si>
  <si>
    <t>Краски масляные для внутренних работ, готовые к применению, марка "МА-15 БИО"</t>
  </si>
  <si>
    <t>Шпатлевка для работ по дереву, марка "Акрил-Д"</t>
  </si>
  <si>
    <t>Высококачественная масляная окраска дверей и профилированных облицовок деревянных</t>
  </si>
  <si>
    <t>Высококачественная масляная окраска окон и тяг деревянных</t>
  </si>
  <si>
    <t>Расчистка деревянных поверхностей от масляной окраски трудноудаляемой со смывкой на сложной профилированной поверхности</t>
  </si>
  <si>
    <t>Выемка деталей крепления оконных и дверных приборов площадью до 10 дм2 из цветных металлов, категория сложности II</t>
  </si>
  <si>
    <t>Выемка деталей крепления оконных и дверных приборов площадью до 10 дм2 из цветных металлов, категория сложности I</t>
  </si>
  <si>
    <t>Снятие оконных переплетов остекленных</t>
  </si>
  <si>
    <t>Разборка дверных полотен со снятием с петель</t>
  </si>
  <si>
    <t>Доски хвойных пород, обрезные, длина 2-6,5 м, сорт II, толщина 40-60 мм</t>
  </si>
  <si>
    <t>Реставрация дубовых дверных коробок площадью до 3,5 м2 в каменных стенах</t>
  </si>
  <si>
    <t>Реставрация дубовых дверных коробок площадью до 6 м2 в каменных стенах</t>
  </si>
  <si>
    <t>Установка изготовленных вновь или реставрированных врезных шпингалетов - задвижек</t>
  </si>
  <si>
    <t>Шурупы с потайной головкой, черные, размер 5,0х70 мм</t>
  </si>
  <si>
    <t>Листы свинцовые, толщина 1,0х500х1000 мм</t>
  </si>
  <si>
    <t>Сталь круглая нержавеющая, диаметр 6 мм</t>
  </si>
  <si>
    <t>Изготовление дверных врезных шпингалетов старинного образца из цветного металла с латунной облицовкой длиной до 80 см</t>
  </si>
  <si>
    <t>Установка изготовленных вновь или реставрированных замков дверных с латунной облицовкой (врезных)</t>
  </si>
  <si>
    <t>Изготовление врезных простых замков с облицовкой планок латунью</t>
  </si>
  <si>
    <t>Установка изготовленных вновь или реставрированных дверных петель с латунной облицовкой</t>
  </si>
  <si>
    <t>Изготовление дверных петель (размер карты 175 х 50 мм) с профилированным колпачком старинного образца из черного и цветного металла/ дверное полотно свыше 3м, по 3 шт на 1 полотно</t>
  </si>
  <si>
    <t>Изготовление комплектов дверных приборов старинного образца из бронзы или латуни из гладких фигурных деталей частично орнаментованных размер ручки 13 см, с розетками и ключевинами/ 2 двери по 2 полотна, 4 дверных полотен по 8 ручек = 4 комплекта</t>
  </si>
  <si>
    <t>Лак "Мордан", масляный</t>
  </si>
  <si>
    <t>Покрытие масляными или спиртовыми лаками по проолифленной поверхности за 2 раза заполнений дверных проемов</t>
  </si>
  <si>
    <t>Морилка натуральная</t>
  </si>
  <si>
    <t>Петля накладная с ходом на центрах, марка ПН 1-150 с напылением</t>
  </si>
  <si>
    <t>Бруски твердых лиственных пород обрезные, длина 2-6,5 м, сорт I, толщина 80-100 мм</t>
  </si>
  <si>
    <t>Изготовление (воссоздание) дверных полотен с прямолинейным верхом -филенчатые двупольные глухие</t>
  </si>
  <si>
    <t>Воссоздание (изготовление) оконных переплетов по старым образцам при изготовлении из клееных элементов, переплеты глухие простые</t>
  </si>
  <si>
    <t>Воссоздание коробок с криволинейным верхом количеством слоев 3</t>
  </si>
  <si>
    <t>Воссоздание коробок с прямолинейным верхом количеством слоев 3</t>
  </si>
  <si>
    <t>Разборка переплетов со снятием с петель остекленных</t>
  </si>
  <si>
    <t>Разборка коробок в каменных стенах с отбивкой штукатурки в откосах и зондированием</t>
  </si>
  <si>
    <t>Разборка наличников с одной стороны оконного или дверного проема</t>
  </si>
  <si>
    <t>Установка изготовленных вновь или реставрированных оконных петель с латунной облицовкой</t>
  </si>
  <si>
    <t>Пруток латунный</t>
  </si>
  <si>
    <t>Изготовление петель латунных размером 60 х 75 мм</t>
  </si>
  <si>
    <t>Установка изготовленных вновь или реставрированных накладных шпингалетов - задвижек</t>
  </si>
  <si>
    <t>Бронза в чушках</t>
  </si>
  <si>
    <t>Проволока из цветных металлов латунная, толщина 0,32-0,9 мм</t>
  </si>
  <si>
    <t>Листы латунные, холоднокатаные, марка Л85, толщина 1 мм, размер 600х1500 мм, 600х2000 мм</t>
  </si>
  <si>
    <t>Листы свинцовые, толщина 0,5х500х1000 мм</t>
  </si>
  <si>
    <t>Проволока стальная низкоуглеродистая общего назначения, диаметр 1,1 мм</t>
  </si>
  <si>
    <t>Круг, квадрат горячекатаный из стали углеродистой обыкновенного качества, полуспокойной, размер 5-12 мм</t>
  </si>
  <si>
    <t>Изготовление оконных и дверных накладных шпингалетов типа задвижек старинного образца из цветного металла с профилированной литой ручкой диаметром 25 мм, с круглым стержнем длиной до 30 см/ лист 12 023/18КНИ3.1</t>
  </si>
  <si>
    <t>Покрытие масляными или спиртовыми лаками по проолифленной поверхности за 2 раза заполнений оконных проемов</t>
  </si>
  <si>
    <t>Бруски твердых лиственных пород обрезные, длина 2-6,5 м, сорт I, толщина 32-75 мм</t>
  </si>
  <si>
    <t>Воссоздание подоконных досок по старому образцу</t>
  </si>
  <si>
    <t>Воссоздание (изготовление) оконных переплетов по старым образцам при изготовлении из клееных элементов, переплеты глухие средней сложности</t>
  </si>
  <si>
    <t>Воссоздание (изготовление) оконных переплетов по старым образцам при изготовлении из клееных элементов, переплеты створные средней сложности</t>
  </si>
  <si>
    <t>Воссоздание оконных переплетов по старым образцам при изготовлении из клееных элементов, переплеты створные простые</t>
  </si>
  <si>
    <t>Установка изготовленных вновь дверных и оконных коробок и колод с пригонкой по месту, в каменных стенах</t>
  </si>
  <si>
    <t>Разборка подоконных досок в каменных стенах с отбивкой штукатурки в откосах</t>
  </si>
  <si>
    <t>Средство биоцидное для защиты от поражения водорослями и грибками минеральных поверхностей, типа "Капатокс"</t>
  </si>
  <si>
    <t>Обработка поверхностей потолков грунтовкой глубокого проникновения внутри помещения</t>
  </si>
  <si>
    <r>
      <t>3.15-165-2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</si>
  <si>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Биоцидная обработка поверхности раствором типа "Фассаденрайнигер", вид поверхности - гладкая и цилиндрическая</t>
  </si>
  <si>
    <r>
      <t>7.10-35-1</t>
    </r>
    <r>
      <rPr>
        <i/>
        <sz val="10"/>
        <rFont val="Arial"/>
        <family val="2"/>
        <charset val="204"/>
      </rPr>
      <t xml:space="preserve">
Поправка: ТСН-2001.7-10. О.П. п.22</t>
    </r>
  </si>
  <si>
    <t>Биоцидная обработка поверхности раствором типа "Фассаденрайнигер", вид поверхности - профилированная</t>
  </si>
  <si>
    <t>Микрокальцит (мрамор мелкоизмельченный), фракция 40 мкм</t>
  </si>
  <si>
    <t>Реставрация поврежденных поверхностей камня цементной мастикой, плоские и цилиндрические поверхности и криволинейные</t>
  </si>
  <si>
    <t>Ручная расчистка от трудноудаляемых загрязнений и особо крепких масляных покрасок архитектурных деталей с соблюдением осторожности во избежание повреждения камня, гладкая прямолинейная и криволинейная поверхности</t>
  </si>
  <si>
    <t>Расчистка металлических поверхностей от масляной окраски средней прочности на профилированной поверхности средней сложности</t>
  </si>
  <si>
    <t>Кирпич реставрационный, размер 300х145х80 мм, большемерный</t>
  </si>
  <si>
    <t>Реставрация кирпичной кладки стен большемерным кирпичом с простым архитектурным оформлением кладки до 0,5 м3 в одном месте</t>
  </si>
  <si>
    <t>Реставрация лицевой поверхности кирпичной кладки (кроме архитектурных деталей) большемерным кирпичом глубиной заделки в 0,5 кирпича</t>
  </si>
  <si>
    <t>Очистка поверхности щетками</t>
  </si>
  <si>
    <t>Расчистка кирпичных поверхностей от масляной окраски трудноудаляемой на профилированной поверхности средней сложности</t>
  </si>
  <si>
    <t>Расчистка кирпичных поверхностей от масляной окраски трудноудаляемой на гладкой поверхности</t>
  </si>
  <si>
    <r>
      <t>7.10-4-4</t>
    </r>
    <r>
      <rPr>
        <i/>
        <sz val="10"/>
        <rFont val="Arial"/>
        <family val="2"/>
        <charset val="204"/>
      </rPr>
      <t xml:space="preserve">
Поправка: ТСН-2001.7-10. О.П. п.22</t>
    </r>
  </si>
  <si>
    <t>Разборка покрытий из штучного паркета на мастике</t>
  </si>
  <si>
    <t>Разборка покрытий из линолеума и релина</t>
  </si>
  <si>
    <t>Разборка покрытий из керамических плиток</t>
  </si>
  <si>
    <t>Разборка кирпичных перегородок</t>
  </si>
  <si>
    <t>Разборка первоначальной кирпичной кладки стен, столбов, колонн, сводов, арок, глав и т.д. или поздних пристроек и заделок в памятниках непосредственно сопрягающихся с древней кладкой при большой прочности кладки</t>
  </si>
  <si>
    <t>Разборка кладки стен из кирпича простых</t>
  </si>
  <si>
    <r>
      <t>6.53-2-1</t>
    </r>
    <r>
      <rPr>
        <i/>
        <sz val="10"/>
        <rFont val="Arial"/>
        <family val="2"/>
        <charset val="204"/>
      </rPr>
      <t xml:space="preserve">
Поправка: ТСН-2001.6-53. р3. п.3.1.1</t>
    </r>
  </si>
  <si>
    <t>Разборка бетонных оснований под полы из гравия</t>
  </si>
  <si>
    <t>Разборка цементных покрытий, толщина 30 мм</t>
  </si>
  <si>
    <t>Разборка стальных балок перекрытий</t>
  </si>
  <si>
    <t>Устройство уплотняемых самоходными катками подстилающих слоев щебеночных</t>
  </si>
  <si>
    <r>
      <t>3.11-3-2</t>
    </r>
    <r>
      <rPr>
        <i/>
        <sz val="10"/>
        <rFont val="Arial"/>
        <family val="2"/>
        <charset val="204"/>
      </rPr>
      <t xml:space="preserve">
Поправка: ТСН-2001.6. О.П. п.23.1</t>
    </r>
  </si>
  <si>
    <t>Разборка фундаментов бутовых</t>
  </si>
  <si>
    <t>Разборка засыпной изоляции перекрытий, междуэтажных, толщина засыпки 8 см</t>
  </si>
  <si>
    <t>Разборка монолитных железобетонных перекрытий</t>
  </si>
  <si>
    <t>Разборка фундаментов бетонных. 023/18КН-КР 4.2 лист 1.1</t>
  </si>
  <si>
    <t>Доски хвойных пород, необрезные, длина 2-6,5 м, сорт II, толщина 19-22 мм</t>
  </si>
  <si>
    <t>Выемка грунта с погрузкой при изменении уровня пола в здании. 023/18КН-КР 4.2 лист 1.1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</si>
  <si>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12-14 мм</t>
  </si>
  <si>
    <t>Прокат листовой, толщина более 4 мм, из стали углеродистой обыкновенного качества, спокойной</t>
  </si>
  <si>
    <t>Уголок равнополочный, ширина полки более 70 мм, из стали углеродистой обыкновенного качества, спокойной</t>
  </si>
  <si>
    <t>Усиление кирпичных стен металлическим каркасом</t>
  </si>
  <si>
    <t>Шайбы стальные, диаметр 20 мм, для крепления блоков обделки вертикальных шахтных стволов</t>
  </si>
  <si>
    <t>Гайки стальные к шпильке резьбовой, диаметр 20 мм, для крепления блоков обделки вертикальных шахтных стволов</t>
  </si>
  <si>
    <t>Шпилька стальная резьбовая, диаметр 20 мм, длина 225 мм, для крепления блоков обделки вертикальных шахтных стволов</t>
  </si>
  <si>
    <t>Швеллер №№ 12-40, из стали углеродистой обыкновенного качества, спокойной</t>
  </si>
  <si>
    <t>Растворы цементно-известковые, марка 100</t>
  </si>
  <si>
    <t>Заделка борозд в бетонных стенах, добавлять на каждые следующие 10 мм глубины к позиции 6.69-10-4</t>
  </si>
  <si>
    <t>Заделка борозд в бетонных стенах, добавлять на каждые следующие 50 мм ширины к позиции 6.69-10-4</t>
  </si>
  <si>
    <t>Окраска огрунтованных металлических поверхностей эмалями ПФ-115</t>
  </si>
  <si>
    <t>Грунтовка глифталевая, ГФ-021</t>
  </si>
  <si>
    <t>Огрунтовка металлических поверхностей грунтовкой ГФ-021 за один раз</t>
  </si>
  <si>
    <t>Уголок равнополочный, ширина полки 35-70 мм, из стали углеродистой обыкновенного качества, спокойной</t>
  </si>
  <si>
    <t>Монтаж лестниц прямолинейных и криволинейных, пожарных с ограждением</t>
  </si>
  <si>
    <r>
      <t>3.9-19-1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</si>
  <si>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Установка закладных деталей весом до 4 кг</t>
  </si>
  <si>
    <r>
      <t>3.6-6-7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</si>
  <si>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Обработка деревянных конструкций чердачных помещений огнебиозащитным составом "ПП"</t>
  </si>
  <si>
    <t>Доски хвойных пород, обрезные, длина 2-6,5 м, сорт II, толщина 25-32 мм</t>
  </si>
  <si>
    <t>Укладка ходовых досок</t>
  </si>
  <si>
    <r>
      <t>3.10-11-1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</si>
  <si>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Плиты минераловатные теплоизоляционные гидрофобизированные на основе базальтового волокна "Rockwool", жесткие, марка "Руф Баттс Н", толщина от 40 до 200 мм</t>
  </si>
  <si>
    <t>Плиты минераловатные теплоизоляционные гидрофобизированные на основе базальтового волокна "Rockwool", сверхжесткие, марка "Руф Баттс В", толщина 40 мм</t>
  </si>
  <si>
    <t>Теплоизоляция покрытий и перекрытий изделиями из волокнистых и зернистых материалов насухо</t>
  </si>
  <si>
    <r>
      <t>3.26-27-1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</si>
  <si>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Пленка пароизоляционная, марка "Ютафол Н 110"</t>
  </si>
  <si>
    <r>
      <t>3.11-38-1</t>
    </r>
    <r>
      <rPr>
        <i/>
        <sz val="10"/>
        <rFont val="Arial"/>
        <family val="2"/>
        <charset val="204"/>
      </rPr>
      <t xml:space="preserve">
Поправка: 12, п.2.2. 5</t>
    </r>
  </si>
  <si>
    <t>Устройство тепло и звукоизоляции засыпной керамзитовой</t>
  </si>
  <si>
    <r>
      <t>3.11-7-2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</si>
  <si>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Разборка засыпной изоляции перекрытий, чердачных, толщина засыпки 20 см</t>
  </si>
  <si>
    <t>Трубы хризотилцементные безнапорные, марка БНТ, диаметр условного прохода 200 мм, внутренний диаметр 191 мм</t>
  </si>
  <si>
    <t>Смеси бетонные, БСГ, тяжелого бетона на известняковом щебне фракция 20-40 для инженерных коммуникаций и дорог, класс прочности В15 (М200); П2, F100, W2</t>
  </si>
  <si>
    <t>Устройство водоотводных лотков из 1/2 асбестоцементных труб на отмостке</t>
  </si>
  <si>
    <t>Смеси асфальтобетонные дорожные горячие мелкозернистые, марка II, тип В</t>
  </si>
  <si>
    <t>Устройство покрытий из асфальтобетонных смесей вручную, толщина 4 см</t>
  </si>
  <si>
    <t>Смеси бетонные, БСГ, тяжелого бетона на гравийном щебне, фракция 5-20, класс прочности В15,0 (М200); П4, F100, W4</t>
  </si>
  <si>
    <r>
      <t>3.6-1-1</t>
    </r>
    <r>
      <rPr>
        <i/>
        <sz val="10"/>
        <rFont val="Arial"/>
        <family val="2"/>
        <charset val="204"/>
      </rPr>
      <t xml:space="preserve">
Поправка: 12, п.2.2. 5</t>
    </r>
  </si>
  <si>
    <t>Устройство уплотняемых трамбовками подстилающих слоев песчаных</t>
  </si>
  <si>
    <r>
      <t>3.11-2-1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</si>
  <si>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Разборка покрытий и оснований цементобетонных</t>
  </si>
  <si>
    <t>Разборка покрытий и оснований асфальтобетонных</t>
  </si>
  <si>
    <t>Состав цементный защитный проникающего действия "Кальматрон", "Кальмафлекс"</t>
  </si>
  <si>
    <t>Сплошное гидроизоляционное покрытие составом типа "Кальматрон"</t>
  </si>
  <si>
    <t>Гидроизоляция швов составом типа "Кальматрон"</t>
  </si>
  <si>
    <t>Сплошное гидроизоляционное покрытие составом типа "Кальматрон"/стены</t>
  </si>
  <si>
    <t>Полоса из стали углеродистой обыкновенного качества, полуспокойной</t>
  </si>
  <si>
    <t>Площадки с настилом из листовой, рифленой, просечной или круглой стали, каркасами и элементами жесткости из прокатных и гнутых профилей, прямоугольные и трапециевидные</t>
  </si>
  <si>
    <t>Монтаж площадок с настилом и ограждением из листовой, рифленой, просечной и круглой стали</t>
  </si>
  <si>
    <r>
      <t>3.9-20-1</t>
    </r>
    <r>
      <rPr>
        <i/>
        <sz val="10"/>
        <rFont val="Arial"/>
        <family val="2"/>
        <charset val="204"/>
      </rPr>
      <t xml:space="preserve">
Поправка: 12, п.2.2. 5</t>
    </r>
  </si>
  <si>
    <t>Уголок равнополочный, ширина полки 35-70 мм, из стали углеродистой обыкновенного качества, полуспокойной</t>
  </si>
  <si>
    <t>Монтаж связей и распорок из одиночных и парных уголков, гнутосварных профилей для пролетов, до 24 м при высоте здания до 25 м</t>
  </si>
  <si>
    <r>
      <t>3.9-18-1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</si>
  <si>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Профили стальные электросварные квадратного сечения трубчатые, размер стороны 60 мм, толщина стенки 3 мм</t>
  </si>
  <si>
    <t>Профили стальные электросварные квадратного сечения трубчатые, размер стороны 20 мм, толщина стенки 1,5 мм</t>
  </si>
  <si>
    <t>Профили стальные электросварные квадратного сечения трубчатые, размер стороны 40 мм, толщина стенки 3 мм</t>
  </si>
  <si>
    <t>Профили стальные электросварные квадратного сечения (трубчатые балки), размер стороны 40 мм, толщина стенки 2 мм</t>
  </si>
  <si>
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</si>
  <si>
    <t>Устройство первого слоя оклеечной гидроизоляции рулонными материалами на битумной мастике</t>
  </si>
  <si>
    <r>
      <t>3.11-4-1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</si>
  <si>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Молоко цементное</t>
  </si>
  <si>
    <t>Проливка подстиляющих слоев раствором</t>
  </si>
  <si>
    <r>
      <t>3.11-40-1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</si>
  <si>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</si>
  <si>
    <t>Смеси бетонные, БСГ, тяжелого бетона на гранитном щебне, класс прочности В25 (М350); П3, фракция 5-20, F150, W6</t>
  </si>
  <si>
    <t>Устройство перекрытий по стальным балкам и монолитные участки при сборном железобетонном перекрытии площадью более 5 м2 приведенной толщиной до 100 мм</t>
  </si>
  <si>
    <r>
      <t>3.6-15-10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</si>
  <si>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Анкер-шпилька распорный, высокоэффективный, с шестигранной гайкой и шайбой, из оцинкованной стали, для использования в бетоне с трещинами, диаметр 12 мм, длина 215 мм, толщина прикрепляемой детали минимальная/максимальная 120/140 мм</t>
  </si>
  <si>
    <t>Установка закладных деталей весом до 20 кг/ ЗД-1к</t>
  </si>
  <si>
    <r>
      <t>3.6-6-8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</si>
  <si>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Болты стальные высокопрочные М20х60-80 мм, класс точности "В"</t>
  </si>
  <si>
    <t>Установка закладных деталей весом более 20 кг/ ЗД-1к</t>
  </si>
  <si>
    <t>Балки перекрытий и балки под установку оборудования из горячекатаных одиночных швеллеров и двутавров</t>
  </si>
  <si>
    <t>Укладка металлических балок при смене перекрытий</t>
  </si>
  <si>
    <t>Установка закладных деталей весом до 20 кг</t>
  </si>
  <si>
    <t>Балки покрытий постоянные по высоте из двутавров с параллельными гранями полок</t>
  </si>
  <si>
    <t>Колонны одноэтажных зданий и крановых эстакад, одноветвевые из двутавров</t>
  </si>
  <si>
    <t>Монтаж колонн одноэтажных и многоэтажных зданий и крановых эстакад высотой до 25 м цельного сечения, массой до 1 т</t>
  </si>
  <si>
    <r>
      <t>3.9-11-1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</si>
  <si>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первого слоя обмазочной гидроизоляции битумной мастикой толщиной 2 мм</t>
  </si>
  <si>
    <r>
      <t>3.11-4-5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</si>
  <si>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Устройство фундаментных плит бетонных плоских</t>
  </si>
  <si>
    <r>
      <t>3.6-1-14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</si>
  <si>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Каркасы и сетки арматурные плоские, собранные и сваренные (связанные) в арматурные изделия, класс А-I, диаметр 16-18 мм</t>
  </si>
  <si>
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16-18 мм</t>
  </si>
  <si>
    <t>Смеси бетонные, БСГ, тяжелого бетона на гравийном щебне, фракция 5-20, класс прочности В12,5 (М150); П2, F50, W2</t>
  </si>
  <si>
    <t>Устройство уплотняемых трамбовками подстилающих слоев щебеночных</t>
  </si>
  <si>
    <r>
      <t>3.11-2-3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</si>
  <si>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Арматурные заготовки (стержни, хомуты и т.п.), не собранные в каркасы или сетки, проволока арматурная гладкая периодического профиля, класса ВР-I, диаметр 5 мм</t>
  </si>
  <si>
    <t>Арматурные заготовки (стержни, хомуты и т.п.), не собранные в каркасы или сетки, арматурная сталь периодического профиля, класс А-III, диаметр 10 мм</t>
  </si>
  <si>
    <t>Устройство фундаментных плит железобетонных с ребрами вверх</t>
  </si>
  <si>
    <r>
      <t>3.6-1-18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</si>
  <si>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Материал рулонный кровельный и гидроизоляционный наплавляемый битумный на основе стеклохолста "Гидростеклоизол", марка ХПП-3,5</t>
  </si>
  <si>
    <t>Добавляется на каждый последующий слой к позиции 3.11-4-1</t>
  </si>
  <si>
    <r>
      <t>3.11-4-2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</si>
  <si>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Смеси бетонные, БСГ, тяжелого бетона на гранитном щебне, класс прочности В7,5 (М100); П3, фракция 5-20</t>
  </si>
  <si>
    <r>
      <t>3.11-2-1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</si>
  <si>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Арматурные заготовки (стержни, хомуты и т.п.), не собранные в каркасы или сетки, арматурная сталь периодического профиля, класс А-III, диаметр 12-14 мм</t>
  </si>
  <si>
    <t>Плиты теплоизоляционные из экструдированного пенополистирола со ступенчатой формой кромки, плотность 38-42 кг/м3, группа горючести Г4</t>
  </si>
  <si>
    <t>Теплоизоляция строительных конструкций покрытий и перекрытий изделиями из пенопласта насухо/ КР.С 4.2 лист 1</t>
  </si>
  <si>
    <r>
      <t>3.26-29-5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</si>
  <si>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Разработка грунта вручную с креплениями в траншеях шириной до 2 м глубиной до 2 м группа грунтов 1-3</t>
  </si>
  <si>
    <r>
      <t>3.1-49-1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</si>
  <si>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Кирпич керамический обыкновенный, размер 250х120х65 мм, марка 150</t>
  </si>
  <si>
    <t>Реставрация кладки сводов, арок, глав и закомар в старой технике объемом до 1 м3 в одном месте стандартным кирпичом толщиной кладки в 0,5 и в 1,0 кирпич простой сложности</t>
  </si>
  <si>
    <t>Каркасы и сетки арматурные пространственные собранные и сваренные (связанные) в арматурные изделия, класс А-I, диаметр 16-18 мм</t>
  </si>
  <si>
    <t>Монтаж стальных балок и ригелей перекрытий, покрытий и под установку оборудования в зданиях высотой до 30 м</t>
  </si>
  <si>
    <r>
      <t>3.9-13-1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</si>
  <si>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Мастика битумно-масляная клеящая, гидроизоляционная, герметизирующая, морозостойкая, горячего применения, диапазон температур применения от -25 до +40°С, для изоляции кабелей, защиты конструкций от блуждающих токов, заливки соединительных, осветительных и концевых муфт, защиты от коррозии подземных металлических коммуникаций</t>
  </si>
  <si>
    <t>Гидроизоляция стен, фундаментов боковая обмазочная битумная в 2 слоя по выравненной поверхности бутовой кладки, кирпичу, бетону</t>
  </si>
  <si>
    <r>
      <t>3.8-2-7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</si>
  <si>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Каркасы и сетки арматурные пространственные собранные и сваренные (связанные) в арматурные изделия, класс А-III, диаметр 16-18 мм</t>
  </si>
  <si>
    <t>Устройство бетонных фундаментов общего назначения под колонны объемом до 3 м3</t>
  </si>
  <si>
    <r>
      <t>3.6-1-2</t>
    </r>
    <r>
      <rPr>
        <i/>
        <sz val="10"/>
        <rFont val="Arial"/>
        <family val="2"/>
        <charset val="204"/>
      </rPr>
      <t xml:space="preserve">
Поправка: ТСН-2001.6. О.П. п.11</t>
    </r>
  </si>
  <si>
    <r>
      <t>3.6-1-1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</si>
  <si>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Щебень из естественного камня для строительных работ, марка 1400, фракция 5-10 мм</t>
  </si>
  <si>
    <t>Устройство щебеночного основания под фундаменты</t>
  </si>
  <si>
    <r>
      <t>3.8-1-2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</si>
  <si>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Пакер инъекционный металлический с плоской головкой, диаметр 18 мм, длина 130 мм</t>
  </si>
  <si>
    <t>Укрепление расслоившейся кирпичной кладки путем инъектирования связующими растворами, формовка и заделка розеток</t>
  </si>
  <si>
    <t>Укрепление расслоившейся кирпичной кладки путем инъектирования связующими растворами гидравлическим инъектором, ширина инъекционной трещины более 5 мм</t>
  </si>
  <si>
    <t>Сверление электроперфоратором сквозных отверстий в кирпичных стенах толщиной в 3 кирпича, диаметр отверстий, мм, до 20</t>
  </si>
  <si>
    <t>ВОЗВРАТ
Стальной лом черных металлов, вид лома 12А, для расчета возвратных сумм</t>
  </si>
  <si>
    <t>Доски хвойных пород, обрезные, длина 2-6,5 м, сорт I, толщина 40-60 мм</t>
  </si>
  <si>
    <t>Бруски хвойных пород обрезные, длина 2-6,5 м, сорт I, толщина 50-60 мм</t>
  </si>
  <si>
    <t>Смена обрешетки крыш из досок и брусков с прозорами</t>
  </si>
  <si>
    <t>Прокат листовой для строительных стальных конструкций, толщина более 3 мм, сталь С255</t>
  </si>
  <si>
    <t>Болты строительные с шестигранной головкой, диаметр резьбы 16 мм</t>
  </si>
  <si>
    <t>Монтаж мелких конструкций из стали различного профиля массой до 20 кг</t>
  </si>
  <si>
    <r>
      <t>3.9-35-1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</si>
  <si>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Анкер клиновой, стальной, оцинкованный, для установки в pастянутой и сжатой зоне бетона, диаметр 20 мм, длина 195 мм, максимальная толщина закрепляемой детали 60 мм</t>
  </si>
  <si>
    <t>Установка распорных анкеров в готовые отверстия</t>
  </si>
  <si>
    <r>
      <t>3.9-72-2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</si>
  <si>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Шпилька резьбовая, стальная, оцинкованная, с заостренным концом, в комплекте с шайбой и гайкой, М20x300 мм</t>
  </si>
  <si>
    <t>Шпилька резьбовая, стальная, оцинкованная, с заостренным концом, в комплекте с шайбой и гайкой, М16x190 мм</t>
  </si>
  <si>
    <t>Шпилька резьбовая, стальная, оцинкованная, с заостренным концом, в комплекте с шайбой и гайкой, М12x160 мм</t>
  </si>
  <si>
    <t>Сверло с алмазным покрытием, диаметр 20 мм</t>
  </si>
  <si>
    <t>Сверление сквозных отверстий в бетонных стенах и полах электроперфоратором, диаметр отверстия до 20 мм, глубина сверления 100 мм</t>
  </si>
  <si>
    <t>Брусья хвойных пород обрезные, длина 2-6,5 м, сорт I-II, толщина 180 мм и более</t>
  </si>
  <si>
    <t>Смена стоек и подкосов стен из брусьев</t>
  </si>
  <si>
    <t>Укрепление стропильных ног расшивкой досками с двух сторон</t>
  </si>
  <si>
    <t>Замена подстропильных досок мауэрлатов (одно-двух и многоскатных, мансардных, вальмовых, полувальмовых, щипцовых, многощипцовых)</t>
  </si>
  <si>
    <t>Брусья хвойных пород обрезные, длина 2-6,5 м, сорт I-II, толщина 130-150 мм</t>
  </si>
  <si>
    <t>Бревна строительные окоренные, хвойных пород, длина 3-6,5 м, диаметр 14-24 см, сорт II</t>
  </si>
  <si>
    <t>Замена стропил из бревен (одно-двух и многоскатных, мансардных, вальмовых, полувальмовых, щипцовых, многощипцовых)</t>
  </si>
  <si>
    <t>Сталь листовая, оцинкованная, толщина 0,55-0,65 мм</t>
  </si>
  <si>
    <t>Смена фигурных элементов водосточных труб диаметром 14 см - колена с земли или подмостей оцинкованной сталью, масса 1 м2 листа - 4 кг</t>
  </si>
  <si>
    <t>Смена фигурных элементов водосточных труб диаметром 14 см - отливов с земли или подмостей оцинкованной сталью, масса 1 м2 листа - 4 кг</t>
  </si>
  <si>
    <t>Смена фигурных элементов водосточных труб диаметром 14 см - воронок с земли или подмостей оцинкованной сталью, масса 1 м2 листа - 4 кг</t>
  </si>
  <si>
    <t>Смена фигурных элементов водосточных труб диаметром 14 см - труб с земли или подмостей оцинкованной сталью, масса 1 м2 листа - 4 кг</t>
  </si>
  <si>
    <t>Покрытие выступающих частей стен (фризы, пояски, сандрики и т.п.), подоконники, кокошники, порталы, контрфорсы и т.п. сталью кровельной оцинкованной, масса 1м2 листа - 5 кг, ширина покрытия 0,4 м</t>
  </si>
  <si>
    <t>Рядовое покрытие средней сложности крыш оцинкованной кровельной сталью, масса 1 м2 листа - 5 кг</t>
  </si>
  <si>
    <t>Разборка поясков, сандриков, желобов, отливов, свесов и т.п. из листовой стали</t>
  </si>
  <si>
    <t>Разборка покрытий кровли из листовой стали</t>
  </si>
  <si>
    <t>ВОЗВРАТ
Стальной лом черных металлов, вид лома 5А, для расчета возвратных сумм</t>
  </si>
  <si>
    <t>Спуск грузов при помощи электролебедок до 10 м</t>
  </si>
  <si>
    <t>Подъем грузов при помощи электролебедок до 10 м</t>
  </si>
  <si>
    <t>Разборка металлических инвентарных лесов на фасадах</t>
  </si>
  <si>
    <t>Леса инвентарные металлические трубчатые на хомутах со щитами ЛСПХ, 100 м2</t>
  </si>
  <si>
    <t>Устройство металлических инвентарных лесов на фасадах</t>
  </si>
  <si>
    <t>Разборка монолитных бетонных перекрытий/ бетонный навес</t>
  </si>
  <si>
    <t>Разборка покрытий кровли из листовой стали/ козырьки</t>
  </si>
  <si>
    <t>Разборка покрытий кровли из листовой стали/ окрытие приямков</t>
  </si>
  <si>
    <t>Разборка металлических лестничных решеток, массой 1 м решетки свыше 60 кг/ лестницы</t>
  </si>
  <si>
    <t>Воссоздание надписей</t>
  </si>
  <si>
    <t>Смеси сухие цементно-известковые, шпатлевочные с минеральным наполнителем тонкого помола и синтетическими добавками для наружных и внутренних работ, типа "Фассаден-Фюльшпахтель".</t>
  </si>
  <si>
    <t>Краска на силикатной основе высококачественная, фасадная, готовая к применению, типа "Кизелит-Фассаденфарбе"</t>
  </si>
  <si>
    <t>Окраска фасадов готовыми силикатными красками с подготовкой поверхности вновь оштукатуренных или ранее очищенных от старой краски, вид поверхности - гладкая и цилиндрическая</t>
  </si>
  <si>
    <t>Цемент декоративный портландский белый, марка 400</t>
  </si>
  <si>
    <t>Реставрация и воссоздание штукатурки фасадов по кирпичным поверхностям известково-цементным (или известковым) раствором стен гладких</t>
  </si>
  <si>
    <t>Установка резьбы площадью свыше 10 дм2</t>
  </si>
  <si>
    <t>Мастика на основе пчелиного воска для обработки деревянных поверхностей</t>
  </si>
  <si>
    <t>Воссоздание отделочных покрытий резьбы восковыми мастиками, категория сложности резьбы II</t>
  </si>
  <si>
    <t>Заготовка деревянная из дуба (массив дерева)</t>
  </si>
  <si>
    <t>Воссоздание орнамента в деревянных элементах здания ручным способом (народная резьба), глубина пропила до 25 мм</t>
  </si>
  <si>
    <t>Установка изделий на место без пайки швов</t>
  </si>
  <si>
    <t>Краски эмалевые алкидные однокомпонентные, быстросохнущие, марки "Темалак ФД 50", "Темалак ФД 80"</t>
  </si>
  <si>
    <t>Окраска новых или ранее расчищенных металлических поверхностей алкидными быстросохнущими эмалями, оконных переплетов и труб</t>
  </si>
  <si>
    <t>Грунтовка алкидная однокомпонентная универсальная быстросохнущая антикоррозийная, типа "Риса ХС Штальшуцгрунд"</t>
  </si>
  <si>
    <t>Огрунтовка новых или ранее расчищенных металлических поверхностей алкидными грунтовками типа "ХС Штальшуцгрунд", за один раз оконных переплетов и труб</t>
  </si>
  <si>
    <t>Болты строительные анкерные с гайками</t>
  </si>
  <si>
    <t>Установка анкерных болтов в готовые гнезда с заделкой длиной до 1 м</t>
  </si>
  <si>
    <t>Поковки строительные (скобы, закрепы, хомуты) простые, масса 1,8 кг</t>
  </si>
  <si>
    <t>Пробивка (сверление) отверстий под элементы крепления с их установкой диаметром до 50 мм глубиной до 200 мм в кладке из большемерного кирпича</t>
  </si>
  <si>
    <t>Сборка металлических оград, решеток, ворот слесарным способом на заклепках</t>
  </si>
  <si>
    <t>Прокат листовой, толщина до 4 мм, из стали углеродистой обыкновенного качества, полуспокойной</t>
  </si>
  <si>
    <t>Воссоздание вырезных декоративных деталей из листовой стали толщиной 2 мм простых/ 023/18КН-КНИ3.1 лист 28</t>
  </si>
  <si>
    <t>Укрепитель мелкопористых мягких пород минерального происхождения, из эфира кремневой кислоты без гидрофобизующих добавок, типа "КСЕ 100"</t>
  </si>
  <si>
    <t>Обработка поверхности белого камня камнеукрепителем, поверхность гладкая и цилиндрическая</t>
  </si>
  <si>
    <t>Масса материалов</t>
  </si>
  <si>
    <t>Смывка на основе поверхностно-активных веществ, концентрированная, водородный показатель 11,5 pH, для очистки от загрязнений, пыли, масляных и жировых налётов минеральных поверхностей, штукатурки, каменных, бетонных поверхностей и природного камня</t>
  </si>
  <si>
    <t>Промывка водой с моющим и средствами поверхности из камня перед проведением биоцидных работ, поверхность гладкая и цилиндрическая</t>
  </si>
  <si>
    <t>Ручная расчистка от легкоудаляемых поверхностных загрязнений и слабых покрасок (клеевых и эмульсионных) архитектурных деталей с соблюдением осторожности во избежание повреждения камня, вид поверхности - плоская и цилиндрическая</t>
  </si>
  <si>
    <t>Укрепление расслоившейся кирпичной кладки путем инъектирования связующими растворами гидравлическим инъектором, ширина инъекционной трещины более 5 мм/ 024/18КН-КНИ3.2 (62+17+23+14+4=120 м3)</t>
  </si>
  <si>
    <t>Отбивка штукатурки с кирпичных и бетонных поверхностей стен и потолков отдельными местами</t>
  </si>
  <si>
    <t>Известь гидратная (пушонка)</t>
  </si>
  <si>
    <t>Реставрация швов кирпичной кладки путем заполнения специальным (известковым) раствором гладких поверхностей</t>
  </si>
  <si>
    <t>Реставрация кирпичных перемычек большемерным кирпичом одно и трехцентровых прямых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</si>
  <si>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 при простой теске на валик с подсечкой скоция и т.п./ печные трубы том КНИ 3.1 лист 6/ 023/18КН-КНИ3.1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</si>
  <si>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 при простой теске на полуовал, треугольник и т.п./ печные трубы том КНИ 3.1 лист 6/ 023/18КН-КНИ3.1</t>
  </si>
  <si>
    <t>Реставрация кирпичных архитектурных деталей карнизов, поясков, наличников и прочих деталей от 1 до 10 кирпичей в одном месте, заготовка профилированных и резных кирпичей при простой теске на фаски// печные трубы том КНИ 3.1 лист 6/ 023/18КН-КНИ3.1</t>
  </si>
  <si>
    <t>Реставрация кладки прямоугольных кирпичных столбов сечением 1,5х1,5 большемерного кирпича при сложном архитектурном оформлении/ печные трубы том КНИ 3.1 лист 6/ 023/18КН-КНИ3.1</t>
  </si>
  <si>
    <t>Реставрация кирпичной кладки стен большемерным кирпичом при сложном архитектурном оформлении кладки до 0,5 м3 в одном месте/ том КНИ 3.1 п.3</t>
  </si>
  <si>
    <t>Реставрация лицевой поверхности кирпичной кладки (кроме архитектурных деталей) большемерным кирпичом глубиной заделки в 0,5 кирпича/ АР раздел 6, 023/18 КНИ 3.1лист 14 стр.24</t>
  </si>
  <si>
    <t>Реставрация лицевой поверхности кирпичной кладки (кроме архитектурных деталей) большемерным кирпичом глубиной заделки в 1 кирпич/ 023/18 КНИ 3.1, АР раздел 6 023/18 КНИ 3.1лист 14 стр.24</t>
  </si>
  <si>
    <t>Восстановление поверхности кирпичной кладки, биоцидная обработка силиконовым антисептическим составом</t>
  </si>
  <si>
    <t>Расчистка кирпичных поверхностей от масляной окраски трудноудаляемой на сложной профилированной поверхности</t>
  </si>
  <si>
    <t>Расчистка кирпичных поверхностей от масляной окраски трудноудаляемой на гладкой поверхности/ торцевых фасадов и цоколя</t>
  </si>
  <si>
    <t>Разборка первоначальной кирпичной кладки стен, столбов, колонн, сводов, арок, глав и т.д. или поздних пристроек и заделок в памятниках непосредственно сопрягающихся с древней кладкой при большой прочности кладки/ 023/18КН-КНИ3.1 лист 40 п.4</t>
  </si>
  <si>
    <t>ОБОРУДОВАНИЕ:
Ручка дверная наклонная (поручень реабилитационный), размер 310х58 мм, в комплекте. Материал латунь, дуб, в комплекте: прокладки-амортизаторы резиновые, крепежные элементы</t>
  </si>
  <si>
    <t>ОБОРУДОВАНИЕ:
Зеркало в металлической раме, размеры 1600х500 мм. Каркас из хромированной трубы диаметром 25 мм, регулировка по высоте, зеркальное полотно без острых кромок с травмобезопасной пленкой</t>
  </si>
  <si>
    <t>ОБОРУДОВАНИЕ:
Поручень реабилитационный настенный, размеры 700х90 мм, в комплекте. Материал сталь нержавеющая с полировкой, крепление стена две точки, в комплекте: прокладки-амортизаторы резиновые, крепежные элементы</t>
  </si>
  <si>
    <t>ОБОРУДОВАНИЕ:
Поручень реабилитационный настенный, размеры 1500х90 мм, в комплекте. Материал сталь нержавеющая с полировкой, крепление стена две точки, в комплекте: прокладки-амортизаторы резиновые, крепежные элементы</t>
  </si>
  <si>
    <t>ОБОРУДОВАНИЕ:
Поручень реабилитационный откидной для установки около унитаза, размеры 700х700 мм, в комплекте. Материал сталь нержавеющая с полировкой, крепление стена три точки, в комплекте: прокладки-амортизаторы резиновые, крепежные элементы</t>
  </si>
  <si>
    <t>Плитка тактильная поливинилхлоридная, размеры 300х300х4 мм</t>
  </si>
  <si>
    <t>Укладка тактильных плиток (указателей) поливинилхлоридных размером 300х300х4 мм на клее/ 023/18КН-ОДИ л. 1, л.2</t>
  </si>
  <si>
    <r>
      <t>3.11-47-1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</si>
  <si>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Знаки безопасности и эвакуационные указатели из пластика с фотолюминесцентным покрытием, размер 200х200 мм</t>
  </si>
  <si>
    <t>Установка номерных табличек для квартир/ 023/18КН-ОДИ л. 1, л.2</t>
  </si>
  <si>
    <r>
      <t>3.9-65-1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</si>
  <si>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Умывальники специального назначения, хирургические в комплекте со смесителем настенным локтевым, кронштейнами, латунным сифоном и выпуском, размер 650х590х190 мм</t>
  </si>
  <si>
    <t>Установка раковин</t>
  </si>
  <si>
    <r>
      <t>3.17-5-4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</si>
  <si>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Подводки к водоразборной арматуре, с двумя латунными накидными гайками, длина 500 мм</t>
  </si>
  <si>
    <t>Унитазы-компакт керамические нестандартной высоты для людей с ограниченными физическими возможностями, размеры 360х670х480 мм, с горизонтальным выпуском</t>
  </si>
  <si>
    <t>Установка унитазов с бачком непосредстенно присоединенным</t>
  </si>
  <si>
    <r>
      <t>3.17-3-1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</si>
  <si>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Извещатели (кнопки) тревожной сигнализации с фиксацией, тип "ИО-101-2" (КНФ-1)</t>
  </si>
  <si>
    <t>Ключ или кнопка на панели</t>
  </si>
  <si>
    <t>1</t>
  </si>
  <si>
    <t>Разработка специальных технических условий для проектирования</t>
  </si>
  <si>
    <t>В том числе оборудование не облагаемое НДС</t>
  </si>
  <si>
    <t>Разборка трубопроводов на сварке диаметром труб до 100 мм</t>
  </si>
  <si>
    <t>Разборка трубопроводов из водогазопроводных труб диаметром до 50 мм</t>
  </si>
  <si>
    <t>Разборка трубопроводов из водогазопроводных труб диаметром до 40 мм</t>
  </si>
  <si>
    <t>Разборка трубопроводов из водогазопроводных труб диаметром до 25 мм</t>
  </si>
  <si>
    <t>Фланец стальной плоский приварной с соединительным выступом, из стали Ст3сп, номинальное давление PN 1,6 (16) МПа (кгс/см2), номинальный диаметр DN 40 мм</t>
  </si>
  <si>
    <t>Врезки в действующие внутренние сети трубопроводов отопления и водоснабжения диаметром 40 мм</t>
  </si>
  <si>
    <r>
      <t>3.16-27-5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</si>
  <si>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Фланец стальной плоский приварной с соединительным выступом, из стали Ст3сп, номинальное давление PN 1,6 (16) МПа (кгс/см2), номинальный диаметр DN 32 мм</t>
  </si>
  <si>
    <t>Врезки в действующие внутренние сети трубопроводов отопления и водоснабжения диаметром 32 мм</t>
  </si>
  <si>
    <r>
      <t>3.16-27-4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</si>
  <si>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Термостат-смеситель, латунный, центральный, без стопора, корпус встраиваемого смесителя (без комплекта верхней монтажной части), для скрытого монтажа, термоэлемент с невыдвижным шпинделем, отводы 1/2"</t>
  </si>
  <si>
    <t>Установка смесителей</t>
  </si>
  <si>
    <r>
      <t>3.17-2-3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</si>
  <si>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Кран шаровой латунный полнопроходной Techno-A (аналог V665), Tmax=120°С, Р=1,6 МПа, диаметр 25 мм</t>
  </si>
  <si>
    <t>Муфты угловые латунные никелированные для присоединения полотенцесушителей, "гайка-гайка", в комплекте с отражателем и прокладками, диаметр условного прохода 25 мм</t>
  </si>
  <si>
    <t>Полотенцесушители из нержавеющей стали, серия МП 50-60 (с двумя полочками), высота 500 мм, длина 600 мм, диаметр условного прохода 25 мм</t>
  </si>
  <si>
    <t>Установка полотенцесушителей из нержавеющей стали П-образных, М-образных, МП-образных</t>
  </si>
  <si>
    <r>
      <t>3.17-2-6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</si>
  <si>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Краска на водной основе, эластичная, для защиты теплоизоляции из вспененного синтетического каучука, для наружных и внутренних работ</t>
  </si>
  <si>
    <t>Клей для крепления теплоизоляционных трубок к поверхности трубопровода, марка "K-Flex К 414"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</si>
  <si>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48 мм, толщина 9 мм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</si>
  <si>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42 мм, толщина 9 мм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</si>
  <si>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35 мм, толщина 9 мм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</si>
  <si>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28 мм, толщина 9 мм</t>
  </si>
  <si>
    <t>Лента из вспененного каучука, самоклеящаяся, для проклейки швов универсальной теплоизоляции, диапазон температур применения от -200 до +105°C, коэффициент теплопроводности при температуре 0°C не более 0,036 Вт/(м х °C), ширина 50 мм, толщина 3 мм</t>
  </si>
  <si>
    <t>Изоляция трубопроводов изделиями из вспененного каучука, вспененного полиэтилена, трубками</t>
  </si>
  <si>
    <r>
      <t>3.26-16-1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</si>
  <si>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Гидравлическое испытание трубопроводов систем отопления, водопровода и горячего водоснабжения диаметром до 100 мм</t>
  </si>
  <si>
    <r>
      <t>3.16-29-2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</si>
  <si>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Гидравлическое испытание трубопроводов систем отопления, водопровода и горячего водоснабжения диаметром до 50 мм</t>
  </si>
  <si>
    <r>
      <t>3.16-29-1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</si>
  <si>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Узлы трубопроводов из стальных водогазопроводных оцинкованных труб с гильзами для водоснабжения, диаметр условного прохода 65 мм</t>
  </si>
  <si>
    <t>Опорные части трубопроводов стальные огрунтованные</t>
  </si>
  <si>
    <t>Прокладка трубопроводов водоснабжения из стальных водогазопроводных оцинкованных труб диаметром 65 мм</t>
  </si>
  <si>
    <r>
      <t>3.16-7-7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</si>
  <si>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Узлы трубопроводов из стальных водогазопроводных оцинкованных труб с гильзами для водоснабжения, диаметр условного прохода 50 мм</t>
  </si>
  <si>
    <t>Кран шаровой латунный полнопроходной Techno-A (аналог V665), Tmax=120°С, Р=1,6 МПа, диаметр 50 мм</t>
  </si>
  <si>
    <t>Прокладка трубопроводов водоснабжения из стальных водогазопроводных оцинкованных труб диаметром 50 мм</t>
  </si>
  <si>
    <r>
      <t>3.16-7-6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</si>
  <si>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Узлы трубопроводов из стальных водогазопроводных оцинкованных труб с гильзами для водоснабжения, диаметр условного прохода 40 мм</t>
  </si>
  <si>
    <t>Кран шаровой латунный полнопроходной Techno-A (аналог V665), Tmax=120°С, Р=1,6 МПа, диаметр 40 мм</t>
  </si>
  <si>
    <t>Прокладка трубопроводов водоснабжения из стальных водогазопроводных оцинкованных труб диаметром 40 мм</t>
  </si>
  <si>
    <r>
      <t>3.16-7-5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</si>
  <si>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Узлы трубопроводов из стальных водогазопроводных оцинкованных труб с гильзами для водоснабжения, диаметр условного прохода 32 мм</t>
  </si>
  <si>
    <t>Клапаны запорно-балансировочные латунные муфтовые ручные, с измерительным ниппелем и дренажным краном, тип USV-1, Tmax =120°С, давление 1,6 МПа, пропускная способность 6,3 м3/ч, диаметр условного прохода 32 мм</t>
  </si>
  <si>
    <t>Кран шаровой латунный полнопроходной Techno-A (аналог V665), Tmax=120°С, Р=1,6 МПа, диаметр 32 мм</t>
  </si>
  <si>
    <t>Прокладка трубопроводов водоснабжения из стальных водогазопроводных оцинкованных труб диаметром 32 мм</t>
  </si>
  <si>
    <r>
      <t>3.16-7-4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</si>
  <si>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Узлы трубопроводов из стальных водогазопроводных оцинкованных труб с гильзами для водоснабжения, диаметр условного прохода 25 мм</t>
  </si>
  <si>
    <t>Прокладка трубопроводов водоснабжения из стальных водогазопроводных оцинкованных труб диаметром 25 мм</t>
  </si>
  <si>
    <r>
      <t>3.16-7-3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</si>
  <si>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Узлы трубопроводов из стальных водогазопроводных оцинкованных труб с гильзами для водоснабжения, диаметр условного прохода 20 мм</t>
  </si>
  <si>
    <t>Клапаны запорно-балансировочные латунные муфтовые ручные, с измерительным ниппелем и дренажным краном, тип USV-1, Tmax =120°С, давление 1,6 МПа, пропускная способность 2,5 м3/ч, диаметр условного прохода 20 мм</t>
  </si>
  <si>
    <t>Кран шаровой латунный полнопроходной Techno-A (аналог V665), Tmax=120°С, Р=1,6 МПа, диаметр 20 мм</t>
  </si>
  <si>
    <t>Прокладка трубопроводов водоснабжения из стальных водогазопроводных оцинкованных труб диаметром 20 мм</t>
  </si>
  <si>
    <r>
      <t>3.16-7-2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</si>
  <si>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Узлы трубопроводов из стальных водогазопроводных оцинкованных труб с гильзами для водоснабжения, диаметр условного прохода 15 мм</t>
  </si>
  <si>
    <t>Кран шаровой латунный полнопроходной, со спускным элементом и заглушкой, Techno-C (аналог V3000В),Tmax=120°С, Р=2,5 МПа, диаметр 15 мм</t>
  </si>
  <si>
    <t>Кран шаровой латунный полнопроходной Techno-A (аналог V665), Tmax=120°С, Р=1,6 МПа, диаметр 15 мм</t>
  </si>
  <si>
    <t>Прокладка трубопроводов водоснабжения из стальных водогазопроводных оцинкованных труб диаметром 15 мм</t>
  </si>
  <si>
    <r>
      <t>3.16-7-1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</si>
  <si>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ОБОРУДОВАНИЕ:
Огнетушитель углекислотный ОУ-5, масса заряда 5 кг. Огнетушащее вещество СО2, продолжительность подачи не менее 8 секунд</t>
  </si>
  <si>
    <t>Шкафы пожарного крана металлические навесные, окрашенные порошковыми красками, остекленные оргстеклом, марка ШПК-Пульс-320НО, двухсекционные, 540х1300х230 мм, с местом для двух огнетушителей, с замком-защелкой</t>
  </si>
  <si>
    <t>Установка шкафов металлических для санитарно-технических систем на стене или в нише, шкаф массой до 20 кг</t>
  </si>
  <si>
    <r>
      <t>3.16-37-2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</si>
  <si>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Рукава пожарные напорные, льняные, диаметр 51 мм</t>
  </si>
  <si>
    <t>Вентили бронзовые (латунные) запорные муфтовые, марка 15б3рк, давление 1,0 (10) МПа (кгс/см2), диаметр 50 мм</t>
  </si>
  <si>
    <t>Установка кранов пожарных диаметром 50 мм</t>
  </si>
  <si>
    <r>
      <t>3.16-20-1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</si>
  <si>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Фланцы стальные плоские приварные с соединительным выступом, из стали ВСт3СП, ГОСТ 12820-80, условное давление 1,6 (16) МПа (кгс/см2), диаметр условного прохода 100 мм</t>
  </si>
  <si>
    <t>Врезки в действующие внутренние сети трубопроводов отопления и водоснабжения диаметром 100 мм</t>
  </si>
  <si>
    <r>
      <t>3.16-27-8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</si>
  <si>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Вентили бронзовые (латунные) запорные муфтовые, марка 15б3рк, давление 1,0 (10) МПа (кгс/см2), диаметр 25 мм</t>
  </si>
  <si>
    <t>Установка кранов поливочных, диаметром 25 мм</t>
  </si>
  <si>
    <r>
      <t>3.16-20-3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</si>
  <si>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114 мм, толщина 9 мм</t>
  </si>
  <si>
    <t>Трубки теплоизоляционные из вспененного синтетического каучука, для систем трубопроводов, диапазон температур применения от -50 до +110°С, теплопроводность при температуре 0°С не более 0,036 Вт/(м х К), внутренний диаметр 28 мм, толщина 9 мм</t>
  </si>
  <si>
    <t>Трубки теплоизоляционные из вспененного синтетического каучука, для систем трубопроводов, диапазон температур применения от -50 до +110°С, теплопроводность при температуре 0°С не более 0,036 Вт/(м х К), внутренний диаметр 22 мм, толщина 9 мм</t>
  </si>
  <si>
    <t>Узлы трубопроводов из стальных водогазопроводных оцинкованных труб с гильзами для водоснабжения, диаметр условного прохода 100 мм</t>
  </si>
  <si>
    <t>Прокладка трубопроводов водоснабжения из стальных водогазопроводных оцинкованных труб диаметром 100 мм</t>
  </si>
  <si>
    <r>
      <t>3.16-7-10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</si>
  <si>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Краны латунные шаровые муфтовые проходные, марка 11б27п, диаметр 50 мм</t>
  </si>
  <si>
    <t>Вентили чугунные запорные муфтовые, марка 15ч8п2, давление 1,6 (16) МПа (кгс/см2), диаметр условного прохода 15 мм</t>
  </si>
  <si>
    <t>Установка вентилей, задвижек, затворов, клапанов обратных, кранов проходных на трубопроводах из стальных труб диаметром до 25 мм</t>
  </si>
  <si>
    <r>
      <t>3.16-15-1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</si>
  <si>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Фильтры для очистки воды магнитно-механические для улавливания стойких механических примесей в неагрессивных жидкостях, муфтовые, марка ФММ-32</t>
  </si>
  <si>
    <t>Установка фильтров диаметром 40 мм</t>
  </si>
  <si>
    <r>
      <t>3.18-19-3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</si>
  <si>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Термометры стеклянные технические ртутные прямые</t>
  </si>
  <si>
    <t>Установка термометров в оправе прямых или угловых</t>
  </si>
  <si>
    <r>
      <t>3.18-20-4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</si>
  <si>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Клапаны чугунные, обратные, фланцевые, тип 402, условное давление 1,6 (16) МПа (кгс/см2), диаметр 100 мм</t>
  </si>
  <si>
    <t>Фланец стальной плоский приварной с соединительным выступом, из стали Ст3сп, номинальное давление PN 2,5 (25) МПа (кгс/см2), номинальный диаметр DN 100 мм</t>
  </si>
  <si>
    <t>Установка вентилей, задвижек, затворов, клапанов обратных, кранов проходных на трубопроводах из стальных труб диаметром до 100 мм</t>
  </si>
  <si>
    <r>
      <t>3.16-15-3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</si>
  <si>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Гильзы защитные из полипропилена PP-R80, для защиты труб в местах прохода через строительные конструкции</t>
  </si>
  <si>
    <t>Опора неподвижная щитовая ДУ 50 мм</t>
  </si>
  <si>
    <t>Опора скользящая ОПП-3 для трубопроводов, диаметр условного прохода (ДУ) 50 мм</t>
  </si>
  <si>
    <t>Обвязки водомеров из стальных водогазопроводных бесшовных и сварных труб с фланцами, болтами, гайками, прокладками и муфтовой арматурой с обводной линией, диаметр водомера, до 40 мм</t>
  </si>
  <si>
    <t>Счетчики холодной воды крыльчатые, с импульсным выходом, диаметр 20 мм</t>
  </si>
  <si>
    <t>Манометры показывающие, для измерения избыточного давления в пылебрызгозащищенном исполнении МП-4У, класс точности 1,5, общего назначения с трехходовым краном, ОБМ1-100, ОБМВ1-100, ОБВ1-100</t>
  </si>
  <si>
    <t>ОБОРУДОВАНИЕ:
Задвижка чугунная, параллельная, фланцевая с выдвижным шпинделем, для воды и пара, тип 30ч906бр, давление 1,0 МПа, диаметр 100 мм, с электроприводом НА-04. Температура рабочей среды (максимальная) +225°С</t>
  </si>
  <si>
    <t>Задвижки чугунные, с обрезиненным клином невыдвижным шпинделем, фланцевые, для холодной воды, марка МЗВ (30ч39р), давление 1,0 (10) МПа (кгс/см2), диаметр 100 мм</t>
  </si>
  <si>
    <t>Установка водомерных узлов, поставляемых на место монтажа собранными в блоки, с обводной линией диаметром ввода до 100 мм диаметром водомера до 80 мм</t>
  </si>
  <si>
    <r>
      <t>3.16-22-2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</si>
  <si>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Размещение строительного мусора (унитазы, умывальники)</t>
  </si>
  <si>
    <t>Демонтаж смесителя с душем</t>
  </si>
  <si>
    <t>Демонтаж санитарно-технических приборов поддонов</t>
  </si>
  <si>
    <t>Демонтаж санитарно-технических приборов умывальников или раковин</t>
  </si>
  <si>
    <t>Демонтаж санитарно-технических приборов унитазов со смывным бачком</t>
  </si>
  <si>
    <t>Разборка трубопроводов из чугунных канализационных труб диаметром до 100 мм</t>
  </si>
  <si>
    <t>Разборка трубопроводов из чугунных канализационных труб диаметром до 50 мм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</si>
  <si>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108 мм, толщина 13 мм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</si>
  <si>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60 мм, толщина 13 мм</t>
  </si>
  <si>
    <t>Муфты противопожарные "Огракс-ПМ-110/60"с вкладышем из огнезащитного терморасширяющегося материала серии "Огракс-Л"</t>
  </si>
  <si>
    <t>Установка противопожарных муфт на канализационных стояках из полипропиленовых труб в междуэтажных перекрытиях, муфт с креплением болтами к перекрытиям</t>
  </si>
  <si>
    <r>
      <t>3.16-33-2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</si>
  <si>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Врезки в действующие внутренние сети трубопроводов канализации диаметром 100 мм</t>
  </si>
  <si>
    <r>
      <t>3.16-28-2</t>
    </r>
    <r>
      <rPr>
        <i/>
        <sz val="10"/>
        <rFont val="Arial"/>
        <family val="2"/>
        <charset val="204"/>
      </rPr>
      <t xml:space="preserve">
Поправка: ТСН-2001.6. О.П. п.11</t>
    </r>
  </si>
  <si>
    <r>
      <t>Двухоборотный сифон с воронкой</t>
    </r>
    <r>
      <rPr>
        <i/>
        <sz val="10"/>
        <rFont val="Arial"/>
        <family val="2"/>
        <charset val="204"/>
      </rPr>
      <t xml:space="preserve">
Базисная стоимость: 117,78 = [751 / 1,2 /  5,42] +  2% Трансп</t>
    </r>
  </si>
  <si>
    <t>Смена санитарно-технических приборов, смена сифонов/ 023/18КН-ИОС3 Лист 1 п.10</t>
  </si>
  <si>
    <t>Детали из полиэтилена для труб, ревизии, диаметр 110 мм/ прочистка</t>
  </si>
  <si>
    <t>Детали из полиэтилена для труб, крышки ревизий, диаметр 110 мм</t>
  </si>
  <si>
    <t>Детали из полиэтилена для труб, ревизии, диаметр 110 мм</t>
  </si>
  <si>
    <t>Заготовки трубные поливинилхлоридные, внутренней канализации без средств крепления, диаметр 100 мм</t>
  </si>
  <si>
    <t>Прокладка трубопроводов канализации из ПВХ труб диаметром 100 мм - 150 мм</t>
  </si>
  <si>
    <r>
      <t>3.16-13-2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</si>
  <si>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Ревизии с крышкой для канализации из полиэтилена низкого давления, диаметр 50 мм/ прочистка</t>
  </si>
  <si>
    <t>Ревизии с крышкой для канализации из полиэтилена низкого давления, диаметр 50 мм</t>
  </si>
  <si>
    <t>Заготовки трубные поливинилхлоридные, внутренней канализации без средств крепления, диаметр 50 мм</t>
  </si>
  <si>
    <t>Прокладка трубопроводов канализации из ПВХ труб диаметром до 50 мм</t>
  </si>
  <si>
    <r>
      <t>3.16-13-1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</si>
  <si>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Ревизии чугунные, ГОСТ 694224-80, диаметр условного прохода 100 мм/ прочистка</t>
  </si>
  <si>
    <t>Трубы чугунные напорные раструбные, класс А, диаметр условного прохода 100 мм, толщина стенки 8,3 мм</t>
  </si>
  <si>
    <t>Прокладка по стенам зданий и в каналах труб чугунных напорных раструбных диаметром 100 мм</t>
  </si>
  <si>
    <r>
      <t>3.16-2-3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</si>
  <si>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Трапы чугунные с вертикальным отводом условным проходом 50 мм</t>
  </si>
  <si>
    <t>Установка трапов диаметром 50 мм</t>
  </si>
  <si>
    <r>
      <t>3.17-1-11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</si>
  <si>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Поддоны душевые чугунные эмалированные, размер 800х800х365 мм, глубокие, в комплекте с сифоном СПРЧПМ (СПРППМ) и выпуском ВСЛВН (ВСПВН)</t>
  </si>
  <si>
    <t>Кабины душевые с каркасом из алюминиевого профиля и стенками из ударопрочного поликарбоната двухстенные с угловым входом без поддона, размер 800х800х1850 мм</t>
  </si>
  <si>
    <t>Установка душевых кабин с чугунными поддонами</t>
  </si>
  <si>
    <r>
      <t>3.17-1-16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</si>
  <si>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Смесители для хирургических умывальников, локтевые</t>
  </si>
  <si>
    <t>Мойки из нержавеющей стали с двумя чашами, размеры 830х430 мм</t>
  </si>
  <si>
    <t>Установка моек на два отделения</t>
  </si>
  <si>
    <r>
      <t>3.17-5-2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</si>
  <si>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Мойки чугунные эмалированные на одно отделение, размер 500х600 мм, с сифоном</t>
  </si>
  <si>
    <t>Установка моек на одно отделение</t>
  </si>
  <si>
    <r>
      <t>3.17-5-1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</si>
  <si>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Смесители для душа комбинированные, с гибким шлангом флажковые с керамическим затвором и кронштейном, Vidima Ideal+Arma</t>
  </si>
  <si>
    <t>Сифоны бутылочные из цветных металлов, латунные</t>
  </si>
  <si>
    <t>Поддоны душевые чугунные эмалированные, размер 800х800х167 мм, мелкие, в комплекте с сифоном СПРЧПМ (СПРППМ) и выпуском ВСЛВН (ВСПВН),</t>
  </si>
  <si>
    <t>Установка поддонов душевых чугунных и стальных мелких</t>
  </si>
  <si>
    <r>
      <t>3.17-1-10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</si>
  <si>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Смесители для ванн и умывальников "Елочка" с керамическим затвором,Vidima Ideal+Arma</t>
  </si>
  <si>
    <t>Мойки стальные эмалированные на одно отделение, размер 500х500 мм, в комплекте со смесителем СМ-М-ЦАД, с сифоном СБП2М, комплектом кронштейнов КР МБ</t>
  </si>
  <si>
    <t>Выпуски пластмассовые к санитарно-техническим приборам, к умывальникам</t>
  </si>
  <si>
    <t>Умывальники керамические прямоугольные ""Классик"</t>
  </si>
  <si>
    <t>Кронштейны чугунные для умывальников и моек скрытый большой КСБ, длина 320 мм</t>
  </si>
  <si>
    <t>Установка умывальников одиночных с подводкой холодной и горячей воды</t>
  </si>
  <si>
    <r>
      <t>3.17-1-6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</si>
  <si>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Подводки гибкие армированные для воды, антивибрационные в комплекте с прокладками, диаметр 15 мм, длина 500 мм</t>
  </si>
  <si>
    <t>Монтаж гибких подводок к водогазоразборной арматуре</t>
  </si>
  <si>
    <r>
      <t>3.16-14-1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</si>
  <si>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Унитазы керамические тарельчатые, комплект с отдельной полочкой в комплекте с запорной арматурой и бачком, размер 700х580х360 мм</t>
  </si>
  <si>
    <t>Фланец стальной плоский приварной с соединительным выступом, из стали Ст3сп, номинальное давление PN 1,6 (16) МПа (кгс/см2), номинальный диаметр DN 50 мм</t>
  </si>
  <si>
    <t>Врезки в действующие внутренние сети трубопроводов отопления и водоснабжения диаметром 50 мм</t>
  </si>
  <si>
    <r>
      <t>3.16-27-6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</si>
  <si>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Клапаны чугунные, обратные, фланцевые, тип 402, условное давление 1,6 (16) МПа (кгс/см2), диаметр 50 мм</t>
  </si>
  <si>
    <t>Фланец стальной плоский приварной с соединительным выступом, из стали Ст3сп, номинальное давление PN 2,5 (25) МПа (кгс/см2), номинальный диаметр DN 50 мм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</si>
  <si>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</si>
  <si>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r>
      <t>3.16-15-2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</si>
  <si>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Насос дренажный погружной одноступенчатый с поплавковым выключателем, подача до 14 м3/ч, напор до 9 м, напряжение 220 В, номинальная мощность электродвигателя 0,3 кВт, частота вращения 2900 об/мин, для воды температурой до 50°С, плотностью до 1000 кг/м3, с максимальным диаметром пропускаемых твердых частиц до 10 мм/  Wilo Drain TMW 32/11</t>
  </si>
  <si>
    <t>Установка насосов погружных центробежных фекальных с электродвигателем производительностью 10 м3/час</t>
  </si>
  <si>
    <r>
      <t>3.17-10-1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</si>
  <si>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ВОЗВРАТ
Чугунный лом, вид лома 19А, для расчета возвратных сумм, ВО</t>
  </si>
  <si>
    <t>ВОЗВРАТ
Стальной лом черных металлов, вид лома 12А, для расчета возвратных сумм, ОВиК</t>
  </si>
  <si>
    <t>ВОЗВРАТ
Стальной лом черных металлов, вид лома 12А, для расчета возвратных сумм, Кровля</t>
  </si>
  <si>
    <t>ВОЗВРАТ
Стальной лом черных металлов, вид лома 12А, для расчета возвратных сумм, ВК, ВО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</si>
  <si>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89 мм, толщина 9 мм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</si>
  <si>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76 мм, толщина 9 мм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</si>
  <si>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60 мм, толщина 9 мм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</si>
  <si>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35 мм, толщина 9 мм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</si>
  <si>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28 мм, толщина 9 мм</t>
  </si>
  <si>
    <t>Рулоны теплоизоляционные из вспененного синтетического каучука с алюминиевым покрытием, для систем вентиляции и кондиционирования, диапазон температур применения от -50 до +110°С, теплопроводность при температуре 0°С не более 0,036 Вт/(м х К ), толщина 9 мм</t>
  </si>
  <si>
    <t>Лента из вспененного синтетического каучука, самоклеящаяся, для продольных и поперечных швов теплоизоляции, ширина 50 мм, толщина 3 мм</t>
  </si>
  <si>
    <t>Олифа для окраски комбинированная "Оксоль"</t>
  </si>
  <si>
    <t>Масляная окраска белилами с добавлением колера металлических решеток, переплетов, труб, диаметром менее 50 мм и т.п. за два раза</t>
  </si>
  <si>
    <t>Узлы трубопроводов из стальных водогазопроводных оцинкованных труб с гильзами для водоснабжения, диаметр условного прохода 80 мм</t>
  </si>
  <si>
    <t>Кран шаровой латунный полнопроходной Techno-A (аналог V665), Tmax=120°С, Р=1,6 МПа, диаметр 80 мм</t>
  </si>
  <si>
    <t>Прокладка трубопроводов водоснабжения из стальных водогазопроводных оцинкованных труб диаметром 80 мм</t>
  </si>
  <si>
    <t>Кран шаровой латунный полнопроходной Techno-A (аналог V665), Tmax=120°С, Р=1,6 МПа, диаметр 65 мм</t>
  </si>
  <si>
    <t>Узлы трубопроводов из стальных водогазопроводных неоцинкованных труб с гильзами для систем отопления, диаметр условного прохода 50 мм</t>
  </si>
  <si>
    <t>Прокладка трубопроводов отопления из стальных водогазопроводных неоцинкованных труб диаметром 50 мм</t>
  </si>
  <si>
    <t>Узлы трубопроводов из стальных водогазопроводных неоцинкованных труб с гильзами для систем отопления, диаметр условного прохода 32 мм</t>
  </si>
  <si>
    <t>Прокладка трубопроводов отопления из стальных водогазопроводных неоцинкованных труб диаметром 32 мм</t>
  </si>
  <si>
    <t>Узлы трубопроводов из стальных водогазопроводных неоцинкованных труб с гильзами для систем отопления, диаметр условного прохода 25 мм</t>
  </si>
  <si>
    <t>Прокладка трубопроводов отопления из стальных водогазопроводных неоцинкованных труб диаметром 25 мм</t>
  </si>
  <si>
    <t>Завеса воздушно-тепловая (регулируемая)</t>
  </si>
  <si>
    <t>Кондиционер местный неавтономный с централизованным теполохолодоснабжением (вентиляторные теплообменники, эжекционные доводчики и т.п.) общей подачей по воздуху до 3 тыс.м3/ч при количестве однотипных кондиционеров в одном помещении до 5</t>
  </si>
  <si>
    <r>
      <t>ОБОРУДОВАНИЕ:
Воздушная тепловая электрическая завеса Тепломаш КЭВ-6П2221Е</t>
    </r>
    <r>
      <rPr>
        <i/>
        <sz val="10"/>
        <color rgb="FF821E82"/>
        <rFont val="Arial"/>
        <family val="2"/>
        <charset val="204"/>
      </rPr>
      <t xml:space="preserve">
Базисная стоимость: 3 612,73 = [18 300 / 1,2 /  4,4] +  3% Трансп +  1,2% Заг.скл</t>
    </r>
  </si>
  <si>
    <t>Установка завес воздушно-тепловых</t>
  </si>
  <si>
    <t>Люк ревизионный стальной, с распашной дверцей с магнитом, окрашен порошковой краской, цвет белый матовый, размеры 300х500 мм</t>
  </si>
  <si>
    <t>Люк ревизионный стальной, с распашной дверцей с магнитом, окрашен порошковой краской, цвет белый матовый, размеры 200х200 мм</t>
  </si>
  <si>
    <r>
      <t>Сифон для дренажа кондиционирования Vecam</t>
    </r>
    <r>
      <rPr>
        <i/>
        <sz val="10"/>
        <rFont val="Arial"/>
        <family val="2"/>
        <charset val="204"/>
      </rPr>
      <t xml:space="preserve">
Базисная стоимость: 313,65 = [1 700 /  5,42]</t>
    </r>
  </si>
  <si>
    <t>Сверло с алмазным покрытием, диаметр 8 мм</t>
  </si>
  <si>
    <t>Трубы напорные PN10 (номинальное давление 10 атм) из полипропилена PPRC, наружный диаметр 32 мм</t>
  </si>
  <si>
    <t>Хомуты из оцинкованной стали с резиновыми прокладками для жесткого и скользящего крепления полипропиленовых труб, наружный диаметр 32 мм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</si>
  <si>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32 мм</t>
  </si>
  <si>
    <t>Трубы напорные PN10 (номинальное давление 10 атм) из полипропилена PPRC, наружный диаметр 25 мм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</si>
  <si>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</t>
  </si>
  <si>
    <t>Трубы напорные PN10 (номинальное давление 10 атм) из полипропилена PPRC, наружный диаметр 20 мм</t>
  </si>
  <si>
    <t>Хомуты из оцинкованной стали с резиновыми прокладками для жесткого и скользящего крепления полипропиленовых труб, наружный диаметр 20 мм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</si>
  <si>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</t>
  </si>
  <si>
    <t>Трубки теплоизоляционные из вспененного каучука, для систем трубопроводов, диапазон температур применения от -200 до +105°C, коэффициент теплопроводности при температуре 0°C не более 0,036 Вт/(м х °C), внутренний диаметр 42 мм, толщина 13 мм</t>
  </si>
  <si>
    <t>Трубы медные для отопления и водоснабжения, наружный диаметр (толщина стенки), мм, 42 (2,0)</t>
  </si>
  <si>
    <t>Трубопроводы из медных труб на условное давление до 2,5 МПа наружный диаметр труб 55 мм</t>
  </si>
  <si>
    <t>Трубы медные для отопления и водоснабжения, наружный диаметр (толщина стенки), мм, 35 (1,2)</t>
  </si>
  <si>
    <t>Трубопроводы из медных труб на условное давление до 2,5 МПа наружный диаметр труб 35 мм</t>
  </si>
  <si>
    <t>Трубы медные для систем кондиционирования, наружный диаметр (толщина стенки), мм, 28,6 (1,27)</t>
  </si>
  <si>
    <t>Трубы медные для систем кондиционирования, наружный диаметр (толщина стенки), мм, 22,2 (1,14)</t>
  </si>
  <si>
    <t>Трубы медные для систем кондиционирования, наружный диаметр (толщина стенки), мм, 19,1 (0,89)</t>
  </si>
  <si>
    <t>Трубопроводы из медных труб на условное давление до 2,5 МПа наружный диаметр труб 28 мм</t>
  </si>
  <si>
    <t>Трубы медные для систем кондиционирования, наружный диаметр (толщина стенки), мм, 15,9 (0,89)</t>
  </si>
  <si>
    <t>Трубы медные для систем кондиционирования, наружный диаметр (толщина стенки), мм, 12,7 (0,81)</t>
  </si>
  <si>
    <t>Трубы медные для систем кондиционирования, наружный диаметр (толщина стенки), мм, 9,52 (0,81)</t>
  </si>
  <si>
    <t>Трубы медные для систем кондиционирования, наружный диаметр (толщина стенки), мм, 6,35 (0,76)</t>
  </si>
  <si>
    <t>Трубопроводы из медных труб на условное давление до 2,5 МПа наружный диаметр труб 18 мм</t>
  </si>
  <si>
    <t>ОБОРУДОВАНИЕ:
Насос дренажный (помпа) для кондиционеров производительность 500 л/ч, высота всасывания 2 м, высота отведения конденсата 5,4 м. Мощность 90 Вт, питание 230 В, 50 Гц, уровень шума 47 дБ, IP20, габаритные размеры 195x130x170 мм</t>
  </si>
  <si>
    <t>Установка узлов насосов ручных</t>
  </si>
  <si>
    <r>
      <t>ОБОРУДОВАНИЕ:
Исполнительный Блок Ротации БИС-1-М</t>
    </r>
    <r>
      <rPr>
        <i/>
        <sz val="10"/>
        <color rgb="FF821E82"/>
        <rFont val="Arial"/>
        <family val="2"/>
        <charset val="204"/>
      </rPr>
      <t xml:space="preserve">
Базисная стоимость: 246,77 = [1 250 / 1,2 /  4,4] +  3% Трансп +  1,2% Заг.скл</t>
    </r>
  </si>
  <si>
    <r>
      <t>ОБОРУДОВАНИЕ:
Управляющий блок Ротации БУРР-1М</t>
    </r>
    <r>
      <rPr>
        <i/>
        <sz val="10"/>
        <color rgb="FF821E82"/>
        <rFont val="Arial"/>
        <family val="2"/>
        <charset val="204"/>
      </rPr>
      <t xml:space="preserve">
Базисная стоимость: 690,96 = [3 500 / 1,2 /  4,4] +  3% Трансп +  1,2% Заг.скл</t>
    </r>
  </si>
  <si>
    <r>
      <t>ОБОРУДОВАНИЕ:
Полупромышленная сплит-система  комплектно Qохл.=8,4Вт, c зимним пакетом UU30WC</t>
    </r>
    <r>
      <rPr>
        <i/>
        <sz val="10"/>
        <color rgb="FF821E82"/>
        <rFont val="Arial"/>
        <family val="2"/>
        <charset val="204"/>
      </rPr>
      <t xml:space="preserve">
Базисная стоимость: 27 276,95 = [138 169,48 / 1,2 /  4,4] +  3% Трансп +  1,2% Заг.скл</t>
    </r>
  </si>
  <si>
    <r>
      <t>ОБОРУДОВАНИЕ:
Полупромышленная сплит-система  комплектно Qохл.=7,6Вт, c зимним пакетом UU24WC</t>
    </r>
    <r>
      <rPr>
        <i/>
        <sz val="10"/>
        <color rgb="FF821E82"/>
        <rFont val="Arial"/>
        <family val="2"/>
        <charset val="204"/>
      </rPr>
      <t xml:space="preserve">
Базисная стоимость: 25 362,78 = [128 473,39 / 1,2 /  4,4] +  3% Трансп +  1,2% Заг.скл</t>
    </r>
  </si>
  <si>
    <r>
      <t>ОБОРУДОВАНИЕ:
Полупромышленная сплит система  комплектно Qохл.=5,2кВт, c зимним пакетом UU18WC</t>
    </r>
    <r>
      <rPr>
        <i/>
        <sz val="10"/>
        <color rgb="FF821E82"/>
        <rFont val="Arial"/>
        <family val="2"/>
        <charset val="204"/>
      </rPr>
      <t xml:space="preserve">
Базисная стоимость: 20 768,77 = [105 202,75 / 1,2 /  4,4] +  3% Трансп +  1,2% Заг.скл</t>
    </r>
  </si>
  <si>
    <t>Приборы, устанавливаемые на фланцевых соединениях (управляющий и исполнительный блок ротации)</t>
  </si>
  <si>
    <t>Средства крепления - кронштейн и подставка под оборудование из сортовой стали</t>
  </si>
  <si>
    <t>Установка наружного блока сплит-системы весом до 30 кг</t>
  </si>
  <si>
    <t>Установка внутреннего блока сплит-системы весом до 10 кг</t>
  </si>
  <si>
    <r>
      <t>ОБОРУДОВАНИЕ:
Центральный контроллер AC Smart 5 PACS5A000</t>
    </r>
    <r>
      <rPr>
        <i/>
        <sz val="10"/>
        <color rgb="FF821E82"/>
        <rFont val="Arial"/>
        <family val="2"/>
        <charset val="204"/>
      </rPr>
      <t xml:space="preserve">
Базисная стоимость: 31 545,41 = [159 791 / 1,2 /  4,4] +  3% Трансп +  1,2% Заг.скл</t>
    </r>
  </si>
  <si>
    <r>
      <t>Адаптер для подключения стандартных коммерческих систем  по   протоколу RS485 (кассетные, бытовые) PSNFP14A0</t>
    </r>
    <r>
      <rPr>
        <i/>
        <sz val="10"/>
        <rFont val="Arial"/>
        <family val="2"/>
        <charset val="204"/>
      </rPr>
      <t xml:space="preserve">
Базисная стоимость: 1 064,73 = [103,99 доллар * 64,6407 / 1,2 /  5,42] +  2% Трансп +  1% Заг.скл</t>
    </r>
  </si>
  <si>
    <r>
      <t>Стандартный проводной пульт дистанционного управления (белый)   с функцией Dual Sensor Control для улучшения энергоэффективности   Multi V 5. Нет инфракрасного приемника. (PREMTB100 )</t>
    </r>
    <r>
      <rPr>
        <i/>
        <sz val="10"/>
        <rFont val="Arial"/>
        <family val="2"/>
        <charset val="204"/>
      </rPr>
      <t xml:space="preserve">
Базисная стоимость: 1 718,90 = [10 852 / 1,2 /  5,42] +  2% Трансп +  1% Заг.скл</t>
    </r>
  </si>
  <si>
    <t>Приборы, устанавливаемые на металлоконструкциях или щитах, масса приборов до 5 кг</t>
  </si>
  <si>
    <t>Рефнеты-разветвители медные для трубных систем кондиционирования, диаметр 28,6 мм</t>
  </si>
  <si>
    <r>
      <t>ОБОРУДОВАНИЕ:
Внутренний блок настенного типа серии Libero, производительность   на охлаждение: 7,1кВт, производительность на нагрев: 8кВт, Габа?  ритные размеры,мм: 885х210х285 (ARNU24GSJC4)</t>
    </r>
    <r>
      <rPr>
        <i/>
        <sz val="10"/>
        <color rgb="FF821E82"/>
        <rFont val="Arial"/>
        <family val="2"/>
        <charset val="204"/>
      </rPr>
      <t xml:space="preserve">
Базисная стоимость: 24 635,40 = [124 788,86 / 1,2 /  4,4] +  3% Трансп +  1,2% Заг.скл</t>
    </r>
  </si>
  <si>
    <r>
      <t>ОБОРУДОВАНИЕ:
Внутренний блок настенного типа серии Libero, производительность   на охлаждение: 5,6кВт, производительность на нагрев: 6,3кВт, Габа?  ритные размеры,мм: 885х210х285 (ARNU18GSJC4)</t>
    </r>
    <r>
      <rPr>
        <i/>
        <sz val="10"/>
        <color rgb="FF821E82"/>
        <rFont val="Arial"/>
        <family val="2"/>
        <charset val="204"/>
      </rPr>
      <t xml:space="preserve">
Базисная стоимость: 22 185,27 = [112 377,87 / 1,2 /  4,4] +  3% Трансп +  1,2% Заг.скл</t>
    </r>
  </si>
  <si>
    <r>
      <t>ОБОРУДОВАНИЕ:
Внутренний блок настенного типа серии Libero, производительность   на охлаждение: 4,5кВт, производительность на нагрев: 5кВт, Габа?  ритные размеры,мм: 885х210х285 (ARNU15GSJC4)</t>
    </r>
    <r>
      <rPr>
        <i/>
        <sz val="10"/>
        <color rgb="FF821E82"/>
        <rFont val="Arial"/>
        <family val="2"/>
        <charset val="204"/>
      </rPr>
      <t xml:space="preserve">
Базисная стоимость: 19 419,28 = [98 366,99 / 1,2 /  4,4] +  3% Трансп +  1,2% Заг.скл</t>
    </r>
  </si>
  <si>
    <r>
      <t>ОБОРУДОВАНИЕ:
Внутренний блок настенного типа серии Libero, производительность   на охлаждение: 3,6кВт, производительность на нагрев: 4кВт, Габа?  ритные размеры,мм: 885х210х285 (ARNU12GSJC4)</t>
    </r>
    <r>
      <rPr>
        <i/>
        <sz val="10"/>
        <color rgb="FF821E82"/>
        <rFont val="Arial"/>
        <family val="2"/>
        <charset val="204"/>
      </rPr>
      <t xml:space="preserve">
Базисная стоимость: 15 734,50 = [79 701,97 / 1,2 /  4,4] +  3% Трансп +  1,2% Заг.скл</t>
    </r>
  </si>
  <si>
    <r>
      <t>ОБОРУДОВАНИЕ:
Внутренний блок настенного типа серии Libero, производительность   на охлаждение: 2,8кВт, производительность на нагрев: 3,2кВт, Габа?  ритные размеры,мм: 885х210х285 (ARNU09GSJC4)</t>
    </r>
    <r>
      <rPr>
        <i/>
        <sz val="10"/>
        <color rgb="FF821E82"/>
        <rFont val="Arial"/>
        <family val="2"/>
        <charset val="204"/>
      </rPr>
      <t xml:space="preserve">
Базисная стоимость: 14 825,26 = [75 096,33 / 1,2 /  4,4] +  3% Трансп +  1,2% Заг.скл</t>
    </r>
  </si>
  <si>
    <r>
      <t>ОБОРУДОВАНИЕ:
Внутренний блок настенного типа серии Libero, производительность   на охлаждение: 2,2кВт, производительность на нагрев: 2,5кВт, Габа?  ритные размеры,мм: 885х210х285 (ARNU07GSJC4)</t>
    </r>
    <r>
      <rPr>
        <i/>
        <sz val="10"/>
        <color rgb="FF821E82"/>
        <rFont val="Arial"/>
        <family val="2"/>
        <charset val="204"/>
      </rPr>
      <t xml:space="preserve">
Базисная стоимость: 13 600,20 = [68 890,81 / 1,2 /  4,4] +  3% Трансп +  1,2% Заг.скл</t>
    </r>
  </si>
  <si>
    <t>Установка внутреннего блока сплит-системы весом до 15 кг</t>
  </si>
  <si>
    <r>
      <t>ОБОРУДОВАНИЕ:
Наружный блок VRF системы "Multi V 5" с вертикальным выбросом   воздуха, режимы работы "Охлаждение/Нагрев". Опционно возмож?  но применение рекуперации., производительность на охлаждение 128,8кВт, производительность на нагрев: 143,3кВт, Габаритные раз?  меры,мм: (1240х1690х760)x2 m=310+237кг  (ARUM460LTE5 )</t>
    </r>
    <r>
      <rPr>
        <i/>
        <sz val="10"/>
        <color rgb="FF821E82"/>
        <rFont val="Arial"/>
        <family val="2"/>
        <charset val="204"/>
      </rPr>
      <t xml:space="preserve">
Базисная стоимость: 792 467,50 = [4 014 187,45 / 1,2 /  4,4] +  3% Трансп +  1,2% Заг.скл</t>
    </r>
  </si>
  <si>
    <r>
      <t>ОБОРУДОВАНИЕ:
Наружный блок VRF системы "Multi V 5" с вертикальным выбросом   воздуха, режимы работы "Охлаждение/Нагрев". Опционно возмож?  но применение рекуперации., производительность на охлаждение:   106,4кВт, производительность на нагрев: 119,7кВт, Габаритные размеры,мм: (1240х1690х760)х2 m=310+237кг (ARUM380LTE5 )</t>
    </r>
    <r>
      <rPr>
        <i/>
        <sz val="10"/>
        <color rgb="FF821E82"/>
        <rFont val="Arial"/>
        <family val="2"/>
        <charset val="204"/>
      </rPr>
      <t xml:space="preserve">
Базисная стоимость: 654 647,08 = [3 316 067,93 / 1,2 /  4,4] +  3% Трансп +  1,2% Заг.скл</t>
    </r>
  </si>
  <si>
    <t>Установка автономных кондиционеров (вес 547 кг)</t>
  </si>
  <si>
    <t>Регулировочно-запорные устройства, клапан огнезадерживающий</t>
  </si>
  <si>
    <t>Сеть систем вентиляции и кондиционирования воздуха при количестве секции, до 5</t>
  </si>
  <si>
    <t>Вентилятор осевой с входными элементами сети, установленный в воздуховоде, шахте, проеме, или крышного типа, № 4-8</t>
  </si>
  <si>
    <t>Клей "Армафлекс"</t>
  </si>
  <si>
    <t>Материал рулонный тепло-, звуко-, огнезащитный базальтовый, прошивной, с обкладкой из алюминиевой фольги с одной стороны, толщина материала 10 мм, теплопроводность при температуре 25°С не более 0,038 Вт/(м х К), для строительных конструкций, воздуховодов систем вентиляции и дымоудаления</t>
  </si>
  <si>
    <t>Мембрана полипропиленовая, ветро-влагозащитная (А), паропроницаемая с огнезащитными добавками, для устройства систем навесных вентилируемых фасадов</t>
  </si>
  <si>
    <t>Маты минераловатные теплоизоляционные с односторонним кашированием алюминиевой фольгой, толщина 50 мм</t>
  </si>
  <si>
    <t>Изоляция плоских и криволинейных поверхностей изделиями из вспененного каучука, вспененного полиэтилена, листами</t>
  </si>
  <si>
    <r>
      <t>КЛОП-2(60)-Н0-1200х800-МВЕ(24)-К</t>
    </r>
    <r>
      <rPr>
        <i/>
        <sz val="10"/>
        <rFont val="Arial"/>
        <family val="2"/>
        <charset val="204"/>
      </rPr>
      <t xml:space="preserve">
Базисная стоимость: 7 210,89 = [45 980 / 1,2 /  5,42] +  2% Трансп</t>
    </r>
  </si>
  <si>
    <r>
      <t>КЛОП-2(60)-Н0-1000х800-МВЕ(24)-К</t>
    </r>
    <r>
      <rPr>
        <i/>
        <sz val="10"/>
        <rFont val="Arial"/>
        <family val="2"/>
        <charset val="204"/>
      </rPr>
      <t xml:space="preserve">
Базисная стоимость: 6 316,97 = [40 280 / 1,2 /  5,42] +  2% Трансп</t>
    </r>
  </si>
  <si>
    <t>Установка клапанов огнезадерживающих периметром до 4500 мм</t>
  </si>
  <si>
    <r>
      <t>КЛОП-2(60)-Н0-800х300-МВЕ(24)-К</t>
    </r>
    <r>
      <rPr>
        <i/>
        <sz val="10"/>
        <rFont val="Arial"/>
        <family val="2"/>
        <charset val="204"/>
      </rPr>
      <t xml:space="preserve">
Базисная стоимость: 4 678,14 = [29 830 / 1,2 /  5,42] +  2% Трансп</t>
    </r>
  </si>
  <si>
    <r>
      <t>КЛОП-2(60)-Н0-600х500-МВЕ(24)-К</t>
    </r>
    <r>
      <rPr>
        <i/>
        <sz val="10"/>
        <rFont val="Arial"/>
        <family val="2"/>
        <charset val="204"/>
      </rPr>
      <t xml:space="preserve">
Базисная стоимость: 3 516,05 = [22 420 / 1,2 /  5,42] +  2% Трансп</t>
    </r>
  </si>
  <si>
    <r>
      <t>КЛОП-2(60)-Н0-600х300-МВЕ(24)-К</t>
    </r>
    <r>
      <rPr>
        <i/>
        <sz val="10"/>
        <rFont val="Arial"/>
        <family val="2"/>
        <charset val="204"/>
      </rPr>
      <t xml:space="preserve">
Базисная стоимость: 4 112,00 = [26 220 / 1,2 /  5,42] +  2% Трансп</t>
    </r>
  </si>
  <si>
    <r>
      <t>КЛОП-2(60)-Н0-500х400-МВЕ(24)-К</t>
    </r>
    <r>
      <rPr>
        <i/>
        <sz val="10"/>
        <rFont val="Arial"/>
        <family val="2"/>
        <charset val="204"/>
      </rPr>
      <t xml:space="preserve">
Базисная стоимость: 2 879,34 = [18 360 / 1,2 /  5,42] +  2% Трансп</t>
    </r>
  </si>
  <si>
    <t>Установка клапанов огнезадерживающих периметром до 3200 мм</t>
  </si>
  <si>
    <r>
      <t>КЛОП-2(60)-Н0-500х300-МВЕ(24)-К</t>
    </r>
    <r>
      <rPr>
        <i/>
        <sz val="10"/>
        <rFont val="Arial"/>
        <family val="2"/>
        <charset val="204"/>
      </rPr>
      <t xml:space="preserve">
Базисная стоимость: 3 109,68 = [16 524 /  5,42] +  2% Трансп</t>
    </r>
  </si>
  <si>
    <r>
      <t>КЛОП-2(60)-Н0-400х300-МВЕ(24)-К</t>
    </r>
    <r>
      <rPr>
        <i/>
        <sz val="10"/>
        <rFont val="Arial"/>
        <family val="2"/>
        <charset val="204"/>
      </rPr>
      <t xml:space="preserve">
Базисная стоимость: 3 207,54 = [17 044 /  5,42] +  2% Трансп</t>
    </r>
  </si>
  <si>
    <t>Установка клапанов огнезадерживающих периметром до 1600 мм</t>
  </si>
  <si>
    <r>
      <t>"КЛОП-2(60)-Н0-Д250-МВЕ(24)-К</t>
    </r>
    <r>
      <rPr>
        <i/>
        <sz val="10"/>
        <rFont val="Arial"/>
        <family val="2"/>
        <charset val="204"/>
      </rPr>
      <t xml:space="preserve">
Базисная стоимость: 2 771,13 = [17 670 / 1,2 /  5,42] +  2% Трансп</t>
    </r>
  </si>
  <si>
    <r>
      <t>"КЛОП-2(60)-Н0-Д200-МВЕ(24)-К</t>
    </r>
    <r>
      <rPr>
        <i/>
        <sz val="10"/>
        <rFont val="Arial"/>
        <family val="2"/>
        <charset val="204"/>
      </rPr>
      <t xml:space="preserve">
Базисная стоимость: 1 430,25 = [9 120 / 1,2 /  5,42] +  2% Трансп</t>
    </r>
  </si>
  <si>
    <r>
      <t>"КЛОП-2(60)-Н0-Д125-МВЕ(24)-К</t>
    </r>
    <r>
      <rPr>
        <i/>
        <sz val="10"/>
        <rFont val="Arial"/>
        <family val="2"/>
        <charset val="204"/>
      </rPr>
      <t xml:space="preserve">
Базисная стоимость: 2 258,30 = [14 400 / 1,2 /  5,42] +  2% Трансп</t>
    </r>
  </si>
  <si>
    <r>
      <t>"КЛОП-2(60)-Н0-Д100-МВЕ(24)-К</t>
    </r>
    <r>
      <rPr>
        <i/>
        <sz val="10"/>
        <rFont val="Arial"/>
        <family val="2"/>
        <charset val="204"/>
      </rPr>
      <t xml:space="preserve">
Базисная стоимость: 1 404,39 = [8 955 / 1,2 /  5,42] +  2% Трансп</t>
    </r>
  </si>
  <si>
    <t>Установка заслонок воздушных и клапанов воздушных КВР с ручным приводом диаметром до 250 мм</t>
  </si>
  <si>
    <r>
      <t>ОБОРУДОВАНИЕ:
Воздухораздающий блок с фильтром Н13 с боковым присоединением ВБ-Д 595х595</t>
    </r>
    <r>
      <rPr>
        <i/>
        <sz val="10"/>
        <color rgb="FF821E82"/>
        <rFont val="Arial"/>
        <family val="2"/>
        <charset val="204"/>
      </rPr>
      <t xml:space="preserve">
Базисная стоимость: 2 478,71 = [12 555,75 / 1,2 /  4,4] +  3% Трансп +  1,2% Заг.скл</t>
    </r>
  </si>
  <si>
    <r>
      <t>ОБОРУДОВАНИЕ:
Воздухораздающий блок с фильтром Н13 с боковым присоединением ВБ-Д 450х450</t>
    </r>
    <r>
      <rPr>
        <i/>
        <sz val="10"/>
        <color rgb="FF821E82"/>
        <rFont val="Arial"/>
        <family val="2"/>
        <charset val="204"/>
      </rPr>
      <t xml:space="preserve">
Базисная стоимость: 2 145,28 = [10 866,75 / 1,2 /  4,4] +  3% Трансп +  1,2% Заг.скл</t>
    </r>
  </si>
  <si>
    <t>Установка воздухораспределителей, предназначенных для подачи воздуха в рабочую зону массой до 20 кг</t>
  </si>
  <si>
    <r>
      <t>Решетка двухрядная с адаптером АДН400х200</t>
    </r>
    <r>
      <rPr>
        <i/>
        <sz val="10"/>
        <rFont val="Arial"/>
        <family val="2"/>
        <charset val="204"/>
      </rPr>
      <t xml:space="preserve">
Базисная стоимость: 196,03 = [1 250 / 1,2 /  5,42] +  2% Трансп</t>
    </r>
  </si>
  <si>
    <r>
      <t>Решетка двухрядная с адаптером АДН400х150</t>
    </r>
    <r>
      <rPr>
        <i/>
        <sz val="10"/>
        <rFont val="Arial"/>
        <family val="2"/>
        <charset val="204"/>
      </rPr>
      <t xml:space="preserve">
Базисная стоимость: 166,39 = [1 061 / 1,2 /  5,42] +  2% Трансп</t>
    </r>
  </si>
  <si>
    <r>
      <t>Решетка двухрядная с адаптером АДН400х100</t>
    </r>
    <r>
      <rPr>
        <i/>
        <sz val="10"/>
        <rFont val="Arial"/>
        <family val="2"/>
        <charset val="204"/>
      </rPr>
      <t xml:space="preserve">
Базисная стоимость: 172,76 = [918 /  5,42] +  2% Трансп</t>
    </r>
  </si>
  <si>
    <t>Решетки вентиляционные, жалюзийные, регулируемые, алюминиевые, марка АДР, размер 300х150 мм</t>
  </si>
  <si>
    <t>Решетки вентиляционные, жалюзийные, регулируемые, алюминиевые, марка АДР, размер 300х100 мм</t>
  </si>
  <si>
    <t>Решетки жалюзийные, стальные, регулируемые, марка РР 100х200</t>
  </si>
  <si>
    <t>Установка решеток жалюзийных площадью в свету до 0,25 м2</t>
  </si>
  <si>
    <t>Решетки вентиляционные, потолочные, алюминиевые, тип 4АПР, размеры 600х600 мм</t>
  </si>
  <si>
    <t>Решетки вентиляционные, потолочные, алюминиевые, марка 4АПН, размер 450х450 мм (400х400)</t>
  </si>
  <si>
    <t>Диффузоры вентиляционные приточные/вытяжные круглые стальные, диаметр воздуховода 200 мм</t>
  </si>
  <si>
    <t>Установка воздухораспределителей, предназначенных для подачи воздуха в верхнюю зону массой до 10 кг</t>
  </si>
  <si>
    <t>Клапаны воздушные регулирующие, марка УВК с ручным приводом, размер 600х500 мм</t>
  </si>
  <si>
    <t>Установка клапанов обратных периметром до 2400 мм</t>
  </si>
  <si>
    <t>Клапаны воздушные регулирующие, марка УВК с ручным приводом, размер 400х500 мм (500х300)</t>
  </si>
  <si>
    <t>Клапаны воздушные регулирующие, марка УВК с ручным приводом, размер 400х400 мм (400х300)</t>
  </si>
  <si>
    <t>Установка клапанов обратных периметром до 1000 мм</t>
  </si>
  <si>
    <t>Клапаны обратные для регулирования воздушных потоков в вентиляционных системах из оцинкованной стали, на ниппельном соединении, марка РК 200, диаметр 315 мм</t>
  </si>
  <si>
    <t>Клапаны обратные для регулирования воздушных потоков в вентиляционных системах из оцинкованной стали, на ниппельном соединении, марка РК 200, диаметр 250 мм</t>
  </si>
  <si>
    <t>Клапаны обратные для регулирования воздушных потоков в вентиляционных системах из оцинкованной стали, на ниппельном соединении, марка РК 200, диаметр 200 мм</t>
  </si>
  <si>
    <t>Клапаны обратные для регулирования воздушных потоков в вентиляционных системах из оцинкованной стали, на ниппельном соединении, марка РК 200, диаметр 160 мм</t>
  </si>
  <si>
    <t>Клапаны обратные для регулирования воздушных потоков в вентиляционных системах из оцинкованной стали, на ниппельном соединении, марка РК 200, диаметр 125 мм</t>
  </si>
  <si>
    <t>Клапаны обратные для регулирования воздушных потоков в вентиляционных системах из оцинкованной стали, на ниппельном соединении, марка РК 200, диаметр 100 мм</t>
  </si>
  <si>
    <t>Установка клапанов обратных диаметром до 355 мм</t>
  </si>
  <si>
    <t>Средства крепления - подвеска перфорированная из оцинкованной стали для подвешивания воздуховодов</t>
  </si>
  <si>
    <t>Детали ненормализованные воздуховодов, из черной стали (включая сварные) и оцинкованной стали</t>
  </si>
  <si>
    <t>Воздуховоды прямоугольного сечения из оцинкованной стали, толщина стенки до 1,2 мм, периметр до 8000 мм</t>
  </si>
  <si>
    <t>Прокладка воздуховодов из черной, оцинкованной стали и алюминия толщиной 0,9 мм периметром до 7200 мм</t>
  </si>
  <si>
    <t>Воздуховоды прямоугольного сечения из оцинкованной стали, толщина стенки до 1,2 мм, периметр до 4000 мм</t>
  </si>
  <si>
    <t>Прокладка воздуховодов из черной, оцинкованной стали и алюминия толщиной 0,9 мм периметром 3700 мм, от 4100 до 4500 мм</t>
  </si>
  <si>
    <t>Прокладка воздуховодов из черной, оцинкованной стали и алюминия толщиной 0,7 мм периметром до 3200 мм</t>
  </si>
  <si>
    <t>Прокладка воздуховодов из черной, оцинкованной стали и алюминия толщиной 0,7 мм периметром до 2400 мм</t>
  </si>
  <si>
    <t>Прокладка воздуховодов из черной, оцинкованной стали и алюминия толщиной 0,7 мм периметром от 1100 до 1600 мм</t>
  </si>
  <si>
    <t>Воздуховоды круглого сечения из оцинкованной стали, толщина стенки до 1,2 мм, диаметр 250-450 мм</t>
  </si>
  <si>
    <t>Прокладка воздуховодов из черной, оцинкованной стали и алюминия толщиной 0,6 мм диаметром до 450 мм</t>
  </si>
  <si>
    <t>Прокладка воздуховодов из черной, оцинкованной стали и алюминия толщиной 0,6 мм диаметром до 355 мм</t>
  </si>
  <si>
    <t>Прокладка воздуховодов из черной, оцинкованной стали и алюминия толщиной 0,6 мм диаметром до 250 мм</t>
  </si>
  <si>
    <t>Воздуховоды круглого сечения из оцинкованной стали, толщина стенки до 1,2 мм, диаметр до 200 мм</t>
  </si>
  <si>
    <t>Прокладка воздуховодов из черной, оцинкованной стали и алюминия толщиной 0,5 мм диаметром до 200 мм</t>
  </si>
  <si>
    <r>
      <t>ОБОРУДОВАНИЕ:
Вытяжная установка МО5 (L=700 м3/ч, Pc=150 Па)</t>
    </r>
    <r>
      <rPr>
        <i/>
        <sz val="10"/>
        <color rgb="FF821E82"/>
        <rFont val="Arial"/>
        <family val="2"/>
        <charset val="204"/>
      </rPr>
      <t xml:space="preserve">
Базисная стоимость: 45 966,49 = [232 839,95 / 1,2 /  4,4] +  3% Трансп +  1,2% Заг.скл</t>
    </r>
  </si>
  <si>
    <t>Установка камер приточных типовых без секции орошения и установок приточных производительностью до 10 тыс.м3/час</t>
  </si>
  <si>
    <r>
      <t>ОБОРУДОВАНИЕ:
Вытяжная установка МО5 (L=700 м3/ч, Pc=150 Па)</t>
    </r>
    <r>
      <rPr>
        <i/>
        <sz val="10"/>
        <color rgb="FF821E82"/>
        <rFont val="Arial"/>
        <family val="2"/>
        <charset val="204"/>
      </rPr>
      <t xml:space="preserve">
Базисная стоимость: 3 870,69 = [19 606,72 / 1,2 /  4,4] +  3% Трансп +  1,2% Заг.скл</t>
    </r>
  </si>
  <si>
    <t>Установка кронштейнов под вентиляционное оборудование</t>
  </si>
  <si>
    <t>Установка вентиляторов осевых массой до 0,05 т</t>
  </si>
  <si>
    <r>
      <t>ОБОРУДОВАНИЕ:
Вытяжная установка МО4 (L=350 м3/ч, Pc=150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</si>
  <si>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Вытяжная установка МО3 (L=350 м3/ч, Pc=150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</si>
  <si>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Вытяжная установка МО2 (L=350 м3/ч, Pc=150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</si>
  <si>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Вытяжная установка МО1 (L=350 м3/ч, Pc=170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</si>
  <si>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Вытяжная установка В5(L=160 м3/ч, Pc=100 Па)</t>
    </r>
    <r>
      <rPr>
        <i/>
        <sz val="10"/>
        <color rgb="FF821E82"/>
        <rFont val="Arial"/>
        <family val="2"/>
        <charset val="204"/>
      </rPr>
      <t xml:space="preserve">
Базисная стоимость: 2 473,50 = [12 529,34 / 1,2 /  4,4] +  3% Трансп +  1,2% Заг.скл</t>
    </r>
  </si>
  <si>
    <t>Установка глушителей шума вентиляционных установок трубчатых круглого сечения типа ГТК 1-2 диаметром обечайки 200 мм</t>
  </si>
  <si>
    <r>
      <t>ОБОРУДОВАНИЕ:
Вытяжная установка В4.3 (L=140 м3/ч, Pc=100 Па)</t>
    </r>
    <r>
      <rPr>
        <i/>
        <sz val="10"/>
        <color rgb="FF821E82"/>
        <rFont val="Arial"/>
        <family val="2"/>
        <charset val="204"/>
      </rPr>
      <t xml:space="preserve">
Базисная стоимость: 2 473,50 = [12 529,34 / 1,2 /  4,4] +  3% Трансп +  1,2% Заг.скл</t>
    </r>
  </si>
  <si>
    <r>
      <t>ОБОРУДОВАНИЕ:
Вытяжная установка В4.2 (L=390 м3/ч, Pc=100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</si>
  <si>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Вытяжная установка В4.1 (L=290 м3/ч, Pc=150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</si>
  <si>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Вытяжная установка В3.6 (L=250 м3/ч, Pc=100 Па)</t>
    </r>
    <r>
      <rPr>
        <i/>
        <sz val="10"/>
        <color rgb="FF821E82"/>
        <rFont val="Arial"/>
        <family val="2"/>
        <charset val="204"/>
      </rPr>
      <t xml:space="preserve">
Базисная стоимость: 2 306,21 = [11 681,97 / 1,2 /  4,4] +  3% Трансп +  1,2% Заг.скл</t>
    </r>
  </si>
  <si>
    <r>
      <t>ОБОРУДОВАНИЕ:
Вытяжная установка В3.5 (L=235 м3/ч, Pc=100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</si>
  <si>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Вытяжная установка В3.4 (L=225м3/ч, Pc=100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</si>
  <si>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Вытяжная установка В3.3 (L=250 м3/ч, Pc=100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</si>
  <si>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Вытяжная установка В3.2 (L=125 м3/ч, Pc=100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</si>
  <si>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Вытяжная установка В3.1 (L=200 м3/ч, Pc=100 Па)</t>
    </r>
    <r>
      <rPr>
        <i/>
        <sz val="10"/>
        <color rgb="FF821E82"/>
        <rFont val="Arial"/>
        <family val="2"/>
        <charset val="204"/>
      </rPr>
      <t xml:space="preserve">
Базисная стоимость: 2 473,50 = [12 529,34 / 1,2 /  4,4] +  3% Трансп +  1,2% Заг.скл</t>
    </r>
  </si>
  <si>
    <r>
      <t>ОБОРУДОВАНИЕ:
Вытяжная установка В3 (L=1320 м3/ч, Pc=250 Па)</t>
    </r>
    <r>
      <rPr>
        <i/>
        <sz val="10"/>
        <color rgb="FF821E82"/>
        <rFont val="Arial"/>
        <family val="2"/>
        <charset val="204"/>
      </rPr>
      <t xml:space="preserve">
Базисная стоимость: 11 298,57 = [57 232,07 / 1,2 /  4,4] +  3% Трансп +  1,2% Заг.скл</t>
    </r>
  </si>
  <si>
    <t>Установка вставок гибких к радиальным вентиляторам</t>
  </si>
  <si>
    <r>
      <t>ОБОРУДОВАНИЕ:
Вытяжная установка В2 (L=3130 м3/ч, Pc=300 Па)</t>
    </r>
    <r>
      <rPr>
        <i/>
        <sz val="10"/>
        <color rgb="FF821E82"/>
        <rFont val="Arial"/>
        <family val="2"/>
        <charset val="204"/>
      </rPr>
      <t xml:space="preserve">
Базисная стоимость: 27 556,75 = [139 586,73 / 1,2 /  4,4] +  3% Трансп +  1,2% Заг.скл</t>
    </r>
  </si>
  <si>
    <r>
      <t>ОБОРУДОВАНИЕ:
Вытяжная установка В1.6 (L=205 м3/ч, Pc=150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</si>
  <si>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Вытяжная установка В1.5 (L=830 м3/ч, Pc=150 Па)</t>
    </r>
    <r>
      <rPr>
        <i/>
        <sz val="10"/>
        <color rgb="FF821E82"/>
        <rFont val="Arial"/>
        <family val="2"/>
        <charset val="204"/>
      </rPr>
      <t xml:space="preserve">
Базисная стоимость: 3 870,69 = [19 606,72 / 1,2 /  4,4] +  3% Трансп +  1,2% Заг.скл</t>
    </r>
  </si>
  <si>
    <r>
      <t>ОБОРУДОВАНИЕ:
Вытяжная установка В1.4 (L=275 м3/ч, Pc=100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</si>
  <si>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Вытяжная установка В1.3 (L=305 м3/ч, Pc=140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</si>
  <si>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Вытяжная установка В1.2 (L=440 м3/ч, Pc=150 Па)</t>
    </r>
    <r>
      <rPr>
        <i/>
        <sz val="10"/>
        <color rgb="FF821E82"/>
        <rFont val="Arial"/>
        <family val="2"/>
        <charset val="204"/>
      </rPr>
      <t xml:space="preserve">
Базисная стоимость: 3 395,15 = [17 197,85 / 1,2 /  4,4] +  3% Трансп +  1,2% Заг.скл</t>
    </r>
  </si>
  <si>
    <r>
      <t>ОБОРУДОВАНИЕ:
Вытяжная установка В1.1 (L=180 м3/ч, Pc=150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</si>
  <si>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Вытяжная установка В1 (L=7110 м3/ч, Pc=400 Па)</t>
    </r>
    <r>
      <rPr>
        <i/>
        <sz val="10"/>
        <color rgb="FF821E82"/>
        <rFont val="Arial"/>
        <family val="2"/>
        <charset val="204"/>
      </rPr>
      <t xml:space="preserve">
Базисная стоимость: 38 789,02 = [196 483,02 / 1,2 /  4,4] +  3% Трансп +  1,2% Заг.скл</t>
    </r>
  </si>
  <si>
    <r>
      <t>ОБОРУДОВАНИЕ:
Вытяжная установка В0.3 (L=350 м3/ч, Pc=100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</si>
  <si>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Вытяжная установка В0.2 (L=80 м3/ч, Pc=100 Па)</t>
    </r>
    <r>
      <rPr>
        <i/>
        <sz val="10"/>
        <color rgb="FF821E82"/>
        <rFont val="Arial"/>
        <family val="2"/>
        <charset val="204"/>
      </rPr>
      <t xml:space="preserve">
Базисная стоимость: 2 306,21 = [11 681,97 / 1,2 /  4,4] +  3% Трансп +  1,2% Заг.скл</t>
    </r>
  </si>
  <si>
    <r>
      <t>ОБОРУДОВАНИЕ:
Вытяжная установка В0.1 (L=230 м3/ч, Pc=100 Па)</t>
    </r>
    <r>
      <rPr>
        <i/>
        <sz val="10"/>
        <color rgb="FF821E82"/>
        <rFont val="Arial"/>
        <family val="2"/>
        <charset val="204"/>
      </rPr>
      <t xml:space="preserve">
Базисная стоимость: 2 892,24 = [14 650,42 / 1,2 /  4,4] +  3% Трансп +  1,2% Заг.скл</t>
    </r>
  </si>
  <si>
    <r>
      <t>ОБОРУДОВАНИЕ:
Приточная установка П5 (L=1500 м3/ч, Pc=300 Па)</t>
    </r>
    <r>
      <rPr>
        <i/>
        <sz val="10"/>
        <color rgb="FF821E82"/>
        <rFont val="Arial"/>
        <family val="2"/>
        <charset val="204"/>
      </rPr>
      <t xml:space="preserve">
Базисная стоимость: 68 267,97 = [345 806,51 / 1,2 /  4,4] +  3% Трансп +  1,2% Заг.скл</t>
    </r>
  </si>
  <si>
    <r>
      <t>ОБОРУДОВАНИЕ:
Приточная установка П4 (L=710 м3/ч, Pc=200 Па)</t>
    </r>
    <r>
      <rPr>
        <i/>
        <sz val="10"/>
        <color rgb="FF821E82"/>
        <rFont val="Arial"/>
        <family val="2"/>
        <charset val="204"/>
      </rPr>
      <t xml:space="preserve">
Базисная стоимость: 66 428,88 = [336 490,77 / 1,2 /  4,4] +  3% Трансп +  1,2% Заг.скл</t>
    </r>
  </si>
  <si>
    <r>
      <t>ОБОРУДОВАНИЕ:
Приточная установка П3 (L=1260 м3/ч, Pc=300 Па)</t>
    </r>
    <r>
      <rPr>
        <i/>
        <sz val="10"/>
        <color rgb="FF821E82"/>
        <rFont val="Arial"/>
        <family val="2"/>
        <charset val="204"/>
      </rPr>
      <t xml:space="preserve">
Базисная стоимость: 67 468,37 = [341 756,18 / 1,2 /  4,4] +  3% Трансп +  1,2% Заг.скл</t>
    </r>
  </si>
  <si>
    <r>
      <t>ОБОРУДОВАНИЕ:
Приточная установка П2 (L=4170 м3/ч, Pc=600 Па)</t>
    </r>
    <r>
      <rPr>
        <i/>
        <sz val="10"/>
        <color rgb="FF821E82"/>
        <rFont val="Arial"/>
        <family val="2"/>
        <charset val="204"/>
      </rPr>
      <t xml:space="preserve">
Базисная стоимость: 148 094,37 = [750 161,42 / 1,2 /  4,4] +  3% Трансп +  1,2% Заг.скл</t>
    </r>
  </si>
  <si>
    <r>
      <t>ОБОРУДОВАНИЕ:
Приточная установка П1 (L=10345 м3/ч, Pc=550 Па)</t>
    </r>
    <r>
      <rPr>
        <i/>
        <sz val="10"/>
        <color rgb="FF821E82"/>
        <rFont val="Arial"/>
        <family val="2"/>
        <charset val="204"/>
      </rPr>
      <t xml:space="preserve">
Базисная стоимость: 235 916,76 = [1 195 019,5 / 1,2 /  4,4] +  3% Трансп +  1,2% Заг.скл</t>
    </r>
  </si>
  <si>
    <r>
      <t>ОБОРУДОВАНИЕ:
Приточная установка П0 (L=580 м3/ч, Pc=250 Па)</t>
    </r>
    <r>
      <rPr>
        <i/>
        <sz val="10"/>
        <color rgb="FF821E82"/>
        <rFont val="Arial"/>
        <family val="2"/>
        <charset val="204"/>
      </rPr>
      <t xml:space="preserve">
Базисная стоимость: 30 709,91 = [155 558,84 / 1,2 /  4,4] +  3% Трансп +  1,2% Заг.скл</t>
    </r>
  </si>
  <si>
    <t>Грязевики для улавливания взвешенных частиц грязи в системах водяного отопления, диаметр 80 мм</t>
  </si>
  <si>
    <t>Установка грязевиков наружным диаметром патрубков 89 мм</t>
  </si>
  <si>
    <r>
      <t>Кран шаровой JIP-FF Д = 80 марка 065N0325</t>
    </r>
    <r>
      <rPr>
        <i/>
        <sz val="10"/>
        <rFont val="Arial"/>
        <family val="2"/>
        <charset val="204"/>
      </rPr>
      <t xml:space="preserve">
Базисная стоимость: 931,08 = [5 937 / 1,2 /  5,42] +  2% Трансп</t>
    </r>
  </si>
  <si>
    <t>Фланец стальной плоский приварной с соединительным выступом, из стали Ст3сп, номинальное давление PN 1,0 (10) МПа (кгс/см2), номинальный диаметр DN 80 мм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</si>
  <si>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42 мм, толщина 9 мм</t>
  </si>
  <si>
    <t>Трубки теплоизоляционные из вспененного каучука, для высокотемпературных трубопроводов, диапазон температур применения от -200 до +150°C, коэффициент теплопроводности при температуре 0°C не более 0,038 Вт/(м х °C), внутренний диаметр 22 мм, толщина 9 мм</t>
  </si>
  <si>
    <t>Краски масляные жидкотертые цветные (готовые к употреблению) для наружных и внутренних работ, марка МА-15</t>
  </si>
  <si>
    <t>Клапаны запорно-балансировочные латунные муфтовые ручные, с измерительным ниппелем и дренажным краном, тип USV-1, Tmax =120°С, давление 1,6 МПа, пропускная способность 16,0 м3/ч, диаметр условного прохода 50 мм</t>
  </si>
  <si>
    <t>Узлы трубопроводов из стальных водогазопроводных неоцинкованных труб с гильзами для систем отопления, диаметр условного прохода 40 мм</t>
  </si>
  <si>
    <t>Прокладка трубопроводов отопления из стальных водогазопроводных неоцинкованных труб диаметром 40 мм</t>
  </si>
  <si>
    <t>Узлы трубопроводов из стальных водогазопроводных неоцинкованных труб с гильзами для систем отопления, диаметр условного прохода 20 мм</t>
  </si>
  <si>
    <t>Прокладка трубопроводов отопления из стальных водогазопроводных неоцинкованных труб диаметром 20 мм</t>
  </si>
  <si>
    <t>Узлы трубопроводов из стальных водогазопроводных неоцинкованных труб с гильзами для систем отопления, диаметр условного прохода 15 мм</t>
  </si>
  <si>
    <t>Клапаны запорно-балансировочные латунные муфтовые ручные, с измерительным ниппелем и дренажным краном, тип USV-1, Tmax =120°С, давление 1,6 МПа, пропускная способность 1,6 м3/ч, диаметр условного прохода 15 мм</t>
  </si>
  <si>
    <t>Прокладка трубопроводов отопления из стальных водогазопроводных неоцинкованных труб диаметром 15 мм</t>
  </si>
  <si>
    <t>Воздухоотводчик латунный автоматический тип Wind (аналог Matic), Tmax=120°С, Р=1,0 МПа</t>
  </si>
  <si>
    <t>Установка воздухоотводчиков</t>
  </si>
  <si>
    <t>Радиаторы стальные панельные тип 22 (боковая подводка), высота 500 мм, длина 1300 мм, теплоотдача 2,844 кВт</t>
  </si>
  <si>
    <t>Радиаторы стальные панельные (нижняя подводка) со встроенным терморегулирующим клапаном, тип 20, высота 500 мм, длина 1400 мм, теплоотдача 1830 Вт</t>
  </si>
  <si>
    <t>Радиаторы стальные панельные (нижняя подводка) со встроенным терморегулирующим клапаном, тип 20, высота 500 мм, длина 1200 мм, теплоотдача 1568 Вт</t>
  </si>
  <si>
    <t>Радиаторы стальные панельные (нижняя подводка) со встроенным терморегулирующим клапаном, тип 20, высота 500 мм, длина 1100 мм, теплоотдача 1438 Вт</t>
  </si>
  <si>
    <t>Радиаторы стальные панельные (нижняя подводка) со встроенным терморегулирующим клапаном, тип 20, высота 500 мм, длина 1000 мм, теплоотдача 1307 Вт</t>
  </si>
  <si>
    <t>Радиаторы стальные панельные (нижняя подводка) со встроенным терморегулирующим клапаном, тип 20, высота 500 мм, длина 800 мм, теплоотдача 1046 Вт</t>
  </si>
  <si>
    <t>Установка радиаторов стальных</t>
  </si>
  <si>
    <t>Перевозка строительного мусора на расстояние 25 км автосамосвалами грузоподъемностью до 20 т</t>
  </si>
  <si>
    <t>Разборка трубопроводов центрального отопления на сварке диаметром труб до 100 мм</t>
  </si>
  <si>
    <t>Разборка трубопроводов центрального отопления на сварке диаметром труб до 50 мм</t>
  </si>
  <si>
    <t>Демонтаж радиатора массой до 80 кг</t>
  </si>
  <si>
    <t>Проверка всего технологического комплекса в режимах работы и контроля, сдача в эксплуатацию</t>
  </si>
  <si>
    <t>Кабели магистральные (витая пара) неэкранированные одножильные, категория 5е Enhanced, производство фирмы "AESP", тип UTP, число элементов и диаметр жилы 4х2х0,51 мм (AWG 24)</t>
  </si>
  <si>
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6 мм2</t>
  </si>
  <si>
    <t>Держатели пластиковые с защелкой для крепления труб, рукавов и гибких вводов диаметром 16 мм</t>
  </si>
  <si>
    <t>Коробка ответвительная пластиковая, 6 вводов для труб и кабеля, крышка с уплотнителем и фиксатором, степень защиты IP55, размер без учета кабельных вводов 70х70х50 мм</t>
  </si>
  <si>
    <t>Трубы электротехнические гофрированные, поливинилхлоридные, негорючие, с зондом, наружный диаметр 16 мм</t>
  </si>
  <si>
    <t>Трубы гофрированные поливинилхлоридные наружным диаметром 16 мм открыто по стенам и потолкам с установкой соединительных коробок</t>
  </si>
  <si>
    <r>
      <t>ОБОРУДОВАНИЕ:
Hikvision DS-2CD3545FWD-IS(2.8mm)</t>
    </r>
    <r>
      <rPr>
        <i/>
        <sz val="10"/>
        <color rgb="FF821E82"/>
        <rFont val="Arial"/>
        <family val="2"/>
        <charset val="204"/>
      </rPr>
      <t xml:space="preserve">
Базисная стоимость: 2 900,06 = [14 690 / 1,2 /  4,4] +  3% Трансп +  1,2% Заг.скл</t>
    </r>
  </si>
  <si>
    <r>
      <t>ОБОРУДОВАНИЕ:
Камера видеонаблюдения Hikvision DS-2CD4B36FWD-IZS</t>
    </r>
    <r>
      <rPr>
        <i/>
        <sz val="10"/>
        <color rgb="FF821E82"/>
        <rFont val="Arial"/>
        <family val="2"/>
        <charset val="204"/>
      </rPr>
      <t xml:space="preserve">
Базисная стоимость: 5 111,71 = [25 893 / 1,2 /  4,4] +  3% Трансп +  1,2% Заг.скл</t>
    </r>
  </si>
  <si>
    <r>
      <t>ОБОРУДОВАНИЕ:
Вызывная панель Hikvision ds-kv8152-im</t>
    </r>
    <r>
      <rPr>
        <i/>
        <sz val="10"/>
        <color rgb="FF821E82"/>
        <rFont val="Arial"/>
        <family val="2"/>
        <charset val="204"/>
      </rPr>
      <t xml:space="preserve">
Базисная стоимость: 769,93 = [3 900 / 1,2 /  4,4] +  3% Трансп +  1,2% Заг.скл</t>
    </r>
  </si>
  <si>
    <t>Камеры видеонаблюдения, внутренняя</t>
  </si>
  <si>
    <r>
      <t>Монтажная коробка HIKVISION DS-1260ZJ</t>
    </r>
    <r>
      <rPr>
        <i/>
        <sz val="10"/>
        <rFont val="Arial"/>
        <family val="2"/>
        <charset val="204"/>
      </rPr>
      <t xml:space="preserve">
Базисная стоимость: 175,33 = [1 118 / 1,2 /  5,42] +  2% Трансп</t>
    </r>
  </si>
  <si>
    <t>Камеры видеонаблюдения, наружная</t>
  </si>
  <si>
    <t>Устройство связи с согласующим устройством (вызывная панель)</t>
  </si>
  <si>
    <r>
      <t>ОБОРУДОВАНИЕ:
ИБП СИПБ1,5КА.9-11 онлайн двойного преобразования с встроенными аккумуляторами</t>
    </r>
    <r>
      <rPr>
        <i/>
        <sz val="10"/>
        <color rgb="FF821E82"/>
        <rFont val="Arial"/>
        <family val="2"/>
        <charset val="204"/>
      </rPr>
      <t xml:space="preserve">
Базисная стоимость: 7 274,81 = [36 850 / 1,2 /  4,4] +  3% Трансп +  1,2% Заг.скл</t>
    </r>
  </si>
  <si>
    <t>ОБОРУДОВАНИЕ:
Мышь компьютерная проводная оптическая, интерфейс USB.</t>
  </si>
  <si>
    <t>ОБОРУДОВАНИЕ:
Клавиатура компьютерная проводная, интерфейс USB.</t>
  </si>
  <si>
    <t>ОБОРУДОВАНИЕ:
Компьютер (станция персональная тип 1). Процессор: Intel® Core™ i5-3570 Processor, cache 6 Mб, частота 3,4 ГГц, оперативная память: RAM 4 Гб, HDD 1 Tб, графика NVIDIA® GeForce® GTX 650/2 Гб VRAM, привод оптический DVD±RW, совместимость с M/B: Micro ATX &amp; Standard ATX, отсеки: внешние 3х5.25', 1х3.5', внутренние: 4х3.5'/1x2.5' (из 1х3.5'), слоты расширения 7, блок питания ATX 12V Form Factor, PS2/500W, интерфейс: 2хUSB 2.0, Audio, операционная система: Microsoft® Window s® 7 Home Premium, габаритные размеры 445х415х190 мм</t>
  </si>
  <si>
    <r>
      <t>ОБОРУДОВАНИЕ:
Монитор Hikvision DS-D5032FL</t>
    </r>
    <r>
      <rPr>
        <i/>
        <sz val="10"/>
        <color rgb="FF821E82"/>
        <rFont val="Arial"/>
        <family val="2"/>
        <charset val="204"/>
      </rPr>
      <t xml:space="preserve">
Базисная стоимость: 12 219,30 = [61 896 / 1,2 /  4,4] +  3% Трансп +  1,2% Заг.скл</t>
    </r>
  </si>
  <si>
    <r>
      <t>ОБОРУДОВАНИЕ:
ITV ПО Удаленное рабочее место</t>
    </r>
    <r>
      <rPr>
        <i/>
        <sz val="10"/>
        <color rgb="FF821E82"/>
        <rFont val="Arial"/>
        <family val="2"/>
        <charset val="204"/>
      </rPr>
      <t xml:space="preserve">
Базисная стоимость: 2 507,19 = [12 700 / 1,2 /  4,4] +  3% Трансп +  1,2% Заг.скл</t>
    </r>
  </si>
  <si>
    <t>Блок питания сети (БПС) в диспетчерской</t>
  </si>
  <si>
    <t>Аппаратура настольная массой до 20 кг</t>
  </si>
  <si>
    <r>
      <t>ОБОРУДОВАНИЕ:
Видеосервер</t>
    </r>
    <r>
      <rPr>
        <i/>
        <sz val="10"/>
        <color rgb="FF821E82"/>
        <rFont val="Arial"/>
        <family val="2"/>
        <charset val="204"/>
      </rPr>
      <t xml:space="preserve">
Базисная стоимость: 9 844,98 = [49 869 / 1,2 /  4,4] +  3% Трансп +  1,2% Заг.скл</t>
    </r>
  </si>
  <si>
    <r>
      <t>ОБОРУДОВАНИЕ:
Маршрутизатор Zyxel LTE7460-M608</t>
    </r>
    <r>
      <rPr>
        <i/>
        <sz val="10"/>
        <color rgb="FF821E82"/>
        <rFont val="Arial"/>
        <family val="2"/>
        <charset val="204"/>
      </rPr>
      <t xml:space="preserve">
Базисная стоимость: 3 415,12 = [17 299 / 1,2 /  4,4] +  3% Трансп +  1,2% Заг.скл</t>
    </r>
  </si>
  <si>
    <r>
      <t>ОБОРУДОВАНИЕ:
Карта удаленного управления SNMP КУИМ-32 для ИБП "Связь инжиниринг"</t>
    </r>
    <r>
      <rPr>
        <i/>
        <sz val="10"/>
        <color rgb="FF821E82"/>
        <rFont val="Arial"/>
        <family val="2"/>
        <charset val="204"/>
      </rPr>
      <t xml:space="preserve">
Базисная стоимость: 3 403,42 = [17 239,8 / 1,2 /  4,4] +  3% Трансп +  1,2% Заг.скл</t>
    </r>
  </si>
  <si>
    <r>
      <t>ОБОРУДОВАНИЕ:
Батарейный блок БМСИПБ1,5-3КА.9-11</t>
    </r>
    <r>
      <rPr>
        <i/>
        <sz val="10"/>
        <color rgb="FF821E82"/>
        <rFont val="Arial"/>
        <family val="2"/>
        <charset val="204"/>
      </rPr>
      <t xml:space="preserve">
Базисная стоимость: 5 502,99 = [27 875 / 1,2 /  4,4] +  3% Трансп +  1,2% Заг.скл</t>
    </r>
  </si>
  <si>
    <r>
      <t>ОБОРУДОВАНИЕ:
Источник бесперебойного питания СИПБ3КА.9-11</t>
    </r>
    <r>
      <rPr>
        <i/>
        <sz val="10"/>
        <color rgb="FF821E82"/>
        <rFont val="Arial"/>
        <family val="2"/>
        <charset val="204"/>
      </rPr>
      <t xml:space="preserve">
Базисная стоимость: 10 002,30 = [50 666 / 1,2 /  4,4] +  3% Трансп +  1,2% Заг.скл</t>
    </r>
  </si>
  <si>
    <r>
      <t>ОБОРУДОВАНИЕ:
Коммутатор с питанием POE DS-3E2326P</t>
    </r>
    <r>
      <rPr>
        <i/>
        <sz val="10"/>
        <color rgb="FF821E82"/>
        <rFont val="Arial"/>
        <family val="2"/>
        <charset val="204"/>
      </rPr>
      <t xml:space="preserve">
Базисная стоимость: 11 014,07 = [55 791 / 1,2 /  4,4] +  3% Трансп +  1,2% Заг.скл</t>
    </r>
  </si>
  <si>
    <t>Стойка, полустойка, каркас стойки или шкаф, плата дополнительная, устанавливаемая на готовом месте стойки//сервер</t>
  </si>
  <si>
    <t>Стойка, полустойка, каркас стойки или шкаф, плата дополнительная, устанавливаемая на готовом месте стойки//маршрутизатор</t>
  </si>
  <si>
    <t>Стойка, полустойка, каркас стойки или шкаф, плата дополнительная, устанавливаемая на готовом месте стойки//Карта удаленного управления</t>
  </si>
  <si>
    <r>
      <t>Монтажный комплект рельсов 2U для 19" стойки</t>
    </r>
    <r>
      <rPr>
        <i/>
        <sz val="10"/>
        <rFont val="Arial"/>
        <family val="2"/>
        <charset val="204"/>
      </rPr>
      <t xml:space="preserve">
Базисная стоимость: 600,65 = [3 830 / 1,2 /  5,42] +  2% Трансп</t>
    </r>
  </si>
  <si>
    <t>Стойка, полустойка, каркас стойки или шкаф, плата дополнительная, устанавливаемая на готовом месте стойки</t>
  </si>
  <si>
    <t>Отдельно устанавливаемые преобразователь или блок питания</t>
  </si>
  <si>
    <r>
      <t>Патч-панель Legrand 33551</t>
    </r>
    <r>
      <rPr>
        <i/>
        <sz val="10"/>
        <rFont val="Arial"/>
        <family val="2"/>
        <charset val="204"/>
      </rPr>
      <t xml:space="preserve">
Базисная стоимость: 1 693,88 = [10 801 / 1,2 /  5,42] +  2% Трансп</t>
    </r>
  </si>
  <si>
    <t>Коммутатор служебной связи</t>
  </si>
  <si>
    <r>
      <t>Органайзер кабельный горизонтальный 19" 2U, 6 колец ГКО-2-6</t>
    </r>
    <r>
      <rPr>
        <i/>
        <sz val="10"/>
        <rFont val="Arial"/>
        <family val="2"/>
        <charset val="204"/>
      </rPr>
      <t xml:space="preserve">
Базисная стоимость: 78,39 = [499,8 / 1,2 /  5,42] +  2% Трансп</t>
    </r>
  </si>
  <si>
    <r>
      <t>R-FAN-6K-1U: Модуль вентиляторный с контроллером</t>
    </r>
    <r>
      <rPr>
        <i/>
        <sz val="10"/>
        <rFont val="Arial"/>
        <family val="2"/>
        <charset val="204"/>
      </rPr>
      <t xml:space="preserve">
Базисная стоимость: 1 391,06 = [8 870 / 1,2 /  5,42] +  2% Трансп</t>
    </r>
  </si>
  <si>
    <r>
      <t>Блок розеток 1U, 9 розеток Schuko Rem R-16-9S-I-440-1.8-B</t>
    </r>
    <r>
      <rPr>
        <i/>
        <sz val="10"/>
        <rFont val="Arial"/>
        <family val="2"/>
        <charset val="204"/>
      </rPr>
      <t xml:space="preserve">
Базисная стоимость: 366,98 = [2 340 / 1,2 /  5,42] +  2% Трансп</t>
    </r>
  </si>
  <si>
    <r>
      <t>Комплект проводов заземления для шкафа ШТК-М, универсальный ПЗ-ШТК-М</t>
    </r>
    <r>
      <rPr>
        <i/>
        <sz val="10"/>
        <rFont val="Arial"/>
        <family val="2"/>
        <charset val="204"/>
      </rPr>
      <t xml:space="preserve">
Базисная стоимость: 71,83 = [458 / 1,2 /  5,42] +  2% Трансп</t>
    </r>
  </si>
  <si>
    <r>
      <t>Панель заземления ЦМО ПЗ-19-500.200А</t>
    </r>
    <r>
      <rPr>
        <i/>
        <sz val="10"/>
        <rFont val="Arial"/>
        <family val="2"/>
        <charset val="204"/>
      </rPr>
      <t xml:space="preserve">
Базисная стоимость: 164,67 = [1 050 / 1,2 /  5,42] +  2% Трансп</t>
    </r>
  </si>
  <si>
    <r>
      <t>Комплект ЦМО уголков опорных (направляющие) для напольных шкафов, глубина 750 мм, нагрузка до 100 кг. УО-75</t>
    </r>
    <r>
      <rPr>
        <i/>
        <sz val="10"/>
        <rFont val="Arial"/>
        <family val="2"/>
        <charset val="204"/>
      </rPr>
      <t xml:space="preserve">
Базисная стоимость: 101,94 = [650 / 1,2 /  5,42] +  2% Трансп</t>
    </r>
  </si>
  <si>
    <r>
      <t>Шкаф телекоммуникационный напольный ЦМО ШТК-М, IP20, 38U, 1850х800х1000 мм (ВхШхГ), дверь: металл, цвет: серый, (ШТК-М-38.8.10-3ААА)</t>
    </r>
    <r>
      <rPr>
        <i/>
        <sz val="10"/>
        <rFont val="Arial"/>
        <family val="2"/>
        <charset val="204"/>
      </rPr>
      <t xml:space="preserve">
Базисная стоимость: 6 256,91 = [39 897 / 1,2 /  5,42] +  2% Трансп</t>
    </r>
  </si>
  <si>
    <t>Стойка, полустойка, каркас стойки или шкаф, масса до 100 кг</t>
  </si>
  <si>
    <t>№ и период сборника коэффициентов (индексов) пересчета: ТСН-2001 МГЭ строительство №157 октябрь 2019 года и Коэффициенты пересчета к ТСН-2001.13-2 сентябрь 2019 года</t>
  </si>
  <si>
    <r>
      <t>3.16-40-3</t>
    </r>
    <r>
      <rPr>
        <i/>
        <sz val="10"/>
        <rFont val="Arial"/>
        <family val="2"/>
        <charset val="204"/>
      </rPr>
      <t xml:space="preserve">
Поправка: ТСН-2001.6. О.П. п.11</t>
    </r>
  </si>
  <si>
    <r>
      <t>3.16-40-2</t>
    </r>
    <r>
      <rPr>
        <i/>
        <sz val="10"/>
        <rFont val="Arial"/>
        <family val="2"/>
        <charset val="204"/>
      </rPr>
      <t xml:space="preserve">
Поправка: ТСН-2001.6. О.П. п.11</t>
    </r>
  </si>
  <si>
    <t>ОБОРУДОВАНИЕ:
Оповещатели: охранно-пожарный комбинированный "Свирель-2 исп.03"; Габаритные размеры 66х92х118мм</t>
  </si>
  <si>
    <t>ОБОРУДОВАНИЕ:
Батарея аккумуляторная, емкость 17 А/ч. Напряжение 12 В</t>
  </si>
  <si>
    <t>ОБОРУДОВАНИЕ:
Источник питания резервированный РИП-12, напряжение 12 В. Ток 3 А</t>
  </si>
  <si>
    <r>
      <t>ОБОРУДОВАНИЕ:
Модуль расширения шлейфов МРШ-02(16)</t>
    </r>
    <r>
      <rPr>
        <i/>
        <sz val="10"/>
        <color rgb="FF821E82"/>
        <rFont val="Arial"/>
        <family val="2"/>
        <charset val="204"/>
      </rPr>
      <t xml:space="preserve">
Базисная стоимость: 658,39 = [3 335 / 1,2 /  4,4] +  3% Трансп +  1,2% Заг.скл</t>
    </r>
  </si>
  <si>
    <r>
      <t>ОБОРУДОВАНИЕ:
Прибор приемно-контрольный охранно-пожарный  Приток-А-КОП-02</t>
    </r>
    <r>
      <rPr>
        <i/>
        <sz val="10"/>
        <color rgb="FF821E82"/>
        <rFont val="Arial"/>
        <family val="2"/>
        <charset val="204"/>
      </rPr>
      <t xml:space="preserve">
Базисная стоимость: 1 807,35 = [9 155 / 1,2 /  4,4] +  3% Трансп +  1,2% Заг.скл</t>
    </r>
  </si>
  <si>
    <t>Кабели витая пара экранированные (U/FTP) в оболочке с пониженным дымо- и газовыделением из композиции, не содержащей галогенов, категория 6, одножильные, для внутренней прокладки, тип STP4-C6-солид-индор-LSZH, число пар и диаметр жилы 4х2х0,57 мм</t>
  </si>
  <si>
    <t>Провода и кабели в коробах, провод, сечением до 6 мм2</t>
  </si>
  <si>
    <t>Кабель для систем пожарной сигнализации с медными жилами, марка КПСнг(А)-FRLS, напряжение 300 В, число пар и сечение жил 1х2х1,0 мм2</t>
  </si>
  <si>
    <t>Кабель для систем пожарной сигнализации с медными жилами, марка КПСнг(А)-FRHF, напряжение 300 В, число пар и сечение жил 2х2х0,75 мм2</t>
  </si>
  <si>
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2,5 мм2</t>
  </si>
  <si>
    <t>Кабель-каналы, размер 105х50 мм, короба с направляющими</t>
  </si>
  <si>
    <t>Прокладка пластикового кабель-канала по бетонному основанию</t>
  </si>
  <si>
    <t>Кабель-каналы, размер 20х12,5 мм, кабель-каналы</t>
  </si>
  <si>
    <t>Держатели пластиковые с защелкой для крепления труб, рукавов и гибких вводов диаметром 20 мм</t>
  </si>
  <si>
    <t>Трубы поливинилхлоридные для электропроводок, гладкие, усиленного типа из отходов ПВХ, наружный диаметр 20 мм, толщина стенки 1,5 мм</t>
  </si>
  <si>
    <t>Трубы гофрированные поливинилхлоридные наружным диаметром 20 мм открыто по стенам и потолкам с установкой соединительных коробок</t>
  </si>
  <si>
    <r>
      <t>Извещатель охранный оптико-электронный комбинированный Сонар-3 (Гонец)</t>
    </r>
    <r>
      <rPr>
        <i/>
        <sz val="10"/>
        <rFont val="Arial"/>
        <family val="2"/>
        <charset val="204"/>
      </rPr>
      <t xml:space="preserve">
Базисная стоимость: 170,94 = [1 090 / 1,2 /  5,42] +  2% Трансп</t>
    </r>
  </si>
  <si>
    <t>Извещатели ПС автоматические, тепловой электроконтактный, магнито-контактный в нормальном исполнении</t>
  </si>
  <si>
    <t>Детали на пультах и панелях - переключатель</t>
  </si>
  <si>
    <t>Извещатели охранные магнитоконтактные, малогабаритные, тип ИО-102-4</t>
  </si>
  <si>
    <t>Охранно-пожарный извещатель (ОПД) в коллекторе</t>
  </si>
  <si>
    <t>Блок информационно-управляющий (БИУ) в диспетчерской/МРШ-02(16)</t>
  </si>
  <si>
    <t>Блок контроля датчиков (контроллер)</t>
  </si>
  <si>
    <r>
      <t>ОБОРУДОВАНИЕ:
Устройство сопряжения с РСО г. Москвы "УС-1" (стоимость без НДС)</t>
    </r>
    <r>
      <rPr>
        <i/>
        <sz val="10"/>
        <color rgb="FF821E82"/>
        <rFont val="Arial"/>
        <family val="2"/>
        <charset val="204"/>
      </rPr>
      <t xml:space="preserve">
Базисная стоимость: 78 831,79 = [332 764 /  4,4] +  3% Трансп +  1,2% Заг.скл</t>
    </r>
  </si>
  <si>
    <r>
      <t>ОБОРУДОВАНИЕ:
Приемник трехпрограммный Россия ПТ-222 сеть 30В</t>
    </r>
    <r>
      <rPr>
        <i/>
        <sz val="10"/>
        <color rgb="FF821E82"/>
        <rFont val="Arial"/>
        <family val="2"/>
        <charset val="204"/>
      </rPr>
      <t xml:space="preserve">
Базисная стоимость: 294,55 = [1 492 / 1,2 /  4,4] +  3% Трансп +  1,2% Заг.скл</t>
    </r>
  </si>
  <si>
    <r>
      <t>ОБОРУДОВАНИЕ:
УППВ 1918 М1 ОУ 9101: Устройство подачи программ вещания (стоимость без НДС)</t>
    </r>
    <r>
      <rPr>
        <i/>
        <sz val="10"/>
        <color rgb="FF821E82"/>
        <rFont val="Arial"/>
        <family val="2"/>
        <charset val="204"/>
      </rPr>
      <t xml:space="preserve">
Базисная стоимость: 87 173,47 = [367 975,8 /  4,4] +  3% Трансп +  1,2% Заг.скл</t>
    </r>
  </si>
  <si>
    <t>Кабели для систем охранной и пожарной сигнализации, витые пары в общем экране с дренажным проводником, в оболочке из ПВХ пластиката пониженной пожароопасности, с низким дымо- и газовыделением, марка КПСВЭВнг-LS, число пар и сечение 2х2х0,75 мм2</t>
  </si>
  <si>
    <r>
      <t>Кабель для систем передачи данных пониженной пожароопасности c низким дымо- и газовыделением, с низкой токсичностью продуктов горения.КСВВнг(А)-LSLTx 1х2х1,38</t>
    </r>
    <r>
      <rPr>
        <i/>
        <sz val="10"/>
        <rFont val="Arial"/>
        <family val="2"/>
        <charset val="204"/>
      </rPr>
      <t xml:space="preserve">
Базисная стоимость: 5,41 = [34,45 / 1,2 /  5,42] +  2% Трансп</t>
    </r>
  </si>
  <si>
    <t>F-разъемы, тип F56- ALM 4.9/8.4, для кабеля RG 6</t>
  </si>
  <si>
    <t>Соединения разъемные медные - наружная резьба с прокладкой для пайки медных труб, размер 18ммх3/4"</t>
  </si>
  <si>
    <r>
      <t>Кабель для систем передачи данных пониженной пожароопасности c низким дымо- и газовыделением, с низкой токсичностью продуктов горения.КСВВнг(А)-LSLTx 1х2х0,8</t>
    </r>
    <r>
      <rPr>
        <i/>
        <sz val="10"/>
        <rFont val="Arial"/>
        <family val="2"/>
        <charset val="204"/>
      </rPr>
      <t xml:space="preserve">
Базисная стоимость: 2,50 = [15,96 / 1,2 /  5,42] +  2% Трансп</t>
    </r>
  </si>
  <si>
    <t>Кабели для радиовещания и телевидения радиочастотные коаксиальные со сплошной полиэтиленовой изоляцией, марка РК 50-7-12</t>
  </si>
  <si>
    <t>Кабели для радиовещания и телевидения радиочастотные коаксиальные со сплошной полиэтиленовой изоляцией, марка РК 75-4-113</t>
  </si>
  <si>
    <t>Коробки радиотрансляционные универсальные, для сети проводного вещания, тип УК-2П</t>
  </si>
  <si>
    <t>Коробки радиотрансляционные, универсальные, тип РОН, для подключения радиотрансляционной сети</t>
  </si>
  <si>
    <t>Розетки радиотрансляционные, тип РПВ-1, открытой установки</t>
  </si>
  <si>
    <t>Аппаратура настенного типа, розетка микрофонная</t>
  </si>
  <si>
    <r>
      <t>Грозозащита ANLI N-722Q</t>
    </r>
    <r>
      <rPr>
        <i/>
        <sz val="10"/>
        <rFont val="Arial"/>
        <family val="2"/>
        <charset val="204"/>
      </rPr>
      <t xml:space="preserve">
Базисная стоимость: 499,23 = [3 183,33 / 1,2 /  5,42] +  2% Трансп</t>
    </r>
  </si>
  <si>
    <r>
      <t>Грозозащита OBP-F75</t>
    </r>
    <r>
      <rPr>
        <i/>
        <sz val="10"/>
        <rFont val="Arial"/>
        <family val="2"/>
        <charset val="204"/>
      </rPr>
      <t xml:space="preserve">
Базисная стоимость: 414,02 = [2 640 / 1,2 /  5,42] +  2% Трансп</t>
    </r>
  </si>
  <si>
    <t>Разные устройства, монтаж коробки телевизионной (ответвители, разветвители магистральные, домовые, абонентские), УСС, БФТК</t>
  </si>
  <si>
    <t>Антенна приемная уличная пассивная, дециметрового диапазона, диапазон частот от 470 до 602 МГц, принимаемые телеканалы с 21 по 37, коэффициент усиления от 14,5 до 17 дБ, коэффициент защитного отношения от 28 до 30 дБ, ширина диаграммы направленности в горизонтальной/вертикальной плоскости от 23° до 33°/от 26° до 37°, ветровая нагрузка в горизонтальной/вертикальной плоскости 136 Н/217 Н, размер 2720 мм</t>
  </si>
  <si>
    <t>Антенные устройства, монтаж антенны дополнительной для приема ТВ на ранее установленной опоре, с действующими ТВ антеннами</t>
  </si>
  <si>
    <t>Антенна эфирная УКВ/FM, коэффициент усиления антенны 6,5/5,5 дБ, число элементов: 5, 3 канала</t>
  </si>
  <si>
    <t>Антенные устройства, монтаж антенны коллективной для приема ТВ на антенной опоре высотой до 6 м без оттяжек на кровле с ранее оборудованными трубостойками</t>
  </si>
  <si>
    <t>Сжимы, тип У859М для проводников магистральных сечением от 50 до 70 мм2 и ответвительных от 4 до 35 мм2</t>
  </si>
  <si>
    <t>Наконечники кабельные медные луженые под пайку, тип 35-8(10)</t>
  </si>
  <si>
    <t>Канаты (тросы) стальные, диаметр 21,5 мм</t>
  </si>
  <si>
    <r>
      <t>МА43: Кронштейн</t>
    </r>
    <r>
      <rPr>
        <i/>
        <sz val="10"/>
        <rFont val="Arial"/>
        <family val="2"/>
        <charset val="204"/>
      </rPr>
      <t xml:space="preserve">
Базисная стоимость: 95,21 = [607,07 / 1,2 /  5,42] +  2% Трансп</t>
    </r>
  </si>
  <si>
    <t>Антенны (мачты) телевизионные, тип Вертикаль 6 (МТ 6/1), высота 6 м (без защелок-натяжителей и проволоки для оттяжек)</t>
  </si>
  <si>
    <t>Разные устройства, монтаж антенного тв усилителя на мачте ( без измерений) без повала мачты</t>
  </si>
  <si>
    <t>Блок передачи данных (БПД) в коллекторе</t>
  </si>
  <si>
    <t>Шкаф или статив (стойка) массой до 100 кг/Устройство сопряжения с РСО г. Москвы "УС-1"</t>
  </si>
  <si>
    <r>
      <t>ШТР10-1: Шкаф трансформаторный распределительный</t>
    </r>
    <r>
      <rPr>
        <i/>
        <sz val="10"/>
        <rFont val="Arial"/>
        <family val="2"/>
        <charset val="204"/>
      </rPr>
      <t xml:space="preserve">
Базисная стоимость: 1 850,56 = [11 800 / 1,2 /  5,42] +  2% Трансп</t>
    </r>
  </si>
  <si>
    <t>Шкаф или панель коммутации связи и сигнализации на стене или в нише, до 20 пар</t>
  </si>
  <si>
    <t>Аппаратура настольного типа, громкоговоритель настольный</t>
  </si>
  <si>
    <t>Стойка, полустойка, каркас стойки или шкаф, масса до 100 кг/Устройство подачи программ вещания</t>
  </si>
  <si>
    <t>ОБОРУДОВАНИЕ:
Блок контрольно-пусковой С2000-КПБ с 6 исполнительными реле. Коммутируемое напряжение (от источника питания блока) от 10,2 В до 28,4 В постоянного тока, максимальный коммутируемый ток одного канала 2 А, максимальный коммутируемый ток блока 3 А, максимальный ток контроля исправности цепей 1,5 мА, количество радиальных неадресных технологических шлейфов сигнализации (ШС) – 2 шт., сопротивление проводов ШС без учёта выносного элемента, не более 100 Ом, рабочий диапазон температур от -30 до +55 °C, степень защиты корпуса IР20, габаритные размеры 156х107х35 мм</t>
  </si>
  <si>
    <t>ОБОРУДОВАНИЕ:
Блок релейный исполнительный сигнально-пусковой С2000-СП1: Количество выходов - 4, управление по интерфейсу в составе ИСО "Орион</t>
  </si>
  <si>
    <t>ОБОРУДОВАНИЕ:
Блок релейный исполнительный сигнально-пусковой С2000-СП2. Напряжение в линии связи 8…12В, ток потребления от линии связи не более 1 мА, 2 выхода реле, коммутируемая мощность 30 ВА, коммутируемый ток 2 А, габаритные размеры 156?107?39 мм</t>
  </si>
  <si>
    <t>ОБОРУДОВАНИЕ:
Блок релейный исполнительный сигнально-пусковой С2000-СП4. Количество выходов 2, максимальное коммутируемое напряжение 220 В, максимальный коммутируемый ток 1 А, максимальная коммутируемая мощность 220 ВА, контролируемых сигнальных шлейфов 3, степень защиты IP20, диапазон рабочих температур -30…+55град.С, габаритные размеры 156х107х39 мм</t>
  </si>
  <si>
    <t>ОБОРУДОВАНИЕ:
Контроллер адресной линии типа С2000-КДЛ. Количество подключаемых АУ -127, напряжение питания от 10,2 В до 28,4 В постоянного тока, подключение к ПК через интерфейс RS-485 с помощью преобразователя интерфейсов, встроенный звуковой сигнализатор не менее 50 дБА на расстоянии 1 м, готовность к работе после включения питания не более 15 с, рабочий диапазон температур от -30 до +55 °C, относительная влажность до 98 % при +25 °C, степень защиты корпуса IР30. Габаритные размеры: 156х107х39 мм.</t>
  </si>
  <si>
    <t>ОБОРУДОВАНИЕ:
Блок индикации С2000-БКИ. Количество двухцветных индикаторов для отображения состояния разделов 60, количество одноцветных системных индикаторов для отображения принятых сообщений 8, количество кнопок для управления разделами 60, напряжение питания10.2…28 B, потребляемый ток, в дежурном режиме 200 мА, диапазон рабочих температур -30…+55град.С, габаритные размеры 340х170х25 мм</t>
  </si>
  <si>
    <t>ОБОРУДОВАНИЕ:
Батарея аккумуляторная, емкость, 40 А-ч. Напряжение 12 В.</t>
  </si>
  <si>
    <r>
      <t>ОБОРУДОВАНИЕ:
РИП-24 исп.56 (РИП-24-4/40М3-Р-RS), резервированный источник питания</t>
    </r>
    <r>
      <rPr>
        <i/>
        <sz val="10"/>
        <color rgb="FF821E82"/>
        <rFont val="Arial"/>
        <family val="2"/>
        <charset val="204"/>
      </rPr>
      <t xml:space="preserve">
Базисная стоимость: 1 455,94 = [7 375 / 1,2 /  4,4] +  3% Трансп +  1,2% Заг.скл</t>
    </r>
  </si>
  <si>
    <t>ОБОРУДОВАНИЕ:
Пульт контроля и управления охранно-пожарный с двухстрочным ЖК индикатором С2000М. Контроль до 127 приборов</t>
  </si>
  <si>
    <t>ОБОРУДОВАНИЕ:
Преобразователь интерфейсов USB в RS-232/422/485, 1-портовый. Материал корпуса: пластик, скорость передачи данных 12 Мбит/с, рабочая температура от 0 до +55°C, габаритные размеры 38,4х60х20 мм</t>
  </si>
  <si>
    <r>
      <t>ОБОРУДОВАНИЕ:
SKAT-UPS 1500/900, источник бесперебойного питания</t>
    </r>
    <r>
      <rPr>
        <i/>
        <sz val="10"/>
        <color rgb="FF821E82"/>
        <rFont val="Arial"/>
        <family val="2"/>
        <charset val="204"/>
      </rPr>
      <t xml:space="preserve">
Базисная стоимость: 3 099,43 = [15 700 / 1,2 /  4,4] +  3% Трансп +  1,2% Заг.скл</t>
    </r>
  </si>
  <si>
    <r>
      <t>ОБОРУДОВАНИЕ:
BOLID MO-122 Монитор видеонаблюдения</t>
    </r>
    <r>
      <rPr>
        <i/>
        <sz val="10"/>
        <color rgb="FF821E82"/>
        <rFont val="Arial"/>
        <family val="2"/>
        <charset val="204"/>
      </rPr>
      <t xml:space="preserve">
Базисная стоимость: 3 975,19 = [20 136 / 1,2 /  4,4] +  3% Трансп +  1,2% Заг.скл</t>
    </r>
  </si>
  <si>
    <r>
      <t>ОБОРУДОВАНИЕ:
Сервер ОПС127 исп.02 Сервер для охранно-пожарной сигнализации - до 15000 датчиков.</t>
    </r>
    <r>
      <rPr>
        <i/>
        <sz val="10"/>
        <color rgb="FF821E82"/>
        <rFont val="Arial"/>
        <family val="2"/>
        <charset val="204"/>
      </rPr>
      <t xml:space="preserve">
Базисная стоимость: 41 221,58 = [208 805 / 1,2 /  4,4] +  3% Трансп +  1,2% Заг.скл</t>
    </r>
  </si>
  <si>
    <r>
      <t>Навесной шкаф CE, 800x600x300 мм, IP65 (R5CE0863)</t>
    </r>
    <r>
      <rPr>
        <i/>
        <sz val="10"/>
        <rFont val="Arial"/>
        <family val="2"/>
        <charset val="204"/>
      </rPr>
      <t xml:space="preserve">
Базисная стоимость: 1 772,59 = [11 302,82 / 1,2 /  5,42] +  2% Трансп</t>
    </r>
  </si>
  <si>
    <t>Щиты и пульты массой до 50 кг/навесной шкаф СE</t>
  </si>
  <si>
    <t>Кабель для систем пожарной сигнализации с медными жилами, марка КПСнг(А)-FRLS, напряжение 300 В, число пар и сечение жил 2х2х1,0 мм2</t>
  </si>
  <si>
    <t>Затягивание проводов и кабелей в проложенные трубы и металлические рукава, провод каждый последующий одножильный или многожильный в общей оплетке, суммарное сечение до 6 мм2</t>
  </si>
  <si>
    <t>Короб электротехнический из ПВХ, для прокладки кабелей, с крышкой и направляющими для разделителей, сечение 40х40 мм</t>
  </si>
  <si>
    <t>Прокладка пластикового кабель-канала по кирпичному основанию</t>
  </si>
  <si>
    <t>Короба электротехнические для прокладки проводов, размер 20х12,5 мм/16х12мм</t>
  </si>
  <si>
    <t>Трубы электротехнические гофрированные, поливинилхлоридные, негорючие, с зондом, наружный диаметр 20 мм</t>
  </si>
  <si>
    <t>Устройство коммутационное нормально разомкнутое, на замыкание, количество каналов коммутации 2, напряжение управления 10-14 В, напряжение коммутируемое до 250 В, ток коммутируемый до 5 А, для систем охранной, пожарной сигнализации и контроля доступа</t>
  </si>
  <si>
    <t>Блок информационно-управляющий (БИУ)/Устройство коммутационное</t>
  </si>
  <si>
    <t>Блок релейный/блок сигнально-пусковой С2000-СП1</t>
  </si>
  <si>
    <t>Блок релейный/блок сигнально-пусковой С2000-СП2</t>
  </si>
  <si>
    <t>Блок релейный/блок сигнально-пусковой С2000-СП4</t>
  </si>
  <si>
    <t>Извещатели пожарные ручные электроконтактные адресные для линии связи от контроллера С2000-КДЛ, тип "ИПР 513-3А"</t>
  </si>
  <si>
    <t>Аппараты приемные, приборы ПС приемно-контрольные, пусковые, прибор ПС на 1 луч</t>
  </si>
  <si>
    <t>Блоки разветвительно-изолирующие для участка двухпроводной линии с коротким замыканием, тип "БРИЗ"</t>
  </si>
  <si>
    <t>Блок релейный/БРИЗ</t>
  </si>
  <si>
    <t>Извещатели пожарные дымовые оптико-электронные адресно-аналоговые в комплекте с базой (розеткой), тип "ДИП-34А" (ИП 212-34А)</t>
  </si>
  <si>
    <t>Извещатели ПС автоматические, дымовой, фотоэлектрический, радиоизотопный, световой в нормальном исполнении</t>
  </si>
  <si>
    <t>Аппараты приемные, приборы приемно-контрольные объектовые на 2 луча</t>
  </si>
  <si>
    <t>Блок информационно-управляющий (БИУ)</t>
  </si>
  <si>
    <t>Приборы и устройства сигнализарующие объектовые, устройства ультразвуковые, блок питания и контроля</t>
  </si>
  <si>
    <t>Преобразователь электрический многозонный</t>
  </si>
  <si>
    <t>Аппаратура настольная, аппарат настольный массой до 0,015 т</t>
  </si>
  <si>
    <t>№ и период сборника коэффициентов (индексов) пересчета: Коэффициенты пересчета к ТСН-2001.13-2 сентябрь 2019 года</t>
  </si>
  <si>
    <t>Измерение сопротивления растеканию тока контура с диагональю до 1000 м</t>
  </si>
  <si>
    <t>Проверка наличия цепи между заземлителями и заземленными элементами</t>
  </si>
  <si>
    <t>Замер полного сопротивления цепи "фаза-нуль"</t>
  </si>
  <si>
    <t>Измерение сопротивления изоляции мегаомметром кабельных и других линий напряжением до 1 кВ, предназначенных для передачи электроэнергии к распределительным устройствам, щитам, шкафам и коммутационным аппаратам</t>
  </si>
  <si>
    <t>Провода монтажные высоковольтные телевизионные, с многопроволочной медной жилой, с двухслойной изоляцией из фторопласта и поливинилхлоридного пластиката, напряжение до 40000 В постоянного тока, сечение жилы 0,35 мм2, марка ПВМТ-40</t>
  </si>
  <si>
    <t>Элементы барьерные электризуемые (БЭ) для охранно-защитной дератизационной системы</t>
  </si>
  <si>
    <t>Провода при открытой проводке для систем ОПС, провод двух- и трехжильный с разделительным основанием по стенам и потолкам, прокладываемый по основаниям бетонным и металлическим</t>
  </si>
  <si>
    <t>ОБОРУДОВАНИЕ:
Блок высоковольтного усилителя БВУ для охранно-защитной дератизационной системы. Может быть подключено до 5 м барьера электризуемого, напряжение 220 В, мощность не более 15 Вт, диапазон рабочих температур от -20 до +50 °C, габаритные размеры 200х110х90 мм.</t>
  </si>
  <si>
    <t>Ящик с одним двухполюсным рубильником, или двухполюсным рубильником и двумя предохранителями, или с двумя блоками "предохранитель-выключатель", или с двумя предохранителями, устанавливаемый на конструкции на стене или колонне на ток до 100 А</t>
  </si>
  <si>
    <t>ОБОРУДОВАНИЕ:
Блок преобразователя импульсный БПИ для охранно-защитной дератизационной системы. Возможность подключения до 18 шт. БВУ, напряжение 220 В, мощность не более 15 Вт, диапазон рабочих температур от -20 до +50 °C, габаритные размеры 230х120х50 мм.</t>
  </si>
  <si>
    <t>Аппараты приемные,приборы ПС приемно-контрольные, пусковые, концентратор, блок базовый на 10 лучей</t>
  </si>
  <si>
    <t>Канаты (тросы) стальные арматурные, 1х7, диаметр каната 12 мм, диаметр проволоки 4 мм</t>
  </si>
  <si>
    <t>Раскатка несущих тросов и контактных проводов, раскатка несущего троса "по верху"</t>
  </si>
  <si>
    <r>
      <t>Стержневой молниеприемник Н=2м</t>
    </r>
    <r>
      <rPr>
        <i/>
        <sz val="10"/>
        <rFont val="Arial"/>
        <family val="2"/>
        <charset val="204"/>
      </rPr>
      <t xml:space="preserve">
Базисная стоимость: 555,48 = [3 542 / 1,2 /  5,42] +  2% Трансп</t>
    </r>
  </si>
  <si>
    <r>
      <t>Соединитель проволки универсальный</t>
    </r>
    <r>
      <rPr>
        <i/>
        <sz val="10"/>
        <rFont val="Arial"/>
        <family val="2"/>
        <charset val="204"/>
      </rPr>
      <t xml:space="preserve">
Базисная стоимость: 27,05 = [172,49 / 1,2 /  5,42] +  2% Трансп</t>
    </r>
  </si>
  <si>
    <r>
      <t>Проволка из оцинкованной стали Д=8</t>
    </r>
    <r>
      <rPr>
        <i/>
        <sz val="10"/>
        <rFont val="Arial"/>
        <family val="2"/>
        <charset val="204"/>
      </rPr>
      <t xml:space="preserve">
Базисная стоимость: 12,92 = [82,4 / 1,2 /  5,42] +  2% Трансп</t>
    </r>
  </si>
  <si>
    <t>Проводник заземляющий открыто по строительным основаниям из круглой стали, диаметр 8 мм</t>
  </si>
  <si>
    <t>Заготовки для электропроводки из водогазопроводных труб, диаметр условного прохода 50 мм</t>
  </si>
  <si>
    <t>Трубы стальные по установленным конструкциям, трубы по стенам с креплением скобами, диаметр до 50 мм</t>
  </si>
  <si>
    <t>Заготовки для электропроводки из водогазопроводных труб, диаметр условного прохода 25 мм</t>
  </si>
  <si>
    <t>Трубы стальные по установленным конструкциям, трубы по стенам с креплением скобами, диаметр до 25 мм</t>
  </si>
  <si>
    <r>
      <t>ОБОРУДОВАНИЕ:
Батарейный модуль EBC-E-1x40-CSBHRL12540W-BB-400A-M6</t>
    </r>
    <r>
      <rPr>
        <i/>
        <sz val="10"/>
        <color rgb="FF821E82"/>
        <rFont val="Arial"/>
        <family val="2"/>
        <charset val="204"/>
      </rPr>
      <t xml:space="preserve">
Базисная стоимость: 300 293,64 = [1 521 116 / 1,2 /  4,4] +  3% Трансп +  1,2% Заг.скл</t>
    </r>
  </si>
  <si>
    <r>
      <t>ОБОРУДОВАНИЕ:
Источник бесперебойного питания 150кВа 93 РМ-150(150)-IS-MBS-6</t>
    </r>
    <r>
      <rPr>
        <i/>
        <sz val="10"/>
        <color rgb="FF821E82"/>
        <rFont val="Arial"/>
        <family val="2"/>
        <charset val="204"/>
      </rPr>
      <t xml:space="preserve">
Базисная стоимость: 461 218,84 = [2 336 271 / 1,2 /  4,4] +  3% Трансп +  1,2% Заг.скл</t>
    </r>
  </si>
  <si>
    <t>Выключатели автоматические дифференциального тока, двухполюсные, тип DS202 АС-С, на ток 6-25 А/30 мА</t>
  </si>
  <si>
    <t>Выключатели автоматические, тип S201, однополюсные, на ток 10-25 А</t>
  </si>
  <si>
    <t>Выключатели автоматические трехполюсные, на ток 200,250 А, тип ВА 57-35</t>
  </si>
  <si>
    <t>Выключатели автоматические, тип S203, трехполюсные, на ток 50 А, 63 А</t>
  </si>
  <si>
    <t>Выключатели автоматические, тип S203, трехполюсные, на ток 20-40 А</t>
  </si>
  <si>
    <t>Выключатели автоматические, тип S203, трехполюсные, на ток 10 А, 16 А</t>
  </si>
  <si>
    <t>Выключатели установочные автоматические (автоматы) или неавтоматические, автомат одно-,двух-,трехполюсный, устанавливаемый на конструкции на стене или колонне на ток до 250 А</t>
  </si>
  <si>
    <t>Выключатели установочные автоматические (автоматы) или неавтоматические, автомат одно-,двух-,трехполюсный, устанавливаемый на конструкции на стене или колонне на ток до 100 А</t>
  </si>
  <si>
    <t>Выключатели установочные автоматические (автоматы) или неавтоматические, автомат одно-,двух-,трехполюсный, устанавливаемый на конструкции на стене или колонне на ток до 25 А</t>
  </si>
  <si>
    <t>Щиты распределительные навесные металлические с шинами, DIN-рейками, защитными панелями и замком, степень защиты IP31, тип ЩРН-24, размеры 310х395х130 мм</t>
  </si>
  <si>
    <t>Щиты распределительные навесные металлические с шинами, DIN-рейками, защитными панелями и замком, степень защиты IP31, тип ЩРН-48, размеры 310х645х130 мм</t>
  </si>
  <si>
    <t>Пульты и шкафы управления, шкаф (пульт) управления навесной, высота, ширина, глубина до 600х600х350 мм</t>
  </si>
  <si>
    <t>Провод установочный с медной жилой, марка ПуГВнг(А)-LS, напряжение 450/750 В, число жил и сечение 1х25 мм2</t>
  </si>
  <si>
    <t>Провод установочный с медной жилой, марка ПуГВнг(А)-LS, напряжение 450/750 В, число жил и сечение 1х4 мм2</t>
  </si>
  <si>
    <t>Провод установочный с медной жилой, марка ПуГВнг(А)-LS, напряжение 450/750 В, число жил и сечение 1х2,5 мм2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</si>
  <si>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5х16 мм2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</si>
  <si>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5х10 мм2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</si>
  <si>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5х6 мм2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</si>
  <si>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5х4 мм2</t>
  </si>
  <si>
    <t>Кабели силовые с медными жилами, огнестойкие,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ВВГнг(А)-FRLSLTх, число жил и сечение 5х2,5 мм2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</si>
  <si>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5х2,5 мм2</t>
  </si>
  <si>
    <t>Кабели силовые с медными жилами, огнестойкие,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ВВГнг(А)-FRLSLTх, число жил и сечение 3х2,5 мм2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</si>
  <si>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3х2,5 мм2</t>
  </si>
  <si>
    <t>Кабели силовые с медными жилами, огнестойкие,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ВВГнг(А)-FRLSLTх, число жил и сечение 3х1,5 мм2</t>
  </si>
  <si>
    <t>Кабели силовые, с медными жилами, с изоляцией и оболочкой из поливинилхлоридного пластиката пониженной пожарной опасности, не распространяющие горение, с пониженным дымо- и газовыделением и с низкой токсичностью продуктов горения, напряжение 1000 В, марка ВВГнг(А)-LSLTх, число жил и сечение 3х1,5 мм2</t>
  </si>
  <si>
    <t>Проводник заземляющий из медного изолированного провода сечением 25 мм2 открыто по строительным основаниям</t>
  </si>
  <si>
    <t>Провода и кабели по стальным конструкциям и панелям, провод, сечением до 400 мм2</t>
  </si>
  <si>
    <t>Затягивание проводов и кабелей в проложенные трубы и металлические рукава, провод каждый последующий одножильный или многожильный в общей оплетке, суммарное сечение до 120 мм2</t>
  </si>
  <si>
    <t>Затягивание проводов и кабелей в проложенные трубы и металлические рукава, провод каждый последующий одножильный или многожильный в общей оплетке, суммарное сечение до 70 мм2</t>
  </si>
  <si>
    <t>Затягивание проводов и кабелей в проложенные трубы и металлические рукава, провод каждый последующий одножильный или многожильный в общей оплетке, суммарное сечение до 35 мм2</t>
  </si>
  <si>
    <t>Провода и кабели в лотках, провод, сечением до 6 мм2</t>
  </si>
  <si>
    <t>Лотки стальные перфорированные оцинкованные кабельные простые, тип PNK-200, размеры 2500х200х50 мм</t>
  </si>
  <si>
    <t>Лотки металлические штампованные по установленным конструкциям, ширина лотков до 200 мм</t>
  </si>
  <si>
    <t>Кабель-каналы размер 100х60 мм, короба с направляющими</t>
  </si>
  <si>
    <t>Коробки для установки выключателей, переключателей и штепсельных розеток при скрытой электропроводке, тип КУВ-1М УХЛЗ</t>
  </si>
  <si>
    <t>Розетки штепсельные, серия "Этюд", напряжение 250 В, сила тока 16 А, скрытой установки, степень защиты IP44, одноместные, с заземляющими контактами, защитными шторками и крышкой, тип РС16-044</t>
  </si>
  <si>
    <t>Розетка штепсельная утопленного типа при скрытой проводке</t>
  </si>
  <si>
    <t>Коробки распределительные пластиковые, для открытой проводки, 6 выводов, с сальниками, степень защиты IP55, размеры 100х100х55 мм</t>
  </si>
  <si>
    <t>Розетки штепсельные, серия "Этюд", напряжение 250 В, сила тока 16 А, скрытой установки, с заземляющими контактами и защитными шторками, двухместные, тип РС16-008</t>
  </si>
  <si>
    <t>Розетки штепсельные скрытой установки одноместные двухполюсные, нормируемое напряжение 250 В, номинальный ток 16 А, серия "Селена", типа РС16-426, одноместная, с боковым заземляющим контактом, брызгозащищенной и защитной шторкой</t>
  </si>
  <si>
    <t>Переключатели на два направления одноклавишные, нормируемое напряжение 250 В, номинальный ток 10 А, типа С610-396, скрытой установки, серия "Селена"</t>
  </si>
  <si>
    <t>Переключатель утопленного типа при скрытой проводке</t>
  </si>
  <si>
    <t>Выключатели, серия "Этюд", напряжение 250 В, сила тока 10 А, открытой установки, одноклавишные, тип ВА10-001</t>
  </si>
  <si>
    <t>Выключатель одноклавишный неутопленного типа при открытой проводке</t>
  </si>
  <si>
    <t>Выключатели, серия "Этюд", напряжение 250 В, сила тока 10 А, скрытой установки, двухклавишные, тип ВС10-002</t>
  </si>
  <si>
    <t>Выключатель двухклавишный утопленного типа при скрытой проводке</t>
  </si>
  <si>
    <t>Выключатели, серия "Этюд", напряжение 250 В, сила тока 10 А, скрытой установки, одноклавишные, тип ВС10-001</t>
  </si>
  <si>
    <t>Выключатель одноклавишный утопленного типа при скрытой проводке</t>
  </si>
  <si>
    <t>Указатель местонахождения пожарного гидранта настенный светодиодный с блоком питания независимого исполнения в распаечной коробке, мощность 5 Вт, рассеиватель из оргстекла толщиной 8 мм, трафарет из пленки оракал, степень защиты IP65, габаритные размеры 205х150 мм</t>
  </si>
  <si>
    <t>Указатели световые светодиодные, степень защиты IP20, тип ДБО 02-1-006, с аккумулятором</t>
  </si>
  <si>
    <t>Светильники для ламп накаливания, световые настенные указатели</t>
  </si>
  <si>
    <r>
      <t>Светильник ручной переносной на 1 лампу 40Вт СР-2 У4</t>
    </r>
    <r>
      <rPr>
        <i/>
        <sz val="10"/>
        <rFont val="Arial"/>
        <family val="2"/>
        <charset val="204"/>
      </rPr>
      <t xml:space="preserve">
Базисная стоимость: 155,10 = [989 / 1,2 /  5,42] +  2% Трансп</t>
    </r>
  </si>
  <si>
    <t>Лампы люминесцентные ртутные низкого давления общего применения, тип ЛДЦ, ЛД, ЛХБ, ЛХТ, ЛБ, тип цоколя G13, мощность 36 Вт</t>
  </si>
  <si>
    <t>Лампы люминесцентные компактные энергосберегающие со встроенным ПРА, напряжение 220 В, цоколь E14, E27, мощность 15 Вт, спирального типа</t>
  </si>
  <si>
    <r>
      <t>Светильник люминесцентный с ЭПРА на 4 лампы 14Вт встроенный, 3000K, IP21 OPL/R 414</t>
    </r>
    <r>
      <rPr>
        <i/>
        <sz val="10"/>
        <rFont val="Arial"/>
        <family val="2"/>
        <charset val="204"/>
      </rPr>
      <t xml:space="preserve">
Базисная стоимость: 595,47 = [3 797 / 1,2 /  5,42] +  2% Трансп</t>
    </r>
  </si>
  <si>
    <r>
      <t>Светильник люминесцентный с ЭПРА на 2 лампы 36Вт встроенный, 3000K, IP54 ALD 236 HF</t>
    </r>
    <r>
      <rPr>
        <i/>
        <sz val="10"/>
        <rFont val="Arial"/>
        <family val="2"/>
        <charset val="204"/>
      </rPr>
      <t xml:space="preserve">
Базисная стоимость: 847,02 = [5 401 / 1,2 /  5,42] +  2% Трансп</t>
    </r>
  </si>
  <si>
    <t>Светильник в подвесных потолках</t>
  </si>
  <si>
    <t>Светильники с люминесцентными компактными лампами, потолочные или встраиваемые, степень защиты IP54, артикул OWP 2х55, с зеркальной решеткой и стеклом</t>
  </si>
  <si>
    <t>Светильники с люминесцентными лампами, светильник отдельно устанавливаемый на штырях с количеством ламп в светильнике 2</t>
  </si>
  <si>
    <r>
      <t>Светильник светодиодный 16 Вт подвесной IP 65 над входом  star nbt 16 led</t>
    </r>
    <r>
      <rPr>
        <i/>
        <sz val="10"/>
        <rFont val="Arial"/>
        <family val="2"/>
        <charset val="204"/>
      </rPr>
      <t xml:space="preserve">
Базисная стоимость: 864,40 = [5 511,79 / 1,2 /  5,42] +  2% Трансп</t>
    </r>
  </si>
  <si>
    <r>
      <t>Светильник ARCTIC.OPL ECO LED 1200 TH 4000K (1088000240)</t>
    </r>
    <r>
      <rPr>
        <i/>
        <sz val="10"/>
        <rFont val="Arial"/>
        <family val="2"/>
        <charset val="204"/>
      </rPr>
      <t xml:space="preserve">
Базисная стоимость: 743,42 = [4 740,37 / 1,2 /  5,42] +  2% Трансп</t>
    </r>
  </si>
  <si>
    <t>Светильники с люминесцентными лампами, светильник отдельно устанавливаемый на штырях с количеством ламп в светильнике 1</t>
  </si>
  <si>
    <r>
      <t>ОБОРУДОВАНИЕ:
Ящик с транформаторами 220/12В, IP54 ЯТПО-3550-54УХЛЗ</t>
    </r>
    <r>
      <rPr>
        <i/>
        <sz val="10"/>
        <color rgb="FF821E82"/>
        <rFont val="Arial"/>
        <family val="2"/>
        <charset val="204"/>
      </rPr>
      <t xml:space="preserve">
Базисная стоимость: 761,23 = [3 856 / 1,2 /  4,4] +  1,2% Трансп +  3% Заг.скл</t>
    </r>
  </si>
  <si>
    <t>Ящики с понижающими трансформаторами</t>
  </si>
  <si>
    <r>
      <t>ОБОРУДОВАНИЕ:
Щит автоматищеского ввода резерва на 63А (800х1800х600) в составе: вводной аппарат с моторприводом 63 А XT1N1604P-2 шт. ;Контроллер ATS-022 - 1 шт.</t>
    </r>
    <r>
      <rPr>
        <i/>
        <sz val="10"/>
        <color rgb="FF821E82"/>
        <rFont val="Arial"/>
        <family val="2"/>
        <charset val="204"/>
      </rPr>
      <t xml:space="preserve">
Базисная стоимость: 6 534,89 = [33 102 / 1,2 /  4,4] +  3% Трансп +  1,2% Заг.скл</t>
    </r>
  </si>
  <si>
    <r>
      <t>ОБОРУДОВАНИЕ:
Щит аварийногопереключения на резерв (для панели ППУ) на ток до 400А IP31</t>
    </r>
    <r>
      <rPr>
        <i/>
        <sz val="10"/>
        <color rgb="FF821E82"/>
        <rFont val="Arial"/>
        <family val="2"/>
        <charset val="204"/>
      </rPr>
      <t xml:space="preserve">
Базисная стоимость: 13 790,74 = [69 856 / 1,2 /  4,4] +  3% Трансп +  1,2% Заг.скл</t>
    </r>
  </si>
  <si>
    <t>Пульты и шкафы управления, пульт управления напольный, высота до 1200 мм, глубина и ширина по фронту до 700х600 мм</t>
  </si>
  <si>
    <t>ОБОРУДОВАНИЕ:
Устройства вводно-распределительные типа ВРУ-8504 МУ, панели распределительные, тип 3Р-103. Габаритные размеры 2000(1800)х450х450 мм, степень защиты IP31. Установленные аппараты: выключатели автоматические 3 полюса до 63 А – 20 шт.</t>
  </si>
  <si>
    <t>ОБОРУДОВАНИЕ:
Устройства вводно-распределительные типа ВРУ-8504 МУ, панели вводные, тип 3ВП-5-25. Габаритные размеры 2000(1800)х630х450 мм, степень защиты IP30. Установленные аппараты: амперметр 250/5 А – 3 шт., вольтметр 450 В – 1 шт., переключатель – 1 шт., предохранитель 250 А - 3 шт., переключатель-разъединитель 250 А – 1 шт., выключатель автоматический 1 полюс 6А – 1 шт., патрон с лампой накаливания – 1 шт., трансформатор тока 250/5 А – 3 шт., конденсатор 1000 В 0,47 мкФ – 3 шт., счетчик 3-фазный – 1 шт.</t>
  </si>
  <si>
    <t>Щиты и стеллажи с блоками резисторов (ящиками сопротивления) высотой свыше 1700 мм, щит собираемый из отдельных панелей и блоков управления однорядный или двухрядный без блоков резисторов, глубиной до 800 мм шкафного исполнения</t>
  </si>
  <si>
    <t>Кабели для систем пожарной безопасности с медными жилами, с изоляцией из кремнийорганической резины, с общим экраном из алюминиевой фольги, в оболочке из ПВХ пластиката пониженной пожарной опасности, марка КСРЭВнг-FRLS, число жил и диаметр 4х0,5 мм</t>
  </si>
  <si>
    <r>
      <t>Noname Hostcall-VS-03 Комплект светового и звукового вызова арт. Tl13713 Подробнее: https://invamagazin.ru/p372037734-noname-hostcall-komplekt.html</t>
    </r>
    <r>
      <rPr>
        <i/>
        <sz val="10"/>
        <rFont val="Arial"/>
        <family val="2"/>
        <charset val="204"/>
      </rPr>
      <t xml:space="preserve">
Базисная стоимость: 1 123,51 = [7 164 / 1,2 /  5,42] +  2% Трансп</t>
    </r>
  </si>
  <si>
    <r>
      <t>ОБОРУДОВАНИЕ:
Комплект радиовызова персонала Hostcall MP-920W8</t>
    </r>
    <r>
      <rPr>
        <i/>
        <sz val="10"/>
        <color rgb="FF821E82"/>
        <rFont val="Arial"/>
        <family val="2"/>
        <charset val="204"/>
      </rPr>
      <t xml:space="preserve">
Базисная стоимость: 1 485,16 = [7 523 / 1,2 /  4,4] +  3% Трансп +  1,2% Заг.скл</t>
    </r>
  </si>
  <si>
    <t>Кабели высокочастотные парной скрутки с медными однопроволочными жилами, с ПЭ изоляцией, в оболочке из ПВХ пластиката с общим экраном из фольгированной алюминием полимерной ленты под оболочкой, марка КВПЭФ(ParLan F/UTP) cat 5e 2х2х0,52 мм</t>
  </si>
  <si>
    <r>
      <t>GC-0611W2: Коридорная лампа</t>
    </r>
    <r>
      <rPr>
        <i/>
        <sz val="10"/>
        <rFont val="Arial"/>
        <family val="2"/>
        <charset val="204"/>
      </rPr>
      <t xml:space="preserve">
Базисная стоимость: 317,21 = [2 022,7 / 1,2 /  5,42] +  2% Трансп</t>
    </r>
  </si>
  <si>
    <r>
      <t>Кнопка сброса проводная Getcall GC-0421W1</t>
    </r>
    <r>
      <rPr>
        <i/>
        <sz val="10"/>
        <rFont val="Arial"/>
        <family val="2"/>
        <charset val="204"/>
      </rPr>
      <t xml:space="preserve">
Базисная стоимость: 100,05 = [638 / 1,2 /  5,42] +  2% Трансп</t>
    </r>
  </si>
  <si>
    <r>
      <t>Кнопка со шнуром проводная аналоговая влагозащищенная Getcall GC-0423W1</t>
    </r>
    <r>
      <rPr>
        <i/>
        <sz val="10"/>
        <rFont val="Arial"/>
        <family val="2"/>
        <charset val="204"/>
      </rPr>
      <t xml:space="preserve">
Базисная стоимость: 215,94 = [1 376,94 / 1,2 /  5,42] +  2% Трансп</t>
    </r>
  </si>
  <si>
    <r>
      <t>ОБОРУДОВАНИЕ:
Устройство абонентское Getcall GC-2001W3</t>
    </r>
    <r>
      <rPr>
        <i/>
        <sz val="10"/>
        <color rgb="FF821E82"/>
        <rFont val="Arial"/>
        <family val="2"/>
        <charset val="204"/>
      </rPr>
      <t xml:space="preserve">
Базисная стоимость: 415,96 = [2 107,05 / 1,2 /  4,4] +  3% Трансп +  1,2% Заг.скл</t>
    </r>
  </si>
  <si>
    <r>
      <t>ОБОРУДОВАНИЕ:
Пульт селекторной связи на 6 абонентов Getcall GC-1006DG</t>
    </r>
    <r>
      <rPr>
        <i/>
        <sz val="10"/>
        <color rgb="FF821E82"/>
        <rFont val="Arial"/>
        <family val="2"/>
        <charset val="204"/>
      </rPr>
      <t xml:space="preserve">
Базисная стоимость: 1 512,02 = [7 659 / 1,2 /  4,4] +  3% Трансп +  1,2% Заг.скл</t>
    </r>
  </si>
  <si>
    <t>Сигнализация вызывная, пульт или табло с количеством сигналов до 10</t>
  </si>
  <si>
    <t>ОБОРУДОВАНИЕ:
Батарея аккумуляторная, емкость 7 А/ч. Напряжение 12 В</t>
  </si>
  <si>
    <r>
      <t>ОБОРУДОВАНИЕ:
ББП-50 DIN источник бесперебойного питания</t>
    </r>
    <r>
      <rPr>
        <i/>
        <sz val="10"/>
        <color rgb="FF821E82"/>
        <rFont val="Arial"/>
        <family val="2"/>
        <charset val="204"/>
      </rPr>
      <t xml:space="preserve">
Базисная стоимость: 465,90 = [2 360 / 1,2 /  4,4] +  3% Трансп +  1,2% Заг.скл</t>
    </r>
  </si>
  <si>
    <t>Консоли кабельные стальные, тип К-250</t>
  </si>
  <si>
    <t>Клемма заземления, U-образная оцинкованная резьбовая скоба и две латунные губки, в комплекте с гайками М4, ширина 25 мм, площадь сечения круглого заземляющего провода от 7,0 до 78,5 мм2 (диаметр от 3 до 10 мм), ширина плоского проводника до 40 мм, для заземления проволочного металлического лотка кабельного канала</t>
  </si>
  <si>
    <t>Коробки установочные, серия "Tyco", из полистирола, для скрытой проводки, диаметр 65 мм, высота 40 мм, без саморезов, артикул 10180</t>
  </si>
  <si>
    <t>Кабель-каналы, размер 105х50 мм, рамки-суппорт "Мозаик" на 2 модуля</t>
  </si>
  <si>
    <t>Розетка локальной сети, разъем RJ-45, скрытой установки, раздельная, 1-местная, степень защиты IP20, механизм с металлической крепежной рамой, без декоративной крышки</t>
  </si>
  <si>
    <t>Розетка штепсельная неутопленного типа при открытой проводке</t>
  </si>
  <si>
    <r>
      <t>ОБОРУДОВАНИЕ:
Контролер точек доступа QTECH QWC-700</t>
    </r>
    <r>
      <rPr>
        <i/>
        <sz val="10"/>
        <color rgb="FF821E82"/>
        <rFont val="Arial"/>
        <family val="2"/>
        <charset val="204"/>
      </rPr>
      <t xml:space="preserve">
Базисная стоимость: 3 295,08 = [16 691 / 1,2 /  4,4] +  3% Трансп +  1,2% Заг.скл</t>
    </r>
  </si>
  <si>
    <r>
      <t>ОБОРУДОВАНИЕ:
Точка доступа QTECH QWP-320-AC-VC</t>
    </r>
    <r>
      <rPr>
        <i/>
        <sz val="10"/>
        <color rgb="FF821E82"/>
        <rFont val="Arial"/>
        <family val="2"/>
        <charset val="204"/>
      </rPr>
      <t xml:space="preserve">
Базисная стоимость: 2 076,62 = [10 519 / 1,2 /  4,4] +  3% Трансп +  1,2% Заг.скл</t>
    </r>
  </si>
  <si>
    <r>
      <t>ОБОРУДОВАНИЕ:
SipProxy-128(51XX)</t>
    </r>
    <r>
      <rPr>
        <i/>
        <sz val="10"/>
        <color rgb="FF821E82"/>
        <rFont val="Arial"/>
        <family val="2"/>
        <charset val="204"/>
      </rPr>
      <t xml:space="preserve">
Базисная стоимость: 7 932,21 = [40 180 / 1,2 /  4,4] +  3% Трансп +  1,2% Заг.скл</t>
    </r>
  </si>
  <si>
    <r>
      <t>ОБОРУДОВАНИЕ:
Станция IP ATC IP-ATC Агат</t>
    </r>
    <r>
      <rPr>
        <i/>
        <sz val="10"/>
        <color rgb="FF821E82"/>
        <rFont val="Arial"/>
        <family val="2"/>
        <charset val="204"/>
      </rPr>
      <t xml:space="preserve">
Базисная стоимость: 6 593,72 = [33 400 / 1,2 /  4,4] +  3% Трансп +  1,2% Заг.скл</t>
    </r>
  </si>
  <si>
    <r>
      <t>SFP-10G Модуль</t>
    </r>
    <r>
      <rPr>
        <i/>
        <sz val="10"/>
        <rFont val="Arial"/>
        <family val="2"/>
        <charset val="204"/>
      </rPr>
      <t xml:space="preserve">
Базисная стоимость: 10 036,90 = [64 000 / 1,2 /  5,42] +  2% Трансп</t>
    </r>
  </si>
  <si>
    <r>
      <t>ОБОРУДОВАНИЕ:
Коммутатор ZES (-2028GS-АС220) 24 порта</t>
    </r>
    <r>
      <rPr>
        <i/>
        <sz val="10"/>
        <color rgb="FF821E82"/>
        <rFont val="Arial"/>
        <family val="2"/>
        <charset val="204"/>
      </rPr>
      <t xml:space="preserve">
Базисная стоимость: 9 455,47 = [47 896 / 1,2 /  4,4] +  3% Трансп +  1,2% Заг.скл</t>
    </r>
  </si>
  <si>
    <r>
      <t>ОБОРУДОВАНИЕ:
Коммутатор ZES (-3252GCX)</t>
    </r>
    <r>
      <rPr>
        <i/>
        <sz val="10"/>
        <color rgb="FF821E82"/>
        <rFont val="Arial"/>
        <family val="2"/>
        <charset val="204"/>
      </rPr>
      <t xml:space="preserve">
Базисная стоимость: 44 637,30 = [226 107 / 1,2 /  4,4] +  3% Трансп +  1,2% Заг.скл</t>
    </r>
  </si>
  <si>
    <r>
      <t>ОБОРУДОВАНИЕ:
Шкаф ШТК-М-47.8.10-1ААА</t>
    </r>
    <r>
      <rPr>
        <i/>
        <sz val="10"/>
        <color rgb="FF821E82"/>
        <rFont val="Arial"/>
        <family val="2"/>
        <charset val="204"/>
      </rPr>
      <t xml:space="preserve">
Базисная стоимость: 9 215,61 = [46 681 / 1,2 /  4,4] +  3% Трансп +  1,2% Заг.скл</t>
    </r>
  </si>
  <si>
    <r>
      <t>ОБОРУДОВАНИЕ:
Программная опция для подключения 100 доп абонентов</t>
    </r>
    <r>
      <rPr>
        <i/>
        <sz val="10"/>
        <color rgb="FF821E82"/>
        <rFont val="Arial"/>
        <family val="2"/>
        <charset val="204"/>
      </rPr>
      <t xml:space="preserve">
Базисная стоимость: 6 166,51 = [31 236 / 1,2 /  4,4] +  3% Трансп +  1,2% Заг.скл</t>
    </r>
  </si>
  <si>
    <r>
      <t>ОБОРУДОВАНИЕ:
Карта удаленного управления SNMP КУИМ-32</t>
    </r>
    <r>
      <rPr>
        <i/>
        <sz val="10"/>
        <color rgb="FF821E82"/>
        <rFont val="Arial"/>
        <family val="2"/>
        <charset val="204"/>
      </rPr>
      <t xml:space="preserve">
Базисная стоимость: 3 403,26 = [17 239 / 1,2 /  4,4] +  3% Трансп +  1,2% Заг.скл</t>
    </r>
  </si>
  <si>
    <r>
      <t>ОБОРУДОВАНИЕ:
Монтажный комплект рельсов 3U для 19" стойки</t>
    </r>
    <r>
      <rPr>
        <i/>
        <sz val="10"/>
        <color rgb="FF821E82"/>
        <rFont val="Arial"/>
        <family val="2"/>
        <charset val="204"/>
      </rPr>
      <t xml:space="preserve">
Базисная стоимость: 612,98 = [3 105 / 1,2 /  4,4] +  3% Трансп +  1,2% Заг.скл</t>
    </r>
  </si>
  <si>
    <r>
      <t>ОБОРУДОВАНИЕ:
Батарейный блок БМСИПБ1,5-3КА.9-11</t>
    </r>
    <r>
      <rPr>
        <i/>
        <sz val="10"/>
        <color rgb="FF821E82"/>
        <rFont val="Arial"/>
        <family val="2"/>
        <charset val="204"/>
      </rPr>
      <t xml:space="preserve">
Базисная стоимость: 5 511,88 = [27 920 / 1,2 /  4,4] +  3% Трансп +  1,2% Заг.скл</t>
    </r>
  </si>
  <si>
    <r>
      <t>ОБОРУДОВАНИЕ:
ИСТОЧНИК БЕСПЕРЕБОЙНОГО ПИТАНИЯ СИПБ10КД.9-11</t>
    </r>
    <r>
      <rPr>
        <i/>
        <sz val="10"/>
        <color rgb="FF821E82"/>
        <rFont val="Arial"/>
        <family val="2"/>
        <charset val="204"/>
      </rPr>
      <t xml:space="preserve">
Базисная стоимость: 21 967,14 = [111 273 / 1,2 /  4,4] +  3% Трансп +  1,2% Заг.скл</t>
    </r>
  </si>
  <si>
    <r>
      <t>Патч-панель 19", 1U, 24 порта RJ-45</t>
    </r>
    <r>
      <rPr>
        <i/>
        <sz val="10"/>
        <rFont val="Arial"/>
        <family val="2"/>
        <charset val="204"/>
      </rPr>
      <t xml:space="preserve">
Базисная стоимость: 360,46 = [2 298,42 / 1,2 /  5,42] +  2% Трансп</t>
    </r>
  </si>
  <si>
    <r>
      <t>Вентиляторный модуль ЦМО R-FAN-6K-1U</t>
    </r>
    <r>
      <rPr>
        <i/>
        <sz val="10"/>
        <rFont val="Arial"/>
        <family val="2"/>
        <charset val="204"/>
      </rPr>
      <t xml:space="preserve">
Базисная стоимость: 1 426,65 = [9 097 / 1,2 /  5,42] +  2% Трансп</t>
    </r>
  </si>
  <si>
    <r>
      <t>Комплект монтажный № 2 (винт, шайба гайка с защелкой) упаковка 50 шт</t>
    </r>
    <r>
      <rPr>
        <i/>
        <sz val="10"/>
        <rFont val="Arial"/>
        <family val="2"/>
        <charset val="204"/>
      </rPr>
      <t xml:space="preserve">
Базисная стоимость: 136,38 = [869,66 / 1,2 /  5,42] +  2% Трансп</t>
    </r>
  </si>
  <si>
    <r>
      <t>Блок розеток R-16-9S-I-440-1.8</t>
    </r>
    <r>
      <rPr>
        <i/>
        <sz val="10"/>
        <rFont val="Arial"/>
        <family val="2"/>
        <charset val="204"/>
      </rPr>
      <t xml:space="preserve">
Базисная стоимость: 347,99 = [2 219 / 1,2 /  5,42] +  2% Трансп</t>
    </r>
  </si>
  <si>
    <r>
      <t>Комплект проводов заземления ЦМО ПЗ-ШТК-М</t>
    </r>
    <r>
      <rPr>
        <i/>
        <sz val="10"/>
        <rFont val="Arial"/>
        <family val="2"/>
        <charset val="204"/>
      </rPr>
      <t xml:space="preserve">
Базисная стоимость: 68,84 = [438,96 / 1,2 /  5,42] +  2% Трансп</t>
    </r>
  </si>
  <si>
    <r>
      <t>Панель заземления ЦМО ПЗ-19-500.200А</t>
    </r>
    <r>
      <rPr>
        <i/>
        <sz val="10"/>
        <rFont val="Arial"/>
        <family val="2"/>
        <charset val="204"/>
      </rPr>
      <t xml:space="preserve">
Базисная стоимость: 141,93 = [905,06 / 1,2 /  5,42] +  2% Трансп</t>
    </r>
  </si>
  <si>
    <r>
      <t>Органайзер кабельный горизонтальный 19' 2U</t>
    </r>
    <r>
      <rPr>
        <i/>
        <sz val="10"/>
        <rFont val="Arial"/>
        <family val="2"/>
        <charset val="204"/>
      </rPr>
      <t xml:space="preserve">
Базисная стоимость: 61,16 = [390 / 1,2 /  5,42] +  2% Трансп</t>
    </r>
  </si>
  <si>
    <r>
      <t>Комплект уголков УО-75</t>
    </r>
    <r>
      <rPr>
        <i/>
        <sz val="10"/>
        <rFont val="Arial"/>
        <family val="2"/>
        <charset val="204"/>
      </rPr>
      <t xml:space="preserve">
Базисная стоимость: 95,67 = [610 / 1,2 /  5,42] +  2% Трансп</t>
    </r>
  </si>
  <si>
    <t>Комплексная наладка системы контроля и управления доступом (СКУД)</t>
  </si>
  <si>
    <t>Лотки кабельные оцинкованные, перфорированные, простые, без крышек, тип PNK-50</t>
  </si>
  <si>
    <t>Профиль перфорированный монтажный длиной 2 м</t>
  </si>
  <si>
    <t>Кабель-каналы, размер 20х10 мм, кабель-каналы/16*12</t>
  </si>
  <si>
    <t>Кабель для систем пожарной сигнализации с медными жилами, марка КПСЭнг(А)-FRHF, напряжение 300 В, число пар и сечение жил 2х2х1,0 мм2</t>
  </si>
  <si>
    <r>
      <t>Комплект монтажный VIZIT-MK-405</t>
    </r>
    <r>
      <rPr>
        <i/>
        <sz val="10"/>
        <rFont val="Arial"/>
        <family val="2"/>
        <charset val="204"/>
      </rPr>
      <t xml:space="preserve">
Базисная стоимость: 141,24 = [900,62 / 1,2 /  5,42] +  2% Трансп</t>
    </r>
  </si>
  <si>
    <r>
      <t>ОБОРУДОВАНИЕ:
БВД-405СР-1 БЛОК ВЫЗОВА ДОМОФОНА VIZIT</t>
    </r>
    <r>
      <rPr>
        <i/>
        <sz val="10"/>
        <color rgb="FF821E82"/>
        <rFont val="Arial"/>
        <family val="2"/>
        <charset val="204"/>
      </rPr>
      <t xml:space="preserve">
Базисная стоимость: 963,39 = [4 880 / 1,2 /  4,4] +  3% Трансп +  1,2% Заг.скл</t>
    </r>
  </si>
  <si>
    <r>
      <t>ОБОРУДОВАНИЕ:
VIZIT-M406 МОНИТОР ВИДЕОДОМОФОНА VIZIT</t>
    </r>
    <r>
      <rPr>
        <i/>
        <sz val="10"/>
        <color rgb="FF821E82"/>
        <rFont val="Arial"/>
        <family val="2"/>
        <charset val="204"/>
      </rPr>
      <t xml:space="preserve">
Базисная стоимость: 1 672,13 = [8 470 / 1,2 /  4,4] +  3% Трансп +  1,2% Заг.скл</t>
    </r>
  </si>
  <si>
    <t>Аппаратура цветного телевидения, устройство видеоконтрольное</t>
  </si>
  <si>
    <t>Доводчик дверной типа «ДОРМА» TS/68, масса двери до 90 кг</t>
  </si>
  <si>
    <r>
      <t>Устройство разблокировки двери с восстанавливаемой вставкой ST-ER115</t>
    </r>
    <r>
      <rPr>
        <i/>
        <sz val="10"/>
        <rFont val="Arial"/>
        <family val="2"/>
        <charset val="204"/>
      </rPr>
      <t xml:space="preserve">
Базисная стоимость: 95,45 = [608,67 / 1,2 /  5,42] +  2% Трансп</t>
    </r>
  </si>
  <si>
    <t>Комплекты крепежные №7 для электромагнитных замков марки "Цифрал"</t>
  </si>
  <si>
    <t>Изделия домофона "Визит", "Элтис", замок электромагнитный, марка ML-400</t>
  </si>
  <si>
    <t>Электромагниты (электрическая часть), электромагнит длинно- или короткоходовой, масса до 15 кг</t>
  </si>
  <si>
    <r>
      <t>SPRUT Exit Button-82P Кнопка выхода</t>
    </r>
    <r>
      <rPr>
        <i/>
        <sz val="10"/>
        <rFont val="Arial"/>
        <family val="2"/>
        <charset val="204"/>
      </rPr>
      <t xml:space="preserve">
Базисная стоимость: 31,37 = [200 / 1,2 /  5,42] +  2% Трансп</t>
    </r>
  </si>
  <si>
    <r>
      <t>Proxy-5MSG Считыватель</t>
    </r>
    <r>
      <rPr>
        <i/>
        <sz val="10"/>
        <rFont val="Arial"/>
        <family val="2"/>
        <charset val="204"/>
      </rPr>
      <t xml:space="preserve">
Базисная стоимость: 399,13 = [2 545 / 1,2 /  5,42] +  2% Трансп</t>
    </r>
  </si>
  <si>
    <t>Блок считывания кода (БСК) и считыватель в диспетчерской</t>
  </si>
  <si>
    <t>ОБОРУДОВАНИЕ:
Резервированный источник питания (РИП-12-1/7М2-Р) РИП-12 исп.20</t>
  </si>
  <si>
    <t>ОБОРУДОВАНИЕ:
Контроллер доступа С2000-2. Разнообразные режимы работы, режим запрета повторного прохода (Antipassback), встроенный звуковой сигнализатор, управление и передача сообщений по интерфейсу RS-485 в ИСО «Орион»</t>
  </si>
  <si>
    <r>
      <t>ОБОРУДОВАНИЕ:
Proxy-5MS-USB Считыватель</t>
    </r>
    <r>
      <rPr>
        <i/>
        <sz val="10"/>
        <color rgb="FF821E82"/>
        <rFont val="Arial"/>
        <family val="2"/>
        <charset val="204"/>
      </rPr>
      <t xml:space="preserve">
Базисная стоимость: 1 277,48 = [6 470,96 / 1,2 /  4,4] +  3% Трансп +  1,2% Заг.скл</t>
    </r>
  </si>
  <si>
    <r>
      <t>ОБОРУДОВАНИЕ:
Микрофонная панель SX-R31</t>
    </r>
    <r>
      <rPr>
        <i/>
        <sz val="10"/>
        <color rgb="FF821E82"/>
        <rFont val="Arial"/>
        <family val="2"/>
        <charset val="204"/>
      </rPr>
      <t xml:space="preserve">
Базисная стоимость: 3 196,78 = [16 193 / 1,2 /  4,4] +  3% Трансп +  1,2% Заг.скл</t>
    </r>
  </si>
  <si>
    <r>
      <t>ОБОРУДОВАНИЕ:
Вызывная панель СР-8032</t>
    </r>
    <r>
      <rPr>
        <i/>
        <sz val="10"/>
        <color rgb="FF821E82"/>
        <rFont val="Arial"/>
        <family val="2"/>
        <charset val="204"/>
      </rPr>
      <t xml:space="preserve">
Базисная стоимость: 2 045,83 = [10 363 / 1,2 /  4,4] +  3% Трансп +  1,2% Заг.скл</t>
    </r>
  </si>
  <si>
    <r>
      <t>Комплект грузоподъемных роликов ШТК-М-150</t>
    </r>
    <r>
      <rPr>
        <i/>
        <sz val="10"/>
        <rFont val="Arial"/>
        <family val="2"/>
        <charset val="204"/>
      </rPr>
      <t xml:space="preserve">
Базисная стоимость: 792,96 = [5 056,3 / 1,2 /  5,42] +  2% Трансп</t>
    </r>
  </si>
  <si>
    <r>
      <t>Полка усиленная СВ-58АК</t>
    </r>
    <r>
      <rPr>
        <i/>
        <sz val="10"/>
        <rFont val="Arial"/>
        <family val="2"/>
        <charset val="204"/>
      </rPr>
      <t xml:space="preserve">
Базисная стоимость: 286,47 = [1 826,64 / 1,2 /  5,42] +  2% Трансп</t>
    </r>
  </si>
  <si>
    <r>
      <t>Модуль вентиляторный  R-fan-3t</t>
    </r>
    <r>
      <rPr>
        <i/>
        <sz val="10"/>
        <rFont val="Arial"/>
        <family val="2"/>
        <charset val="204"/>
      </rPr>
      <t xml:space="preserve">
Базисная стоимость: 751,82 = [4 794 / 1,2 /  5,42] +  2% Трансп</t>
    </r>
  </si>
  <si>
    <r>
      <t>Шкаф ШТК-М-33,6,6-1ААА</t>
    </r>
    <r>
      <rPr>
        <i/>
        <sz val="10"/>
        <rFont val="Arial"/>
        <family val="2"/>
        <charset val="204"/>
      </rPr>
      <t xml:space="preserve">
Базисная стоимость: 4 405,66 = [28 092,5 / 1,2 /  5,42] +  2% Трансп</t>
    </r>
  </si>
  <si>
    <r>
      <t>ОБОРУДОВАНИЕ:
Блок питания JPX-3000</t>
    </r>
    <r>
      <rPr>
        <i/>
        <sz val="10"/>
        <color rgb="FF821E82"/>
        <rFont val="Arial"/>
        <family val="2"/>
        <charset val="204"/>
      </rPr>
      <t xml:space="preserve">
Базисная стоимость: 18 584,42 = [94 138 / 1,2 /  4,4] +  3% Трансп +  1,2% Заг.скл</t>
    </r>
  </si>
  <si>
    <r>
      <t>Блок розеток SU-08</t>
    </r>
    <r>
      <rPr>
        <i/>
        <sz val="10"/>
        <rFont val="Arial"/>
        <family val="2"/>
        <charset val="204"/>
      </rPr>
      <t xml:space="preserve">
Базисная стоимость: 892,03 = [5 688 / 1,2 /  5,42] +  2% Трансп</t>
    </r>
  </si>
  <si>
    <r>
      <t>ОБОРУДОВАНИЕ:
Звуковой процессор АР-8264</t>
    </r>
    <r>
      <rPr>
        <i/>
        <sz val="10"/>
        <color rgb="FF821E82"/>
        <rFont val="Arial"/>
        <family val="2"/>
        <charset val="204"/>
      </rPr>
      <t xml:space="preserve">
Базисная стоимость: 10 035,48 = [50 834 / 1,2 /  4,4] +  3% Трансп +  1,2% Заг.скл</t>
    </r>
  </si>
  <si>
    <r>
      <t>ОБОРУДОВАНИЕ:
Усилитель RA-8236</t>
    </r>
    <r>
      <rPr>
        <i/>
        <sz val="10"/>
        <color rgb="FF821E82"/>
        <rFont val="Arial"/>
        <family val="2"/>
        <charset val="204"/>
      </rPr>
      <t xml:space="preserve">
Базисная стоимость: 13 065,03 = [66 180 / 1,2 /  4,4] +  3% Трансп +  1,2% Заг.скл</t>
    </r>
  </si>
  <si>
    <r>
      <t>ОБОРУДОВАНИЕ:
Блок контроля и управления PS-8208</t>
    </r>
    <r>
      <rPr>
        <i/>
        <sz val="10"/>
        <color rgb="FF821E82"/>
        <rFont val="Arial"/>
        <family val="2"/>
        <charset val="204"/>
      </rPr>
      <t xml:space="preserve">
Базисная стоимость: 8 880,20 = [44 982 / 1,2 /  4,4] +  3% Трансп +  1,2% Заг.скл</t>
    </r>
  </si>
  <si>
    <r>
      <t>ОБОРУДОВАНИЕ:
Селектор связи CS-8232</t>
    </r>
    <r>
      <rPr>
        <i/>
        <sz val="10"/>
        <color rgb="FF821E82"/>
        <rFont val="Arial"/>
        <family val="2"/>
        <charset val="204"/>
      </rPr>
      <t xml:space="preserve">
Базисная стоимость: 12 151,97 = [61 555 / 1,2 /  4,4] +  3% Трансп +  1,2% Заг.скл</t>
    </r>
  </si>
  <si>
    <r>
      <t>ОБОРУДОВАНИЕ:
Блок управления PS-8208</t>
    </r>
    <r>
      <rPr>
        <i/>
        <sz val="10"/>
        <color rgb="FF821E82"/>
        <rFont val="Arial"/>
        <family val="2"/>
        <charset val="204"/>
      </rPr>
      <t xml:space="preserve">
Базисная стоимость: 8 880,20 = [44 982 / 1,2 /  4,4] +  3% Трансп +  1,2% Заг.скл</t>
    </r>
  </si>
  <si>
    <t>Кабель связи симметричный для цифровых систем передач с медными жилами, марка F/UTP Cat 5e ZH нг(А)-HF, напряжение 145 В, число пар и диаметр жил 4x2x0,52 мм</t>
  </si>
  <si>
    <t>Кабели для радиовещания и телевидения, микрофонные с жилами из медных проволок, марка КММ, число жил и сечение 2х0,35 мм2</t>
  </si>
  <si>
    <t>Кабель для систем пожарной сигнализации с медными жилами, марка КПСЭнг(А)-FRLS, напряжение 300 В, число пар и сечение жил 1х2х1,5 мм2</t>
  </si>
  <si>
    <t>Короба электротехнические для прокладки проводов, размер 20х12,5 мм</t>
  </si>
  <si>
    <t>ОБОРУДОВАНИЕ:
Источник питания резервированный РИП-24, напряжение 24 В. Ток 3 А</t>
  </si>
  <si>
    <t>Блок бесперебойного питания (ББП) в диспетчерской</t>
  </si>
  <si>
    <t>Аппараты приемные, приборы приемно-контрольные, сигнальные, концентратор, блок линейный</t>
  </si>
  <si>
    <r>
      <t>Громкоговоритель WP-06T</t>
    </r>
    <r>
      <rPr>
        <i/>
        <sz val="10"/>
        <rFont val="Arial"/>
        <family val="2"/>
        <charset val="204"/>
      </rPr>
      <t xml:space="preserve">
Базисная стоимость: 195,65 = [1 247,55 / 1,2 /  5,42] +  2% Трансп</t>
    </r>
  </si>
  <si>
    <t>Громкоговоритель или звуковая колонка в помещении</t>
  </si>
  <si>
    <r>
      <t>Табло Кристалл-24</t>
    </r>
    <r>
      <rPr>
        <i/>
        <sz val="10"/>
        <rFont val="Arial"/>
        <family val="2"/>
        <charset val="204"/>
      </rPr>
      <t xml:space="preserve">
Базисная стоимость: 21,48 = [137 / 1,2 /  5,42] +  2% Трансп</t>
    </r>
  </si>
  <si>
    <t>Транспарант световой (табло)</t>
  </si>
  <si>
    <r>
      <t>Молния-24 Выход</t>
    </r>
    <r>
      <rPr>
        <i/>
        <sz val="10"/>
        <rFont val="Arial"/>
        <family val="2"/>
        <charset val="204"/>
      </rPr>
      <t xml:space="preserve">
Базисная стоимость: 22,27 = [142 / 1,2 /  5,42] +  2% Трансп</t>
    </r>
  </si>
  <si>
    <t>Оповещатели световые, тип Маяк-1</t>
  </si>
  <si>
    <t>Аппаратура настольная, аппарат настольный массой до 0,015 т/микрофонная консоль</t>
  </si>
  <si>
    <t>Блок бесперебойного питания (ББП) в диспетчерской/ источник бесперебойного питания</t>
  </si>
  <si>
    <t>Блоки с тремя выключателями и одной штепсельной розеткой утопленного типа при скрытой проводке</t>
  </si>
  <si>
    <t>Усилитель сигнала линии активный (УСЛ-А) в диспетчерской / усилитель мощности</t>
  </si>
  <si>
    <t>Блок информационно-управляющий (БИУ) в диспетчерской  /блок контроля</t>
  </si>
  <si>
    <t>Аппаратура настольная, аппарат настольный массой до 0,1 т/звуковой процессор</t>
  </si>
  <si>
    <t>Аппаратура настольная, аппарат настольный массой до 0,1 т/селектор связи</t>
  </si>
  <si>
    <t>Стойка, полустойка, каркас стойки или шкаф, плата дополнительная, устанавливаемая на готовом месте стойки / вентиляторный модуль</t>
  </si>
  <si>
    <r>
      <t>ОБОРУДОВАНИЕ:
SKAT-UPS 500/300 DIN источник бесперебойного питания</t>
    </r>
    <r>
      <rPr>
        <i/>
        <sz val="10"/>
        <color rgb="FF821E82"/>
        <rFont val="Arial"/>
        <family val="2"/>
        <charset val="204"/>
      </rPr>
      <t xml:space="preserve">
Базисная стоимость: 4 726,15 = [23 940 / 1,2 /  4,4] +  3% Трансп +  1,2% Заг.скл</t>
    </r>
  </si>
  <si>
    <t>ОБОРУДОВАНИЕ:
Антенна ГЛОНАСС/GPS для систем временной синхронизации в комплекте с кронштейном, частота 1570-1606 МГц, напряжение питания от 3,3 до 36,0 В. В комплекте с кабельной сборкой на 30 м, габаритные размеры 180х74 мм</t>
  </si>
  <si>
    <r>
      <t>ОБОРУДОВАНИЕ:
ПИК-2М-4020 Часовая станция, 4 канала, GPS-синхронизация</t>
    </r>
    <r>
      <rPr>
        <i/>
        <sz val="10"/>
        <color rgb="FF821E82"/>
        <rFont val="Arial"/>
        <family val="2"/>
        <charset val="204"/>
      </rPr>
      <t xml:space="preserve">
Базисная стоимость: 10 217,29 = [51 755 / 1,2 /  4,4] +  3% Трансп +  1,2% Заг.скл</t>
    </r>
  </si>
  <si>
    <t>Кабели силовые с медными жилами, напряжение 1000 В, марка ВВГнг(А)-LS, число жил и сечение 2х1,5 мм2</t>
  </si>
  <si>
    <t>Часы электрические вторичные, тип ВЧС1-М2ПВ-2ЧР-300-323К; ВЧ 03, диаметр циферблата 285 мм</t>
  </si>
  <si>
    <t>Электрочасы вторичные для помещений, электрочасы односторонние на стене</t>
  </si>
  <si>
    <t>Антенные устройства для приема ТВ сигнала со спутника, монтаж антенны для приема сигнала с одного спутника, диаметр антенны до 1,5 м</t>
  </si>
  <si>
    <t>Разные устройства, монтаж базового блока головной станции настенного типа</t>
  </si>
  <si>
    <t>Комплексная пусконаладка системы, добавлять к позиции 5.2-35-1 на каждое адресное устройство (С2000-ПТ - 2 шт., С2000-АСПТ - 5 шт., С2000-КПБ - 5 шт., УДП 513-3М - 5 шт., ДИП-31 - 18 шт., Маяк-24-3М2 - 6 шт., ТРВ-Гарант-14,5-Г-В - 20 шт.)    ,</t>
  </si>
  <si>
    <t>Комплексная пусконаладка системы</t>
  </si>
  <si>
    <r>
      <t>ОБОРУДОВАНИЕ:
Модуль пожаротушения тонкораспыленной водой ТРВ-Гарант-14,5-Г-В</t>
    </r>
    <r>
      <rPr>
        <i/>
        <sz val="10"/>
        <color rgb="FF821E82"/>
        <rFont val="Arial"/>
        <family val="2"/>
        <charset val="204"/>
      </rPr>
      <t xml:space="preserve">
Базисная стоимость: 3 839,75 = [19 450 / 1,2 /  4,4] +  1,2% Трансп +  3% Заг.скл</t>
    </r>
  </si>
  <si>
    <r>
      <t>Оповещатель звуковой Маяк-24-3М2</t>
    </r>
    <r>
      <rPr>
        <i/>
        <sz val="10"/>
        <rFont val="Arial"/>
        <family val="2"/>
        <charset val="204"/>
      </rPr>
      <t xml:space="preserve">
Базисная стоимость: 25,56 = [163 / 1,2 /  5,42] +  2% Трансп</t>
    </r>
  </si>
  <si>
    <t>Вода (объём 16,5л, заправка на этапе монтажа)</t>
  </si>
  <si>
    <t>Кронштейны стальные для крепления модулей пожаротушения Ураган</t>
  </si>
  <si>
    <t>Монтаж модуля установки пожаротушения тонкораспыленной водой объемом 13 л к монолитной железобетонной плите перекрытия при высоте помещения до 4 м</t>
  </si>
  <si>
    <t>ОБОРУДОВАНИЕ:
Монтажный бокс для настенной установки модулей типа M200-SMB. Материал пластик, габаритные размеры 132х137х40 мм</t>
  </si>
  <si>
    <t>*1,02</t>
  </si>
  <si>
    <t>Кабель для систем пожарной сигнализации с медными жилами, марка КПСЭнг(А)-FRHF, напряжение 300 В, число пар и сечение жил 1х2х0,75 мм2</t>
  </si>
  <si>
    <t>Кабель для систем пожарной сигнализации с медными жилами, марка КПСЭнг(А)-FRHF, напряжение 300 В, число пар и сечение жил 2х2х0,75 мм2</t>
  </si>
  <si>
    <t>Коробки для соединения и разветвления электрических цепей, тип КЗНА-08 УЗ, стальные, количество зажимов 8, степень защиты IP31, размеры 227х195х84 мм</t>
  </si>
  <si>
    <t>Провода силовые с медными жилами в поливинилхлоридной изоляции, марка ПВ3, номинальное напряжение до 450 В, число жил и сечение 1х25 мм2</t>
  </si>
  <si>
    <r>
      <t>ОБОРУДОВАНИЕ:
Устройство коммутационное УК-ВК исп.14</t>
    </r>
    <r>
      <rPr>
        <i/>
        <sz val="10"/>
        <color rgb="FF821E82"/>
        <rFont val="Arial"/>
        <family val="2"/>
        <charset val="204"/>
      </rPr>
      <t xml:space="preserve">
Базисная стоимость: 130,30 = [660 / 1,2 /  4,4] +  1,2% Трансп +  3% Заг.скл</t>
    </r>
  </si>
  <si>
    <t>Аппараты приемные, устройства промежуточные на 1 луч</t>
  </si>
  <si>
    <r>
      <t>Извещатель пожарный дымовой оптико-электронный ДИП-31</t>
    </r>
    <r>
      <rPr>
        <i/>
        <sz val="10"/>
        <rFont val="Arial"/>
        <family val="2"/>
        <charset val="204"/>
      </rPr>
      <t xml:space="preserve">
Базисная стоимость: 40,65 = [259,2 / 1,2 /  5,42] +  2% Трансп</t>
    </r>
  </si>
  <si>
    <r>
      <t>ОБОРУДОВАНИЕ:
Устройство дистанционного пуска УДП 513-3М</t>
    </r>
    <r>
      <rPr>
        <i/>
        <sz val="10"/>
        <color rgb="FF821E82"/>
        <rFont val="Arial"/>
        <family val="2"/>
        <charset val="204"/>
      </rPr>
      <t xml:space="preserve">
Базисная стоимость: 81,92 = [414,96 / 1,2 /  4,4] +  1,2% Трансп +  3% Заг.скл</t>
    </r>
  </si>
  <si>
    <t>Пост управления кнопочный общего назначения, устанавливаемый на конструкции на стене или колонне с количеством элементов поста до 3</t>
  </si>
  <si>
    <t>Аппараты приемные,приборы ПС приемно-контрольные, пусковые, концентратор, блок линейный</t>
  </si>
  <si>
    <t>ОБОРУДОВАНИЕ:
Аккумулятор герметичный свинцово-кислотный 12 В, 4,5 А·ч. Габаритные размеры 90х70х101 мм</t>
  </si>
  <si>
    <t>ОБОРУДОВАНИЕ:
Прибор приемно-контрольный пожарный на 3 шлейфа С2000-АСПТ (без стоимости батареи). Резервное питание под аккумуляторную батарею 24 В/4,5 А*ч, в комплекте: резисторы, диоды, вставка плавкая, ключи к замкам механическому и электроконтактному, шурупы, втулки, габаритные размеры 310х254х85 мм</t>
  </si>
  <si>
    <t>Аппараты приемные, приборы приемно-контрольные объектовые на 1 луч</t>
  </si>
  <si>
    <t>ОБОРУДОВАНИЕ:
Блок индикации и управления пожаротушением типа С2000-ПТ. 50 двухцветных индикаторов и 8 системных индикаторов, размеры 170х340х25,5 мм</t>
  </si>
  <si>
    <t>За каждый последующий параметр регулирования (стабилизации) добавлять к позиции 5.2-22-1</t>
  </si>
  <si>
    <r>
      <t>5.2-22-2</t>
    </r>
    <r>
      <rPr>
        <i/>
        <sz val="10"/>
        <rFont val="Arial"/>
        <family val="2"/>
        <charset val="204"/>
      </rPr>
      <t xml:space="preserve">
Поправка: ТСН-2001.5. р2. п.2.5</t>
    </r>
  </si>
  <si>
    <t>Комплексная наладка систем, реализующих функции автоматического регулирования (стабилизации) параметров технологического объекта с двумя параметрами регулирования (стабилизации)</t>
  </si>
  <si>
    <r>
      <t>5.2-22-1</t>
    </r>
    <r>
      <rPr>
        <i/>
        <sz val="10"/>
        <rFont val="Arial"/>
        <family val="2"/>
        <charset val="204"/>
      </rPr>
      <t xml:space="preserve">
Поправка: ТСН-2001.5. р2. п.2.5</t>
    </r>
  </si>
  <si>
    <r>
      <t>ОБОРУДОВАНИЕ:
КИПиА к МО5 (L=700 м3/ч, Pc=170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</si>
  <si>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t>Механизм исполнительный массой до 20 кг</t>
  </si>
  <si>
    <r>
      <t>4.11-16-1</t>
    </r>
    <r>
      <rPr>
        <i/>
        <sz val="10"/>
        <rFont val="Arial"/>
        <family val="2"/>
        <charset val="204"/>
      </rPr>
      <t xml:space="preserve">
Поправка: ТСН-2001.О.П. п.3.4. 6</t>
    </r>
  </si>
  <si>
    <r>
      <t>4.11-2-3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</si>
  <si>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Щиты и пульты массой до 50 кг</t>
  </si>
  <si>
    <r>
      <t>4.11-17-1</t>
    </r>
    <r>
      <rPr>
        <i/>
        <sz val="10"/>
        <rFont val="Arial"/>
        <family val="2"/>
        <charset val="204"/>
      </rPr>
      <t xml:space="preserve">
Поправка: ТСН-2001.О.П. п.3.4. 6</t>
    </r>
  </si>
  <si>
    <r>
      <t>ОБОРУДОВАНИЕ:
КИПиА к МО4 (L=350 м3/ч, Pc=170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</si>
  <si>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МО3 (L=350 м3/ч, Pc=150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</si>
  <si>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МО2 (L=350 м3/ч, Pc=150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</si>
  <si>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МО1 (L=350 м3/ч, Pc=170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</si>
  <si>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В5 (L=160 м3/ч, Pc=100 Па)/Цена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</si>
  <si>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В4.4 (L=100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</si>
  <si>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В4.3 (L=140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</si>
  <si>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В4.2 (L=390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</si>
  <si>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 В4.1 (L=290 м3/ч, Pc=150 Па)/ Цена 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</si>
  <si>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В3.6 (L=75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</si>
  <si>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В3.5 (L=235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</si>
  <si>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В3.4 (L=225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</si>
  <si>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В3.3 (L=250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</si>
  <si>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В3.2 (L=125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</si>
  <si>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В3.1 (L=200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</si>
  <si>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В3 (L=1320 м3/ч, Pc=250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15 861,55 = [80 345,53 / 1,2 /  4,4] +  3% Трансп +  1,2% Заг.скл</t>
    </r>
  </si>
  <si>
    <r>
      <t>ОБОРУДОВАНИЕ:
КИПиА к В2 (L=3130 м3/ч, Pc=300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26 827,63 = [135 893,46 / 1,2 /  4,4] +  3% Трансп +  1,2% Заг.скл</t>
    </r>
  </si>
  <si>
    <r>
      <t>ОБОРУДОВАНИЕ:
КИПиА к В1.6 (L=205 м3/ч, Pc=150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</si>
  <si>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В1.5 (L=830 м3/ч, Pc=150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</si>
  <si>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В1.4 (L=275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</si>
  <si>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В1.3 (L=305 м3/ч, Pc=140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</si>
  <si>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В1.2 (L=440 м3/ч, Pc=150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</si>
  <si>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4.11-3-1</t>
    </r>
    <r>
      <rPr>
        <i/>
        <sz val="10"/>
        <rFont val="Arial"/>
        <family val="2"/>
        <charset val="204"/>
      </rPr>
      <t xml:space="preserve">
Поправка: ТСН-2001.О.П. п.3.4. 6</t>
    </r>
  </si>
  <si>
    <r>
      <t>ОБОРУДОВАНИЕ:
КИПиА к В1.1 (L=180 м3/ч, Pc=150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</si>
  <si>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В1 (L=7110 м3/ч, Pc=400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17 432,34 = [88 302,27 / 1,2 /  4,4] +  3% Трансп +  1,2% Заг.скл</t>
    </r>
  </si>
  <si>
    <r>
      <t>ОБОРУДОВАНИЕ:
КИПиА к В0.3 (L=350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</si>
  <si>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В0.2 (L=80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</si>
  <si>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В0.1 (L=230 м3/ч, Pc=100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11 543,70 = [58 473,79 / 1,2 /  4,4] +  3% Трансп +  1,2% Заг.скл</t>
    </r>
  </si>
  <si>
    <r>
      <t>ОБОРУДОВАНИЕ:
КИПиА к П5 (L=1500 м3/ч, Pc=300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36 209,26 = [183 415,44 / 1,2 /  4,4] +  3% Трансп +  1,2% Заг.скл</t>
    </r>
  </si>
  <si>
    <r>
      <t>ОБОРУДОВАНИЕ:
КИПиА к П4 (L=710 м3/ч, Pc=200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35 683,20 = [180 750,73 / 1,2 /  4,4] +  3% Трансп +  1,2% Заг.скл</t>
    </r>
  </si>
  <si>
    <r>
      <t>ОБОРУДОВАНИЕ:
КИПиА к П3 (L=1260 м3/ч, Pc=300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34 631,11 = [175 421,39 / 1,2 /  4,4] +  3% Трансп +  1,2% Заг.скл</t>
    </r>
  </si>
  <si>
    <r>
      <t>ОБОРУДОВАНИЕ:
КИПиА к П2резерв (L=4170 м3/ч, Pc=600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36 631,16 = [185 552,5 / 1,2 /  4,4] +  3% Трансп +  1,2% Заг.скл</t>
    </r>
  </si>
  <si>
    <r>
      <t>ОБОРУДОВАНИЕ:
КИПиА к П2 (L=4170 м3/ч, Pc=600 Па)/ Ценна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40 839,58 = [206 869,99 / 1,2 /  4,4] +  3% Трансп +  1,2% Заг.скл</t>
    </r>
  </si>
  <si>
    <r>
      <t>ОБОРУДОВАНИЕ:
КИПиА к П1 (L=10345 м3/ч, Pc=550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49 325,86 = [249 856,64 / 1,2 /  4,4] +  3% Трансп +  1,2% Заг.скл</t>
    </r>
  </si>
  <si>
    <r>
      <t>ОБОРУДОВАНИЕ:
КИПиА к П0 (L=580 м3/ч, Pc=250 Па)/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37 296,09 = [188 920,68 / 1,2 /  4,4] +  3% Трансп +  1,2% Заг.скл</t>
    </r>
  </si>
  <si>
    <r>
      <t>ОБОРУДОВАНИЕ:
Система диспетчерского управления boss стандартной версии (BMHST00XS0)/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76 561,71 = [387 817,86 / 1,2 /  4,4] +  3% Трансп +  1,2% Заг.скл</t>
    </r>
  </si>
  <si>
    <r>
      <t>ОБОРУДОВАНИЕ:
Компьютерная станция (монитор, клавиатура, мышь, сетевой фильтр) Верхний уровень/ Цена рекомендована МГЭ</t>
    </r>
    <r>
      <rPr>
        <i/>
        <sz val="10"/>
        <color rgb="FF821E82"/>
        <rFont val="Arial"/>
        <family val="2"/>
        <charset val="204"/>
      </rPr>
      <t xml:space="preserve">
Базисная стоимость: 5 554,06 = [28 133,68 / 1,2 /  4,4] +  3% Трансп +  1,2% Заг.скл</t>
    </r>
  </si>
  <si>
    <r>
      <t>4.10-75-6</t>
    </r>
    <r>
      <rPr>
        <i/>
        <sz val="10"/>
        <rFont val="Arial"/>
        <family val="2"/>
        <charset val="204"/>
      </rPr>
      <t xml:space="preserve">
Поправка: ТСН-2001.О.П. п.3.4. 6</t>
    </r>
  </si>
  <si>
    <r>
      <t>4.8-288-2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</si>
  <si>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Кабели контрольные с медными жилами с поливинилхлоридной изоляцией, марка КВВГЭ, число жил и сечение 10х1,5 мм2</t>
  </si>
  <si>
    <r>
      <t>Низкотоксичный кабель ParLan U/UTP Cat5e PVCLS нг(А)-LSLTx 4х2х0,52</t>
    </r>
    <r>
      <rPr>
        <i/>
        <sz val="10"/>
        <rFont val="Arial"/>
        <family val="2"/>
        <charset val="204"/>
      </rPr>
      <t xml:space="preserve">
Базисная стоимость: 7,33 = [46,75 / 1,2 /  5,42] +  2% Трансп</t>
    </r>
  </si>
  <si>
    <t>Затягивание проводов и кабелей в проложенные трубы и металлические рукава, провод первый одножильный или многожильный в общей оплетке, суммарное сечение до 16 мм2</t>
  </si>
  <si>
    <r>
      <t>4.8-175-3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</si>
  <si>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Кабель для систем пожарной сигнализации с медными жилами, марка КПСЭнг(А)-FRLS, напряжение 300 В, число пар и сечение жил 2х2х1,5 мм2</t>
  </si>
  <si>
    <r>
      <t>Кабель КПСВВНГ(А)-LSLTX 1Х2Х1,0</t>
    </r>
    <r>
      <rPr>
        <i/>
        <sz val="10"/>
        <rFont val="Arial"/>
        <family val="2"/>
        <charset val="204"/>
      </rPr>
      <t xml:space="preserve">
Базисная стоимость: 3,75 = [23,96 / 1,2 /  5,42] +  2% Трансп</t>
    </r>
  </si>
  <si>
    <r>
      <t>4.8-175-2</t>
    </r>
    <r>
      <rPr>
        <i/>
        <sz val="10"/>
        <rFont val="Arial"/>
        <family val="2"/>
        <charset val="204"/>
      </rPr>
      <t xml:space="preserve">
Поправка: ТСН-2001.О.П. п.3.4. 6</t>
    </r>
  </si>
  <si>
    <t>Smeta.RU  (495) 974-1589</t>
  </si>
  <si>
    <t xml:space="preserve">______________________ </t>
  </si>
  <si>
    <t>Архитектурные решения. Приспособления.</t>
  </si>
  <si>
    <t>Основание: чертежи № 023/18КН-АР1 Том 3.1</t>
  </si>
  <si>
    <t>Раздел: Демонтажные работы. АР.ВР лист 3</t>
  </si>
  <si>
    <t>6.55-3-1</t>
  </si>
  <si>
    <t>1 м3 кладки</t>
  </si>
  <si>
    <t>Объем: 634,38=2537,52*0,25</t>
  </si>
  <si>
    <t>1,1</t>
  </si>
  <si>
    <t>9999990001</t>
  </si>
  <si>
    <t>т</t>
  </si>
  <si>
    <t>2</t>
  </si>
  <si>
    <t>6.56-12-1</t>
  </si>
  <si>
    <t>100 шт.</t>
  </si>
  <si>
    <t>Объем: 0,65=(48+2+2+1+1+11)/100</t>
  </si>
  <si>
    <t>2,1</t>
  </si>
  <si>
    <t>6.56-13-1</t>
  </si>
  <si>
    <t>100 м2</t>
  </si>
  <si>
    <t>Объем: 1,2156=(0,9*2,1*48+1,2*2,1*2+1*2,1*2+1,3*2,1*1+1,35*2*1+0,7*2,1*11)/100</t>
  </si>
  <si>
    <t>3,1</t>
  </si>
  <si>
    <t>Итого по разделу: Демонтажные работы. АР.ВР лист 3</t>
  </si>
  <si>
    <t>Раздел: Отделочные работы. АР.ВР л.7</t>
  </si>
  <si>
    <t>Подраздел: Потолок</t>
  </si>
  <si>
    <t>4</t>
  </si>
  <si>
    <t>Объем: 16,7541=1675,41/100</t>
  </si>
  <si>
    <t>)*1,15</t>
  </si>
  <si>
    <t>)*1,25</t>
  </si>
  <si>
    <t>4,1</t>
  </si>
  <si>
    <t>1.1-1-3721</t>
  </si>
  <si>
    <t>м</t>
  </si>
  <si>
    <t>4,2</t>
  </si>
  <si>
    <t>1.7-4-39</t>
  </si>
  <si>
    <t>4,3</t>
  </si>
  <si>
    <t>1.1-1-567</t>
  </si>
  <si>
    <t>м2</t>
  </si>
  <si>
    <t>5,1</t>
  </si>
  <si>
    <t>1.1-1-1483</t>
  </si>
  <si>
    <t>6</t>
  </si>
  <si>
    <t>100 м2 окрашиваемой поверхности</t>
  </si>
  <si>
    <t>6,1</t>
  </si>
  <si>
    <t>6,2</t>
  </si>
  <si>
    <t>1.1-1-2180</t>
  </si>
  <si>
    <t>7</t>
  </si>
  <si>
    <t>100 м2 поверхности</t>
  </si>
  <si>
    <t>Объем: 0,3408=34,08/100</t>
  </si>
  <si>
    <t>7,1</t>
  </si>
  <si>
    <t>1.6-2-134</t>
  </si>
  <si>
    <t>7,2</t>
  </si>
  <si>
    <t>1.6-1-284</t>
  </si>
  <si>
    <t>8</t>
  </si>
  <si>
    <t>Объем: 5,568=556,8/100</t>
  </si>
  <si>
    <t>8,1</t>
  </si>
  <si>
    <t>8,2</t>
  </si>
  <si>
    <t>Итого по подразделу: Потолок</t>
  </si>
  <si>
    <t>Подраздел: Стены</t>
  </si>
  <si>
    <t>9</t>
  </si>
  <si>
    <t>100 м2 оклеиваемой поверхности</t>
  </si>
  <si>
    <t>Объем: 30,7908=3079,08/100</t>
  </si>
  <si>
    <t>9,1</t>
  </si>
  <si>
    <t>9,2</t>
  </si>
  <si>
    <t>1.3-2-44</t>
  </si>
  <si>
    <t>кг</t>
  </si>
  <si>
    <t>9,3</t>
  </si>
  <si>
    <t>1.1-1-1820</t>
  </si>
  <si>
    <t>10</t>
  </si>
  <si>
    <t>10,1</t>
  </si>
  <si>
    <t>11</t>
  </si>
  <si>
    <t>100 м2 оштукатуриваемой поверхности</t>
  </si>
  <si>
    <t>Объем: 24,076=2407,6/100</t>
  </si>
  <si>
    <t>11,1</t>
  </si>
  <si>
    <t>1.1-1-118</t>
  </si>
  <si>
    <t>м3</t>
  </si>
  <si>
    <t>11,2</t>
  </si>
  <si>
    <t>1.3-2-29</t>
  </si>
  <si>
    <t>11,3</t>
  </si>
  <si>
    <t>1.3-2-13</t>
  </si>
  <si>
    <t>12</t>
  </si>
  <si>
    <t>12,1</t>
  </si>
  <si>
    <t>12,2</t>
  </si>
  <si>
    <t>13</t>
  </si>
  <si>
    <t>Объем: 5,7917=579,17/100</t>
  </si>
  <si>
    <t>13,1</t>
  </si>
  <si>
    <t>13,2</t>
  </si>
  <si>
    <t>13,3</t>
  </si>
  <si>
    <t>14</t>
  </si>
  <si>
    <t>14,1</t>
  </si>
  <si>
    <t>15</t>
  </si>
  <si>
    <t>Объем: 7,81=781/100</t>
  </si>
  <si>
    <t>15,1</t>
  </si>
  <si>
    <t>1.3-2-50</t>
  </si>
  <si>
    <t>15,2</t>
  </si>
  <si>
    <t>1.3-2-36</t>
  </si>
  <si>
    <t>15,3</t>
  </si>
  <si>
    <t>1.1-1-834</t>
  </si>
  <si>
    <t>16</t>
  </si>
  <si>
    <t>Объем: 3,5477=354,77/100</t>
  </si>
  <si>
    <t>16,1</t>
  </si>
  <si>
    <t>16,2</t>
  </si>
  <si>
    <t>16,3</t>
  </si>
  <si>
    <t>17</t>
  </si>
  <si>
    <t>17,1</t>
  </si>
  <si>
    <t>17,2</t>
  </si>
  <si>
    <t>18</t>
  </si>
  <si>
    <t>Объем: 22,629=2262,9/100</t>
  </si>
  <si>
    <t>18,1</t>
  </si>
  <si>
    <t>1.3-2-31</t>
  </si>
  <si>
    <t>19</t>
  </si>
  <si>
    <t>19,1</t>
  </si>
  <si>
    <t>19,2</t>
  </si>
  <si>
    <t>19,3</t>
  </si>
  <si>
    <t>20</t>
  </si>
  <si>
    <t>20,1</t>
  </si>
  <si>
    <t>21</t>
  </si>
  <si>
    <t>100 м2 отделываемой поверхности</t>
  </si>
  <si>
    <t>Объем: 4,9617=496,17/100</t>
  </si>
  <si>
    <t>21,1</t>
  </si>
  <si>
    <t>21,2</t>
  </si>
  <si>
    <t>1.3-2-25</t>
  </si>
  <si>
    <t>21,3</t>
  </si>
  <si>
    <t>1.3-2-15</t>
  </si>
  <si>
    <t>21,4</t>
  </si>
  <si>
    <t>Прайс лист</t>
  </si>
  <si>
    <t>22</t>
  </si>
  <si>
    <t>Объем: 0,6728=67,28/100</t>
  </si>
  <si>
    <t>22,1</t>
  </si>
  <si>
    <t>22,2</t>
  </si>
  <si>
    <t>22,3</t>
  </si>
  <si>
    <t>Итого по подразделу: Стены</t>
  </si>
  <si>
    <t>Подраздел: Перегородки</t>
  </si>
  <si>
    <t>23</t>
  </si>
  <si>
    <t>100 м2 перегородки за вычетом проемов</t>
  </si>
  <si>
    <t>Объем: 6,914=691,4/100</t>
  </si>
  <si>
    <t>23,1</t>
  </si>
  <si>
    <t>23,2</t>
  </si>
  <si>
    <t>1.7-4-33</t>
  </si>
  <si>
    <t>23,3</t>
  </si>
  <si>
    <t>23,4</t>
  </si>
  <si>
    <t>1.7-4-45</t>
  </si>
  <si>
    <t>шт.</t>
  </si>
  <si>
    <t>23,5</t>
  </si>
  <si>
    <t>23,6</t>
  </si>
  <si>
    <t>1.1-1-890</t>
  </si>
  <si>
    <t>24</t>
  </si>
  <si>
    <t>Объем: 184,612=1846,12*0,1</t>
  </si>
  <si>
    <t>24,1</t>
  </si>
  <si>
    <t>24,2</t>
  </si>
  <si>
    <t>1.5-1-189</t>
  </si>
  <si>
    <t>Итого по подразделу: Перегородки</t>
  </si>
  <si>
    <t>Подраздел: Низ стен.</t>
  </si>
  <si>
    <t>25</t>
  </si>
  <si>
    <t>100 м плинтусов</t>
  </si>
  <si>
    <t>Объем: 12,1321=(1213,21)/100</t>
  </si>
  <si>
    <t>25,1</t>
  </si>
  <si>
    <t>1.9-12-127</t>
  </si>
  <si>
    <t>25,2</t>
  </si>
  <si>
    <t>1.9-12-126</t>
  </si>
  <si>
    <t>25,3</t>
  </si>
  <si>
    <t>1.9-12-128</t>
  </si>
  <si>
    <t>25,4</t>
  </si>
  <si>
    <t>1.9-12-129</t>
  </si>
  <si>
    <t>25,5</t>
  </si>
  <si>
    <t>1.1-1-289</t>
  </si>
  <si>
    <t>26</t>
  </si>
  <si>
    <t>100 м</t>
  </si>
  <si>
    <t>Объем: 5,714=571,4/100</t>
  </si>
  <si>
    <t>26,1</t>
  </si>
  <si>
    <t>1.3-2-149</t>
  </si>
  <si>
    <t>26,2</t>
  </si>
  <si>
    <t>1.3-2-167</t>
  </si>
  <si>
    <t>26,3</t>
  </si>
  <si>
    <t>1.1-1-2398</t>
  </si>
  <si>
    <t>Итого по подразделу: Низ стен.</t>
  </si>
  <si>
    <t>Подраздел: Отбойная доска</t>
  </si>
  <si>
    <t>27</t>
  </si>
  <si>
    <t>10 м</t>
  </si>
  <si>
    <t>Объем: 25,8=258/10</t>
  </si>
  <si>
    <t>27,1</t>
  </si>
  <si>
    <t>КП "ВЕЙТАН"</t>
  </si>
  <si>
    <t>27,2</t>
  </si>
  <si>
    <t>27,3</t>
  </si>
  <si>
    <t>27,4</t>
  </si>
  <si>
    <t>27,5</t>
  </si>
  <si>
    <t>28</t>
  </si>
  <si>
    <t>Объем: 90,6=906/10</t>
  </si>
  <si>
    <t>28,1</t>
  </si>
  <si>
    <t>28,2</t>
  </si>
  <si>
    <t>28,3</t>
  </si>
  <si>
    <t>Итого по подразделу: Отбойная доска</t>
  </si>
  <si>
    <t>Подраздел: Ремонт откосов</t>
  </si>
  <si>
    <t>29</t>
  </si>
  <si>
    <t>100 м откосов</t>
  </si>
  <si>
    <t>Объем: 0,807=80,7/100</t>
  </si>
  <si>
    <t>29,1</t>
  </si>
  <si>
    <t>29,2</t>
  </si>
  <si>
    <t>1.3-2-24</t>
  </si>
  <si>
    <t>29,3</t>
  </si>
  <si>
    <t>30</t>
  </si>
  <si>
    <t>30,1</t>
  </si>
  <si>
    <t>1.1-1-438</t>
  </si>
  <si>
    <t>31</t>
  </si>
  <si>
    <t>Объем: 0,969=96,9/100</t>
  </si>
  <si>
    <t>31,1</t>
  </si>
  <si>
    <t>31,2</t>
  </si>
  <si>
    <t>1.3-2-26</t>
  </si>
  <si>
    <t>31,3</t>
  </si>
  <si>
    <t>31,4</t>
  </si>
  <si>
    <t>32</t>
  </si>
  <si>
    <t>32,1</t>
  </si>
  <si>
    <t>1.1-1-1487</t>
  </si>
  <si>
    <t>32,2</t>
  </si>
  <si>
    <t>Итого по подразделу: Ремонт откосов</t>
  </si>
  <si>
    <t>Итого по разделу: Отделочные работы. АР.ВР л.7</t>
  </si>
  <si>
    <t>Раздел: Полы. АР.ВР л. 6</t>
  </si>
  <si>
    <t>Подраздел: К2</t>
  </si>
  <si>
    <t>33</t>
  </si>
  <si>
    <t>100 м2 покрытия</t>
  </si>
  <si>
    <t>Объем: 1,5804=158,04/100</t>
  </si>
  <si>
    <t>34</t>
  </si>
  <si>
    <t>100 м2 стяжки</t>
  </si>
  <si>
    <t>34,1</t>
  </si>
  <si>
    <t>1.3-1-25</t>
  </si>
  <si>
    <t>35</t>
  </si>
  <si>
    <t>)*1,15*12</t>
  </si>
  <si>
    <t>)*1,25*12</t>
  </si>
  <si>
    <t>35,1</t>
  </si>
  <si>
    <t>37</t>
  </si>
  <si>
    <t>100 м3 в деле</t>
  </si>
  <si>
    <t>Объем: 0,126432=(158,04*0,08)/100</t>
  </si>
  <si>
    <t>37,1</t>
  </si>
  <si>
    <t>1.3-1-37</t>
  </si>
  <si>
    <t>38</t>
  </si>
  <si>
    <t>38,1</t>
  </si>
  <si>
    <t>1.3-2-6</t>
  </si>
  <si>
    <t>39</t>
  </si>
  <si>
    <t>)*1,15*2</t>
  </si>
  <si>
    <t>)*1,25*2</t>
  </si>
  <si>
    <t>39,1</t>
  </si>
  <si>
    <t>40</t>
  </si>
  <si>
    <t>100 м2 пола</t>
  </si>
  <si>
    <t>40,1</t>
  </si>
  <si>
    <t>40,2</t>
  </si>
  <si>
    <t>40,3</t>
  </si>
  <si>
    <t>1.1-1-3228</t>
  </si>
  <si>
    <t>Итого по подразделу: К2</t>
  </si>
  <si>
    <t>Подраздел: К6</t>
  </si>
  <si>
    <t>41</t>
  </si>
  <si>
    <t>Объем: 6,7201=672,01/100</t>
  </si>
  <si>
    <t>41,1</t>
  </si>
  <si>
    <t>42</t>
  </si>
  <si>
    <t>)*1,15*56</t>
  </si>
  <si>
    <t>)*1,25*56</t>
  </si>
  <si>
    <t>42,1</t>
  </si>
  <si>
    <t>43</t>
  </si>
  <si>
    <t>43,1</t>
  </si>
  <si>
    <t>1.1-1-2389</t>
  </si>
  <si>
    <t>44</t>
  </si>
  <si>
    <t>44,1</t>
  </si>
  <si>
    <t>45</t>
  </si>
  <si>
    <t>)*1,15*6</t>
  </si>
  <si>
    <t>)*1,25*6</t>
  </si>
  <si>
    <t>45,1</t>
  </si>
  <si>
    <t>46</t>
  </si>
  <si>
    <t>1 Т</t>
  </si>
  <si>
    <t>Объем: 1,948829=672,01*2,9/1000</t>
  </si>
  <si>
    <t>46,1</t>
  </si>
  <si>
    <t>1.3-4-75</t>
  </si>
  <si>
    <t>47</t>
  </si>
  <si>
    <t>47,1</t>
  </si>
  <si>
    <t>47,2</t>
  </si>
  <si>
    <t>47,3</t>
  </si>
  <si>
    <t>Итого по подразделу: К6</t>
  </si>
  <si>
    <t>Подраздел: К4</t>
  </si>
  <si>
    <t>48</t>
  </si>
  <si>
    <t>Объем: 0,7832=78,32/100</t>
  </si>
  <si>
    <t>48,1</t>
  </si>
  <si>
    <t>49</t>
  </si>
  <si>
    <t>)*1,15*36</t>
  </si>
  <si>
    <t>)*1,25*36</t>
  </si>
  <si>
    <t>49,1</t>
  </si>
  <si>
    <t>50</t>
  </si>
  <si>
    <t>50,1</t>
  </si>
  <si>
    <t>51</t>
  </si>
  <si>
    <t>51,1</t>
  </si>
  <si>
    <t>52</t>
  </si>
  <si>
    <t>Объем: 0,227128=78,32*2,9/1000</t>
  </si>
  <si>
    <t>52,1</t>
  </si>
  <si>
    <t>53</t>
  </si>
  <si>
    <t>53,1</t>
  </si>
  <si>
    <t>1.1-1-2491</t>
  </si>
  <si>
    <t>Итого по подразделу: К4</t>
  </si>
  <si>
    <t>Подраздел: К5</t>
  </si>
  <si>
    <t>54</t>
  </si>
  <si>
    <t>Объем: 11,5222=1152,22/100</t>
  </si>
  <si>
    <t>54,1</t>
  </si>
  <si>
    <t>55</t>
  </si>
  <si>
    <t>55,1</t>
  </si>
  <si>
    <t>56</t>
  </si>
  <si>
    <t>56,1</t>
  </si>
  <si>
    <t>57</t>
  </si>
  <si>
    <t>57,1</t>
  </si>
  <si>
    <t>58</t>
  </si>
  <si>
    <t>58,1</t>
  </si>
  <si>
    <t>59</t>
  </si>
  <si>
    <t>Объем: 3,341438=1152,22*2,9/1000</t>
  </si>
  <si>
    <t>59,1</t>
  </si>
  <si>
    <t>60</t>
  </si>
  <si>
    <t>60,1</t>
  </si>
  <si>
    <t>1.1-1-3259</t>
  </si>
  <si>
    <t>60,2</t>
  </si>
  <si>
    <t>1.1-1-3320</t>
  </si>
  <si>
    <t>Итого по подразделу: К5</t>
  </si>
  <si>
    <t>Подраздел: К3</t>
  </si>
  <si>
    <t>61</t>
  </si>
  <si>
    <t>Объем: 0,9901=99,01/100</t>
  </si>
  <si>
    <t>61,1</t>
  </si>
  <si>
    <t>62</t>
  </si>
  <si>
    <t>62,1</t>
  </si>
  <si>
    <t>63</t>
  </si>
  <si>
    <t>63,1</t>
  </si>
  <si>
    <t>64</t>
  </si>
  <si>
    <t>64,1</t>
  </si>
  <si>
    <t>65</t>
  </si>
  <si>
    <t>65,1</t>
  </si>
  <si>
    <t>66</t>
  </si>
  <si>
    <t>Объем: 0,287129=99,01*2,9/1000</t>
  </si>
  <si>
    <t>66,1</t>
  </si>
  <si>
    <t>67</t>
  </si>
  <si>
    <t>67,1</t>
  </si>
  <si>
    <t>67,2</t>
  </si>
  <si>
    <t>Итого по подразделу: К3</t>
  </si>
  <si>
    <t>Подраздел: К7</t>
  </si>
  <si>
    <t>68</t>
  </si>
  <si>
    <t>100 м2 изолируемой поверхности</t>
  </si>
  <si>
    <t>Объем: 1,4349=143,49/100</t>
  </si>
  <si>
    <t>68,1</t>
  </si>
  <si>
    <t>1.1-1-893</t>
  </si>
  <si>
    <t>69</t>
  </si>
  <si>
    <t>69,1</t>
  </si>
  <si>
    <t>70</t>
  </si>
  <si>
    <t>70,1</t>
  </si>
  <si>
    <t>71</t>
  </si>
  <si>
    <t>)*1,15*4</t>
  </si>
  <si>
    <t>)*1,25*4</t>
  </si>
  <si>
    <t>71,1</t>
  </si>
  <si>
    <t>72</t>
  </si>
  <si>
    <t>Объем: 0,416121=143,49*2,9/1000</t>
  </si>
  <si>
    <t>72,1</t>
  </si>
  <si>
    <t>73</t>
  </si>
  <si>
    <t>73,1</t>
  </si>
  <si>
    <t>73,2</t>
  </si>
  <si>
    <t>73,3</t>
  </si>
  <si>
    <t>Итого по подразделу: К7</t>
  </si>
  <si>
    <t>Итого по разделу: Полы. АР.ВР л. 6</t>
  </si>
  <si>
    <t>Раздел: Двери. АР.ВР л.5</t>
  </si>
  <si>
    <t>74</t>
  </si>
  <si>
    <t>100 м2 проемов</t>
  </si>
  <si>
    <t>Объем: 1,9803=(2*2,52+1*2,1+7*2,1+4*2,1+35*1,89+30*1,89+2,94*6+2,73*3+1,47*5+1,47*8)/100</t>
  </si>
  <si>
    <t>74,2</t>
  </si>
  <si>
    <t>1.9-7-13</t>
  </si>
  <si>
    <t>74,3</t>
  </si>
  <si>
    <t>1.9-7-21</t>
  </si>
  <si>
    <t>74,4</t>
  </si>
  <si>
    <t>1.9-7-32</t>
  </si>
  <si>
    <t>74,8</t>
  </si>
  <si>
    <t>1.9-7-74</t>
  </si>
  <si>
    <t>74,9</t>
  </si>
  <si>
    <t>75</t>
  </si>
  <si>
    <t>10 шт.</t>
  </si>
  <si>
    <t>Объем: 0,1=1/10</t>
  </si>
  <si>
    <t>75,1</t>
  </si>
  <si>
    <t>1.7-2-89</t>
  </si>
  <si>
    <t>76</t>
  </si>
  <si>
    <t>Объем: 0,5=(1+2+1+1)/10</t>
  </si>
  <si>
    <t>76,1</t>
  </si>
  <si>
    <t>1.7-2-100</t>
  </si>
  <si>
    <t>76,2</t>
  </si>
  <si>
    <t>1.7-2-101</t>
  </si>
  <si>
    <t>76,3</t>
  </si>
  <si>
    <t>1.7-2-102</t>
  </si>
  <si>
    <t>77</t>
  </si>
  <si>
    <t>1  ШТ.</t>
  </si>
  <si>
    <t>77,1</t>
  </si>
  <si>
    <t>1.8-1-75</t>
  </si>
  <si>
    <t>78</t>
  </si>
  <si>
    <t>1 ПРИБОР</t>
  </si>
  <si>
    <t>Объем: 102=2+1+7+4+35+30+6+3+5+8+1</t>
  </si>
  <si>
    <t>78,1</t>
  </si>
  <si>
    <t>1.8-1-74</t>
  </si>
  <si>
    <t>78,2</t>
  </si>
  <si>
    <t>1.8-1-85</t>
  </si>
  <si>
    <t>КОМПЛЕКТ</t>
  </si>
  <si>
    <t>79</t>
  </si>
  <si>
    <t>100 шт. болтов</t>
  </si>
  <si>
    <t>Объем: 1,06=106/100</t>
  </si>
  <si>
    <t>79,1</t>
  </si>
  <si>
    <t>1.8-1-90</t>
  </si>
  <si>
    <t>Итого по разделу: Двери. АР.ВР л.5</t>
  </si>
  <si>
    <t>Прямые затраты</t>
  </si>
  <si>
    <t>Раздел: Разные работы</t>
  </si>
  <si>
    <t>80</t>
  </si>
  <si>
    <t>6.68-13-1</t>
  </si>
  <si>
    <t>Объем: 1277,019408=-1*(-1268,76+-6,825+-1,434408)</t>
  </si>
  <si>
    <t>Итого по разделу: Разные работы</t>
  </si>
  <si>
    <t>Раздел: Вывоз мусора</t>
  </si>
  <si>
    <t>81</t>
  </si>
  <si>
    <t>15.2-29-10</t>
  </si>
  <si>
    <t>82</t>
  </si>
  <si>
    <t>15.1-0-1</t>
  </si>
  <si>
    <t>Итого по разделу: Вывоз мусора</t>
  </si>
  <si>
    <t>Итого по локальной смете: Архитектурные решения. Приспособления.</t>
  </si>
  <si>
    <t>Стоимость материальных ресурсов (всего)</t>
  </si>
  <si>
    <t>Стоимость материалов (всего)</t>
  </si>
  <si>
    <t>Стоимость оборудования (всего)</t>
  </si>
  <si>
    <t>Эксплуатация машин</t>
  </si>
  <si>
    <t>ЗП машинистов</t>
  </si>
  <si>
    <t>Основная ЗП рабочих</t>
  </si>
  <si>
    <t>Строительные работы с НР и СП</t>
  </si>
  <si>
    <t>Монтажные работы с НР и СП</t>
  </si>
  <si>
    <t>Прочие работы с НР и СП</t>
  </si>
  <si>
    <t>Накладные расходы</t>
  </si>
  <si>
    <t>Сметная прибыль</t>
  </si>
  <si>
    <t>Всего с НР и СП</t>
  </si>
  <si>
    <t>Архитектурные решения. Реставрация и приспособления</t>
  </si>
  <si>
    <t xml:space="preserve">Основание: чертежи № </t>
  </si>
  <si>
    <t>Раздел: ИНТЕРЬЕР</t>
  </si>
  <si>
    <t>7.3-1-3</t>
  </si>
  <si>
    <t>1 м3 разбираемой поверхности</t>
  </si>
  <si>
    <t>9900</t>
  </si>
  <si>
    <t>Объем: 195,9=1159,6*0,15+73,2*0,3</t>
  </si>
  <si>
    <t>6.57-2-7</t>
  </si>
  <si>
    <t>6.57-2-5</t>
  </si>
  <si>
    <t>6.57-2-4</t>
  </si>
  <si>
    <t>7.10-4-4</t>
  </si>
  <si>
    <t>1 М2 РАЗВЕРНУТОЙ ПОВЕРХНОСТИ</t>
  </si>
  <si>
    <t>Объем: 5196,9=4935,1+261,8</t>
  </si>
  <si>
    <t>Объем: 2198,3=1745,1+453,2</t>
  </si>
  <si>
    <t>)*1,2</t>
  </si>
  <si>
    <t>7.10-4-5</t>
  </si>
  <si>
    <t>Объем: 239,2=107,6+131,6</t>
  </si>
  <si>
    <t>3.13-17-6</t>
  </si>
  <si>
    <t>1 м2</t>
  </si>
  <si>
    <t>7.3-2-1</t>
  </si>
  <si>
    <t>1 М2 ЛИЦА КИРПИЧНОЙ КЛАДКИ ФАКТИЧЕСКИ РЕСТАВРИРУЕМОЙ ПОВЕРХНОСТИ</t>
  </si>
  <si>
    <t>1.1-2-152</t>
  </si>
  <si>
    <t>10,2</t>
  </si>
  <si>
    <t>10,3</t>
  </si>
  <si>
    <t>7.3-5-1</t>
  </si>
  <si>
    <t>7.10-5-2</t>
  </si>
  <si>
    <t>7.4-60-1</t>
  </si>
  <si>
    <t>7.4-59-1</t>
  </si>
  <si>
    <t>1.1-2-167</t>
  </si>
  <si>
    <t>7.10-35-1</t>
  </si>
  <si>
    <t>10 м2 развернутой поверхности</t>
  </si>
  <si>
    <t>Объем: 519,69=(4935,1+261,8)/10</t>
  </si>
  <si>
    <t>1.1-2-192</t>
  </si>
  <si>
    <t>7.10-35-2</t>
  </si>
  <si>
    <t>Объем: 23,92=(107,6+131,6)/10</t>
  </si>
  <si>
    <t>Объем: 219,83=(1745,1+453,2)/10</t>
  </si>
  <si>
    <t>Объем: 6,255=(625,5)/100</t>
  </si>
  <si>
    <t>Итого по разделу: ИНТЕРЬЕР</t>
  </si>
  <si>
    <t>Раздел: ПРОЕМЫ</t>
  </si>
  <si>
    <t>Подраздел: Воссоздание окон. лист 12 023/18КНИ3.1</t>
  </si>
  <si>
    <t>7.5-5-4</t>
  </si>
  <si>
    <t>1 створка</t>
  </si>
  <si>
    <t>Объем: 616=4*4+20*2+131*4+2*6+2*6+1*2+1*2+4*2</t>
  </si>
  <si>
    <t>7.5-5-8</t>
  </si>
  <si>
    <t>1 коробка</t>
  </si>
  <si>
    <t>Объем: 165=4+20+131+2+2+1+1+4</t>
  </si>
  <si>
    <t>7.5-5-10</t>
  </si>
  <si>
    <t>1 подоконная доска</t>
  </si>
  <si>
    <t>7.5-28-3</t>
  </si>
  <si>
    <t>1 М КОРОБКИ ИЛИ КОЛОДЫ</t>
  </si>
  <si>
    <t>)*1.2</t>
  </si>
  <si>
    <t>1.1-1-70</t>
  </si>
  <si>
    <t>7.5-28-8</t>
  </si>
  <si>
    <t>7.5-28-11</t>
  </si>
  <si>
    <t>1 коробка или колода</t>
  </si>
  <si>
    <t>7.5-32-7</t>
  </si>
  <si>
    <t>1 м2 переплета</t>
  </si>
  <si>
    <t>7.5-32-8</t>
  </si>
  <si>
    <t>7.5-32-11</t>
  </si>
  <si>
    <t>7.5-49-1</t>
  </si>
  <si>
    <t>1 М2 ОСТЕКЛЕНИЯ</t>
  </si>
  <si>
    <t>1.9-12-85</t>
  </si>
  <si>
    <t>1.1-1-1184</t>
  </si>
  <si>
    <t>7.5-35-1</t>
  </si>
  <si>
    <t>1 М2 ПОДОКОННОЙ ДОСКИ</t>
  </si>
  <si>
    <t>1.1-1-69</t>
  </si>
  <si>
    <t>3.15-112-8</t>
  </si>
  <si>
    <t>100 м2 покрытий поверхности</t>
  </si>
  <si>
    <t>1.1-1-657</t>
  </si>
  <si>
    <t>1.1-1-498</t>
  </si>
  <si>
    <t>7.22-2-16</t>
  </si>
  <si>
    <t>1 задвижка</t>
  </si>
  <si>
    <t>1.1-1-1082</t>
  </si>
  <si>
    <t>1.1-1-962</t>
  </si>
  <si>
    <t>32,3</t>
  </si>
  <si>
    <t>1.1-1-578</t>
  </si>
  <si>
    <t>32,4</t>
  </si>
  <si>
    <t>1.1-2-41</t>
  </si>
  <si>
    <t>32,5</t>
  </si>
  <si>
    <t>1.1-1-577</t>
  </si>
  <si>
    <t>32,6</t>
  </si>
  <si>
    <t>1.1-1-3530</t>
  </si>
  <si>
    <t>32,7</t>
  </si>
  <si>
    <t>1.1-2-53</t>
  </si>
  <si>
    <t>32,8</t>
  </si>
  <si>
    <t>1.1-2-55</t>
  </si>
  <si>
    <t>7.22-9-10</t>
  </si>
  <si>
    <t>7.22-3-5</t>
  </si>
  <si>
    <t>34,2</t>
  </si>
  <si>
    <t>1.1-2-50</t>
  </si>
  <si>
    <t>34,3</t>
  </si>
  <si>
    <t>7.22-9-15</t>
  </si>
  <si>
    <t>1 ПАРА ПЕТЕЛЬ</t>
  </si>
  <si>
    <t>Итого по подразделу: Воссоздание окон. лист 12 023/18КНИ3.1</t>
  </si>
  <si>
    <t>Подраздел: Воссоздание дверей наружних</t>
  </si>
  <si>
    <t>36</t>
  </si>
  <si>
    <t>7.5-5-1</t>
  </si>
  <si>
    <t>1 проем</t>
  </si>
  <si>
    <t>36,1</t>
  </si>
  <si>
    <t>7.5-5-2</t>
  </si>
  <si>
    <t>1 полотно</t>
  </si>
  <si>
    <t>7.5-32-10</t>
  </si>
  <si>
    <t>43,2</t>
  </si>
  <si>
    <t>7.5-31-2</t>
  </si>
  <si>
    <t>1 М2 ПОЛОТНА</t>
  </si>
  <si>
    <t>7.5-31-12</t>
  </si>
  <si>
    <t>1.8-1-44</t>
  </si>
  <si>
    <t>3.15-112-7</t>
  </si>
  <si>
    <t>7.22-1-9</t>
  </si>
  <si>
    <t>1 комплект из 2 ручек, 2 розеток, 2 ключевины или 2 ручек и 2 накладок</t>
  </si>
  <si>
    <t>Объем: 4=2*2</t>
  </si>
  <si>
    <t>1.1-1-2467</t>
  </si>
  <si>
    <t>48,2</t>
  </si>
  <si>
    <t>1.1-1-952</t>
  </si>
  <si>
    <t>48,3</t>
  </si>
  <si>
    <t>48,4</t>
  </si>
  <si>
    <t>1.1-2-40</t>
  </si>
  <si>
    <t>7.22-9-4</t>
  </si>
  <si>
    <t>7.22-3-1</t>
  </si>
  <si>
    <t>1.1-1-1092</t>
  </si>
  <si>
    <t>50,4</t>
  </si>
  <si>
    <t>50,6</t>
  </si>
  <si>
    <t>50,7</t>
  </si>
  <si>
    <t>7.22-9-14</t>
  </si>
  <si>
    <t>7.22-3-12</t>
  </si>
  <si>
    <t>1 замок с 2 ключами</t>
  </si>
  <si>
    <t>52,3</t>
  </si>
  <si>
    <t>52,5</t>
  </si>
  <si>
    <t>7.22-9-5</t>
  </si>
  <si>
    <t>3.10-78-1</t>
  </si>
  <si>
    <t>)*1.15</t>
  </si>
  <si>
    <t>)*1.25</t>
  </si>
  <si>
    <t>1.8-1-83</t>
  </si>
  <si>
    <t>7.22-2-17</t>
  </si>
  <si>
    <t>1.1-1-2466</t>
  </si>
  <si>
    <t>55,2</t>
  </si>
  <si>
    <t>1.1-1-579</t>
  </si>
  <si>
    <t>55,3</t>
  </si>
  <si>
    <t>55,4</t>
  </si>
  <si>
    <t>55,5</t>
  </si>
  <si>
    <t>1.1-1-1501</t>
  </si>
  <si>
    <t>7.22-9-11</t>
  </si>
  <si>
    <t>Итого по подразделу: Воссоздание дверей наружних</t>
  </si>
  <si>
    <t>Подраздел: Реставрация</t>
  </si>
  <si>
    <t>7.5-29-4</t>
  </si>
  <si>
    <t>1.1-1-222</t>
  </si>
  <si>
    <t>7.5-29-1</t>
  </si>
  <si>
    <t>6.56-2-2</t>
  </si>
  <si>
    <t>7.22-10-1</t>
  </si>
  <si>
    <t>1 комплект</t>
  </si>
  <si>
    <t>7.22-10-2</t>
  </si>
  <si>
    <t>7.10-3-9</t>
  </si>
  <si>
    <t>Объем: 90,6528807=1,16*2,69*3*(2,2+0,6)+1,62*2,95*3*(2,2+0,4)+3,44*3*1*(1,2+0,4)+(3,14*1,71*1,71/2)*(0,3+0,8)+(6,53+7,62)*0,12*1,1*3</t>
  </si>
  <si>
    <t>7.10-10-12</t>
  </si>
  <si>
    <t>10 М2 ОКРАШИВАЕМОЙ ПОВЕРХНОСТИ</t>
  </si>
  <si>
    <t>Объем: 0,50499207=((3,14*1,71*1,71/2)*(0,3+0,8))/10</t>
  </si>
  <si>
    <t>1.1-1-1479</t>
  </si>
  <si>
    <t>7.10-10-13</t>
  </si>
  <si>
    <t>Объем: 8,560296=(90,6528807-0,50499207*10)/10</t>
  </si>
  <si>
    <t>65,2</t>
  </si>
  <si>
    <t>1.1-1-2182</t>
  </si>
  <si>
    <t>6.56-10-2</t>
  </si>
  <si>
    <t>100 створок, фрамуг, форточек</t>
  </si>
  <si>
    <t>68,2</t>
  </si>
  <si>
    <t>68,3</t>
  </si>
  <si>
    <t>68,4</t>
  </si>
  <si>
    <t>70,4</t>
  </si>
  <si>
    <t>70,6</t>
  </si>
  <si>
    <t>70,7</t>
  </si>
  <si>
    <t>7.5-31-11</t>
  </si>
  <si>
    <t>4983110000</t>
  </si>
  <si>
    <t>74,1</t>
  </si>
  <si>
    <t>Итого по подразделу: Реставрация</t>
  </si>
  <si>
    <t>Итого по разделу: ПРОЕМЫ</t>
  </si>
  <si>
    <t>Объем: 634,28252=-1*(-2,668+-391,8+-103,6776+-3,40092+-5,698+-94,962+-25,872+-3,465+-2,475+-0,018+-0,044+-0,042+-0,016+-0,132+-0,012)</t>
  </si>
  <si>
    <t>15.2-29-11</t>
  </si>
  <si>
    <t>Итого по локальной смете: Архитектурные решения. Реставрация и приспособления</t>
  </si>
  <si>
    <t>Сырчина М. В.</t>
  </si>
  <si>
    <t>Конструктивные решения. Приспособления.</t>
  </si>
  <si>
    <t>Основание: чертежи № 023/18КН-КР 4.2</t>
  </si>
  <si>
    <t>Раздел: Устройство лестниц в подвале. 023/18КН-КР 4.2</t>
  </si>
  <si>
    <t>Подраздел: Лестницы входа в подвал в осях "2-4/Г-В/2". 023/18КН-КР 4.2 лист 1</t>
  </si>
  <si>
    <t>100 м3 грунта</t>
  </si>
  <si>
    <t>Объем: 0,062=6,2/100</t>
  </si>
  <si>
    <t>1 м3 подстилающего слоя</t>
  </si>
  <si>
    <t>Объем: 0,0195=1,95/100</t>
  </si>
  <si>
    <t>1.3-1-36</t>
  </si>
  <si>
    <t>Объем: 0,195=19,5/100</t>
  </si>
  <si>
    <t>1.1-1-144</t>
  </si>
  <si>
    <t>Объем: 0,07=(7)/100</t>
  </si>
  <si>
    <t>1.3-4-22</t>
  </si>
  <si>
    <t>1.3-4-21</t>
  </si>
  <si>
    <t>6,3</t>
  </si>
  <si>
    <t>1.3-1-41</t>
  </si>
  <si>
    <t>6,4</t>
  </si>
  <si>
    <t>1.3-4-33</t>
  </si>
  <si>
    <t>1 м3 изоляции</t>
  </si>
  <si>
    <t>1.1-1-3305</t>
  </si>
  <si>
    <t>Итого по подразделу: Лестницы входа в подвал в осях "2-4/Г-В/2". 023/18КН-КР 4.2 лист 1</t>
  </si>
  <si>
    <t>Подраздел: Лестницы входа в подвал в осях "11/В-В/2". 023/18КН-КР 4.2 лист 1</t>
  </si>
  <si>
    <t>Объем: 0,0014=0,14/100</t>
  </si>
  <si>
    <t>Объем: 0,0144=1,44/100</t>
  </si>
  <si>
    <t>Объем: 0,005=(0,5)/100</t>
  </si>
  <si>
    <t>13,4</t>
  </si>
  <si>
    <t>Итого по подразделу: Лестницы входа в подвал в осях "11/В-В/2". 023/18КН-КР 4.2 лист 1</t>
  </si>
  <si>
    <t>Итого по разделу: Устройство лестниц в подвале. 023/18КН-КР 4.2</t>
  </si>
  <si>
    <t>Раздел: Уменьшение уровня пола в подвале на 450 мм в осях «8-11/ В-Г». 023/18КН-КР 4.2 лист 1.1</t>
  </si>
  <si>
    <t>Объем: 0,09=9/100</t>
  </si>
  <si>
    <t>Объем: 0,9=90/100</t>
  </si>
  <si>
    <t>Объем: 0,135=(13,5)/100</t>
  </si>
  <si>
    <t>Итого по разделу: Уменьшение уровня пола в подвале на 450 мм в осях «8-11/ В-Г». 023/18КН-КР 4.2 лист 1.1</t>
  </si>
  <si>
    <t>Раздел: Устройство перекрытия в осях "11-14/В-Г". 023/18КН-КР 4.2 лист 2</t>
  </si>
  <si>
    <t>Подраздел: Монолитный железобетонный фундамент ФБ-1./ 023/18КН-КР 4.2 лист 2</t>
  </si>
  <si>
    <t>Объем: 0,8=0,4*2</t>
  </si>
  <si>
    <t>Объем: 0,008=(0,4*2)/100</t>
  </si>
  <si>
    <t>1.3-1-163</t>
  </si>
  <si>
    <t>Объем: 0,70704=(44,2*4+176,72)/1000*2</t>
  </si>
  <si>
    <t>1.3-4-5</t>
  </si>
  <si>
    <t>1.3-4-45</t>
  </si>
  <si>
    <t>Объем: 0,045=2,25/100*2</t>
  </si>
  <si>
    <t>Объем: 0,36=(18*2)/100</t>
  </si>
  <si>
    <t>Итого по подразделу: Монолитный железобетонный фундамент ФБ-1./ 023/18КН-КР 4.2 лист 2</t>
  </si>
  <si>
    <t>Подраздел: Монолитный железобетонный фундамент ФБ-2. 023/18КН-КР 4.2 лист 2</t>
  </si>
  <si>
    <t>Объем: 0,4=0,2*2</t>
  </si>
  <si>
    <t>Объем: 0,004=(0,2*2)/100</t>
  </si>
  <si>
    <t>Объем: 0,2732=(17,1*4+68,2)/1000*2</t>
  </si>
  <si>
    <t>Объем: 0,02=1/100*2</t>
  </si>
  <si>
    <t>Объем: 0,16=(8*2)/100</t>
  </si>
  <si>
    <t>Итого по подразделу: Монолитный железобетонный фундамент ФБ-2. 023/18КН-КР 4.2 лист 2</t>
  </si>
  <si>
    <t>Подраздел: Устройство перекрытия./ 023/18КН-КР 4.2 лист 2, 2.1</t>
  </si>
  <si>
    <t>1 т конструкций</t>
  </si>
  <si>
    <t>1.6-1-16</t>
  </si>
  <si>
    <t>6.54-12-1</t>
  </si>
  <si>
    <t>Объем: 2,1833=(540+1345+298,3)/1000</t>
  </si>
  <si>
    <t>1.6-1-167</t>
  </si>
  <si>
    <t>Объем: 0,256=(83,6+172,4)/1000</t>
  </si>
  <si>
    <t>33,1</t>
  </si>
  <si>
    <t>Объем: 0,066=(54+12)/1000</t>
  </si>
  <si>
    <t>1.6-1-207</t>
  </si>
  <si>
    <t>Итого по подразделу: Устройство перекрытия./ 023/18КН-КР 4.2 лист 2, 2.1</t>
  </si>
  <si>
    <t>Подраздел: Закладные детали. 023/18КН-КР 4.2 лист 2.1, 2.2</t>
  </si>
  <si>
    <t>3.6-6-9</t>
  </si>
  <si>
    <t>Объем: 0,34=340/1000</t>
  </si>
  <si>
    <t>35,2</t>
  </si>
  <si>
    <t>1.1-1-2485</t>
  </si>
  <si>
    <t>Объем: 0,0311=(31,1)/1000</t>
  </si>
  <si>
    <t>36,2</t>
  </si>
  <si>
    <t>1.7-5-160</t>
  </si>
  <si>
    <t>Итого по подразделу: Закладные детали. 023/18КН-КР 4.2 лист 2.1, 2.2</t>
  </si>
  <si>
    <t>Подраздел: Монтаж перектытия в осях "11-14/В-Г". 023/18КН-КР 4.2 лист 2.3</t>
  </si>
  <si>
    <t>Объем: 0,122=12,2/100</t>
  </si>
  <si>
    <t>37,2</t>
  </si>
  <si>
    <t>1.3-4-3</t>
  </si>
  <si>
    <t>37,3</t>
  </si>
  <si>
    <t>1 м3</t>
  </si>
  <si>
    <t>1.3-2-181</t>
  </si>
  <si>
    <t>Объем: 0,53=53/100</t>
  </si>
  <si>
    <t>1.1-1-1794</t>
  </si>
  <si>
    <t>Итого по подразделу: Монтаж перектытия в осях "11-14/В-Г". 023/18КН-КР 4.2 лист 2.3</t>
  </si>
  <si>
    <t>Итого по разделу: Устройство перекрытия в осях "11-14/В-Г". 023/18КН-КР 4.2 лист 2</t>
  </si>
  <si>
    <t>Раздел: Устройство пандуса. 023/18КН-КР 4.2 лист 3</t>
  </si>
  <si>
    <t>Объем: 2,5096=(1705+292,4+494+18,2)/1000</t>
  </si>
  <si>
    <t>1.1-1-2228</t>
  </si>
  <si>
    <t>44,2</t>
  </si>
  <si>
    <t>1.1-1-2279</t>
  </si>
  <si>
    <t>44,3</t>
  </si>
  <si>
    <t>1.1-1-2271</t>
  </si>
  <si>
    <t>44,4</t>
  </si>
  <si>
    <t>1.1-1-2284</t>
  </si>
  <si>
    <t>1.1-1-1114</t>
  </si>
  <si>
    <t>Объем: 1,4601=1,455+0,0051</t>
  </si>
  <si>
    <t>1.6-1-216</t>
  </si>
  <si>
    <t>46,2</t>
  </si>
  <si>
    <t>1.1-1-1091</t>
  </si>
  <si>
    <t>Итого по разделу: Устройство пандуса. 023/18КН-КР 4.2 лист 3</t>
  </si>
  <si>
    <t>Раздел: Гидроизоляция подвала здания. 023/18КН-КР 4.2 лист 4</t>
  </si>
  <si>
    <t>6.52-16-1</t>
  </si>
  <si>
    <t>Объем: 6,23=623/100</t>
  </si>
  <si>
    <t>1.1-1-1695</t>
  </si>
  <si>
    <t>6.52-16-2</t>
  </si>
  <si>
    <t>Объем: 2,09=209/100</t>
  </si>
  <si>
    <t>Объем: 3,073=307,3/100</t>
  </si>
  <si>
    <t>Итого по разделу: Гидроизоляция подвала здания. 023/18КН-КР 4.2 лист 4</t>
  </si>
  <si>
    <t>Раздел: Устройство отмостки. 023/18КН-КР 4.2 лист 4</t>
  </si>
  <si>
    <t>6.68-51-4</t>
  </si>
  <si>
    <t>100 м3 конструкций</t>
  </si>
  <si>
    <t>Объем: 0,074=(0,04*185)/100</t>
  </si>
  <si>
    <t>6.68-51-5</t>
  </si>
  <si>
    <t>Объем: 0,185=(0,1*185)/100</t>
  </si>
  <si>
    <t>Объем: 37=0,2*185</t>
  </si>
  <si>
    <t>1.3-1-137</t>
  </si>
  <si>
    <t>3.27-46-1</t>
  </si>
  <si>
    <t>Объем: 1,85=185/100</t>
  </si>
  <si>
    <t>1.3-3-9</t>
  </si>
  <si>
    <t>6.68-83-1</t>
  </si>
  <si>
    <t>Объем: 5,6=(3,5*16)/10</t>
  </si>
  <si>
    <t>1.3-1-70</t>
  </si>
  <si>
    <t>1.12-3-27</t>
  </si>
  <si>
    <t>Итого по разделу: Устройство отмостки. 023/18КН-КР 4.2 лист 4</t>
  </si>
  <si>
    <t>Раздел: Утепление чердака. 023/18КН-КР 4.2 лист 5</t>
  </si>
  <si>
    <t>6.54-16-1</t>
  </si>
  <si>
    <t>Объем: 3,375=337,5/100</t>
  </si>
  <si>
    <t>3.6-6-10</t>
  </si>
  <si>
    <t>Объем: 11,25=1125/100</t>
  </si>
  <si>
    <t>1.1-1-2688</t>
  </si>
  <si>
    <t>Объем: 168,75=112,5+56,25</t>
  </si>
  <si>
    <t>1.1-1-2921</t>
  </si>
  <si>
    <t>63,2</t>
  </si>
  <si>
    <t>1.1-1-2922</t>
  </si>
  <si>
    <t>Объем: 1,7=170/100</t>
  </si>
  <si>
    <t>1.1-1-221</t>
  </si>
  <si>
    <t>6.62-32-1</t>
  </si>
  <si>
    <t>1 м2 поверхности</t>
  </si>
  <si>
    <t>Подраздел: Устройство металлической стремянки. 023/18КН-КР 4.2 лист 5</t>
  </si>
  <si>
    <t>Объем: 0,00472=1,18*4/1000</t>
  </si>
  <si>
    <t>1.1-1-1104</t>
  </si>
  <si>
    <t>Объем: 0,08176=(9,8+10,4+0,24)*4/1000</t>
  </si>
  <si>
    <t>1.1-1-1117</t>
  </si>
  <si>
    <t>3.13-9-2</t>
  </si>
  <si>
    <t>Объем: 0,028=0,7*4/100</t>
  </si>
  <si>
    <t>*1,15*2</t>
  </si>
  <si>
    <t>*1,25*2</t>
  </si>
  <si>
    <t>*2</t>
  </si>
  <si>
    <t>1.1-1-165</t>
  </si>
  <si>
    <t>3.13-11-8</t>
  </si>
  <si>
    <t>*1,15</t>
  </si>
  <si>
    <t>*1,25</t>
  </si>
  <si>
    <t>Итого по подразделу: Устройство металлической стремянки. 023/18КН-КР 4.2 лист 5</t>
  </si>
  <si>
    <t>Итого по разделу: Утепление чердака. 023/18КН-КР 4.2 лист 5</t>
  </si>
  <si>
    <t>Раздел: Металлические рамы. 023/18КН-КР 4.2 лист 6</t>
  </si>
  <si>
    <t>Подраздел: РМ-1. 023/18КН-КР 4.2 лист 6</t>
  </si>
  <si>
    <t>6.53-25-1</t>
  </si>
  <si>
    <t>Объем: 0,14997=(36+70,65+15,32+5,24+14,08+3,14+3,6+0,1+0,24+1,2+0,4)/1000</t>
  </si>
  <si>
    <t>1.1-1-1145</t>
  </si>
  <si>
    <t>70,2</t>
  </si>
  <si>
    <t>1.1-1-1118</t>
  </si>
  <si>
    <t>70,3</t>
  </si>
  <si>
    <t>1.3-4-4</t>
  </si>
  <si>
    <t>70,5</t>
  </si>
  <si>
    <t>1.1-1-3705</t>
  </si>
  <si>
    <t>1.1-1-3699</t>
  </si>
  <si>
    <t>1.1-1-3700</t>
  </si>
  <si>
    <t>6.69-10-5</t>
  </si>
  <si>
    <t>100 м борозд</t>
  </si>
  <si>
    <t>Объем: 0,2492=(1,27*1+1,47*5+1,77*1+2,07*1)*2/100</t>
  </si>
  <si>
    <t>1.3-2-14</t>
  </si>
  <si>
    <t>6.69-10-6</t>
  </si>
  <si>
    <t>Итого по подразделу: РМ-1. 023/18КН-КР 4.2 лист 6</t>
  </si>
  <si>
    <t>Подраздел: РМ-2. 023/18КН-КР 4.2 лист 7</t>
  </si>
  <si>
    <t>Объем: 0,799=(41,8+70,65+15,32+6,74+14,08+4,71+4,5+0,1+0,3+1,2+0,4)*5/1000</t>
  </si>
  <si>
    <t>73,4</t>
  </si>
  <si>
    <t>73,5</t>
  </si>
  <si>
    <t>73,6</t>
  </si>
  <si>
    <t>73,7</t>
  </si>
  <si>
    <t>Итого по подразделу: РМ-2. 023/18КН-КР 4.2 лист 7</t>
  </si>
  <si>
    <t>Подраздел: РМ-3. 023/18КН-КР 4.2 лист 8</t>
  </si>
  <si>
    <t>Объем: 0,17472=(50,3+70,65+15,32+9+14,08+7,85+5,4+0,12+0,4+1,2+0,4)/1000</t>
  </si>
  <si>
    <t>74,5</t>
  </si>
  <si>
    <t>74,6</t>
  </si>
  <si>
    <t>74,7</t>
  </si>
  <si>
    <t>Итого по подразделу: РМ-3. 023/18КН-КР 4.2 лист 8</t>
  </si>
  <si>
    <t>Подраздел: РМ-4. 023/18КН-КР 4.2 лист 9</t>
  </si>
  <si>
    <t>Объем: 0,20282=(76,2+70,65+15,32+11,2+14,08+7,85+5,4+0,12+0,4+1,2+0,4)/1000</t>
  </si>
  <si>
    <t>75,2</t>
  </si>
  <si>
    <t>75,3</t>
  </si>
  <si>
    <t>75,4</t>
  </si>
  <si>
    <t>75,5</t>
  </si>
  <si>
    <t>75,6</t>
  </si>
  <si>
    <t>75,7</t>
  </si>
  <si>
    <t>Итого по подразделу: РМ-4. 023/18КН-КР 4.2 лист 9</t>
  </si>
  <si>
    <t>Подраздел: Усиление кирпичных стен в местах прохода коммуникаций для проемов. 023/18КН-КР 4.2 лист 9</t>
  </si>
  <si>
    <t>10 м3 кладки</t>
  </si>
  <si>
    <t>Объем: 1,56=15,6/10</t>
  </si>
  <si>
    <t>)*0,33</t>
  </si>
  <si>
    <t>Объем: 0,33145=(242+80,41+9,04)/1000</t>
  </si>
  <si>
    <t>77,2</t>
  </si>
  <si>
    <t>77,3</t>
  </si>
  <si>
    <t>Итого по подразделу: Усиление кирпичных стен в местах прохода коммуникаций для проемов. 023/18КН-КР 4.2 лист 9</t>
  </si>
  <si>
    <t>Итого по разделу: Металлические рамы. 023/18КН-КР 4.2 лист 6</t>
  </si>
  <si>
    <t>Раздел: Демонтажные работы</t>
  </si>
  <si>
    <t>6.51-3-2</t>
  </si>
  <si>
    <t>Объем: 0,54=54/100</t>
  </si>
  <si>
    <t>1.1-1-200</t>
  </si>
  <si>
    <t>6.52-1-2</t>
  </si>
  <si>
    <t>Итого по разделу: Демонтажные работы</t>
  </si>
  <si>
    <t>Раздел: Демонтаж перектытия в осях "11-14/В-Г". 023/18КН-КР 4.2 лист 2.4, 2.5</t>
  </si>
  <si>
    <t>6.57-2-8</t>
  </si>
  <si>
    <t>Объем: 0,528=52,8/100</t>
  </si>
  <si>
    <t>80,1</t>
  </si>
  <si>
    <t>6.54-2-3</t>
  </si>
  <si>
    <t>81,1</t>
  </si>
  <si>
    <t>6.54-16-2</t>
  </si>
  <si>
    <t>82,1</t>
  </si>
  <si>
    <t>83</t>
  </si>
  <si>
    <t>6.52-1-1</t>
  </si>
  <si>
    <t>Объем: 6,5=2,25*2+1*2</t>
  </si>
  <si>
    <t>83,1</t>
  </si>
  <si>
    <t>84</t>
  </si>
  <si>
    <t>Объем: 1,2=0,4*2+0,2*2</t>
  </si>
  <si>
    <t>)*0,8</t>
  </si>
  <si>
    <t>84,1</t>
  </si>
  <si>
    <t>85</t>
  </si>
  <si>
    <t>6.54-4-1</t>
  </si>
  <si>
    <t>1 балка</t>
  </si>
  <si>
    <t>Объем: 30=4+2+2+2+6+3+9+1+1</t>
  </si>
  <si>
    <t>85,1</t>
  </si>
  <si>
    <t>Итого по разделу: Демонтаж перектытия в осях "11-14/В-Г". 023/18КН-КР 4.2 лист 2.4, 2.5</t>
  </si>
  <si>
    <t>Раздел: Демонтаж пандуса. 023/18КН-КР 4.2 лист 3</t>
  </si>
  <si>
    <t>86</t>
  </si>
  <si>
    <t>Объем: 0,95=95/100</t>
  </si>
  <si>
    <t>86,1</t>
  </si>
  <si>
    <t>87</t>
  </si>
  <si>
    <t>6.57-4-1</t>
  </si>
  <si>
    <t>100 м3</t>
  </si>
  <si>
    <t>Объем: 0,2375=(9,5+14,25)/100</t>
  </si>
  <si>
    <t>87,1</t>
  </si>
  <si>
    <t>88</t>
  </si>
  <si>
    <t>Объем: 0,911=(0,8+1,05*5+1,36+1,7)/10</t>
  </si>
  <si>
    <t>88,1</t>
  </si>
  <si>
    <t>Итого по разделу: Демонтаж пандуса. 023/18КН-КР 4.2 лист 3</t>
  </si>
  <si>
    <t>89</t>
  </si>
  <si>
    <t>Объем: 265,15177=-1*(-13,32+-33,3+-39,2175+-32,1516+-21,6+-15,6+-2,49216+-15,275+-3,54+-3,6+-6,27+-56,525+-18,77571+-3,4848)</t>
  </si>
  <si>
    <t>90</t>
  </si>
  <si>
    <t>91</t>
  </si>
  <si>
    <t>Итого по локальной смете: Конструктивные решения. Приспособления.</t>
  </si>
  <si>
    <t>Трудозатраты строителей</t>
  </si>
  <si>
    <t>Конструктивные решения. Реставрация.</t>
  </si>
  <si>
    <t>Основание: чертежи № 023/18КН-КР 4.4</t>
  </si>
  <si>
    <t>Раздел: Укрепление сводов. 023/18КН-КР 4.4 лист1</t>
  </si>
  <si>
    <t>6.69-29-26</t>
  </si>
  <si>
    <t>100 отверстий</t>
  </si>
  <si>
    <t>7.3-14-7</t>
  </si>
  <si>
    <t>50 л инъекционного раствора</t>
  </si>
  <si>
    <t>Объем: 500=(25*1000)/50</t>
  </si>
  <si>
    <t>7.3-14-3</t>
  </si>
  <si>
    <t>10 розеток</t>
  </si>
  <si>
    <t>1.7-11-13</t>
  </si>
  <si>
    <t>Итого по разделу: Укрепление сводов. 023/18КН-КР 4.4 лист1</t>
  </si>
  <si>
    <t>Раздел: Укрепление стен подвала. 023/18КН-КР 4.4 лист1</t>
  </si>
  <si>
    <t>Объем: 1240=62*1000/50</t>
  </si>
  <si>
    <t>Итого по разделу: Укрепление стен подвала. 023/18КН-КР 4.4 лист1</t>
  </si>
  <si>
    <t>Раздел: Перекрытие над подвалом в осях В-Г/2-5 и В-Г/8-11. 023/18КН-КР 4.4 лист2</t>
  </si>
  <si>
    <t>1 м3 основания</t>
  </si>
  <si>
    <t>1.1-1-1533</t>
  </si>
  <si>
    <t>1.3-4-106</t>
  </si>
  <si>
    <t>1.1-1-613</t>
  </si>
  <si>
    <t>Объем: 8,59=(604+488+5777+720+242+357+402)/1000</t>
  </si>
  <si>
    <t>Объем: 4,2=420/100</t>
  </si>
  <si>
    <t>1.3-4-86</t>
  </si>
  <si>
    <t>7.3-9-13</t>
  </si>
  <si>
    <t>1.1-1-353</t>
  </si>
  <si>
    <t>1000 шт.</t>
  </si>
  <si>
    <t>Итого по разделу: Перекрытие над подвалом в осях В-Г/2-5 и В-Г/8-11. 023/18КН-КР 4.4 лист2</t>
  </si>
  <si>
    <t>Итого по локальной смете: Конструктивные решения. Реставрация.</t>
  </si>
  <si>
    <t>Основание: чертежи № 023/18КН-КНИ3.1</t>
  </si>
  <si>
    <t>Раздел: КРЫША</t>
  </si>
  <si>
    <t>Подраздел: Покрытие</t>
  </si>
  <si>
    <t>6.58-2-2</t>
  </si>
  <si>
    <t>Объем: 14,371=1437,1/100</t>
  </si>
  <si>
    <t>6.58-4-1</t>
  </si>
  <si>
    <t>Объем: 10,9455=(91,41/0,2+131,3/0,4+123,7/0,4)/100</t>
  </si>
  <si>
    <t>7.6-2-10</t>
  </si>
  <si>
    <t>1 м2 покрытия</t>
  </si>
  <si>
    <t>1.1-1-1086</t>
  </si>
  <si>
    <t>7.6-6-7</t>
  </si>
  <si>
    <t>1 м покрытия</t>
  </si>
  <si>
    <t>Объем: 306,15=122,46/0,4</t>
  </si>
  <si>
    <t>Итого по подразделу: Покрытие</t>
  </si>
  <si>
    <t>Подраздел: Водосток</t>
  </si>
  <si>
    <t>7.6-10-8</t>
  </si>
  <si>
    <t>1 М</t>
  </si>
  <si>
    <t>7.6-10-11</t>
  </si>
  <si>
    <t>7.6-10-10</t>
  </si>
  <si>
    <t>7.6-10-9</t>
  </si>
  <si>
    <t>Итого по подразделу: Водосток</t>
  </si>
  <si>
    <t>Подраздел: Стропильная система</t>
  </si>
  <si>
    <t>7.5-22-1</t>
  </si>
  <si>
    <t>1 м конструкций</t>
  </si>
  <si>
    <t>Объем: 710,9=125+8+32+48,6+19+10,5+36+17,6+19+42+40+36+51,2+226</t>
  </si>
  <si>
    <t>1.1-1-64</t>
  </si>
  <si>
    <t>1.1-1-93</t>
  </si>
  <si>
    <t>1.1-1-92</t>
  </si>
  <si>
    <t>10,4</t>
  </si>
  <si>
    <t>7.5-22-3</t>
  </si>
  <si>
    <t>6.58-6-1</t>
  </si>
  <si>
    <t>100 м элементов конструкций</t>
  </si>
  <si>
    <t>Объем: 2,62=(112+90+60)/100</t>
  </si>
  <si>
    <t>6.53-6-4</t>
  </si>
  <si>
    <t>100 М ЭЛЕМЕНТА</t>
  </si>
  <si>
    <t>Объем: 0,32=(8+24)/100</t>
  </si>
  <si>
    <t>6.69-24-1</t>
  </si>
  <si>
    <t>1.7-3-2</t>
  </si>
  <si>
    <t>Объем: 13,65=(282+605+478)/100</t>
  </si>
  <si>
    <t>1.7-5-219</t>
  </si>
  <si>
    <t>1.7-5-220</t>
  </si>
  <si>
    <t>1.7-5-221</t>
  </si>
  <si>
    <t>Объем: 3,32=332/100</t>
  </si>
  <si>
    <t>1.7-5-202</t>
  </si>
  <si>
    <t>1.1-1-3650</t>
  </si>
  <si>
    <t>17,3</t>
  </si>
  <si>
    <t>1.1-1-1106</t>
  </si>
  <si>
    <t>7.5-26-1</t>
  </si>
  <si>
    <t>1 М2 ОБРЕШЕТКИ</t>
  </si>
  <si>
    <t>1.1-1-75</t>
  </si>
  <si>
    <t>18,2</t>
  </si>
  <si>
    <t>1.1-1-217</t>
  </si>
  <si>
    <t>Итого по подразделу: Стропильная система</t>
  </si>
  <si>
    <t>Итого по разделу: КРЫША</t>
  </si>
  <si>
    <t>Объем: 65,845824=7,47292+2,1891+0,2164+0,019151+0,019151+0,038302+26,402+3,698+0,352+25,4388</t>
  </si>
  <si>
    <t>1.7-11-61</t>
  </si>
  <si>
    <t>Объем: 9,955024=7,47292+2,1891+0,2164+0,019151+0,019151+0,038302</t>
  </si>
  <si>
    <t>Объем: 55,8908=65,845824-9,955024</t>
  </si>
  <si>
    <t>Итого по локальной смете: Ремонт кровли</t>
  </si>
  <si>
    <t>Ремонт фасада.</t>
  </si>
  <si>
    <t>Основание: чертежи № 023/18 КНИ 3.1</t>
  </si>
  <si>
    <t>Раздел: ФАСАД</t>
  </si>
  <si>
    <t>Подраздел: Кирпичная поверхность фасада</t>
  </si>
  <si>
    <t>Объем: 522,72=261,36+261,36</t>
  </si>
  <si>
    <t>7.10-4-6</t>
  </si>
  <si>
    <t>7.10-19-3</t>
  </si>
  <si>
    <t>1 м2 проекции стены</t>
  </si>
  <si>
    <t>7.3-2-2</t>
  </si>
  <si>
    <t>7,3</t>
  </si>
  <si>
    <t>7,4</t>
  </si>
  <si>
    <t>9999990003</t>
  </si>
  <si>
    <t>8,3</t>
  </si>
  <si>
    <t>8,4</t>
  </si>
  <si>
    <t>7.3-5-7</t>
  </si>
  <si>
    <t>Объем: 8,641537535=22,9885*80,82/215</t>
  </si>
  <si>
    <t>7.3-6-3</t>
  </si>
  <si>
    <t>7.3-4-1</t>
  </si>
  <si>
    <t>10 ШТ. ВЫТЕСАННОГО БОЛЬШЕМЕРНОГО КИРПИЧА</t>
  </si>
  <si>
    <t>Объем: 9,6=96/10</t>
  </si>
  <si>
    <t>7.3-4-2</t>
  </si>
  <si>
    <t>7.3-4-3</t>
  </si>
  <si>
    <t>Объем: 34,4=344/10</t>
  </si>
  <si>
    <t>7.3-8-1</t>
  </si>
  <si>
    <t>1 М2 ПЕРЕМЫЧЕК</t>
  </si>
  <si>
    <t>14,2</t>
  </si>
  <si>
    <t>14,3</t>
  </si>
  <si>
    <t>14,4</t>
  </si>
  <si>
    <t>7.3-15-1</t>
  </si>
  <si>
    <t>1 М2 ПОВЕРХНОСТИ КЛАДКИ</t>
  </si>
  <si>
    <t>1.1-1-255</t>
  </si>
  <si>
    <t>7.8-2-1</t>
  </si>
  <si>
    <t>1 М2 ОТБИТОЙ ШТУКАТУРКИ</t>
  </si>
  <si>
    <t>Объем: 38,35=(1150+1565+900+220)/100</t>
  </si>
  <si>
    <t>Объем: 1160=(17+23+14+4)*1000/50</t>
  </si>
  <si>
    <t>9904</t>
  </si>
  <si>
    <t>Объем: 383,5=(3835)/10</t>
  </si>
  <si>
    <t>Итого по подразделу: Кирпичная поверхность фасада</t>
  </si>
  <si>
    <t>Подраздел: Белокаменная поверхность фасада</t>
  </si>
  <si>
    <t>7.4-62-1</t>
  </si>
  <si>
    <t>1 м2 расчищенной поверхности</t>
  </si>
  <si>
    <t>7.4-73-1</t>
  </si>
  <si>
    <t>10 м2</t>
  </si>
  <si>
    <t>1.1-1-1878</t>
  </si>
  <si>
    <t>7.4-71-1</t>
  </si>
  <si>
    <t>10 м2 р.п.</t>
  </si>
  <si>
    <t>1.1-1-1862</t>
  </si>
  <si>
    <t>Итого по подразделу: Белокаменная поверхность фасада</t>
  </si>
  <si>
    <t>Подраздел: Декор</t>
  </si>
  <si>
    <t>Итого по подразделу: Декор</t>
  </si>
  <si>
    <t>Подраздел: Дымники</t>
  </si>
  <si>
    <t>7.7-11-3</t>
  </si>
  <si>
    <t>1 ДМ2</t>
  </si>
  <si>
    <t>1.1-1-1108</t>
  </si>
  <si>
    <t>7.7-9-21</t>
  </si>
  <si>
    <t>10 мест крепления</t>
  </si>
  <si>
    <t>7.7-10-8</t>
  </si>
  <si>
    <t>10 отверстий</t>
  </si>
  <si>
    <t>1.1-1-923</t>
  </si>
  <si>
    <t>3.6-6-1</t>
  </si>
  <si>
    <t>1.1-1-59</t>
  </si>
  <si>
    <t>7.10-24-3</t>
  </si>
  <si>
    <t>10 м2 огрунтованной поверхности</t>
  </si>
  <si>
    <t>1.1-1-3680</t>
  </si>
  <si>
    <t>7.10-25-3</t>
  </si>
  <si>
    <t>1.1-1-3191</t>
  </si>
  <si>
    <t>7.6-15-20</t>
  </si>
  <si>
    <t>1 м2 изделия</t>
  </si>
  <si>
    <t>Итого по подразделу: Дымники</t>
  </si>
  <si>
    <t>Подраздел: Подзоры</t>
  </si>
  <si>
    <t>7.13-10-1</t>
  </si>
  <si>
    <t>1 ДМ2 ОРНАМЕНТА</t>
  </si>
  <si>
    <t>1.1-2-101</t>
  </si>
  <si>
    <t>7.13-18-2</t>
  </si>
  <si>
    <t>1 ДМ2 РАЗВЕРНУТОЙ ПОВЕРХНОСТИ</t>
  </si>
  <si>
    <t>1.1-2-200</t>
  </si>
  <si>
    <t>7.13-12-4</t>
  </si>
  <si>
    <t>1 ДЕТАЛЬ</t>
  </si>
  <si>
    <t>Итого по подразделу: Подзоры</t>
  </si>
  <si>
    <t>Подраздел: Надпись на аттике</t>
  </si>
  <si>
    <t>7.8-32-1</t>
  </si>
  <si>
    <t>1.1-1-1339</t>
  </si>
  <si>
    <t>7.10-33-5</t>
  </si>
  <si>
    <t>1.1-1-3938</t>
  </si>
  <si>
    <t>1.3-2-210</t>
  </si>
  <si>
    <t>7.10-27-1</t>
  </si>
  <si>
    <t>1 дм2 надписи</t>
  </si>
  <si>
    <t>Итого по подразделу: Надпись на аттике</t>
  </si>
  <si>
    <t>Итого по разделу: ФАСАД</t>
  </si>
  <si>
    <t>Раздел: РАЗНЫЕ РАБОТЫ</t>
  </si>
  <si>
    <t>6.59-4-2</t>
  </si>
  <si>
    <t>100 м решетки</t>
  </si>
  <si>
    <t>Объем: 0,038=(4,75*0,8)/100</t>
  </si>
  <si>
    <t>Объем: 0,082=8,2/100</t>
  </si>
  <si>
    <t>Объем: 0,266=26,6/100</t>
  </si>
  <si>
    <t>6.54-2-2</t>
  </si>
  <si>
    <t>Объем: 1,56=7,8*0,2</t>
  </si>
  <si>
    <t>7.21-1-1</t>
  </si>
  <si>
    <t>1 М2 ВЕРТИКАЛЬНОЙ ПРОЕКЦИИ ЛЕСОВ НА СТЕНУ</t>
  </si>
  <si>
    <t>2.1-4-70</t>
  </si>
  <si>
    <t>маш.-ч.</t>
  </si>
  <si>
    <t>7.21-1-2</t>
  </si>
  <si>
    <t>7.21-11-1</t>
  </si>
  <si>
    <t>1 ПОДЪЕМ ИЛИ СПУСК</t>
  </si>
  <si>
    <t>Объем: 3642,654975=-1*(-176,1224+-194,6658+-17,455906+-110,952+-1,26+-1,14719+-81,2+-0,0215)/0,08/2</t>
  </si>
  <si>
    <t>7.21-11-2</t>
  </si>
  <si>
    <t>Объем: 2704,1675=-1*(-61,4376+0+-176,1224+-194,6658+-0,441)/0,08/2</t>
  </si>
  <si>
    <t>Итого по разделу: РАЗНЫЕ РАБОТЫ</t>
  </si>
  <si>
    <t>Объем: 434,65972=-1*(-61,4376+0+-176,1224+-194,6658+-0,441+-0,441+-0,19+-0,04264+-0,04264+-0,13832+-1,13832)</t>
  </si>
  <si>
    <t>1.7-11-60</t>
  </si>
  <si>
    <t>Объем: 0,37096=-1*(-0,19+-0,04264+-0,13832)</t>
  </si>
  <si>
    <t>Итого по локальной смете: Ремонт фасада.</t>
  </si>
  <si>
    <t>Основание: чертежи № 023/18КН-ИОС4.СО</t>
  </si>
  <si>
    <t>Раздел: Отопление</t>
  </si>
  <si>
    <t>Подраздел: Демонтажные работы</t>
  </si>
  <si>
    <t>6.65-12-1</t>
  </si>
  <si>
    <t>Объем: 1,39=(16+8+29+26+37+7+16)/100</t>
  </si>
  <si>
    <t>6.65-11-4</t>
  </si>
  <si>
    <t>Объем: 17,93=(1315+82+122+136+98+40)/100</t>
  </si>
  <si>
    <t>*0,82</t>
  </si>
  <si>
    <t>6.65-11-5</t>
  </si>
  <si>
    <t>15.1-25-11</t>
  </si>
  <si>
    <t>Объем: -9,04022=-0,9+-8,14022</t>
  </si>
  <si>
    <t>Итого по подразделу: Демонтажные работы</t>
  </si>
  <si>
    <t>Подраздел: Монтажные работы</t>
  </si>
  <si>
    <t>3.18-6-2</t>
  </si>
  <si>
    <t>100 кВт радиаторов и конвекторов</t>
  </si>
  <si>
    <t>Объем: 2,12809=(16,544+9,304+37,468+36,946+57,35+11,781+43,416)/100</t>
  </si>
  <si>
    <t>*1,15*1,03</t>
  </si>
  <si>
    <t>*1,25*1,03</t>
  </si>
  <si>
    <t>1.18-4-863</t>
  </si>
  <si>
    <t>1.18-4-864</t>
  </si>
  <si>
    <t>1.18-4-865</t>
  </si>
  <si>
    <t>1.18-4-866</t>
  </si>
  <si>
    <t>7,5</t>
  </si>
  <si>
    <t>1.18-4-867</t>
  </si>
  <si>
    <t>7,6</t>
  </si>
  <si>
    <t>1.18-4-897</t>
  </si>
  <si>
    <t>3.18-21-1</t>
  </si>
  <si>
    <t>1.18-6-143</t>
  </si>
  <si>
    <t>3.16-6-1</t>
  </si>
  <si>
    <t>100 м трубопровода</t>
  </si>
  <si>
    <t>Объем: 13,15=1315/100</t>
  </si>
  <si>
    <t>1.13-3-185</t>
  </si>
  <si>
    <t>1.13-4-61</t>
  </si>
  <si>
    <t>1.12-1-40</t>
  </si>
  <si>
    <t>3.16-6-2</t>
  </si>
  <si>
    <t>Объем: 0,82=82/100</t>
  </si>
  <si>
    <t>1.13-4-62</t>
  </si>
  <si>
    <t>1.13-3-186</t>
  </si>
  <si>
    <t>1.12-1-41</t>
  </si>
  <si>
    <t>3.16-6-3</t>
  </si>
  <si>
    <t>Объем: 1,22=122/100</t>
  </si>
  <si>
    <t>1.13-4-63</t>
  </si>
  <si>
    <t>12,3</t>
  </si>
  <si>
    <t>1.12-1-42</t>
  </si>
  <si>
    <t>3.16-6-4</t>
  </si>
  <si>
    <t>Объем: 1,36=136/100</t>
  </si>
  <si>
    <t>1.13-3-188</t>
  </si>
  <si>
    <t>1.12-1-43</t>
  </si>
  <si>
    <t>3.16-6-5</t>
  </si>
  <si>
    <t>Объем: 0,98=98/100</t>
  </si>
  <si>
    <t>1.12-1-44</t>
  </si>
  <si>
    <t>3.16-6-6</t>
  </si>
  <si>
    <t>Объем: 0,4=40/100</t>
  </si>
  <si>
    <t>1.13-4-66</t>
  </si>
  <si>
    <t>1.13-3-241</t>
  </si>
  <si>
    <t>15,4</t>
  </si>
  <si>
    <t>1.12-1-45</t>
  </si>
  <si>
    <t>3.16-7-8</t>
  </si>
  <si>
    <t>1.12-1-59</t>
  </si>
  <si>
    <t>3.15-107-4</t>
  </si>
  <si>
    <t>Объем: 0,4976=49,76/100</t>
  </si>
  <si>
    <t>1.1-1-461</t>
  </si>
  <si>
    <t>1.1-1-732</t>
  </si>
  <si>
    <t>3.26-16-1</t>
  </si>
  <si>
    <t>10 м изоляции</t>
  </si>
  <si>
    <t>Объем: 63,36=(65,6+82+122+136+98+40+90)/10</t>
  </si>
  <si>
    <t>1.1-1-516</t>
  </si>
  <si>
    <t>1.1-1-2498</t>
  </si>
  <si>
    <t>1.1-1-2544</t>
  </si>
  <si>
    <t>л</t>
  </si>
  <si>
    <t>19,4</t>
  </si>
  <si>
    <t>1.1-1-464</t>
  </si>
  <si>
    <t>1.1-1-3148</t>
  </si>
  <si>
    <t>Объем: 154,98=(65,6+82)*1,05</t>
  </si>
  <si>
    <t>1.1-1-3149</t>
  </si>
  <si>
    <t>Объем: 128,1=122*1,05</t>
  </si>
  <si>
    <t>1.1-1-3150</t>
  </si>
  <si>
    <t>Объем: 142,8=136*1,05</t>
  </si>
  <si>
    <t>1.1-1-3151</t>
  </si>
  <si>
    <t>Объем: 102,9=98*1,05</t>
  </si>
  <si>
    <t>1.1-1-3153</t>
  </si>
  <si>
    <t>Объем: 42=40*1,05</t>
  </si>
  <si>
    <t>1.1-1-3155</t>
  </si>
  <si>
    <t>Объем: 94,5=90*1,05</t>
  </si>
  <si>
    <t>3.16-29-1</t>
  </si>
  <si>
    <t>3.16-29-2</t>
  </si>
  <si>
    <t>Объем: 0,9=(90)/100</t>
  </si>
  <si>
    <t>3.16-15-3</t>
  </si>
  <si>
    <t>1.12-9-6</t>
  </si>
  <si>
    <t>прайс лист</t>
  </si>
  <si>
    <t>3.18-14-3</t>
  </si>
  <si>
    <t>1.18-6-47</t>
  </si>
  <si>
    <t>Итого по подразделу: Монтажные работы</t>
  </si>
  <si>
    <t>Итого по разделу: Отопление</t>
  </si>
  <si>
    <t>Раздел: Вентиляция</t>
  </si>
  <si>
    <t>Подраздел: Приточные установки</t>
  </si>
  <si>
    <t>3.20-40-1</t>
  </si>
  <si>
    <t>1 КАМЕРА</t>
  </si>
  <si>
    <t>*1,05*1,15</t>
  </si>
  <si>
    <t>*1,05*1,25</t>
  </si>
  <si>
    <t>№ ND19-117451/6</t>
  </si>
  <si>
    <t>Итого по подразделу: Приточные установки</t>
  </si>
  <si>
    <t>Подраздел: Вытяжные установки</t>
  </si>
  <si>
    <t>3.20-30-2</t>
  </si>
  <si>
    <t>1 вентилятор</t>
  </si>
  <si>
    <t>3.20-11-1</t>
  </si>
  <si>
    <t>1 клапан</t>
  </si>
  <si>
    <t>3.20-28-1</t>
  </si>
  <si>
    <t>100 кг изделия</t>
  </si>
  <si>
    <t>Объем: 0,15=15/100</t>
  </si>
  <si>
    <t>3.20-23-2</t>
  </si>
  <si>
    <t>3.20-27-1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</si>
  <si>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</si>
  <si>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</si>
  <si>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</si>
  <si>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</si>
  <si>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</si>
  <si>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</si>
  <si>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</si>
  <si>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</si>
  <si>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</si>
  <si>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</si>
  <si>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</si>
  <si>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</si>
  <si>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107</t>
  </si>
  <si>
    <t>108</t>
  </si>
  <si>
    <t>109</t>
  </si>
  <si>
    <t>111</t>
  </si>
  <si>
    <t>112</t>
  </si>
  <si>
    <t>113</t>
  </si>
  <si>
    <t>114</t>
  </si>
  <si>
    <t>115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</si>
  <si>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</si>
  <si>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</si>
  <si>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</si>
  <si>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</si>
  <si>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</si>
  <si>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</si>
  <si>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</si>
  <si>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</si>
  <si>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</si>
  <si>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</si>
  <si>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129</t>
  </si>
  <si>
    <t>130</t>
  </si>
  <si>
    <t>131</t>
  </si>
  <si>
    <t>132</t>
  </si>
  <si>
    <t>133</t>
  </si>
  <si>
    <t>135</t>
  </si>
  <si>
    <t>136</t>
  </si>
  <si>
    <t>137</t>
  </si>
  <si>
    <t>138</t>
  </si>
  <si>
    <t>139</t>
  </si>
  <si>
    <t>141</t>
  </si>
  <si>
    <t>142</t>
  </si>
  <si>
    <t>143</t>
  </si>
  <si>
    <t>144</t>
  </si>
  <si>
    <t>145</t>
  </si>
  <si>
    <t>147</t>
  </si>
  <si>
    <t>148</t>
  </si>
  <si>
    <t>149</t>
  </si>
  <si>
    <t>150</t>
  </si>
  <si>
    <t>151</t>
  </si>
  <si>
    <t>153</t>
  </si>
  <si>
    <t>154</t>
  </si>
  <si>
    <t>155</t>
  </si>
  <si>
    <t>156</t>
  </si>
  <si>
    <t>157</t>
  </si>
  <si>
    <t>159</t>
  </si>
  <si>
    <t>160</t>
  </si>
  <si>
    <t>161</t>
  </si>
  <si>
    <t>162</t>
  </si>
  <si>
    <t>163</t>
  </si>
  <si>
    <t>165</t>
  </si>
  <si>
    <t>166</t>
  </si>
  <si>
    <t>167</t>
  </si>
  <si>
    <t>168</t>
  </si>
  <si>
    <t>169</t>
  </si>
  <si>
    <t>171</t>
  </si>
  <si>
    <t>172</t>
  </si>
  <si>
    <t>174</t>
  </si>
  <si>
    <t>175</t>
  </si>
  <si>
    <t>177</t>
  </si>
  <si>
    <t>178</t>
  </si>
  <si>
    <t>180</t>
  </si>
  <si>
    <t>181</t>
  </si>
  <si>
    <t>183</t>
  </si>
  <si>
    <t>184</t>
  </si>
  <si>
    <t>186</t>
  </si>
  <si>
    <t>187</t>
  </si>
  <si>
    <t>189</t>
  </si>
  <si>
    <t>190</t>
  </si>
  <si>
    <t>192</t>
  </si>
  <si>
    <t>193</t>
  </si>
  <si>
    <t>195</t>
  </si>
  <si>
    <t>196</t>
  </si>
  <si>
    <t>198</t>
  </si>
  <si>
    <t>199</t>
  </si>
  <si>
    <t>200</t>
  </si>
  <si>
    <t>Итого по подразделу: Вытяжные установки</t>
  </si>
  <si>
    <t>Итого по разделу: Вентиляция</t>
  </si>
  <si>
    <t>Раздел: Воздуховоды</t>
  </si>
  <si>
    <t>201</t>
  </si>
  <si>
    <t>3.20-1-1</t>
  </si>
  <si>
    <t>100 м2 поверхности воздуховодов</t>
  </si>
  <si>
    <t>Объем: 3,4609=(32,99+102,1+63,35+147,65)/100</t>
  </si>
  <si>
    <t>*1,15*1,05</t>
  </si>
  <si>
    <t>*1,25*1,05</t>
  </si>
  <si>
    <t>201,1</t>
  </si>
  <si>
    <t>1.19-3-5</t>
  </si>
  <si>
    <t>201,2</t>
  </si>
  <si>
    <t>1.19-12-58</t>
  </si>
  <si>
    <t>202</t>
  </si>
  <si>
    <t>3.20-1-4</t>
  </si>
  <si>
    <t>Объем: 3,2594=(325,94)/100</t>
  </si>
  <si>
    <t>202,1</t>
  </si>
  <si>
    <t>1.19-3-6</t>
  </si>
  <si>
    <t>202,2</t>
  </si>
  <si>
    <t>203</t>
  </si>
  <si>
    <t>3.20-1-5</t>
  </si>
  <si>
    <t>Объем: 1,6625=166,25/100</t>
  </si>
  <si>
    <t>203,1</t>
  </si>
  <si>
    <t>203,2</t>
  </si>
  <si>
    <t>204</t>
  </si>
  <si>
    <t>3.20-1-6</t>
  </si>
  <si>
    <t>Объем: 0,2765=27,65/100</t>
  </si>
  <si>
    <t>204,1</t>
  </si>
  <si>
    <t>204,2</t>
  </si>
  <si>
    <t>205</t>
  </si>
  <si>
    <t>3.20-1-10</t>
  </si>
  <si>
    <t>Объем: 3,721=(203+72+7,5+89,6)/100</t>
  </si>
  <si>
    <t>205,1</t>
  </si>
  <si>
    <t>1.19-3-13</t>
  </si>
  <si>
    <t>205,2</t>
  </si>
  <si>
    <t>1.19-3-19</t>
  </si>
  <si>
    <t>205,3</t>
  </si>
  <si>
    <t>206</t>
  </si>
  <si>
    <t>3.20-1-11</t>
  </si>
  <si>
    <t>Объем: 5,56=(111,6+23,8+129,6+27+213,4+50,6)/100</t>
  </si>
  <si>
    <t>206,1</t>
  </si>
  <si>
    <t>206,2</t>
  </si>
  <si>
    <t>206,3</t>
  </si>
  <si>
    <t>207</t>
  </si>
  <si>
    <t>3.20-1-12</t>
  </si>
  <si>
    <t>Объем: 0,898=(23,4+22,4+44)/100</t>
  </si>
  <si>
    <t>207,1</t>
  </si>
  <si>
    <t>207,2</t>
  </si>
  <si>
    <t>207,3</t>
  </si>
  <si>
    <t>208</t>
  </si>
  <si>
    <t>3.20-1-15</t>
  </si>
  <si>
    <t>Объем: 1,134=(100,8+12,6)/100</t>
  </si>
  <si>
    <t>208,1</t>
  </si>
  <si>
    <t>208,2</t>
  </si>
  <si>
    <t>208,3</t>
  </si>
  <si>
    <t>209</t>
  </si>
  <si>
    <t>3.20-1-17</t>
  </si>
  <si>
    <t>Объем: 0,684=68,4/100</t>
  </si>
  <si>
    <t>209,1</t>
  </si>
  <si>
    <t>1.19-3-14</t>
  </si>
  <si>
    <t>209,2</t>
  </si>
  <si>
    <t>209,3</t>
  </si>
  <si>
    <t>210</t>
  </si>
  <si>
    <t>Объем: 165=12+50+14+51+36+2</t>
  </si>
  <si>
    <t>211</t>
  </si>
  <si>
    <t>1.19-6-151</t>
  </si>
  <si>
    <t>212</t>
  </si>
  <si>
    <t>1.19-6-152</t>
  </si>
  <si>
    <t>213</t>
  </si>
  <si>
    <t>1.19-6-153</t>
  </si>
  <si>
    <t>214</t>
  </si>
  <si>
    <t>1.19-6-154</t>
  </si>
  <si>
    <t>215</t>
  </si>
  <si>
    <t>1.19-6-155</t>
  </si>
  <si>
    <t>216</t>
  </si>
  <si>
    <t>1.19-6-156</t>
  </si>
  <si>
    <t>217</t>
  </si>
  <si>
    <t>3.20-11-5</t>
  </si>
  <si>
    <t>218</t>
  </si>
  <si>
    <t>1.19-6-108</t>
  </si>
  <si>
    <t>Объем: 7=5+2</t>
  </si>
  <si>
    <t>219</t>
  </si>
  <si>
    <t>1.19-6-109</t>
  </si>
  <si>
    <t>Объем: 4=2+2</t>
  </si>
  <si>
    <t>220</t>
  </si>
  <si>
    <t>3.20-11-7</t>
  </si>
  <si>
    <t>221</t>
  </si>
  <si>
    <t>1.19-6-114</t>
  </si>
  <si>
    <t>222</t>
  </si>
  <si>
    <t>3.20-8-8</t>
  </si>
  <si>
    <t>1 вохдухораспределитель</t>
  </si>
  <si>
    <t>Объем: 168=40+32+8+6+38+44</t>
  </si>
  <si>
    <t>222,2</t>
  </si>
  <si>
    <t>1.19-7-19</t>
  </si>
  <si>
    <t>222,4</t>
  </si>
  <si>
    <t>1.19-11-167</t>
  </si>
  <si>
    <t>222,5</t>
  </si>
  <si>
    <t>1.19-11-187</t>
  </si>
  <si>
    <t>223</t>
  </si>
  <si>
    <t>3.20-9-1</t>
  </si>
  <si>
    <t>1 решетка</t>
  </si>
  <si>
    <t>223,1</t>
  </si>
  <si>
    <t>1.19-12-109</t>
  </si>
  <si>
    <t>223,2</t>
  </si>
  <si>
    <t>1.19-11-163</t>
  </si>
  <si>
    <t>223,3</t>
  </si>
  <si>
    <t>1.19-11-164</t>
  </si>
  <si>
    <t>223,4</t>
  </si>
  <si>
    <t>ШТ</t>
  </si>
  <si>
    <t>223,5</t>
  </si>
  <si>
    <t>223,6</t>
  </si>
  <si>
    <t>224</t>
  </si>
  <si>
    <t>3.20-8-1</t>
  </si>
  <si>
    <t>224,1</t>
  </si>
  <si>
    <t>224,2</t>
  </si>
  <si>
    <t>225</t>
  </si>
  <si>
    <t>3.20-12-1</t>
  </si>
  <si>
    <t>Объем: 19=2+4+5+8</t>
  </si>
  <si>
    <t>225,1</t>
  </si>
  <si>
    <t>225,2</t>
  </si>
  <si>
    <t>225,3</t>
  </si>
  <si>
    <t>225,4</t>
  </si>
  <si>
    <t>226</t>
  </si>
  <si>
    <t>3.20-11-15</t>
  </si>
  <si>
    <t>226,1</t>
  </si>
  <si>
    <t>226,2</t>
  </si>
  <si>
    <t>227</t>
  </si>
  <si>
    <t>3.20-11-16</t>
  </si>
  <si>
    <t>Объем: 10=5+1+3+1</t>
  </si>
  <si>
    <t>227,1</t>
  </si>
  <si>
    <t>227,2</t>
  </si>
  <si>
    <t>227,3</t>
  </si>
  <si>
    <t>227,4</t>
  </si>
  <si>
    <t>228</t>
  </si>
  <si>
    <t>3.20-11-17</t>
  </si>
  <si>
    <t>228,1</t>
  </si>
  <si>
    <t>228,2</t>
  </si>
  <si>
    <t>229</t>
  </si>
  <si>
    <t>3.26-16-3</t>
  </si>
  <si>
    <t>1 М2 ИЗОЛЯЦИИ</t>
  </si>
  <si>
    <t>229,1</t>
  </si>
  <si>
    <t>229,2</t>
  </si>
  <si>
    <t>1.1-1-2615</t>
  </si>
  <si>
    <t>229,3</t>
  </si>
  <si>
    <t>1.1-1-4330</t>
  </si>
  <si>
    <t>229,4</t>
  </si>
  <si>
    <t>1.1-1-4334</t>
  </si>
  <si>
    <t>229,6</t>
  </si>
  <si>
    <t>1.1-1-386</t>
  </si>
  <si>
    <t>Итого по разделу: Воздуховоды</t>
  </si>
  <si>
    <t>Раздел: Пусконаладочные работы</t>
  </si>
  <si>
    <t>230</t>
  </si>
  <si>
    <t>5.3-32-1</t>
  </si>
  <si>
    <t>1 устройство</t>
  </si>
  <si>
    <t>*0,8</t>
  </si>
  <si>
    <t>231</t>
  </si>
  <si>
    <t>5.3-43-1</t>
  </si>
  <si>
    <t>1 вентиляционная сеть</t>
  </si>
  <si>
    <t>233</t>
  </si>
  <si>
    <t>5.3-11-6</t>
  </si>
  <si>
    <t>Объем: 39=2+4+5+8+7+1+5+1+3+1+1+1</t>
  </si>
  <si>
    <t>Итого по разделу: Пусконаладочные работы</t>
  </si>
  <si>
    <t>Раздел: Теплоснабжение вентиляции</t>
  </si>
  <si>
    <t>234</t>
  </si>
  <si>
    <t>Объем: 0,65=65/100</t>
  </si>
  <si>
    <t>234,1</t>
  </si>
  <si>
    <t>234,2</t>
  </si>
  <si>
    <t>235</t>
  </si>
  <si>
    <t>Объем: 0,17=17/100</t>
  </si>
  <si>
    <t>235,1</t>
  </si>
  <si>
    <t>1.13-4-64</t>
  </si>
  <si>
    <t>235,2</t>
  </si>
  <si>
    <t>236</t>
  </si>
  <si>
    <t>Объем: 1,11=111/100</t>
  </si>
  <si>
    <t>236,1</t>
  </si>
  <si>
    <t>1.13-4-65</t>
  </si>
  <si>
    <t>236,2</t>
  </si>
  <si>
    <t>237</t>
  </si>
  <si>
    <t>3.16-7-7</t>
  </si>
  <si>
    <t>Объем: 0,38=38/100</t>
  </si>
  <si>
    <t>237,1</t>
  </si>
  <si>
    <t>237,2</t>
  </si>
  <si>
    <t>1.12-1-58</t>
  </si>
  <si>
    <t>238</t>
  </si>
  <si>
    <t>Объем: 0,36=36/100</t>
  </si>
  <si>
    <t>238,1</t>
  </si>
  <si>
    <t>1.13-4-68</t>
  </si>
  <si>
    <t>238,2</t>
  </si>
  <si>
    <t>239</t>
  </si>
  <si>
    <t>Объем: 1=100/100</t>
  </si>
  <si>
    <t>239,1</t>
  </si>
  <si>
    <t>239,2</t>
  </si>
  <si>
    <t>240</t>
  </si>
  <si>
    <t>Объем: 26,7=(65+17+111+38+36)/10</t>
  </si>
  <si>
    <t>240,1</t>
  </si>
  <si>
    <t>240,2</t>
  </si>
  <si>
    <t>240,3</t>
  </si>
  <si>
    <t>240,4</t>
  </si>
  <si>
    <t>240,5</t>
  </si>
  <si>
    <t>240,6</t>
  </si>
  <si>
    <t>1.1-1-3154</t>
  </si>
  <si>
    <t>240,7</t>
  </si>
  <si>
    <t>240,8</t>
  </si>
  <si>
    <t>240,9</t>
  </si>
  <si>
    <t>241</t>
  </si>
  <si>
    <t>Объем: 1,93=193/100</t>
  </si>
  <si>
    <t>242</t>
  </si>
  <si>
    <t>Объем: 0,74=74/100</t>
  </si>
  <si>
    <t>Итого по разделу: Теплоснабжение вентиляции</t>
  </si>
  <si>
    <t>Раздел: Кондиционирование</t>
  </si>
  <si>
    <t>243</t>
  </si>
  <si>
    <t>3.20-38-2</t>
  </si>
  <si>
    <t>1 доводчик</t>
  </si>
  <si>
    <t>243,1</t>
  </si>
  <si>
    <t>243,2</t>
  </si>
  <si>
    <t>244</t>
  </si>
  <si>
    <t>3.20-57-1</t>
  </si>
  <si>
    <t>Объем: 31=2+2+10+17</t>
  </si>
  <si>
    <t>245</t>
  </si>
  <si>
    <t>3.20-57-2</t>
  </si>
  <si>
    <t>Объем: 21=12+9</t>
  </si>
  <si>
    <t>246</t>
  </si>
  <si>
    <t>247</t>
  </si>
  <si>
    <t>248</t>
  </si>
  <si>
    <t>249</t>
  </si>
  <si>
    <t>250</t>
  </si>
  <si>
    <t>251</t>
  </si>
  <si>
    <t>252</t>
  </si>
  <si>
    <t>1.12-10-138</t>
  </si>
  <si>
    <t>Объем: 52=11+13+23+3+2</t>
  </si>
  <si>
    <t>253</t>
  </si>
  <si>
    <t>4.11-3-1</t>
  </si>
  <si>
    <t>254</t>
  </si>
  <si>
    <t>255</t>
  </si>
  <si>
    <t>256</t>
  </si>
  <si>
    <t>257</t>
  </si>
  <si>
    <t>Объем: 8=2+4+2</t>
  </si>
  <si>
    <t>258</t>
  </si>
  <si>
    <t>3.20-56-1</t>
  </si>
  <si>
    <t>258,1</t>
  </si>
  <si>
    <t>1.19-12-57</t>
  </si>
  <si>
    <t>259</t>
  </si>
  <si>
    <t>4.11-2-2</t>
  </si>
  <si>
    <t>Объем: 12=4+8</t>
  </si>
  <si>
    <t>260</t>
  </si>
  <si>
    <t>261</t>
  </si>
  <si>
    <t>262</t>
  </si>
  <si>
    <t>263</t>
  </si>
  <si>
    <t>264</t>
  </si>
  <si>
    <t>265</t>
  </si>
  <si>
    <t>3.18-18-7</t>
  </si>
  <si>
    <t>1 УЗЕЛ</t>
  </si>
  <si>
    <t>265,1</t>
  </si>
  <si>
    <t>13.1-5-358</t>
  </si>
  <si>
    <t>266</t>
  </si>
  <si>
    <t>4.12-60-1</t>
  </si>
  <si>
    <t>Объем: 91,9=(270+130+130+23+270+96)/10</t>
  </si>
  <si>
    <t>267</t>
  </si>
  <si>
    <t>1.12-7-186</t>
  </si>
  <si>
    <t>268</t>
  </si>
  <si>
    <t>1.12-7-187</t>
  </si>
  <si>
    <t>269</t>
  </si>
  <si>
    <t>1.12-7-188</t>
  </si>
  <si>
    <t>270</t>
  </si>
  <si>
    <t>1.12-7-192</t>
  </si>
  <si>
    <t>271</t>
  </si>
  <si>
    <t>272</t>
  </si>
  <si>
    <t>273</t>
  </si>
  <si>
    <t>4.12-60-2</t>
  </si>
  <si>
    <t>Объем: 28=(114+70+30+66)/10</t>
  </si>
  <si>
    <t>274</t>
  </si>
  <si>
    <t>1.12-7-189</t>
  </si>
  <si>
    <t>275</t>
  </si>
  <si>
    <t>1.12-7-190</t>
  </si>
  <si>
    <t>276</t>
  </si>
  <si>
    <t>1.12-7-191</t>
  </si>
  <si>
    <t>277</t>
  </si>
  <si>
    <t>4.12-60-3</t>
  </si>
  <si>
    <t>Объем: 7,2=72/10</t>
  </si>
  <si>
    <t>278</t>
  </si>
  <si>
    <t>1.12-7-20</t>
  </si>
  <si>
    <t>279</t>
  </si>
  <si>
    <t>4.12-60-4</t>
  </si>
  <si>
    <t>Объем: 8,7=87/10</t>
  </si>
  <si>
    <t>280</t>
  </si>
  <si>
    <t>1.12-7-23</t>
  </si>
  <si>
    <t>281</t>
  </si>
  <si>
    <t>Объем: 135,8=(1358)/10</t>
  </si>
  <si>
    <t>281,1</t>
  </si>
  <si>
    <t>281,2</t>
  </si>
  <si>
    <t>281,3</t>
  </si>
  <si>
    <t>1.1-1-2507</t>
  </si>
  <si>
    <t>281,4</t>
  </si>
  <si>
    <t>1.1-1-2508</t>
  </si>
  <si>
    <t>281,5</t>
  </si>
  <si>
    <t>1.1-1-2511</t>
  </si>
  <si>
    <t>281,6</t>
  </si>
  <si>
    <t>281,7</t>
  </si>
  <si>
    <t>282</t>
  </si>
  <si>
    <t>3.16-40-1</t>
  </si>
  <si>
    <t>Объем: 3,1=310/100</t>
  </si>
  <si>
    <t>282,1</t>
  </si>
  <si>
    <t>1.12-2-1163</t>
  </si>
  <si>
    <t>282,2</t>
  </si>
  <si>
    <t>1.12-5-150</t>
  </si>
  <si>
    <t>282,3</t>
  </si>
  <si>
    <t>1.7-3-4</t>
  </si>
  <si>
    <t>283</t>
  </si>
  <si>
    <t>Объем: 2=200/100</t>
  </si>
  <si>
    <t>283,2</t>
  </si>
  <si>
    <t>1.12-5-151</t>
  </si>
  <si>
    <t>283,3</t>
  </si>
  <si>
    <t>284</t>
  </si>
  <si>
    <t>Объем: 0,5=50/100</t>
  </si>
  <si>
    <t>284,1</t>
  </si>
  <si>
    <t>1.12-2-1164</t>
  </si>
  <si>
    <t>284,2</t>
  </si>
  <si>
    <t>1.12-5-152</t>
  </si>
  <si>
    <t>284,3</t>
  </si>
  <si>
    <t>285</t>
  </si>
  <si>
    <t>286</t>
  </si>
  <si>
    <t>1.7-11-54</t>
  </si>
  <si>
    <t>287</t>
  </si>
  <si>
    <t>1.7-11-55</t>
  </si>
  <si>
    <t>288</t>
  </si>
  <si>
    <t>3.20-32-5</t>
  </si>
  <si>
    <t>1 агрегат</t>
  </si>
  <si>
    <t>288,1</t>
  </si>
  <si>
    <t>конъктурный анализ п1</t>
  </si>
  <si>
    <t>Итого по разделу: Кондиционирование</t>
  </si>
  <si>
    <t>289</t>
  </si>
  <si>
    <t>5.3-63-1</t>
  </si>
  <si>
    <t>1 кондиционер</t>
  </si>
  <si>
    <t>290</t>
  </si>
  <si>
    <t>5.3-7-1</t>
  </si>
  <si>
    <t>291</t>
  </si>
  <si>
    <t>291,1</t>
  </si>
  <si>
    <t>291,2</t>
  </si>
  <si>
    <t>292</t>
  </si>
  <si>
    <t>292,1</t>
  </si>
  <si>
    <t>292,2</t>
  </si>
  <si>
    <t>293</t>
  </si>
  <si>
    <t>293,1</t>
  </si>
  <si>
    <t>293,2</t>
  </si>
  <si>
    <t>294</t>
  </si>
  <si>
    <t>294,1</t>
  </si>
  <si>
    <t>1.13-4-67</t>
  </si>
  <si>
    <t>294,2</t>
  </si>
  <si>
    <t>295</t>
  </si>
  <si>
    <t>295,1</t>
  </si>
  <si>
    <t>295,2</t>
  </si>
  <si>
    <t>296</t>
  </si>
  <si>
    <t>296,1</t>
  </si>
  <si>
    <t>296,2</t>
  </si>
  <si>
    <t>297</t>
  </si>
  <si>
    <t>297,1</t>
  </si>
  <si>
    <t>297,2</t>
  </si>
  <si>
    <t>297,3</t>
  </si>
  <si>
    <t>297,4</t>
  </si>
  <si>
    <t>297,5</t>
  </si>
  <si>
    <t>297,6</t>
  </si>
  <si>
    <t>297,7</t>
  </si>
  <si>
    <t>297,8</t>
  </si>
  <si>
    <t>297,9</t>
  </si>
  <si>
    <t>298</t>
  </si>
  <si>
    <t>299</t>
  </si>
  <si>
    <t>Итого по локальной смете: Система вентиляции и кондиционирования.</t>
  </si>
  <si>
    <t>Основание: чертежи № 023/18КН-ИОС2</t>
  </si>
  <si>
    <t>Раздел: Система водоснабжения. Водомерный узел.</t>
  </si>
  <si>
    <t>1.13-2-80</t>
  </si>
  <si>
    <t>1,2</t>
  </si>
  <si>
    <t>13.1-5-67</t>
  </si>
  <si>
    <t>1,3</t>
  </si>
  <si>
    <t>1.18-5-7</t>
  </si>
  <si>
    <t>1,4</t>
  </si>
  <si>
    <t>1.17-6-50</t>
  </si>
  <si>
    <t>1,5</t>
  </si>
  <si>
    <t>1.12-1-71</t>
  </si>
  <si>
    <t>1,6</t>
  </si>
  <si>
    <t>1.6-1-307</t>
  </si>
  <si>
    <t>1,7</t>
  </si>
  <si>
    <t>1.6-1-324</t>
  </si>
  <si>
    <t>1,8</t>
  </si>
  <si>
    <t>1.12-5-370</t>
  </si>
  <si>
    <t>1.12-9-29</t>
  </si>
  <si>
    <t>2,2</t>
  </si>
  <si>
    <t>1.13-3-110</t>
  </si>
  <si>
    <t>1.18-7-5</t>
  </si>
  <si>
    <t>1 фильтр</t>
  </si>
  <si>
    <t>1.18-7-10</t>
  </si>
  <si>
    <t>1.13-1-99</t>
  </si>
  <si>
    <t>Итого по разделу: Система водоснабжения. Водомерный узел.</t>
  </si>
  <si>
    <t>Раздел: Холодное водоснабжение.</t>
  </si>
  <si>
    <t>Объем: 2,3=230/100</t>
  </si>
  <si>
    <t>1.6-1-264</t>
  </si>
  <si>
    <t>1.13-4-71</t>
  </si>
  <si>
    <t>1.12-1-52</t>
  </si>
  <si>
    <t>1.12-1-53</t>
  </si>
  <si>
    <t>Объем: 0,35=35/100</t>
  </si>
  <si>
    <t>1.12-1-54</t>
  </si>
  <si>
    <t>Объем: 1,35=135/100</t>
  </si>
  <si>
    <t>1.13-4-47</t>
  </si>
  <si>
    <t>1.12-1-57</t>
  </si>
  <si>
    <t>Объем: 0,05=5/100</t>
  </si>
  <si>
    <t>1.12-1-61</t>
  </si>
  <si>
    <t>Объем: 4,5=(230+50+35+135)/100</t>
  </si>
  <si>
    <t>Объем: 22,5=(50+35+135+5)/10</t>
  </si>
  <si>
    <t>1.1-1-2541</t>
  </si>
  <si>
    <t>1.1-1-1291</t>
  </si>
  <si>
    <t>1.1-1-1292</t>
  </si>
  <si>
    <t>1.1-1-3120</t>
  </si>
  <si>
    <t>13,5</t>
  </si>
  <si>
    <t>1.1-1-3124</t>
  </si>
  <si>
    <t>13,6</t>
  </si>
  <si>
    <t>13,7</t>
  </si>
  <si>
    <t>1 кран</t>
  </si>
  <si>
    <t>1.13-1-15</t>
  </si>
  <si>
    <t>1.17-7-30</t>
  </si>
  <si>
    <t>1 врезка</t>
  </si>
  <si>
    <t>1.12-9-21</t>
  </si>
  <si>
    <t>Итого по разделу: Холодное водоснабжение.</t>
  </si>
  <si>
    <t>Раздел: Пожарное оборудование.</t>
  </si>
  <si>
    <t>1.13-1-18</t>
  </si>
  <si>
    <t>1.7-8-14</t>
  </si>
  <si>
    <t>13.3-9-54</t>
  </si>
  <si>
    <t>Итого по разделу: Пожарное оборудование.</t>
  </si>
  <si>
    <t>Раздел: Горячее водоснабжение.</t>
  </si>
  <si>
    <t>Объем: 2,38=238/100</t>
  </si>
  <si>
    <t>20,2</t>
  </si>
  <si>
    <t>20,3</t>
  </si>
  <si>
    <t>20,4</t>
  </si>
  <si>
    <t>Объем: 0,72=72/100</t>
  </si>
  <si>
    <t>22,4</t>
  </si>
  <si>
    <t>1.12-1-55</t>
  </si>
  <si>
    <t>Объем: 0,04=4/100</t>
  </si>
  <si>
    <t>1.12-1-56</t>
  </si>
  <si>
    <t>Объем: 0,12=12/100</t>
  </si>
  <si>
    <t>24,3</t>
  </si>
  <si>
    <t>Объем: 5,26=(238+65+135+72+4+12)/100</t>
  </si>
  <si>
    <t>Объем: 40,9=(215+121+61+12)/10</t>
  </si>
  <si>
    <t>28,4</t>
  </si>
  <si>
    <t>1.1-1-3119</t>
  </si>
  <si>
    <t>28,5</t>
  </si>
  <si>
    <t>28,6</t>
  </si>
  <si>
    <t>28,7</t>
  </si>
  <si>
    <t>1.17-1-60</t>
  </si>
  <si>
    <t>1.17-2-38</t>
  </si>
  <si>
    <t>1.17-2-44</t>
  </si>
  <si>
    <t>1.12-9-16</t>
  </si>
  <si>
    <t>1.12-9-17</t>
  </si>
  <si>
    <t>Итого по разделу: Горячее водоснабжение.</t>
  </si>
  <si>
    <t>6.65-1-1</t>
  </si>
  <si>
    <t>Объем: 7,53=(230+50+35+238+65+135)/100</t>
  </si>
  <si>
    <t>6.65-1-2</t>
  </si>
  <si>
    <t>Объем: 0,76=(72+4)/100</t>
  </si>
  <si>
    <t>6.65-1-3</t>
  </si>
  <si>
    <t>Объем: 1,47=(135+12)/100</t>
  </si>
  <si>
    <t>Объем: 0,17=(5+12)/100</t>
  </si>
  <si>
    <t>Итого по локальной смете: Система водоснабжения</t>
  </si>
  <si>
    <t>Система водоотведения.</t>
  </si>
  <si>
    <t>Основание: чертежи № 023/18КН-ИОС3</t>
  </si>
  <si>
    <t>Раздел: Установка дренажного насоса.</t>
  </si>
  <si>
    <t>1.15-4-17</t>
  </si>
  <si>
    <t>Объем: 0,18=18/100</t>
  </si>
  <si>
    <t>2,3</t>
  </si>
  <si>
    <t>1.12-9-27</t>
  </si>
  <si>
    <t>3,2</t>
  </si>
  <si>
    <t>1.13-3-106</t>
  </si>
  <si>
    <t>1.12-9-18</t>
  </si>
  <si>
    <t>Итого по разделу: Установка дренажного насоса.</t>
  </si>
  <si>
    <t>Раздел: Сантехническое оборудование.</t>
  </si>
  <si>
    <t>1.17-1-49</t>
  </si>
  <si>
    <t>компл.</t>
  </si>
  <si>
    <t>100 м подводок</t>
  </si>
  <si>
    <t>Объем: 0,08=8/100</t>
  </si>
  <si>
    <t>1.12-5-390</t>
  </si>
  <si>
    <t>1.17-2-18</t>
  </si>
  <si>
    <t>1.17-2-31</t>
  </si>
  <si>
    <t>1.17-2-8</t>
  </si>
  <si>
    <t>1.17-1-41</t>
  </si>
  <si>
    <t>1.17-2-25</t>
  </si>
  <si>
    <t>1.17-1-12</t>
  </si>
  <si>
    <t>1.17-1-22</t>
  </si>
  <si>
    <t>1.17-2-12</t>
  </si>
  <si>
    <t>1.17-1-15</t>
  </si>
  <si>
    <t>1.17-1-78</t>
  </si>
  <si>
    <t>1.17-2-22</t>
  </si>
  <si>
    <t>1.17-1-77</t>
  </si>
  <si>
    <t>1.17-1-21</t>
  </si>
  <si>
    <t>1.17-1-65</t>
  </si>
  <si>
    <t>Итого по разделу: Сантехническое оборудование.</t>
  </si>
  <si>
    <t>Раздел: Монтаж трубопровода.</t>
  </si>
  <si>
    <t>100 м труб</t>
  </si>
  <si>
    <t>Объем: 0,02=2/100</t>
  </si>
  <si>
    <t>1.12-8-5</t>
  </si>
  <si>
    <t>1.12-10-16</t>
  </si>
  <si>
    <t>Объем: 4,26=426/100</t>
  </si>
  <si>
    <t>1.12-1-79</t>
  </si>
  <si>
    <t>1.12-5-97</t>
  </si>
  <si>
    <t>Объем: 2,42=242/100</t>
  </si>
  <si>
    <t>1.12-1-80</t>
  </si>
  <si>
    <t>1.12-5-133</t>
  </si>
  <si>
    <t>1.12-5-134</t>
  </si>
  <si>
    <t>21,5</t>
  </si>
  <si>
    <t>6.65-51-7</t>
  </si>
  <si>
    <t>Объем: 0,2=20/100</t>
  </si>
  <si>
    <t>Объем: 0,51=51/100</t>
  </si>
  <si>
    <t>1.12-5-455</t>
  </si>
  <si>
    <t>Объем: 11,6=(68+48)/10</t>
  </si>
  <si>
    <t>1.1-1-2513</t>
  </si>
  <si>
    <t>1.1-1-3167</t>
  </si>
  <si>
    <t>Итого по разделу: Монтаж трубопровода.</t>
  </si>
  <si>
    <t>6.65-2-1</t>
  </si>
  <si>
    <t>6.65-2-2</t>
  </si>
  <si>
    <t>Объем: 2,44=244/100</t>
  </si>
  <si>
    <t>6.65-4-3</t>
  </si>
  <si>
    <t>100 компл.</t>
  </si>
  <si>
    <t>6.65-4-1</t>
  </si>
  <si>
    <t>Объем: 0,65=(46+2+2+15)/100</t>
  </si>
  <si>
    <t>6.65-4-7</t>
  </si>
  <si>
    <t>Объем: 0,1=10/100</t>
  </si>
  <si>
    <t>6.65-3-1</t>
  </si>
  <si>
    <t>Объем: 0,75=(10+46+2+2+15)/100</t>
  </si>
  <si>
    <t>Объем: 1,4949=0,2584+1,079+0,1575</t>
  </si>
  <si>
    <t>Итого по локальной смете: Система водоотведения.</t>
  </si>
  <si>
    <t>Система электроснабжения.</t>
  </si>
  <si>
    <t>Раздел: Вводно-распределительные устройства</t>
  </si>
  <si>
    <t>4.8-238-2</t>
  </si>
  <si>
    <t>1 м ширины по фронту</t>
  </si>
  <si>
    <t>Объем: 3,06=0,63*2+1,8</t>
  </si>
  <si>
    <t>13.1-1-787</t>
  </si>
  <si>
    <t>панель</t>
  </si>
  <si>
    <t>13.1-1-831</t>
  </si>
  <si>
    <t>4.8-240-1</t>
  </si>
  <si>
    <t>4.8-255-1</t>
  </si>
  <si>
    <t>Итого по разделу: Вводно-распределительные устройства</t>
  </si>
  <si>
    <t>Раздел: Осветительные и электроустановочные приборы</t>
  </si>
  <si>
    <t>4.8-246-1</t>
  </si>
  <si>
    <t>Объем: 0,49=49/100</t>
  </si>
  <si>
    <t>конъюктурный анализ</t>
  </si>
  <si>
    <t>4.8-246-2</t>
  </si>
  <si>
    <t>Объем: 0,16=16/100</t>
  </si>
  <si>
    <t>1.22-2-183</t>
  </si>
  <si>
    <t>4.8-245-19</t>
  </si>
  <si>
    <t>Объем: 4,4=(26+414)/100</t>
  </si>
  <si>
    <t>1.22-6-90</t>
  </si>
  <si>
    <t>Объем: 5,2=52/10</t>
  </si>
  <si>
    <t>1.22-6-7</t>
  </si>
  <si>
    <t>Объем: 104,4=1044/10</t>
  </si>
  <si>
    <t>4.8-245-10</t>
  </si>
  <si>
    <t>Объем: 0,02=(1+1)/100</t>
  </si>
  <si>
    <t>1.22-4-15</t>
  </si>
  <si>
    <t>1.22-4-23</t>
  </si>
  <si>
    <t>4.8-243-2</t>
  </si>
  <si>
    <t>Объем: 1,14=114/100</t>
  </si>
  <si>
    <t>1.21-5-1056</t>
  </si>
  <si>
    <t>4.8-243-5</t>
  </si>
  <si>
    <t>Объем: 0,57=57/100</t>
  </si>
  <si>
    <t>1.21-5-1057</t>
  </si>
  <si>
    <t>4.8-243-1</t>
  </si>
  <si>
    <t>1.21-5-1058</t>
  </si>
  <si>
    <t>4.8-243-7</t>
  </si>
  <si>
    <t>1.21-5-1271</t>
  </si>
  <si>
    <t>4.8-243-9</t>
  </si>
  <si>
    <t>Объем: 2,64=264/100</t>
  </si>
  <si>
    <t>1.21-5-1281</t>
  </si>
  <si>
    <t>Объем: 0,3=30/100</t>
  </si>
  <si>
    <t>1.21-5-1065</t>
  </si>
  <si>
    <t>1.21-5-923</t>
  </si>
  <si>
    <t>1.21-5-1066</t>
  </si>
  <si>
    <t>1.21-5-192</t>
  </si>
  <si>
    <t>Итого по разделу: Осветительные и электроустановочные приборы</t>
  </si>
  <si>
    <t>Раздел: Кабельные работы</t>
  </si>
  <si>
    <t>4.8-280-2</t>
  </si>
  <si>
    <t>Объем: 7,6=760/100</t>
  </si>
  <si>
    <t>1.1-1-2650</t>
  </si>
  <si>
    <t>4.8-158-1</t>
  </si>
  <si>
    <t>Объем: 0,0595=1,19*(50)/1000</t>
  </si>
  <si>
    <t>1.21-5-914</t>
  </si>
  <si>
    <t>4.8-288-2</t>
  </si>
  <si>
    <t>Объем: 7,7=770/100</t>
  </si>
  <si>
    <t>1.12-5-372</t>
  </si>
  <si>
    <t>1.21-5-1136</t>
  </si>
  <si>
    <t>4.8-161-1</t>
  </si>
  <si>
    <t>Объем: 1,5=150/100</t>
  </si>
  <si>
    <t>4.8-162-1</t>
  </si>
  <si>
    <t>4.8-175-2</t>
  </si>
  <si>
    <t>4.8-175-9</t>
  </si>
  <si>
    <t>Объем: 29,44=(3899+725-150-760-770)/100</t>
  </si>
  <si>
    <t>4.8-175-10</t>
  </si>
  <si>
    <t>Объем: 37,4=(2640+400+100+100+300+200)/100</t>
  </si>
  <si>
    <t>4.8-175-11</t>
  </si>
  <si>
    <t>Объем: 0,5=(50)/100</t>
  </si>
  <si>
    <t>4.8-175-12</t>
  </si>
  <si>
    <t>4.8-168-6</t>
  </si>
  <si>
    <t>100 М ТРАССЫ</t>
  </si>
  <si>
    <t>4.8-187-10</t>
  </si>
  <si>
    <t>Объем: 2,7=(120+120+30)/100</t>
  </si>
  <si>
    <t>1.23-8-755</t>
  </si>
  <si>
    <t>км</t>
  </si>
  <si>
    <t>Объем: 3,97698=3899*1,02/1000</t>
  </si>
  <si>
    <t>1.23-8-770</t>
  </si>
  <si>
    <t>Объем: 0,7395=725*1,02/1000</t>
  </si>
  <si>
    <t>1.23-8-756</t>
  </si>
  <si>
    <t>Объем: 2,6928=2640*1,02/1000</t>
  </si>
  <si>
    <t>1.23-8-771</t>
  </si>
  <si>
    <t>Объем: 0,408=400*1,02/1000</t>
  </si>
  <si>
    <t>1.23-8-761</t>
  </si>
  <si>
    <t>Объем: 0,102=100*1,02/1000</t>
  </si>
  <si>
    <t>1.23-8-773</t>
  </si>
  <si>
    <t>1.23-8-762</t>
  </si>
  <si>
    <t>Объем: 0,306=300*1,02/1000</t>
  </si>
  <si>
    <t>1.23-8-763</t>
  </si>
  <si>
    <t>Объем: 0,204=200*1,02/1000</t>
  </si>
  <si>
    <t>1.23-8-764</t>
  </si>
  <si>
    <t>Объем: 0,051=50*1,02/1000</t>
  </si>
  <si>
    <t>1.23-8-765</t>
  </si>
  <si>
    <t>1.23-13-241</t>
  </si>
  <si>
    <t>1.23-13-242</t>
  </si>
  <si>
    <t>Объем: 0,1224=120*1,02/1000</t>
  </si>
  <si>
    <t>1.23-13-244</t>
  </si>
  <si>
    <t>Объем: 0,0306=30*1,02/1000</t>
  </si>
  <si>
    <t>Итого по разделу: Кабельные работы</t>
  </si>
  <si>
    <t>Раздел: Щитовое оборудование</t>
  </si>
  <si>
    <t>4.8-240-4</t>
  </si>
  <si>
    <t>1.21-5-1118</t>
  </si>
  <si>
    <t>1.21-5-1116</t>
  </si>
  <si>
    <t>4.8-218-1</t>
  </si>
  <si>
    <t>4.8-218-2</t>
  </si>
  <si>
    <t>4.8-218-3</t>
  </si>
  <si>
    <t>1.21-5-1040</t>
  </si>
  <si>
    <t>Объем: 15=5+3+2+3+2</t>
  </si>
  <si>
    <t>1.21-5-1041</t>
  </si>
  <si>
    <t>Объем: 6=1+1+1+1+1+1</t>
  </si>
  <si>
    <t>1.21-5-1042</t>
  </si>
  <si>
    <t>1.21-5-480</t>
  </si>
  <si>
    <t>1.21-5-1037</t>
  </si>
  <si>
    <t>Объем: 85=2+18+18+6+6+5+3+3+3+3+1+3+1+5+1+3+1+3</t>
  </si>
  <si>
    <t>1.21-5-1031</t>
  </si>
  <si>
    <t>Объем: 64=20+20+12+12</t>
  </si>
  <si>
    <t>4.10-167-1</t>
  </si>
  <si>
    <t>4.8-170-1</t>
  </si>
  <si>
    <t>Объем: 2,5=250/100</t>
  </si>
  <si>
    <t>1.12-1-24</t>
  </si>
  <si>
    <t>4.8-170-3</t>
  </si>
  <si>
    <t>1.12-1-27</t>
  </si>
  <si>
    <t>4.8-187-8</t>
  </si>
  <si>
    <t>Объем: 1,1=110/100</t>
  </si>
  <si>
    <t>4.8-109-2</t>
  </si>
  <si>
    <t>1 км троса (провода, подвески)</t>
  </si>
  <si>
    <t>1.1-1-319</t>
  </si>
  <si>
    <t>Объем: 8,5=85/10</t>
  </si>
  <si>
    <t>4.10-80-1</t>
  </si>
  <si>
    <t>13.1-11-120</t>
  </si>
  <si>
    <t>4.8-216-4</t>
  </si>
  <si>
    <t>13.1-11-121</t>
  </si>
  <si>
    <t>4.10-84-3</t>
  </si>
  <si>
    <t>1.14-2-50</t>
  </si>
  <si>
    <t>1.23-11-42</t>
  </si>
  <si>
    <t>Объем: 0,0408=40*1,02/1000</t>
  </si>
  <si>
    <t>Итого по разделу: Щитовое оборудование</t>
  </si>
  <si>
    <t>5.1-162-1</t>
  </si>
  <si>
    <t>1 измерение</t>
  </si>
  <si>
    <t>5.1-154-1</t>
  </si>
  <si>
    <t>1 токоприемник</t>
  </si>
  <si>
    <t>5.1-152-1</t>
  </si>
  <si>
    <t>1 ТОЧКА</t>
  </si>
  <si>
    <t>Объем: 190=178+1,2*10</t>
  </si>
  <si>
    <t>5.1-151-5</t>
  </si>
  <si>
    <t>Итого по локальной смете: Система электроснабжения.</t>
  </si>
  <si>
    <t>СКС,ЛВС,ТФ Локальная вычислительная сеть.Структурированная кабельная сеть. Система Телефонизации.</t>
  </si>
  <si>
    <t>Раздел: Оборудование серверной</t>
  </si>
  <si>
    <t>4.10-32-1</t>
  </si>
  <si>
    <t>Прайс</t>
  </si>
  <si>
    <t>4.10-32-4</t>
  </si>
  <si>
    <t>Объем: 37=1+36</t>
  </si>
  <si>
    <t>5,2</t>
  </si>
  <si>
    <t>5,3</t>
  </si>
  <si>
    <t>5,4</t>
  </si>
  <si>
    <t>Подраздел: Оборудование</t>
  </si>
  <si>
    <t>прайс</t>
  </si>
  <si>
    <t>Итого по подразделу: Оборудование</t>
  </si>
  <si>
    <t>Итого по разделу: Оборудование серверной</t>
  </si>
  <si>
    <t>Раздел: WI-Fi оборудование</t>
  </si>
  <si>
    <t>Итого по разделу: WI-Fi оборудование</t>
  </si>
  <si>
    <t>Раздел: Кабельная продукция</t>
  </si>
  <si>
    <t>Объем: 10=1000/100</t>
  </si>
  <si>
    <t>4.8-175-1</t>
  </si>
  <si>
    <t>1.23-4-337</t>
  </si>
  <si>
    <t>Объем: 32=(4200-1000)/100</t>
  </si>
  <si>
    <t>4.8-243-8</t>
  </si>
  <si>
    <t>Объем: 4,63=463/100</t>
  </si>
  <si>
    <t>1.21-5-925</t>
  </si>
  <si>
    <t>1.1-1-2900</t>
  </si>
  <si>
    <t>1.21-5-896</t>
  </si>
  <si>
    <t>Объем: 0,2=0,001*200</t>
  </si>
  <si>
    <t>1.21-5-1410</t>
  </si>
  <si>
    <t>1.21-5-889</t>
  </si>
  <si>
    <t>Итого по разделу: Кабельная продукция</t>
  </si>
  <si>
    <t>Раздел: Система вызова персонала из сан.узла</t>
  </si>
  <si>
    <t>13.1-1-20</t>
  </si>
  <si>
    <t>4.10-151-2</t>
  </si>
  <si>
    <t>4.10-177-1</t>
  </si>
  <si>
    <t>4.10-76-10</t>
  </si>
  <si>
    <t>Объем: 0,01=1/100</t>
  </si>
  <si>
    <t>1.23-3-232</t>
  </si>
  <si>
    <t>Итого по разделу: Система вызова персонала из сан.узла</t>
  </si>
  <si>
    <t>Раздел: Система вызова специалиста</t>
  </si>
  <si>
    <t>Объем: 4=40/10</t>
  </si>
  <si>
    <t>4.8-288-1</t>
  </si>
  <si>
    <t>Объем: 5=500/100</t>
  </si>
  <si>
    <t>1.12-5-371</t>
  </si>
  <si>
    <t>1.23-9-90</t>
  </si>
  <si>
    <t>Итого по разделу: Система вызова специалиста</t>
  </si>
  <si>
    <t>Итого по локальной смете: СКС,ЛВС,ТФ Локальная вычислительная сеть.Структурированная кабельная сеть. Система Телефонизации.</t>
  </si>
  <si>
    <t>Раздел: Система радиофикации</t>
  </si>
  <si>
    <t>4.10-67-1</t>
  </si>
  <si>
    <t>4.10-78-1</t>
  </si>
  <si>
    <t>4.10-75-1</t>
  </si>
  <si>
    <t>4.10-172-1</t>
  </si>
  <si>
    <t>4.10-136-3</t>
  </si>
  <si>
    <t>1.14-1-534</t>
  </si>
  <si>
    <t>35,3</t>
  </si>
  <si>
    <t>1.1-1-2049</t>
  </si>
  <si>
    <t>35,4</t>
  </si>
  <si>
    <t>1.21-5-1207</t>
  </si>
  <si>
    <t>35,5</t>
  </si>
  <si>
    <t>1.21-5-707</t>
  </si>
  <si>
    <t>4.10-134-4</t>
  </si>
  <si>
    <t>1 антенна</t>
  </si>
  <si>
    <t>1.14-1-228</t>
  </si>
  <si>
    <t>4.10-134-7</t>
  </si>
  <si>
    <t>1.14-1-138</t>
  </si>
  <si>
    <t>4.10-136-1</t>
  </si>
  <si>
    <t>38,2</t>
  </si>
  <si>
    <t>4.10-69-7</t>
  </si>
  <si>
    <t>1.14-1-22</t>
  </si>
  <si>
    <t>Объем: 6=600/100</t>
  </si>
  <si>
    <t>43,3</t>
  </si>
  <si>
    <t>1.21-5-1135</t>
  </si>
  <si>
    <t>43,4</t>
  </si>
  <si>
    <t>1.14-1-13</t>
  </si>
  <si>
    <t>43,5</t>
  </si>
  <si>
    <t>1.14-1-16</t>
  </si>
  <si>
    <t>1.23-4-360</t>
  </si>
  <si>
    <t>1.23-5-37</t>
  </si>
  <si>
    <t>1.23-5-21</t>
  </si>
  <si>
    <t>Объем: 2,4=240/100</t>
  </si>
  <si>
    <t>м.п.</t>
  </si>
  <si>
    <t>1.12-10-103</t>
  </si>
  <si>
    <t>1.14-1-529</t>
  </si>
  <si>
    <t>Объем: 1,3=130/100</t>
  </si>
  <si>
    <t>Объем: 0,6=60/100</t>
  </si>
  <si>
    <t>1.23-9-73</t>
  </si>
  <si>
    <t>цена мгэ</t>
  </si>
  <si>
    <t>Итого по разделу: Система радиофикации</t>
  </si>
  <si>
    <t>Итого по локальной смете: Радиофикация.</t>
  </si>
  <si>
    <t>Раздел: Электрочасофикация</t>
  </si>
  <si>
    <t>4.10-136-5</t>
  </si>
  <si>
    <t>4.10-135-3</t>
  </si>
  <si>
    <t>4.10-86-1</t>
  </si>
  <si>
    <t>1.14-1-36</t>
  </si>
  <si>
    <t>Объем: 12=1200/100</t>
  </si>
  <si>
    <t>1.23-8-564</t>
  </si>
  <si>
    <t>КА №1</t>
  </si>
  <si>
    <t>13.1-2-348</t>
  </si>
  <si>
    <t>Итого по разделу: Электрочасофикация</t>
  </si>
  <si>
    <t>Итого по локальной смете: Система Электрочасофикации</t>
  </si>
  <si>
    <t>Раздел: Видеонаблюдение</t>
  </si>
  <si>
    <t>Подраздел: Серверная</t>
  </si>
  <si>
    <t>4.10-34-5</t>
  </si>
  <si>
    <t>4.10-19-6</t>
  </si>
  <si>
    <t>Итого по подразделу: Серверная</t>
  </si>
  <si>
    <t>Подраздел: Оборудование серверной</t>
  </si>
  <si>
    <t>Итого по подразделу: Оборудование серверной</t>
  </si>
  <si>
    <t>Подраздел: Пост охраны</t>
  </si>
  <si>
    <t>4.10-75-6</t>
  </si>
  <si>
    <t>Итого по подразделу: Пост охраны</t>
  </si>
  <si>
    <t>Подраздел: Оборудование поста охраны</t>
  </si>
  <si>
    <t>13.1-4-8</t>
  </si>
  <si>
    <t>13.1-14-104</t>
  </si>
  <si>
    <t>13.1-14-105</t>
  </si>
  <si>
    <t>Итого по подразделу: Оборудование поста охраны</t>
  </si>
  <si>
    <t>Подраздел: Камеры</t>
  </si>
  <si>
    <t>Объем: 0,3=3/10</t>
  </si>
  <si>
    <t>4.10-174-2</t>
  </si>
  <si>
    <t>Объем: 2=20/10</t>
  </si>
  <si>
    <t>4.10-174-1</t>
  </si>
  <si>
    <t>Объем: 2,4=24/10</t>
  </si>
  <si>
    <t>Итого по подразделу: Камеры</t>
  </si>
  <si>
    <t>Подраздел: Кабели и трубы</t>
  </si>
  <si>
    <t>Объем: 28=2800/100</t>
  </si>
  <si>
    <t>1.21-5-1363</t>
  </si>
  <si>
    <t>Итого по подразделу: Кабели и трубы</t>
  </si>
  <si>
    <t>Итого по разделу: Видеонаблюдение</t>
  </si>
  <si>
    <t>Раздел: ПНР</t>
  </si>
  <si>
    <t>110</t>
  </si>
  <si>
    <t>5.2-32-1</t>
  </si>
  <si>
    <t>1 комплекс</t>
  </si>
  <si>
    <t>Итого по разделу: ПНР</t>
  </si>
  <si>
    <t>Итого по локальной смете: Система охранного видеонаблюдения.</t>
  </si>
  <si>
    <t>Основание: чертежи № 2017-01912-01-0-ИОС5.2</t>
  </si>
  <si>
    <t>Раздел: Система СКУД</t>
  </si>
  <si>
    <t>4.10-168-1</t>
  </si>
  <si>
    <t>4.10-176-1</t>
  </si>
  <si>
    <t>Объем: 0,8=8/10</t>
  </si>
  <si>
    <t>13.1-3-185</t>
  </si>
  <si>
    <t>13.1-1-54</t>
  </si>
  <si>
    <t>41,2</t>
  </si>
  <si>
    <t>4.8-234-1</t>
  </si>
  <si>
    <t>1.21-5-1015</t>
  </si>
  <si>
    <t>1.21-5-1024</t>
  </si>
  <si>
    <t>3.10-82-1</t>
  </si>
  <si>
    <t>1.8-1-88</t>
  </si>
  <si>
    <t>4.10-70-23</t>
  </si>
  <si>
    <t>Объем: 0,2=2/10</t>
  </si>
  <si>
    <t>50,2</t>
  </si>
  <si>
    <t>Объем: 8=800/100</t>
  </si>
  <si>
    <t>51,2</t>
  </si>
  <si>
    <t>1.23-9-118</t>
  </si>
  <si>
    <t>Объем: 3=300/100</t>
  </si>
  <si>
    <t>1.1-1-283</t>
  </si>
  <si>
    <t>1.1-1-2829</t>
  </si>
  <si>
    <t>4.8-160-1</t>
  </si>
  <si>
    <t>Объем: 0,03=3/100</t>
  </si>
  <si>
    <t>1.21-5-555</t>
  </si>
  <si>
    <t>5.2-36-1</t>
  </si>
  <si>
    <t>1 считыватель</t>
  </si>
  <si>
    <t>Итого по разделу: Система СКУД</t>
  </si>
  <si>
    <t>Итого по локальной смете: СКУД Система контроля управления доступа</t>
  </si>
  <si>
    <t>Раздел: Система охранной сигнализации</t>
  </si>
  <si>
    <t>4.10-170-2</t>
  </si>
  <si>
    <t>4.10-163-1</t>
  </si>
  <si>
    <t>4.10-81-1</t>
  </si>
  <si>
    <t>1.14-2-46</t>
  </si>
  <si>
    <t>4.10-59-1</t>
  </si>
  <si>
    <t>1.14-2-80</t>
  </si>
  <si>
    <t>КА №3</t>
  </si>
  <si>
    <t>Объем: 80=8000/100</t>
  </si>
  <si>
    <t>1.12-5-42</t>
  </si>
  <si>
    <t>1.1-1-2426</t>
  </si>
  <si>
    <t>1.23-9-114</t>
  </si>
  <si>
    <t>Объем: 4=400/100</t>
  </si>
  <si>
    <t>1.23-9-102</t>
  </si>
  <si>
    <t>13.1-1-21</t>
  </si>
  <si>
    <t>13.1-2-181</t>
  </si>
  <si>
    <t>Итого по разделу: Система охранной сигнализации</t>
  </si>
  <si>
    <t>Итого по локальной смете: Охранная сигнализация</t>
  </si>
  <si>
    <t>АПС Система пожарной сигнализации</t>
  </si>
  <si>
    <t>Раздел: Система АУПС</t>
  </si>
  <si>
    <t>4.11-7-1</t>
  </si>
  <si>
    <t>4.11-2-3</t>
  </si>
  <si>
    <t>4.10-82-3</t>
  </si>
  <si>
    <t>4.10-80-9</t>
  </si>
  <si>
    <t>4.10-81-2</t>
  </si>
  <si>
    <t>1.14-2-74</t>
  </si>
  <si>
    <t>4.10-3-6</t>
  </si>
  <si>
    <t>10 блоков</t>
  </si>
  <si>
    <t>Объем: 1,8=18/10</t>
  </si>
  <si>
    <t>1.14-2-81</t>
  </si>
  <si>
    <t>4.10-80-5</t>
  </si>
  <si>
    <t>1.14-2-75</t>
  </si>
  <si>
    <t>Объем: 5,1=51/10</t>
  </si>
  <si>
    <t>1.14-2-61</t>
  </si>
  <si>
    <t>Объем: 40=4000/100</t>
  </si>
  <si>
    <t>83,3</t>
  </si>
  <si>
    <t>4.8-280-1</t>
  </si>
  <si>
    <t>1.1-1-1963</t>
  </si>
  <si>
    <t>Объем: 0,06=6/100</t>
  </si>
  <si>
    <t>1.1-1-4342</t>
  </si>
  <si>
    <t>89,1</t>
  </si>
  <si>
    <t>92</t>
  </si>
  <si>
    <t>Объем: 1=(100)/100</t>
  </si>
  <si>
    <t>92,1</t>
  </si>
  <si>
    <t>1.23-9-104</t>
  </si>
  <si>
    <t>4.11-17-1</t>
  </si>
  <si>
    <t>93,1</t>
  </si>
  <si>
    <t>КА №9</t>
  </si>
  <si>
    <t>13.1-2-427</t>
  </si>
  <si>
    <t>13.1-2-97</t>
  </si>
  <si>
    <t>100</t>
  </si>
  <si>
    <t>13.1-1-451</t>
  </si>
  <si>
    <t>13.1-2-214</t>
  </si>
  <si>
    <t>13.1-2-228</t>
  </si>
  <si>
    <t>13.1-2-217</t>
  </si>
  <si>
    <t>106</t>
  </si>
  <si>
    <t>13.1-2-197</t>
  </si>
  <si>
    <t>13.1-2-5</t>
  </si>
  <si>
    <t>13.1-2-205</t>
  </si>
  <si>
    <t>Итого по разделу: Система АУПС</t>
  </si>
  <si>
    <t>Итого по локальной смете: АПС Система пожарной сигнализации</t>
  </si>
  <si>
    <t>Раздел: СОУЭ</t>
  </si>
  <si>
    <t>4.11-7-4</t>
  </si>
  <si>
    <t>4.10-165-4</t>
  </si>
  <si>
    <t>4.8-243-12</t>
  </si>
  <si>
    <t>4.10-173-2</t>
  </si>
  <si>
    <t>Объем: 1,1=11/10</t>
  </si>
  <si>
    <t>4.10-76-15</t>
  </si>
  <si>
    <t>1.14-2-55</t>
  </si>
  <si>
    <t>4.10-76-7</t>
  </si>
  <si>
    <t>4.10-80-7</t>
  </si>
  <si>
    <t>10 лучей</t>
  </si>
  <si>
    <t>Объем: 0,02=0,2/10</t>
  </si>
  <si>
    <t>80,2</t>
  </si>
  <si>
    <t>13.1-1-55</t>
  </si>
  <si>
    <t>81,2</t>
  </si>
  <si>
    <t>1.23-9-105</t>
  </si>
  <si>
    <t>1.23-5-8</t>
  </si>
  <si>
    <t>1.23-3-295</t>
  </si>
  <si>
    <t>Подраздел: Оборудование и материалы</t>
  </si>
  <si>
    <t>Итого по подразделу: Оборудование и материалы</t>
  </si>
  <si>
    <t>Итого по разделу: СОУЭ</t>
  </si>
  <si>
    <t>Итого по локальной смете: СОУЭ Система управления эвакуации</t>
  </si>
  <si>
    <t>Основание: чертежи № чертежи №023/18КН-ТРВ</t>
  </si>
  <si>
    <t>Раздел: Помещение пожарного поста</t>
  </si>
  <si>
    <t>4.10-80-10</t>
  </si>
  <si>
    <t>13.1-2-325</t>
  </si>
  <si>
    <t>Итого по разделу: Помещение пожарного поста</t>
  </si>
  <si>
    <t>Раздел: Помещение №004 "Венткамера"</t>
  </si>
  <si>
    <t>13.1-2-95</t>
  </si>
  <si>
    <t>13.1-1-661</t>
  </si>
  <si>
    <t>4.10-80-3</t>
  </si>
  <si>
    <t>4.8-224-4</t>
  </si>
  <si>
    <t>1 ПОСТ</t>
  </si>
  <si>
    <t>Кон. анализ АУПТ-1</t>
  </si>
  <si>
    <t>Кон. анализ АУПТ-2</t>
  </si>
  <si>
    <t>Кон.анализ АУПТ-3</t>
  </si>
  <si>
    <t>4.10-80-13</t>
  </si>
  <si>
    <t>Кон. анализ АУПТ-4</t>
  </si>
  <si>
    <t>Итого по разделу: Помещение №004 "Венткамера"</t>
  </si>
  <si>
    <t>Раздел: Помещение №005 "Серверная"</t>
  </si>
  <si>
    <t>Итого по разделу: Помещение №005 "Серверная"</t>
  </si>
  <si>
    <t>Раздел: Помещение №007 "Техническое помещения"</t>
  </si>
  <si>
    <t>Итого по разделу: Помещение №007 "Техническое помещения"</t>
  </si>
  <si>
    <t>Раздел: Помещение №008 "Техническое помещение"</t>
  </si>
  <si>
    <t>Итого по разделу: Помещение №008 "Техническое помещение"</t>
  </si>
  <si>
    <t>Раздел: Помещение №009, 010 "Коридор"</t>
  </si>
  <si>
    <t>Итого по разделу: Помещение №009, 010 "Коридор"</t>
  </si>
  <si>
    <t>Раздел: Кабель, вспомогательное оборудование</t>
  </si>
  <si>
    <t>1.23-13-101</t>
  </si>
  <si>
    <t>Объем: 3,5=350/100</t>
  </si>
  <si>
    <t>33,2</t>
  </si>
  <si>
    <t>33,3</t>
  </si>
  <si>
    <t>1.21-5-165</t>
  </si>
  <si>
    <t>Объем: 3,5=(50+300)/100</t>
  </si>
  <si>
    <t>1.23-9-121</t>
  </si>
  <si>
    <t>1.23-9-139</t>
  </si>
  <si>
    <t>13.1-2-261</t>
  </si>
  <si>
    <t>Итого по разделу: Кабель, вспомогательное оборудование</t>
  </si>
  <si>
    <t>Раздел: Технологическое оборудование</t>
  </si>
  <si>
    <t>Подраздел: Помещение №004 "Венткамера"</t>
  </si>
  <si>
    <t>4.37-18-1</t>
  </si>
  <si>
    <t>1.12-10-145</t>
  </si>
  <si>
    <t>Кон. анализ АУПТ-7</t>
  </si>
  <si>
    <t>36,3</t>
  </si>
  <si>
    <t>Итого по подразделу: Помещение №004 "Венткамера"</t>
  </si>
  <si>
    <t>Подраздел: Помещение №005 "Серверная"</t>
  </si>
  <si>
    <t>Итого по подразделу: Помещение №005 "Серверная"</t>
  </si>
  <si>
    <t>Подраздел: Помещение №007 "Техническое помещение"</t>
  </si>
  <si>
    <t>38,3</t>
  </si>
  <si>
    <t>Итого по подразделу: Помещение №007 "Техническое помещение"</t>
  </si>
  <si>
    <t>Подраздел: Помещение №008 "Техническое помещение"</t>
  </si>
  <si>
    <t>39,2</t>
  </si>
  <si>
    <t>39,3</t>
  </si>
  <si>
    <t>Итого по подразделу: Помещение №008 "Техническое помещение"</t>
  </si>
  <si>
    <t>Подраздел: Помещение №009 "Коридор"</t>
  </si>
  <si>
    <t>Итого по подразделу: Помещение №009 "Коридор"</t>
  </si>
  <si>
    <t>Подраздел: Помещение №010 "Коридор"</t>
  </si>
  <si>
    <t>41,3</t>
  </si>
  <si>
    <t>Итого по подразделу: Помещение №010 "Коридор"</t>
  </si>
  <si>
    <t>Подраздел: Резервное оборудование</t>
  </si>
  <si>
    <t>Итого по подразделу: Резервное оборудование</t>
  </si>
  <si>
    <t>Итого по разделу: Технологическое оборудование</t>
  </si>
  <si>
    <t>5.2-35-1</t>
  </si>
  <si>
    <t>5.2-35-2</t>
  </si>
  <si>
    <t>Объем: 61=2+1+1+1+3+1+1+1+3+1+1+1+1+3+1+1+1+1+3+1+1+2+1+6+2+5+1+2+2+4+6</t>
  </si>
  <si>
    <t>Итого по локальной смете: Автоматическая модульная установка токораспыленной водой.</t>
  </si>
  <si>
    <t>Основание: чертежи № 023/18КН-ИОС5.12</t>
  </si>
  <si>
    <t>Раздел: Монтажные работы</t>
  </si>
  <si>
    <t>Объем: 9=(400+500)/100</t>
  </si>
  <si>
    <t>1.23-9-108</t>
  </si>
  <si>
    <t>Объем: 10=(400+600)/100</t>
  </si>
  <si>
    <t>1.23-1-151</t>
  </si>
  <si>
    <t>Объем: 14=1400/100</t>
  </si>
  <si>
    <t>КП "NED"</t>
  </si>
  <si>
    <t>Итого по разделу: Монтажные работы</t>
  </si>
  <si>
    <t>Раздел: Автоматика системы П0 (L=580 м3/ч, Pc=250 Па)</t>
  </si>
  <si>
    <t>Итого по разделу: Автоматика системы П0 (L=580 м3/ч, Pc=250 Па)</t>
  </si>
  <si>
    <t>Раздел: Автоматика системы П1 (L=10345 м3/ч, Pc=550 Па)</t>
  </si>
  <si>
    <t>Итого по разделу: Автоматика системы П1 (L=10345 м3/ч, Pc=550 Па)</t>
  </si>
  <si>
    <t>Раздел: Автоматика системы П2 (L=4170 м3/ч, Pc=600 Па)</t>
  </si>
  <si>
    <t>Итого по разделу: Автоматика системы П2 (L=4170 м3/ч, Pc=600 Па)</t>
  </si>
  <si>
    <t>Раздел: Автоматика системы П2резерв (L=4170 м3/ч, Pc=600 Па)</t>
  </si>
  <si>
    <t>Итого по разделу: Автоматика системы П2резерв (L=4170 м3/ч, Pc=600 Па)</t>
  </si>
  <si>
    <t>Раздел: Автоматика системы П3 (L=1260 м3/ч, Pc=300 Па)</t>
  </si>
  <si>
    <t>Итого по разделу: Автоматика системы П3 (L=1260 м3/ч, Pc=300 Па)</t>
  </si>
  <si>
    <t>Раздел: Автоматика системы П4 (L=710 м3/ч, Pc=200 Па)</t>
  </si>
  <si>
    <t>Итого по разделу: Автоматика системы П4 (L=710 м3/ч, Pc=200 Па)</t>
  </si>
  <si>
    <t>Раздел: Автоматика системы П5 (L=1500 м3/ч, Pc=300 Па)</t>
  </si>
  <si>
    <t>Итого по разделу: Автоматика системы П5 (L=1500 м3/ч, Pc=300 Па)</t>
  </si>
  <si>
    <t>Раздел: Автоматика системы В0.1 (L=230 м3/ч, Pc=100 Па)</t>
  </si>
  <si>
    <t>Итого по разделу: Автоматика системы В0.1 (L=230 м3/ч, Pc=100 Па)</t>
  </si>
  <si>
    <t>Раздел: Автоматика системы В0.2 (L=80 м3/ч, Pc=100 Па)</t>
  </si>
  <si>
    <t>Итого по разделу: Автоматика системы В0.2 (L=80 м3/ч, Pc=100 Па)</t>
  </si>
  <si>
    <t>Раздел: Автоматика системы В0.3 (L=350 м3/ч, Pc=100 Па)</t>
  </si>
  <si>
    <t>Итого по разделу: Автоматика системы В0.3 (L=350 м3/ч, Pc=100 Па)</t>
  </si>
  <si>
    <t>Раздел: Автоматика системы В1 (L=7110 м3/ч, Pc=400 Па)</t>
  </si>
  <si>
    <t>Итого по разделу: Автоматика системы В1 (L=7110 м3/ч, Pc=400 Па)</t>
  </si>
  <si>
    <t>Раздел: Автоматика системы В1.1 (L=180 м3/ч, Pc=150 Па)</t>
  </si>
  <si>
    <t>Итого по разделу: Автоматика системы В1.1 (L=180 м3/ч, Pc=150 Па)</t>
  </si>
  <si>
    <t>Раздел: Автоматика системы В1.2 (L=440 м3/ч, Pc=150 Па)</t>
  </si>
  <si>
    <t>Итого по разделу: Автоматика системы В1.2 (L=440 м3/ч, Pc=150 Па)</t>
  </si>
  <si>
    <t>Раздел: Автоматика системы В1.3 (L=305 м3/ч, Pc=140 Па)</t>
  </si>
  <si>
    <t>Итого по разделу: Автоматика системы В1.3 (L=305 м3/ч, Pc=140 Па)</t>
  </si>
  <si>
    <t>Раздел: Автоматика системы В1.4 (L=275 м3/ч, Pc=100 Па)</t>
  </si>
  <si>
    <t>Итого по разделу: Автоматика системы В1.4 (L=275 м3/ч, Pc=100 Па)</t>
  </si>
  <si>
    <t>Раздел: Автоматика системы В1.5 (L=830 м3/ч, Pc=150 Па)</t>
  </si>
  <si>
    <t>Итого по разделу: Автоматика системы В1.5 (L=830 м3/ч, Pc=150 Па)</t>
  </si>
  <si>
    <t>Раздел: Автоматика системы В1.6 (L=205 м3/ч, Pc=150 Па)</t>
  </si>
  <si>
    <t>Итого по разделу: Автоматика системы В1.6 (L=205 м3/ч, Pc=150 Па)</t>
  </si>
  <si>
    <t>Раздел: Автоматика системы В2 (L=3130 м3/ч, Pc=300 Па)</t>
  </si>
  <si>
    <t>Итого по разделу: Автоматика системы В2 (L=3130 м3/ч, Pc=300 Па)</t>
  </si>
  <si>
    <t>Раздел: Автоматика системы В3 (L=1320 м3/ч, Pc=250 Па)</t>
  </si>
  <si>
    <t>Итого по разделу: Автоматика системы В3 (L=1320 м3/ч, Pc=250 Па)</t>
  </si>
  <si>
    <t>Раздел: Автоматика системы В3.1 (L=200 м3/ч, Pc=100 Па)</t>
  </si>
  <si>
    <t>Итого по разделу: Автоматика системы В3.1 (L=200 м3/ч, Pc=100 Па)</t>
  </si>
  <si>
    <t>Раздел: Автоматика системы В3.2 (L=125 м3/ч, Pc=100 Па)</t>
  </si>
  <si>
    <t>Итого по разделу: Автоматика системы В3.2 (L=125 м3/ч, Pc=100 Па)</t>
  </si>
  <si>
    <t>Раздел: Автоматика системы В3.3 (L=250 м3/ч, Pc=100 Па)</t>
  </si>
  <si>
    <t>Итого по разделу: Автоматика системы В3.3 (L=250 м3/ч, Pc=100 Па)</t>
  </si>
  <si>
    <t>Раздел: Автоматика системы В3.4 (L=225 м3/ч, Pc=100 Па)</t>
  </si>
  <si>
    <t>Итого по разделу: Автоматика системы В3.4 (L=225 м3/ч, Pc=100 Па)</t>
  </si>
  <si>
    <t>Раздел: Автоматика системы В3.5 (L=235 м3/ч, Pc=100 Па)</t>
  </si>
  <si>
    <t>Итого по разделу: Автоматика системы В3.5 (L=235 м3/ч, Pc=100 Па)</t>
  </si>
  <si>
    <t>Раздел: Автоматика системы В3.6 (L=75 м3/ч, Pc=100 Па)</t>
  </si>
  <si>
    <t>Итого по разделу: Автоматика системы В3.6 (L=75 м3/ч, Pc=100 Па)</t>
  </si>
  <si>
    <t>Раздел: Автоматика системы В4.1 (L=290 м3/ч, Pc=150 Па)</t>
  </si>
  <si>
    <t>Итого по разделу: Автоматика системы В4.1 (L=290 м3/ч, Pc=150 Па)</t>
  </si>
  <si>
    <t>Раздел: Автоматика системы В4.2 (L=390 м3/ч, Pc=100 Па)</t>
  </si>
  <si>
    <t>Итого по разделу: Автоматика системы В4.2 (L=390 м3/ч, Pc=100 Па)</t>
  </si>
  <si>
    <t>Раздел: Автоматика системы В4.3 (L=140 м3/ч, Pc=100 Па)</t>
  </si>
  <si>
    <t>Итого по разделу: Автоматика системы В4.3 (L=140 м3/ч, Pc=100 Па)</t>
  </si>
  <si>
    <t>Раздел: Автоматика системы В4.4 (L=100 м3/ч, Pc=100 Па)</t>
  </si>
  <si>
    <t>Итого по разделу: Автоматика системы В4.4 (L=100 м3/ч, Pc=100 Па)</t>
  </si>
  <si>
    <t>Раздел: Автоматика системы В5 (L=160 м3/ч, Pc=100 Па)</t>
  </si>
  <si>
    <t>Итого по разделу: Автоматика системы В5 (L=160 м3/ч, Pc=100 Па)</t>
  </si>
  <si>
    <t>Раздел: Автоматика системы МО1 (L=350 м3/ч, Pc=170 Па)</t>
  </si>
  <si>
    <t>Итого по разделу: Автоматика системы МО1 (L=350 м3/ч, Pc=170 Па)</t>
  </si>
  <si>
    <t>Раздел: Автоматика системы МО2 (L=350 м3/ч, Pc=150 Па)</t>
  </si>
  <si>
    <t>Итого по разделу: Автоматика системы МО2 (L=350 м3/ч, Pc=150 Па)</t>
  </si>
  <si>
    <t>Раздел: Автоматика системы МО3 (L=350 м3/ч, Pc=150 Па)</t>
  </si>
  <si>
    <t>Итого по разделу: Автоматика системы МО3 (L=350 м3/ч, Pc=150 Па)</t>
  </si>
  <si>
    <t>Раздел: Автоматика системы МО4 (L=350 м3/ч, Pc=170 Па)</t>
  </si>
  <si>
    <t>Итого по разделу: Автоматика системы МО4 (L=350 м3/ч, Pc=170 Па)</t>
  </si>
  <si>
    <t>Раздел: Автоматика системы МО5 (L=700 м3/ч, Pc=170 Па)</t>
  </si>
  <si>
    <t>Итого по разделу: Автоматика системы МО5 (L=700 м3/ч, Pc=170 Па)</t>
  </si>
  <si>
    <t>1 комплекс систем</t>
  </si>
  <si>
    <t>1 параметр</t>
  </si>
  <si>
    <t>Итого по локальной смете: Система автоматизации и диспетчеризации инженерных систем</t>
  </si>
  <si>
    <t>Основание: чертежи № 023/18КН-ОДИ</t>
  </si>
  <si>
    <t>Раздел: Монтажные работы и оборудование, облагаемые НДС</t>
  </si>
  <si>
    <t>1.17-1-79</t>
  </si>
  <si>
    <t>1.12-5-1</t>
  </si>
  <si>
    <t>1.17-1-43</t>
  </si>
  <si>
    <t>1.1-1-2638</t>
  </si>
  <si>
    <t>Объем: 8=(5*8*2)/10</t>
  </si>
  <si>
    <t>1.1-1-3574</t>
  </si>
  <si>
    <t>13.3-11-7</t>
  </si>
  <si>
    <t>13.3-11-66</t>
  </si>
  <si>
    <t>Итого по разделу: Монтажные работы и оборудование, облагаемые НДС</t>
  </si>
  <si>
    <t>Раздел: Оборудование, не облагаемое НДС</t>
  </si>
  <si>
    <t>13.3-11-72</t>
  </si>
  <si>
    <t>13.3-11-76</t>
  </si>
  <si>
    <t>13.3-11-78</t>
  </si>
  <si>
    <t>Итого по разделу: Оборудование, не облагаемое НДС</t>
  </si>
  <si>
    <t>Итого по локальной смете: Мероприятия по доступу МГН</t>
  </si>
  <si>
    <t>Оборудование не облагаемое НДС</t>
  </si>
  <si>
    <t>Объем: 3,2515=1,59636+0,5308+0,62034+0,17+0,334</t>
  </si>
  <si>
    <t>1.7-11-62</t>
  </si>
  <si>
    <t>Объем: 5,783=2,5134+3,2696</t>
  </si>
  <si>
    <t>Итого по локальной смете: Возвратные суммы</t>
  </si>
  <si>
    <t>Итого по сводному сметному расчету (в ценах 2019 г.) без НДС</t>
  </si>
  <si>
    <t>Выполнение работ по капитальному ремонту, реставрации и приспособлению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117152, г. Москва, Загородное ш., д.2, стр. 20.</t>
  </si>
  <si>
    <t>Основание: чертежи № 023/18КН-ИОС1</t>
  </si>
  <si>
    <t>Основание: чертежи № 023/18КН-ИОС5.1,2,3</t>
  </si>
  <si>
    <t>Основание: чертежи № 023/18КН-ИОС5.4</t>
  </si>
  <si>
    <t>Основание: чертежи № 023/18КН-ИОС5.5</t>
  </si>
  <si>
    <t>Основание: чертежи № 023/18КН-ИОС5.6</t>
  </si>
  <si>
    <t>Основание: чертежи № 023/18КН-ИОС5.8</t>
  </si>
  <si>
    <t>Основание: чертежи № 023/18КН-ИОС5.9</t>
  </si>
  <si>
    <t>Основание: чертежи № 023/18КН-КНИ3.1 Том 12.3.1</t>
  </si>
  <si>
    <t>Позиции , которые нужно не включать в исключ.смету</t>
  </si>
  <si>
    <t>Наименование предприятия, здания, сооружения</t>
  </si>
  <si>
    <t xml:space="preserve">Выполнение работ по капитальному ремонту, реставрации и приспособлению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117152, г. Москва, Загородное ш., д.2, стр. 20.
</t>
  </si>
  <si>
    <t>Стадия проектирования</t>
  </si>
  <si>
    <t>Проектная и рабочая документация</t>
  </si>
  <si>
    <t>Вид проектных или изыскательских работ</t>
  </si>
  <si>
    <t>Предварительные исследования. Историко-культурные исследования</t>
  </si>
  <si>
    <t>Сметный расчет составлен по
следующим документам</t>
  </si>
  <si>
    <t xml:space="preserve">1) Сборник МРР-9.6-17
Разработка специальных технических условий для проектирования
</t>
  </si>
  <si>
    <t>Характеристика предприятия, здания, сооружения или виды работ</t>
  </si>
  <si>
    <t>Номер частей, глав, таблиц, процентов, параграфов и пунктов указаний к разделу Справочника базовых цен на проектные и изыскательские работы для строительства</t>
  </si>
  <si>
    <t>Единица измерения</t>
  </si>
  <si>
    <t>Расчет стоимости: (a+bx)*Kj или (объём строительно-монтажных работ)*проц./ 100 или количество * цена</t>
  </si>
  <si>
    <t>Стоимость работ, Руб.</t>
  </si>
  <si>
    <t>Жилые, общественные и административные здания</t>
  </si>
  <si>
    <t xml:space="preserve">МРР-9.6-17  табл.5.1, п.1
К1 = 1,45 (табл.5.2 п.4);
К2 =1,3 (табл.5.3 п.2)
К3 =0,95 (табл.5.4 п.5.1)
К4-общий: 1,45*1,3*0,95=1,79
К5=0,6 </t>
  </si>
  <si>
    <t>объект</t>
  </si>
  <si>
    <t>394 * 1,79 * 0,6 * 1000</t>
  </si>
  <si>
    <t>Итого в базовом уровне цен 01.01.2000</t>
  </si>
  <si>
    <t>Итого на 4 кв.2019 (Приказ №МКЭ-ОД/19-52 от 30 августа 2019 г.)</t>
  </si>
  <si>
    <t>Составитель сметы________________________
                                  (подпись, инициалы, фамилия)</t>
  </si>
  <si>
    <t>Смета № ЛС 01/СТУ (утвержд)</t>
  </si>
  <si>
    <t>ЛОКАЛЬНАЯ СМЕТА № 02-01-01 (утвержд)</t>
  </si>
  <si>
    <t>ЛОКАЛЬНАЯ СМЕТА № 02-01-02 (утвержд)</t>
  </si>
  <si>
    <t>ЛОКАЛЬНАЯ СМЕТА № 02-01-03 (утвержд)</t>
  </si>
  <si>
    <t>ЛОКАЛЬНАЯ СМЕТА № 02-01-04 (утвержд)</t>
  </si>
  <si>
    <t>ЛОКАЛЬНАЯ СМЕТА № 02-01-05 (утвержд)</t>
  </si>
  <si>
    <t>ЛОКАЛЬНАЯ СМЕТА № 02-01-06 (утвержд)</t>
  </si>
  <si>
    <t>ЛОКАЛЬНАЯ СМЕТА № 02-01-08 (утвержд)</t>
  </si>
  <si>
    <t>ЛОКАЛЬНАЯ СМЕТА № 02-01-09 (утвержд)</t>
  </si>
  <si>
    <t>ЛОКАЛЬНАЯ СМЕТА № 02-01-10 (утвержд)</t>
  </si>
  <si>
    <t>ЛОКАЛЬНАЯ СМЕТА № 02-01-11 (утвержд)</t>
  </si>
  <si>
    <t>ЛОКАЛЬНАЯ СМЕТА № 02-01-12 (утвержд)</t>
  </si>
  <si>
    <t>ЛОКАЛЬНАЯ СМЕТА № 02-01-13 (утвержд)</t>
  </si>
  <si>
    <t>ЛОКАЛЬНАЯ СМЕТА № 02-01-14 (утвержд)</t>
  </si>
  <si>
    <t>ЛОКАЛЬНАЯ СМЕТА № 02-01-15 (утвержд)</t>
  </si>
  <si>
    <t>ЛОКАЛЬНАЯ СМЕТА № 02-01-16 (утвержд)</t>
  </si>
  <si>
    <t>ЛОКАЛЬНАЯ СМЕТА № 02-01-17 (утвержд)</t>
  </si>
  <si>
    <t>ЛОКАЛЬНАЯ СМЕТА № 02-01-18 (утвержд)</t>
  </si>
  <si>
    <t>ЛОКАЛЬНАЯ СМЕТА № 02-01-19 (утвержд)</t>
  </si>
  <si>
    <t>ЛОКАЛЬНАЯ СМЕТА № 02-01-20 (утвержд)</t>
  </si>
  <si>
    <t>ЛОКАЛЬНАЯ СМЕТА № 02-01-21 (утвержд)</t>
  </si>
  <si>
    <t>ЛОКАЛЬНАЯ СМЕТА № 02-01-22 (утвержд)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</si>
</sst>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[Red]\-\ #,##0.00"/>
    <numFmt numFmtId="165" formatCode="#,##0.00####;[Red]\-\ #,##0.00####"/>
    <numFmt numFmtId="166" formatCode="_-* #,##0.00_р_._-;\-* #,##0.00_р_._-;_-* &quot;-&quot;??_р_._-;_-@_-"/>
    <numFmt numFmtId="167" formatCode="#,##0.00############;[Red]\-\ #,##0.00############"/>
  </numFmts>
  <fonts count="52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8"/>
      <name val="Times New Roman"/>
      <family val="1"/>
      <charset val="204"/>
    </font>
    <font>
      <sz val="8"/>
      <name val="Arial"/>
      <family val="2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b/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color rgb="FFFF0000"/>
      <name val="Arial"/>
      <family val="2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Arial Cyr"/>
      <charset val="204"/>
    </font>
    <font>
      <sz val="14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14"/>
      <name val="Times New Roman"/>
      <family val="1"/>
      <charset val="204"/>
    </font>
    <font>
      <sz val="10"/>
      <name val="Arial"/>
      <charset val="204"/>
    </font>
    <font>
      <sz val="11"/>
      <name val="Arial"/>
      <family val="2"/>
      <charset val="204"/>
    </font>
    <font>
      <sz val="9"/>
      <name val="Arial"/>
      <family val="2"/>
      <charset val="204"/>
    </font>
    <font>
      <b/>
      <sz val="11"/>
      <name val="Arial"/>
      <family val="2"/>
      <charset val="204"/>
    </font>
    <font>
      <i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0"/>
      <name val="Arial"/>
      <family val="2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rgb="FF821E82"/>
      <name val="Arial"/>
      <family val="2"/>
      <charset val="204"/>
    </font>
    <font>
      <sz val="10"/>
      <color rgb="FF821E82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sz val="11"/>
      <color theme="1"/>
      <name val="Calibri"/>
      <family val="2"/>
      <scheme val="minor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i/>
      <sz val="10"/>
      <color rgb="FF821E82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2">
    <xf numFmtId="0" fontId="0" fillId="0" borderId="0"/>
    <xf numFmtId="0" fontId="22" fillId="0" borderId="0"/>
    <xf numFmtId="166" fontId="22" fillId="0" borderId="0" applyFont="0" applyFill="0" applyBorder="0" applyAlignment="0" applyProtection="0"/>
    <xf numFmtId="0" fontId="30" fillId="0" borderId="0"/>
    <xf numFmtId="0" fontId="2" fillId="0" borderId="0"/>
    <xf numFmtId="0" fontId="44" fillId="0" borderId="0"/>
    <xf numFmtId="0" fontId="45" fillId="0" borderId="4">
      <alignment horizontal="right" vertical="center"/>
    </xf>
    <xf numFmtId="0" fontId="45" fillId="0" borderId="4">
      <alignment horizontal="left" vertical="center"/>
    </xf>
    <xf numFmtId="0" fontId="45" fillId="0" borderId="3">
      <alignment horizontal="left" vertical="top"/>
    </xf>
    <xf numFmtId="0" fontId="45" fillId="0" borderId="4">
      <alignment horizontal="center" vertical="center"/>
    </xf>
    <xf numFmtId="0" fontId="45" fillId="0" borderId="0">
      <alignment horizontal="left" vertical="top"/>
    </xf>
    <xf numFmtId="0" fontId="46" fillId="0" borderId="0">
      <alignment horizontal="left" vertical="top"/>
    </xf>
    <xf numFmtId="0" fontId="45" fillId="0" borderId="0">
      <alignment horizontal="center" vertical="top"/>
    </xf>
    <xf numFmtId="0" fontId="47" fillId="0" borderId="0">
      <alignment horizontal="center" vertical="center"/>
    </xf>
    <xf numFmtId="0" fontId="46" fillId="0" borderId="0">
      <alignment horizontal="right" vertical="center"/>
    </xf>
    <xf numFmtId="0" fontId="48" fillId="0" borderId="0">
      <alignment horizontal="left" vertical="center"/>
    </xf>
    <xf numFmtId="0" fontId="46" fillId="0" borderId="0">
      <alignment horizontal="center" vertical="top"/>
    </xf>
    <xf numFmtId="0" fontId="45" fillId="0" borderId="4">
      <alignment horizontal="center" vertical="top"/>
    </xf>
    <xf numFmtId="0" fontId="45" fillId="0" borderId="4">
      <alignment horizontal="left" vertical="top"/>
    </xf>
    <xf numFmtId="0" fontId="51" fillId="0" borderId="0">
      <alignment horizontal="center" vertical="center"/>
    </xf>
    <xf numFmtId="0" fontId="45" fillId="0" borderId="0">
      <alignment horizontal="left" vertical="center"/>
    </xf>
    <xf numFmtId="0" fontId="50" fillId="0" borderId="0"/>
  </cellStyleXfs>
  <cellXfs count="493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3" fillId="0" borderId="0" xfId="0" applyFont="1" applyBorder="1"/>
    <xf numFmtId="4" fontId="3" fillId="0" borderId="0" xfId="0" applyNumberFormat="1" applyFont="1" applyBorder="1"/>
    <xf numFmtId="4" fontId="3" fillId="0" borderId="0" xfId="0" applyNumberFormat="1" applyFont="1"/>
    <xf numFmtId="0" fontId="1" fillId="0" borderId="0" xfId="0" applyFont="1" applyBorder="1"/>
    <xf numFmtId="4" fontId="1" fillId="0" borderId="0" xfId="0" applyNumberFormat="1" applyFont="1" applyBorder="1"/>
    <xf numFmtId="4" fontId="5" fillId="0" borderId="0" xfId="0" applyNumberFormat="1" applyFont="1" applyAlignment="1">
      <alignment horizontal="left"/>
    </xf>
    <xf numFmtId="0" fontId="5" fillId="0" borderId="0" xfId="0" applyFont="1" applyBorder="1" applyAlignment="1">
      <alignment horizontal="left"/>
    </xf>
    <xf numFmtId="4" fontId="5" fillId="0" borderId="0" xfId="0" applyNumberFormat="1" applyFont="1" applyBorder="1" applyAlignment="1">
      <alignment horizontal="left"/>
    </xf>
    <xf numFmtId="4" fontId="6" fillId="0" borderId="0" xfId="0" applyNumberFormat="1" applyFont="1" applyBorder="1" applyAlignment="1">
      <alignment horizontal="left"/>
    </xf>
    <xf numFmtId="4" fontId="5" fillId="0" borderId="0" xfId="0" applyNumberFormat="1" applyFont="1" applyAlignment="1"/>
    <xf numFmtId="4" fontId="7" fillId="0" borderId="0" xfId="0" applyNumberFormat="1" applyFont="1"/>
    <xf numFmtId="0" fontId="2" fillId="0" borderId="0" xfId="0" applyFont="1" applyBorder="1"/>
    <xf numFmtId="0" fontId="8" fillId="0" borderId="0" xfId="0" applyFont="1" applyAlignment="1">
      <alignment horizontal="center" vertical="top"/>
    </xf>
    <xf numFmtId="49" fontId="8" fillId="0" borderId="0" xfId="0" applyNumberFormat="1" applyFont="1" applyAlignment="1">
      <alignment vertical="top"/>
    </xf>
    <xf numFmtId="4" fontId="9" fillId="0" borderId="1" xfId="0" applyNumberFormat="1" applyFont="1" applyFill="1" applyBorder="1" applyAlignment="1"/>
    <xf numFmtId="4" fontId="8" fillId="0" borderId="1" xfId="0" applyNumberFormat="1" applyFont="1" applyFill="1" applyBorder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0" fontId="8" fillId="0" borderId="0" xfId="0" applyFont="1" applyFill="1"/>
    <xf numFmtId="4" fontId="9" fillId="0" borderId="2" xfId="0" applyNumberFormat="1" applyFont="1" applyFill="1" applyBorder="1" applyAlignment="1"/>
    <xf numFmtId="4" fontId="8" fillId="0" borderId="0" xfId="0" applyNumberFormat="1" applyFont="1" applyFill="1" applyAlignment="1"/>
    <xf numFmtId="0" fontId="2" fillId="0" borderId="0" xfId="0" applyFont="1" applyFill="1"/>
    <xf numFmtId="49" fontId="8" fillId="0" borderId="0" xfId="0" applyNumberFormat="1" applyFont="1" applyAlignment="1">
      <alignment horizontal="left" vertical="top"/>
    </xf>
    <xf numFmtId="0" fontId="8" fillId="0" borderId="0" xfId="0" applyFont="1" applyAlignment="1">
      <alignment horizontal="left" vertical="top"/>
    </xf>
    <xf numFmtId="4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49" fontId="11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4" fontId="11" fillId="0" borderId="0" xfId="0" applyNumberFormat="1" applyFont="1" applyAlignment="1">
      <alignment horizontal="right" vertical="center"/>
    </xf>
    <xf numFmtId="4" fontId="11" fillId="0" borderId="0" xfId="0" applyNumberFormat="1" applyFont="1" applyAlignment="1">
      <alignment horizontal="right" vertical="top"/>
    </xf>
    <xf numFmtId="4" fontId="11" fillId="0" borderId="0" xfId="0" applyNumberFormat="1" applyFont="1" applyAlignment="1">
      <alignment horizontal="center" vertical="center"/>
    </xf>
    <xf numFmtId="0" fontId="12" fillId="0" borderId="0" xfId="0" applyFont="1"/>
    <xf numFmtId="0" fontId="8" fillId="0" borderId="0" xfId="0" applyFont="1" applyAlignment="1"/>
    <xf numFmtId="4" fontId="8" fillId="0" borderId="0" xfId="0" applyNumberFormat="1" applyFont="1" applyAlignment="1">
      <alignment horizontal="right" vertical="center"/>
    </xf>
    <xf numFmtId="0" fontId="14" fillId="0" borderId="0" xfId="0" applyFont="1"/>
    <xf numFmtId="0" fontId="8" fillId="0" borderId="5" xfId="0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49" fontId="16" fillId="0" borderId="5" xfId="0" applyNumberFormat="1" applyFont="1" applyBorder="1" applyAlignment="1">
      <alignment horizontal="center" vertical="center"/>
    </xf>
    <xf numFmtId="0" fontId="16" fillId="0" borderId="4" xfId="0" applyFont="1" applyBorder="1" applyAlignment="1" applyProtection="1">
      <alignment vertical="top" wrapText="1"/>
      <protection locked="0"/>
    </xf>
    <xf numFmtId="4" fontId="16" fillId="0" borderId="5" xfId="0" applyNumberFormat="1" applyFont="1" applyBorder="1" applyAlignment="1">
      <alignment horizontal="right" vertical="center"/>
    </xf>
    <xf numFmtId="0" fontId="16" fillId="0" borderId="4" xfId="0" applyFont="1" applyBorder="1" applyAlignment="1">
      <alignment horizontal="center" vertical="top"/>
    </xf>
    <xf numFmtId="49" fontId="16" fillId="0" borderId="4" xfId="0" applyNumberFormat="1" applyFont="1" applyBorder="1" applyAlignment="1">
      <alignment horizontal="left" vertical="top"/>
    </xf>
    <xf numFmtId="0" fontId="13" fillId="0" borderId="4" xfId="0" applyFont="1" applyBorder="1" applyAlignment="1">
      <alignment horizontal="left" vertical="top" wrapText="1"/>
    </xf>
    <xf numFmtId="4" fontId="13" fillId="0" borderId="4" xfId="0" applyNumberFormat="1" applyFont="1" applyBorder="1" applyAlignment="1">
      <alignment horizontal="right" vertical="top" wrapText="1"/>
    </xf>
    <xf numFmtId="0" fontId="16" fillId="0" borderId="4" xfId="0" applyFont="1" applyBorder="1" applyAlignment="1">
      <alignment horizontal="center" vertical="top" wrapText="1"/>
    </xf>
    <xf numFmtId="49" fontId="16" fillId="0" borderId="4" xfId="0" applyNumberFormat="1" applyFont="1" applyBorder="1" applyAlignment="1" applyProtection="1">
      <alignment horizontal="center" vertical="center" wrapText="1"/>
      <protection locked="0"/>
    </xf>
    <xf numFmtId="4" fontId="16" fillId="0" borderId="4" xfId="0" applyNumberFormat="1" applyFont="1" applyBorder="1" applyAlignment="1" applyProtection="1">
      <alignment vertical="top" wrapText="1"/>
      <protection locked="0"/>
    </xf>
    <xf numFmtId="4" fontId="16" fillId="0" borderId="4" xfId="0" applyNumberFormat="1" applyFont="1" applyBorder="1" applyAlignment="1">
      <alignment horizontal="right" vertical="top" wrapText="1"/>
    </xf>
    <xf numFmtId="0" fontId="16" fillId="0" borderId="4" xfId="0" applyFont="1" applyFill="1" applyBorder="1" applyAlignment="1">
      <alignment horizontal="center" vertical="top" wrapText="1"/>
    </xf>
    <xf numFmtId="49" fontId="16" fillId="0" borderId="4" xfId="0" applyNumberFormat="1" applyFont="1" applyFill="1" applyBorder="1" applyAlignment="1">
      <alignment horizontal="left" vertical="top" wrapText="1"/>
    </xf>
    <xf numFmtId="0" fontId="13" fillId="0" borderId="5" xfId="0" applyFont="1" applyBorder="1" applyAlignment="1">
      <alignment horizontal="left" vertical="center"/>
    </xf>
    <xf numFmtId="4" fontId="16" fillId="0" borderId="4" xfId="0" applyNumberFormat="1" applyFont="1" applyFill="1" applyBorder="1" applyAlignment="1">
      <alignment horizontal="right" vertical="top" wrapText="1"/>
    </xf>
    <xf numFmtId="4" fontId="16" fillId="0" borderId="4" xfId="0" applyNumberFormat="1" applyFont="1" applyFill="1" applyBorder="1" applyAlignment="1">
      <alignment horizontal="right" vertical="top"/>
    </xf>
    <xf numFmtId="4" fontId="13" fillId="0" borderId="4" xfId="0" applyNumberFormat="1" applyFont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49" fontId="6" fillId="0" borderId="4" xfId="0" applyNumberFormat="1" applyFont="1" applyFill="1" applyBorder="1" applyAlignment="1">
      <alignment horizontal="left" vertical="top" wrapText="1"/>
    </xf>
    <xf numFmtId="0" fontId="6" fillId="0" borderId="4" xfId="0" applyFont="1" applyFill="1" applyBorder="1" applyAlignment="1" applyProtection="1">
      <alignment vertical="top" wrapText="1"/>
      <protection locked="0"/>
    </xf>
    <xf numFmtId="4" fontId="6" fillId="0" borderId="4" xfId="0" applyNumberFormat="1" applyFont="1" applyFill="1" applyBorder="1" applyAlignment="1">
      <alignment horizontal="right" vertical="top" wrapText="1"/>
    </xf>
    <xf numFmtId="4" fontId="17" fillId="0" borderId="0" xfId="0" applyNumberFormat="1" applyFont="1"/>
    <xf numFmtId="0" fontId="17" fillId="0" borderId="0" xfId="0" applyFont="1"/>
    <xf numFmtId="0" fontId="16" fillId="0" borderId="4" xfId="0" applyFont="1" applyBorder="1" applyAlignment="1">
      <alignment horizontal="left" vertical="top" wrapText="1"/>
    </xf>
    <xf numFmtId="49" fontId="16" fillId="0" borderId="4" xfId="0" applyNumberFormat="1" applyFont="1" applyBorder="1" applyAlignment="1">
      <alignment horizontal="left" vertical="top" wrapText="1"/>
    </xf>
    <xf numFmtId="0" fontId="16" fillId="0" borderId="5" xfId="0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top"/>
    </xf>
    <xf numFmtId="49" fontId="13" fillId="0" borderId="4" xfId="0" applyNumberFormat="1" applyFont="1" applyBorder="1" applyAlignment="1">
      <alignment horizontal="left" vertical="top"/>
    </xf>
    <xf numFmtId="0" fontId="16" fillId="0" borderId="5" xfId="0" applyFont="1" applyBorder="1" applyAlignment="1">
      <alignment horizontal="left" vertical="top" wrapText="1"/>
    </xf>
    <xf numFmtId="4" fontId="16" fillId="0" borderId="4" xfId="0" applyNumberFormat="1" applyFont="1" applyBorder="1" applyAlignment="1">
      <alignment horizontal="right" vertical="top"/>
    </xf>
    <xf numFmtId="0" fontId="16" fillId="0" borderId="4" xfId="0" applyFont="1" applyFill="1" applyBorder="1" applyAlignment="1">
      <alignment horizontal="center" vertical="top"/>
    </xf>
    <xf numFmtId="49" fontId="16" fillId="0" borderId="4" xfId="0" applyNumberFormat="1" applyFont="1" applyFill="1" applyBorder="1" applyAlignment="1">
      <alignment horizontal="left" vertical="top"/>
    </xf>
    <xf numFmtId="0" fontId="13" fillId="0" borderId="4" xfId="0" applyFont="1" applyFill="1" applyBorder="1" applyAlignment="1">
      <alignment horizontal="left" vertical="top" wrapText="1"/>
    </xf>
    <xf numFmtId="4" fontId="13" fillId="0" borderId="4" xfId="0" applyNumberFormat="1" applyFont="1" applyFill="1" applyBorder="1" applyAlignment="1">
      <alignment horizontal="right" vertical="top" wrapText="1"/>
    </xf>
    <xf numFmtId="4" fontId="13" fillId="0" borderId="4" xfId="0" applyNumberFormat="1" applyFont="1" applyFill="1" applyBorder="1" applyAlignment="1">
      <alignment horizontal="right" vertical="top"/>
    </xf>
    <xf numFmtId="4" fontId="13" fillId="0" borderId="4" xfId="0" applyNumberFormat="1" applyFont="1" applyFill="1" applyBorder="1" applyAlignment="1">
      <alignment horizontal="center" vertical="top"/>
    </xf>
    <xf numFmtId="0" fontId="16" fillId="0" borderId="4" xfId="0" applyFont="1" applyFill="1" applyBorder="1" applyAlignment="1">
      <alignment horizontal="left" vertical="top" wrapText="1"/>
    </xf>
    <xf numFmtId="4" fontId="16" fillId="3" borderId="4" xfId="0" applyNumberFormat="1" applyFont="1" applyFill="1" applyBorder="1" applyAlignment="1">
      <alignment horizontal="right" vertical="top" wrapText="1"/>
    </xf>
    <xf numFmtId="4" fontId="13" fillId="0" borderId="4" xfId="0" applyNumberFormat="1" applyFont="1" applyBorder="1" applyAlignment="1">
      <alignment horizontal="right" vertical="top"/>
    </xf>
    <xf numFmtId="0" fontId="13" fillId="2" borderId="4" xfId="0" applyFont="1" applyFill="1" applyBorder="1" applyAlignment="1">
      <alignment horizontal="center" vertical="top"/>
    </xf>
    <xf numFmtId="49" fontId="13" fillId="2" borderId="4" xfId="0" applyNumberFormat="1" applyFont="1" applyFill="1" applyBorder="1" applyAlignment="1">
      <alignment horizontal="left" vertical="top"/>
    </xf>
    <xf numFmtId="0" fontId="13" fillId="2" borderId="4" xfId="0" applyFont="1" applyFill="1" applyBorder="1" applyAlignment="1">
      <alignment horizontal="left" vertical="top" wrapText="1"/>
    </xf>
    <xf numFmtId="4" fontId="13" fillId="2" borderId="4" xfId="0" applyNumberFormat="1" applyFont="1" applyFill="1" applyBorder="1" applyAlignment="1">
      <alignment horizontal="right" vertical="top" wrapText="1"/>
    </xf>
    <xf numFmtId="0" fontId="13" fillId="2" borderId="4" xfId="0" applyFont="1" applyFill="1" applyBorder="1" applyAlignment="1">
      <alignment horizontal="center" vertical="top" wrapText="1"/>
    </xf>
    <xf numFmtId="49" fontId="13" fillId="2" borderId="4" xfId="0" applyNumberFormat="1" applyFont="1" applyFill="1" applyBorder="1" applyAlignment="1">
      <alignment horizontal="left" vertical="top" wrapText="1"/>
    </xf>
    <xf numFmtId="0" fontId="16" fillId="0" borderId="0" xfId="0" applyFont="1" applyAlignment="1">
      <alignment horizontal="center" vertical="top"/>
    </xf>
    <xf numFmtId="49" fontId="16" fillId="0" borderId="0" xfId="0" applyNumberFormat="1" applyFont="1" applyAlignment="1">
      <alignment horizontal="left" vertical="top"/>
    </xf>
    <xf numFmtId="0" fontId="16" fillId="0" borderId="0" xfId="0" applyFont="1" applyAlignment="1">
      <alignment horizontal="left" vertical="top"/>
    </xf>
    <xf numFmtId="4" fontId="16" fillId="0" borderId="0" xfId="0" applyNumberFormat="1" applyFont="1" applyAlignment="1">
      <alignment horizontal="right" vertical="top"/>
    </xf>
    <xf numFmtId="0" fontId="18" fillId="0" borderId="1" xfId="0" applyFont="1" applyBorder="1"/>
    <xf numFmtId="0" fontId="18" fillId="0" borderId="1" xfId="0" applyFont="1" applyBorder="1" applyAlignment="1"/>
    <xf numFmtId="0" fontId="19" fillId="0" borderId="1" xfId="0" applyFont="1" applyBorder="1" applyAlignment="1"/>
    <xf numFmtId="0" fontId="18" fillId="0" borderId="0" xfId="0" applyFont="1" applyBorder="1"/>
    <xf numFmtId="0" fontId="20" fillId="0" borderId="0" xfId="0" applyFont="1" applyBorder="1" applyAlignment="1"/>
    <xf numFmtId="0" fontId="20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9" fillId="0" borderId="1" xfId="0" applyFont="1" applyBorder="1"/>
    <xf numFmtId="4" fontId="8" fillId="0" borderId="0" xfId="0" applyNumberFormat="1" applyFont="1" applyAlignment="1">
      <alignment horizontal="right" vertical="top"/>
    </xf>
    <xf numFmtId="0" fontId="20" fillId="0" borderId="0" xfId="0" applyFont="1" applyBorder="1" applyAlignment="1">
      <alignment horizontal="center"/>
    </xf>
    <xf numFmtId="0" fontId="24" fillId="0" borderId="0" xfId="0" applyFont="1"/>
    <xf numFmtId="0" fontId="19" fillId="0" borderId="0" xfId="0" applyFont="1" applyAlignment="1"/>
    <xf numFmtId="0" fontId="18" fillId="0" borderId="0" xfId="0" applyFont="1"/>
    <xf numFmtId="0" fontId="18" fillId="0" borderId="0" xfId="0" applyFont="1" applyAlignment="1">
      <alignment horizontal="right"/>
    </xf>
    <xf numFmtId="1" fontId="18" fillId="0" borderId="0" xfId="0" applyNumberFormat="1" applyFont="1"/>
    <xf numFmtId="1" fontId="19" fillId="0" borderId="0" xfId="0" applyNumberFormat="1" applyFont="1" applyBorder="1" applyAlignment="1">
      <alignment horizontal="center" vertical="center" wrapText="1"/>
    </xf>
    <xf numFmtId="1" fontId="20" fillId="0" borderId="0" xfId="0" applyNumberFormat="1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right" vertical="center"/>
    </xf>
    <xf numFmtId="0" fontId="18" fillId="0" borderId="0" xfId="0" applyFont="1" applyAlignment="1">
      <alignment horizontal="left" vertical="center"/>
    </xf>
    <xf numFmtId="164" fontId="18" fillId="0" borderId="0" xfId="0" applyNumberFormat="1" applyFont="1" applyBorder="1" applyAlignment="1"/>
    <xf numFmtId="1" fontId="18" fillId="0" borderId="0" xfId="0" applyNumberFormat="1" applyFont="1" applyAlignment="1">
      <alignment horizontal="left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 vertical="center"/>
    </xf>
    <xf numFmtId="165" fontId="18" fillId="0" borderId="1" xfId="0" applyNumberFormat="1" applyFont="1" applyBorder="1" applyAlignment="1">
      <alignment horizontal="right" vertical="center"/>
    </xf>
    <xf numFmtId="0" fontId="18" fillId="0" borderId="0" xfId="0" applyFont="1" applyBorder="1" applyAlignment="1">
      <alignment horizontal="left" vertical="center"/>
    </xf>
    <xf numFmtId="0" fontId="18" fillId="0" borderId="0" xfId="0" applyFont="1" applyBorder="1" applyAlignment="1">
      <alignment horizontal="right" vertical="center"/>
    </xf>
    <xf numFmtId="0" fontId="19" fillId="0" borderId="4" xfId="0" applyFont="1" applyBorder="1" applyAlignment="1">
      <alignment horizontal="center" wrapText="1"/>
    </xf>
    <xf numFmtId="0" fontId="21" fillId="0" borderId="4" xfId="0" applyFont="1" applyBorder="1" applyAlignment="1">
      <alignment horizontal="left" wrapText="1"/>
    </xf>
    <xf numFmtId="164" fontId="21" fillId="0" borderId="4" xfId="0" applyNumberFormat="1" applyFont="1" applyBorder="1" applyAlignment="1">
      <alignment horizontal="right" wrapText="1"/>
    </xf>
    <xf numFmtId="4" fontId="2" fillId="0" borderId="0" xfId="0" applyNumberFormat="1" applyFont="1"/>
    <xf numFmtId="1" fontId="18" fillId="0" borderId="8" xfId="0" applyNumberFormat="1" applyFont="1" applyBorder="1" applyAlignment="1">
      <alignment horizontal="center"/>
    </xf>
    <xf numFmtId="0" fontId="25" fillId="0" borderId="0" xfId="0" applyFont="1"/>
    <xf numFmtId="0" fontId="19" fillId="0" borderId="14" xfId="0" applyFont="1" applyBorder="1" applyAlignment="1">
      <alignment horizontal="center" vertical="center" wrapText="1"/>
    </xf>
    <xf numFmtId="1" fontId="18" fillId="0" borderId="5" xfId="0" applyNumberFormat="1" applyFont="1" applyBorder="1" applyAlignment="1">
      <alignment horizontal="center" vertical="center" wrapText="1"/>
    </xf>
    <xf numFmtId="0" fontId="23" fillId="0" borderId="5" xfId="0" applyFont="1" applyBorder="1" applyAlignment="1">
      <alignment horizontal="left" vertical="center" wrapText="1"/>
    </xf>
    <xf numFmtId="164" fontId="23" fillId="0" borderId="5" xfId="0" applyNumberFormat="1" applyFont="1" applyBorder="1" applyAlignment="1">
      <alignment horizontal="right" vertical="center" wrapText="1"/>
    </xf>
    <xf numFmtId="1" fontId="23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23" fillId="0" borderId="5" xfId="0" applyNumberFormat="1" applyFont="1" applyBorder="1" applyAlignment="1">
      <alignment horizontal="left" vertical="center" wrapText="1"/>
    </xf>
    <xf numFmtId="1" fontId="24" fillId="0" borderId="5" xfId="0" applyNumberFormat="1" applyFont="1" applyBorder="1" applyAlignment="1">
      <alignment horizontal="center" vertical="center" wrapText="1"/>
    </xf>
    <xf numFmtId="49" fontId="26" fillId="0" borderId="5" xfId="0" applyNumberFormat="1" applyFont="1" applyBorder="1" applyAlignment="1">
      <alignment horizontal="left" vertical="center" wrapText="1"/>
    </xf>
    <xf numFmtId="0" fontId="26" fillId="0" borderId="5" xfId="0" applyFont="1" applyBorder="1" applyAlignment="1">
      <alignment horizontal="left" vertical="center" wrapText="1"/>
    </xf>
    <xf numFmtId="164" fontId="26" fillId="0" borderId="5" xfId="0" applyNumberFormat="1" applyFont="1" applyBorder="1" applyAlignment="1">
      <alignment horizontal="right" vertical="center" wrapText="1"/>
    </xf>
    <xf numFmtId="1" fontId="26" fillId="0" borderId="5" xfId="0" applyNumberFormat="1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9" fillId="0" borderId="14" xfId="0" applyFont="1" applyBorder="1" applyAlignment="1">
      <alignment horizontal="center" vertical="center" wrapText="1"/>
    </xf>
    <xf numFmtId="1" fontId="8" fillId="0" borderId="8" xfId="0" applyNumberFormat="1" applyFont="1" applyBorder="1" applyAlignment="1">
      <alignment horizontal="center"/>
    </xf>
    <xf numFmtId="0" fontId="27" fillId="0" borderId="0" xfId="0" applyFont="1"/>
    <xf numFmtId="0" fontId="28" fillId="0" borderId="0" xfId="0" applyFont="1" applyAlignment="1"/>
    <xf numFmtId="0" fontId="10" fillId="0" borderId="0" xfId="0" applyFont="1"/>
    <xf numFmtId="1" fontId="28" fillId="0" borderId="0" xfId="0" applyNumberFormat="1" applyFont="1" applyBorder="1" applyAlignment="1">
      <alignment horizontal="center" vertical="center" wrapText="1"/>
    </xf>
    <xf numFmtId="1" fontId="10" fillId="0" borderId="0" xfId="0" applyNumberFormat="1" applyFont="1" applyBorder="1" applyAlignment="1">
      <alignment horizontal="center" vertical="center"/>
    </xf>
    <xf numFmtId="0" fontId="10" fillId="0" borderId="1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1" xfId="0" applyFont="1" applyBorder="1"/>
    <xf numFmtId="0" fontId="24" fillId="0" borderId="4" xfId="0" applyFont="1" applyBorder="1"/>
    <xf numFmtId="0" fontId="27" fillId="0" borderId="4" xfId="0" applyFont="1" applyBorder="1"/>
    <xf numFmtId="164" fontId="29" fillId="0" borderId="5" xfId="0" applyNumberFormat="1" applyFont="1" applyBorder="1" applyAlignment="1">
      <alignment horizontal="right" vertical="center" wrapText="1"/>
    </xf>
    <xf numFmtId="164" fontId="26" fillId="0" borderId="5" xfId="0" applyNumberFormat="1" applyFont="1" applyFill="1" applyBorder="1" applyAlignment="1">
      <alignment horizontal="right" vertical="center" wrapText="1"/>
    </xf>
    <xf numFmtId="1" fontId="24" fillId="0" borderId="4" xfId="0" applyNumberFormat="1" applyFont="1" applyFill="1" applyBorder="1" applyAlignment="1">
      <alignment horizontal="center" vertical="center" wrapText="1"/>
    </xf>
    <xf numFmtId="49" fontId="26" fillId="0" borderId="4" xfId="0" applyNumberFormat="1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horizontal="left" vertical="center" wrapText="1"/>
    </xf>
    <xf numFmtId="4" fontId="0" fillId="0" borderId="0" xfId="0" applyNumberFormat="1" applyFont="1" applyAlignment="1">
      <alignment vertical="center" wrapText="1"/>
    </xf>
    <xf numFmtId="0" fontId="2" fillId="0" borderId="16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5" fillId="0" borderId="0" xfId="0" applyFont="1" applyBorder="1" applyAlignment="1">
      <alignment horizontal="left"/>
    </xf>
    <xf numFmtId="4" fontId="5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left"/>
    </xf>
    <xf numFmtId="4" fontId="7" fillId="0" borderId="0" xfId="0" applyNumberFormat="1" applyFont="1" applyBorder="1" applyAlignment="1">
      <alignment horizontal="left"/>
    </xf>
    <xf numFmtId="0" fontId="30" fillId="0" borderId="0" xfId="3"/>
    <xf numFmtId="0" fontId="31" fillId="0" borderId="0" xfId="3" applyFont="1"/>
    <xf numFmtId="0" fontId="31" fillId="0" borderId="1" xfId="3" applyFont="1" applyBorder="1"/>
    <xf numFmtId="164" fontId="30" fillId="0" borderId="0" xfId="3" applyNumberFormat="1"/>
    <xf numFmtId="0" fontId="30" fillId="0" borderId="3" xfId="3" applyBorder="1"/>
    <xf numFmtId="0" fontId="33" fillId="0" borderId="3" xfId="3" applyFont="1" applyBorder="1"/>
    <xf numFmtId="164" fontId="31" fillId="0" borderId="1" xfId="3" applyNumberFormat="1" applyFont="1" applyBorder="1" applyAlignment="1">
      <alignment horizontal="right"/>
    </xf>
    <xf numFmtId="0" fontId="31" fillId="0" borderId="1" xfId="3" applyFont="1" applyBorder="1" applyAlignment="1">
      <alignment horizontal="right"/>
    </xf>
    <xf numFmtId="0" fontId="31" fillId="0" borderId="1" xfId="3" applyFont="1" applyBorder="1" applyAlignment="1">
      <alignment horizontal="right" wrapText="1"/>
    </xf>
    <xf numFmtId="165" fontId="31" fillId="0" borderId="1" xfId="3" applyNumberFormat="1" applyFont="1" applyBorder="1" applyAlignment="1">
      <alignment horizontal="right"/>
    </xf>
    <xf numFmtId="0" fontId="34" fillId="0" borderId="1" xfId="3" applyFont="1" applyBorder="1" applyAlignment="1">
      <alignment horizontal="right" wrapText="1"/>
    </xf>
    <xf numFmtId="0" fontId="31" fillId="0" borderId="1" xfId="3" applyFont="1" applyBorder="1" applyAlignment="1">
      <alignment horizontal="left" vertical="top" wrapText="1"/>
    </xf>
    <xf numFmtId="0" fontId="31" fillId="0" borderId="1" xfId="3" applyFont="1" applyBorder="1" applyAlignment="1">
      <alignment horizontal="left" vertical="top"/>
    </xf>
    <xf numFmtId="164" fontId="31" fillId="0" borderId="0" xfId="3" applyNumberFormat="1" applyFont="1" applyAlignment="1">
      <alignment horizontal="right"/>
    </xf>
    <xf numFmtId="0" fontId="31" fillId="0" borderId="0" xfId="3" applyFont="1" applyAlignment="1">
      <alignment horizontal="right"/>
    </xf>
    <xf numFmtId="0" fontId="31" fillId="0" borderId="0" xfId="3" applyFont="1" applyAlignment="1">
      <alignment horizontal="right" wrapText="1"/>
    </xf>
    <xf numFmtId="165" fontId="31" fillId="0" borderId="0" xfId="3" applyNumberFormat="1" applyFont="1" applyAlignment="1">
      <alignment horizontal="right"/>
    </xf>
    <xf numFmtId="0" fontId="34" fillId="0" borderId="0" xfId="3" applyFont="1" applyAlignment="1">
      <alignment horizontal="right" wrapText="1"/>
    </xf>
    <xf numFmtId="0" fontId="31" fillId="0" borderId="0" xfId="3" applyFont="1" applyAlignment="1">
      <alignment horizontal="left" vertical="top" wrapText="1"/>
    </xf>
    <xf numFmtId="0" fontId="31" fillId="0" borderId="0" xfId="3" applyFont="1" applyAlignment="1">
      <alignment horizontal="left" vertical="top"/>
    </xf>
    <xf numFmtId="164" fontId="34" fillId="0" borderId="0" xfId="3" applyNumberFormat="1" applyFont="1" applyAlignment="1">
      <alignment horizontal="right"/>
    </xf>
    <xf numFmtId="0" fontId="2" fillId="0" borderId="0" xfId="3" applyFont="1" applyAlignment="1">
      <alignment wrapText="1"/>
    </xf>
    <xf numFmtId="0" fontId="31" fillId="0" borderId="0" xfId="3" quotePrefix="1" applyFont="1" applyAlignment="1">
      <alignment horizontal="right" wrapText="1"/>
    </xf>
    <xf numFmtId="0" fontId="31" fillId="0" borderId="4" xfId="3" applyFont="1" applyBorder="1" applyAlignment="1">
      <alignment horizontal="center" vertical="center" wrapText="1"/>
    </xf>
    <xf numFmtId="0" fontId="31" fillId="0" borderId="5" xfId="3" applyFont="1" applyBorder="1" applyAlignment="1">
      <alignment horizontal="center" vertical="center" wrapText="1"/>
    </xf>
    <xf numFmtId="0" fontId="31" fillId="0" borderId="1" xfId="3" applyFont="1" applyBorder="1" applyAlignment="1">
      <alignment horizontal="left" wrapText="1"/>
    </xf>
    <xf numFmtId="164" fontId="31" fillId="0" borderId="0" xfId="3" applyNumberFormat="1" applyFont="1"/>
    <xf numFmtId="0" fontId="31" fillId="0" borderId="0" xfId="3" applyFont="1" applyAlignment="1">
      <alignment horizontal="left"/>
    </xf>
    <xf numFmtId="0" fontId="31" fillId="0" borderId="0" xfId="3" applyFont="1" applyFill="1" applyAlignment="1">
      <alignment horizontal="left"/>
    </xf>
    <xf numFmtId="0" fontId="31" fillId="0" borderId="0" xfId="3" applyFont="1" applyAlignment="1">
      <alignment horizontal="left"/>
    </xf>
    <xf numFmtId="0" fontId="33" fillId="0" borderId="0" xfId="3" applyFont="1"/>
    <xf numFmtId="164" fontId="33" fillId="0" borderId="0" xfId="3" applyNumberFormat="1" applyFont="1"/>
    <xf numFmtId="0" fontId="31" fillId="0" borderId="0" xfId="3" applyFont="1" applyAlignment="1">
      <alignment horizontal="center" wrapText="1"/>
    </xf>
    <xf numFmtId="0" fontId="31" fillId="0" borderId="0" xfId="3" applyFont="1" applyBorder="1" applyAlignment="1">
      <alignment horizontal="left" wrapText="1"/>
    </xf>
    <xf numFmtId="0" fontId="39" fillId="0" borderId="1" xfId="3" applyFont="1" applyBorder="1" applyAlignment="1">
      <alignment horizontal="center" wrapText="1"/>
    </xf>
    <xf numFmtId="0" fontId="31" fillId="0" borderId="0" xfId="3" applyFont="1" applyBorder="1" applyAlignment="1">
      <alignment horizontal="left" wrapText="1"/>
    </xf>
    <xf numFmtId="0" fontId="31" fillId="0" borderId="0" xfId="3" applyFont="1" applyBorder="1" applyAlignment="1">
      <alignment wrapText="1"/>
    </xf>
    <xf numFmtId="0" fontId="31" fillId="0" borderId="0" xfId="3" applyFont="1" applyBorder="1" applyAlignment="1">
      <alignment horizontal="left"/>
    </xf>
    <xf numFmtId="0" fontId="31" fillId="0" borderId="0" xfId="3" applyFont="1" applyAlignment="1"/>
    <xf numFmtId="0" fontId="35" fillId="0" borderId="0" xfId="3" applyFont="1" applyAlignment="1"/>
    <xf numFmtId="0" fontId="32" fillId="0" borderId="0" xfId="3" applyFont="1"/>
    <xf numFmtId="0" fontId="33" fillId="0" borderId="0" xfId="3" applyFont="1" applyAlignment="1">
      <alignment horizontal="left" wrapText="1"/>
    </xf>
    <xf numFmtId="0" fontId="30" fillId="0" borderId="1" xfId="3" applyBorder="1"/>
    <xf numFmtId="0" fontId="2" fillId="0" borderId="1" xfId="3" applyFont="1" applyBorder="1" applyAlignment="1">
      <alignment wrapText="1"/>
    </xf>
    <xf numFmtId="0" fontId="30" fillId="0" borderId="17" xfId="3" applyBorder="1"/>
    <xf numFmtId="0" fontId="33" fillId="0" borderId="17" xfId="3" applyFont="1" applyBorder="1"/>
    <xf numFmtId="164" fontId="31" fillId="0" borderId="18" xfId="3" applyNumberFormat="1" applyFont="1" applyBorder="1" applyAlignment="1">
      <alignment horizontal="right"/>
    </xf>
    <xf numFmtId="0" fontId="31" fillId="0" borderId="18" xfId="3" applyFont="1" applyBorder="1" applyAlignment="1">
      <alignment horizontal="right"/>
    </xf>
    <xf numFmtId="0" fontId="31" fillId="0" borderId="18" xfId="3" applyFont="1" applyBorder="1" applyAlignment="1">
      <alignment horizontal="right" wrapText="1"/>
    </xf>
    <xf numFmtId="165" fontId="31" fillId="0" borderId="18" xfId="3" applyNumberFormat="1" applyFont="1" applyBorder="1" applyAlignment="1">
      <alignment horizontal="right"/>
    </xf>
    <xf numFmtId="0" fontId="34" fillId="0" borderId="18" xfId="3" applyFont="1" applyBorder="1" applyAlignment="1">
      <alignment horizontal="right" wrapText="1"/>
    </xf>
    <xf numFmtId="0" fontId="31" fillId="0" borderId="18" xfId="3" applyFont="1" applyBorder="1" applyAlignment="1">
      <alignment horizontal="left" vertical="top" wrapText="1"/>
    </xf>
    <xf numFmtId="0" fontId="31" fillId="0" borderId="18" xfId="3" applyFont="1" applyBorder="1" applyAlignment="1">
      <alignment horizontal="left" vertical="top"/>
    </xf>
    <xf numFmtId="0" fontId="41" fillId="0" borderId="17" xfId="3" applyFont="1" applyBorder="1"/>
    <xf numFmtId="0" fontId="40" fillId="0" borderId="17" xfId="3" applyFont="1" applyBorder="1"/>
    <xf numFmtId="164" fontId="42" fillId="0" borderId="18" xfId="3" applyNumberFormat="1" applyFont="1" applyBorder="1" applyAlignment="1">
      <alignment horizontal="right"/>
    </xf>
    <xf numFmtId="0" fontId="42" fillId="0" borderId="18" xfId="3" applyFont="1" applyBorder="1" applyAlignment="1">
      <alignment horizontal="right"/>
    </xf>
    <xf numFmtId="0" fontId="42" fillId="0" borderId="18" xfId="3" applyFont="1" applyBorder="1" applyAlignment="1">
      <alignment horizontal="right" wrapText="1"/>
    </xf>
    <xf numFmtId="165" fontId="42" fillId="0" borderId="18" xfId="3" applyNumberFormat="1" applyFont="1" applyBorder="1" applyAlignment="1">
      <alignment horizontal="right"/>
    </xf>
    <xf numFmtId="0" fontId="43" fillId="0" borderId="18" xfId="3" applyFont="1" applyBorder="1" applyAlignment="1">
      <alignment horizontal="right" wrapText="1"/>
    </xf>
    <xf numFmtId="0" fontId="42" fillId="0" borderId="18" xfId="3" applyFont="1" applyBorder="1" applyAlignment="1">
      <alignment horizontal="left" vertical="top" wrapText="1"/>
    </xf>
    <xf numFmtId="0" fontId="42" fillId="0" borderId="18" xfId="3" applyFont="1" applyBorder="1" applyAlignment="1">
      <alignment horizontal="left" vertical="top"/>
    </xf>
    <xf numFmtId="164" fontId="42" fillId="0" borderId="0" xfId="3" applyNumberFormat="1" applyFont="1" applyAlignment="1">
      <alignment horizontal="right"/>
    </xf>
    <xf numFmtId="0" fontId="42" fillId="0" borderId="0" xfId="3" applyFont="1" applyAlignment="1">
      <alignment horizontal="right"/>
    </xf>
    <xf numFmtId="0" fontId="42" fillId="0" borderId="0" xfId="3" quotePrefix="1" applyFont="1" applyAlignment="1">
      <alignment horizontal="right" wrapText="1"/>
    </xf>
    <xf numFmtId="165" fontId="42" fillId="0" borderId="0" xfId="3" applyNumberFormat="1" applyFont="1" applyAlignment="1">
      <alignment horizontal="right"/>
    </xf>
    <xf numFmtId="0" fontId="43" fillId="0" borderId="0" xfId="3" applyFont="1" applyAlignment="1">
      <alignment horizontal="right" wrapText="1"/>
    </xf>
    <xf numFmtId="0" fontId="42" fillId="0" borderId="0" xfId="3" applyFont="1" applyAlignment="1">
      <alignment horizontal="left" vertical="top" wrapText="1"/>
    </xf>
    <xf numFmtId="0" fontId="42" fillId="0" borderId="0" xfId="3" applyFont="1" applyAlignment="1">
      <alignment horizontal="left" vertical="top"/>
    </xf>
    <xf numFmtId="0" fontId="30" fillId="0" borderId="18" xfId="3" applyBorder="1"/>
    <xf numFmtId="0" fontId="2" fillId="0" borderId="18" xfId="3" applyFont="1" applyBorder="1" applyAlignment="1">
      <alignment wrapText="1"/>
    </xf>
    <xf numFmtId="0" fontId="31" fillId="0" borderId="0" xfId="3" applyFont="1" applyAlignment="1">
      <alignment horizontal="left"/>
    </xf>
    <xf numFmtId="164" fontId="31" fillId="0" borderId="0" xfId="3" applyNumberFormat="1" applyFont="1" applyAlignment="1">
      <alignment horizontal="right"/>
    </xf>
    <xf numFmtId="0" fontId="31" fillId="0" borderId="0" xfId="3" applyFont="1" applyBorder="1" applyAlignment="1">
      <alignment horizontal="left" wrapText="1"/>
    </xf>
    <xf numFmtId="0" fontId="31" fillId="0" borderId="18" xfId="3" applyFont="1" applyBorder="1"/>
    <xf numFmtId="0" fontId="30" fillId="0" borderId="19" xfId="3" applyBorder="1"/>
    <xf numFmtId="0" fontId="33" fillId="0" borderId="19" xfId="3" applyFont="1" applyBorder="1"/>
    <xf numFmtId="164" fontId="31" fillId="0" borderId="20" xfId="3" applyNumberFormat="1" applyFont="1" applyBorder="1" applyAlignment="1">
      <alignment horizontal="right"/>
    </xf>
    <xf numFmtId="0" fontId="31" fillId="0" borderId="20" xfId="3" applyFont="1" applyBorder="1" applyAlignment="1">
      <alignment horizontal="right"/>
    </xf>
    <xf numFmtId="0" fontId="31" fillId="0" borderId="20" xfId="3" applyFont="1" applyBorder="1" applyAlignment="1">
      <alignment horizontal="right" wrapText="1"/>
    </xf>
    <xf numFmtId="0" fontId="34" fillId="0" borderId="20" xfId="3" applyFont="1" applyBorder="1" applyAlignment="1">
      <alignment horizontal="right" wrapText="1"/>
    </xf>
    <xf numFmtId="0" fontId="31" fillId="0" borderId="20" xfId="3" applyFont="1" applyBorder="1" applyAlignment="1">
      <alignment horizontal="left" vertical="top" wrapText="1"/>
    </xf>
    <xf numFmtId="0" fontId="31" fillId="0" borderId="20" xfId="3" applyFont="1" applyBorder="1" applyAlignment="1">
      <alignment horizontal="left" vertical="top"/>
    </xf>
    <xf numFmtId="0" fontId="41" fillId="0" borderId="19" xfId="3" applyFont="1" applyBorder="1"/>
    <xf numFmtId="0" fontId="40" fillId="0" borderId="19" xfId="3" applyFont="1" applyBorder="1"/>
    <xf numFmtId="164" fontId="42" fillId="0" borderId="20" xfId="3" applyNumberFormat="1" applyFont="1" applyBorder="1" applyAlignment="1">
      <alignment horizontal="right"/>
    </xf>
    <xf numFmtId="0" fontId="42" fillId="0" borderId="20" xfId="3" applyFont="1" applyBorder="1" applyAlignment="1">
      <alignment horizontal="right"/>
    </xf>
    <xf numFmtId="0" fontId="42" fillId="0" borderId="20" xfId="3" applyFont="1" applyBorder="1" applyAlignment="1">
      <alignment horizontal="right" wrapText="1"/>
    </xf>
    <xf numFmtId="0" fontId="43" fillId="0" borderId="20" xfId="3" applyFont="1" applyBorder="1" applyAlignment="1">
      <alignment horizontal="right" wrapText="1"/>
    </xf>
    <xf numFmtId="0" fontId="42" fillId="0" borderId="20" xfId="3" applyFont="1" applyBorder="1" applyAlignment="1">
      <alignment horizontal="left" vertical="top" wrapText="1"/>
    </xf>
    <xf numFmtId="0" fontId="42" fillId="0" borderId="20" xfId="3" applyFont="1" applyBorder="1" applyAlignment="1">
      <alignment horizontal="left" vertical="top"/>
    </xf>
    <xf numFmtId="0" fontId="31" fillId="0" borderId="18" xfId="3" applyFont="1" applyBorder="1" applyAlignment="1">
      <alignment horizontal="left" wrapText="1"/>
    </xf>
    <xf numFmtId="0" fontId="39" fillId="0" borderId="18" xfId="3" applyFont="1" applyBorder="1" applyAlignment="1">
      <alignment horizontal="center" wrapText="1"/>
    </xf>
    <xf numFmtId="165" fontId="31" fillId="0" borderId="20" xfId="3" applyNumberFormat="1" applyFont="1" applyBorder="1" applyAlignment="1">
      <alignment horizontal="right"/>
    </xf>
    <xf numFmtId="165" fontId="42" fillId="0" borderId="20" xfId="3" applyNumberFormat="1" applyFont="1" applyBorder="1" applyAlignment="1">
      <alignment horizontal="right"/>
    </xf>
    <xf numFmtId="0" fontId="30" fillId="0" borderId="20" xfId="3" applyBorder="1"/>
    <xf numFmtId="0" fontId="2" fillId="0" borderId="20" xfId="3" applyFont="1" applyBorder="1" applyAlignment="1">
      <alignment wrapText="1"/>
    </xf>
    <xf numFmtId="0" fontId="31" fillId="0" borderId="20" xfId="3" applyFont="1" applyBorder="1"/>
    <xf numFmtId="0" fontId="31" fillId="0" borderId="20" xfId="3" applyFont="1" applyBorder="1" applyAlignment="1">
      <alignment horizontal="left" wrapText="1"/>
    </xf>
    <xf numFmtId="0" fontId="39" fillId="0" borderId="20" xfId="3" applyFont="1" applyBorder="1" applyAlignment="1">
      <alignment horizontal="center" wrapText="1"/>
    </xf>
    <xf numFmtId="0" fontId="16" fillId="4" borderId="4" xfId="0" applyFont="1" applyFill="1" applyBorder="1" applyAlignment="1">
      <alignment horizontal="center" vertical="top" wrapText="1"/>
    </xf>
    <xf numFmtId="49" fontId="16" fillId="4" borderId="4" xfId="0" applyNumberFormat="1" applyFont="1" applyFill="1" applyBorder="1" applyAlignment="1">
      <alignment horizontal="left" vertical="top" wrapText="1"/>
    </xf>
    <xf numFmtId="0" fontId="16" fillId="4" borderId="4" xfId="0" applyFont="1" applyFill="1" applyBorder="1" applyAlignment="1">
      <alignment horizontal="left" vertical="top" wrapText="1"/>
    </xf>
    <xf numFmtId="4" fontId="16" fillId="4" borderId="4" xfId="0" applyNumberFormat="1" applyFont="1" applyFill="1" applyBorder="1" applyAlignment="1">
      <alignment horizontal="right" vertical="top" wrapText="1"/>
    </xf>
    <xf numFmtId="0" fontId="2" fillId="4" borderId="0" xfId="0" applyFont="1" applyFill="1"/>
    <xf numFmtId="0" fontId="24" fillId="0" borderId="0" xfId="5" applyFont="1" applyAlignment="1">
      <alignment wrapText="1"/>
    </xf>
    <xf numFmtId="0" fontId="24" fillId="0" borderId="0" xfId="15" quotePrefix="1" applyFont="1" applyAlignment="1">
      <alignment horizontal="left" vertical="center" wrapText="1"/>
    </xf>
    <xf numFmtId="0" fontId="3" fillId="0" borderId="0" xfId="14" quotePrefix="1" applyFont="1" applyAlignment="1">
      <alignment horizontal="right" vertical="center" wrapText="1"/>
    </xf>
    <xf numFmtId="0" fontId="24" fillId="0" borderId="4" xfId="9" quotePrefix="1" applyFont="1" applyAlignment="1">
      <alignment horizontal="center" vertical="center" wrapText="1"/>
    </xf>
    <xf numFmtId="4" fontId="24" fillId="0" borderId="4" xfId="9" quotePrefix="1" applyNumberFormat="1" applyFont="1" applyAlignment="1">
      <alignment horizontal="center" vertical="center" wrapText="1"/>
    </xf>
    <xf numFmtId="0" fontId="24" fillId="0" borderId="5" xfId="7" quotePrefix="1" applyFont="1" applyBorder="1" applyAlignment="1">
      <alignment horizontal="left" vertical="center" wrapText="1"/>
    </xf>
    <xf numFmtId="4" fontId="24" fillId="0" borderId="5" xfId="6" applyNumberFormat="1" applyFont="1" applyBorder="1" applyAlignment="1">
      <alignment horizontal="right" vertical="center" wrapText="1"/>
    </xf>
    <xf numFmtId="4" fontId="24" fillId="0" borderId="4" xfId="6" applyNumberFormat="1" applyFont="1" applyAlignment="1">
      <alignment horizontal="right" vertical="center" wrapText="1"/>
    </xf>
    <xf numFmtId="4" fontId="24" fillId="0" borderId="0" xfId="5" applyNumberFormat="1" applyFont="1" applyAlignment="1">
      <alignment wrapText="1"/>
    </xf>
    <xf numFmtId="0" fontId="33" fillId="0" borderId="0" xfId="3" applyFont="1" applyFill="1" applyAlignment="1">
      <alignment wrapText="1"/>
    </xf>
    <xf numFmtId="0" fontId="42" fillId="0" borderId="20" xfId="3" applyFont="1" applyFill="1" applyBorder="1" applyAlignment="1">
      <alignment horizontal="left" vertical="top"/>
    </xf>
    <xf numFmtId="0" fontId="42" fillId="0" borderId="20" xfId="3" applyFont="1" applyFill="1" applyBorder="1" applyAlignment="1">
      <alignment horizontal="left" vertical="top" wrapText="1"/>
    </xf>
    <xf numFmtId="0" fontId="43" fillId="0" borderId="20" xfId="3" applyFont="1" applyFill="1" applyBorder="1" applyAlignment="1">
      <alignment horizontal="right" wrapText="1"/>
    </xf>
    <xf numFmtId="0" fontId="42" fillId="0" borderId="20" xfId="3" applyFont="1" applyFill="1" applyBorder="1" applyAlignment="1">
      <alignment horizontal="right"/>
    </xf>
    <xf numFmtId="164" fontId="42" fillId="0" borderId="20" xfId="3" applyNumberFormat="1" applyFont="1" applyFill="1" applyBorder="1" applyAlignment="1">
      <alignment horizontal="right"/>
    </xf>
    <xf numFmtId="0" fontId="42" fillId="0" borderId="20" xfId="3" applyFont="1" applyFill="1" applyBorder="1" applyAlignment="1">
      <alignment horizontal="right" wrapText="1"/>
    </xf>
    <xf numFmtId="0" fontId="30" fillId="0" borderId="0" xfId="3" applyFill="1"/>
    <xf numFmtId="0" fontId="41" fillId="0" borderId="19" xfId="3" applyFont="1" applyFill="1" applyBorder="1"/>
    <xf numFmtId="0" fontId="40" fillId="0" borderId="19" xfId="3" applyFont="1" applyFill="1" applyBorder="1"/>
    <xf numFmtId="164" fontId="30" fillId="0" borderId="0" xfId="3" applyNumberFormat="1" applyFill="1"/>
    <xf numFmtId="0" fontId="32" fillId="0" borderId="0" xfId="3" applyFont="1" applyFill="1"/>
    <xf numFmtId="0" fontId="31" fillId="0" borderId="0" xfId="3" applyFont="1" applyFill="1" applyAlignment="1">
      <alignment horizontal="right"/>
    </xf>
    <xf numFmtId="0" fontId="31" fillId="0" borderId="0" xfId="3" applyFont="1" applyFill="1"/>
    <xf numFmtId="0" fontId="35" fillId="0" borderId="0" xfId="3" applyFont="1" applyFill="1" applyAlignment="1"/>
    <xf numFmtId="0" fontId="31" fillId="0" borderId="0" xfId="3" applyFont="1" applyFill="1" applyAlignment="1"/>
    <xf numFmtId="0" fontId="31" fillId="0" borderId="0" xfId="3" applyFont="1" applyFill="1" applyBorder="1" applyAlignment="1">
      <alignment horizontal="left"/>
    </xf>
    <xf numFmtId="0" fontId="31" fillId="0" borderId="0" xfId="3" applyFont="1" applyFill="1" applyBorder="1" applyAlignment="1">
      <alignment wrapText="1"/>
    </xf>
    <xf numFmtId="0" fontId="39" fillId="0" borderId="18" xfId="3" applyFont="1" applyFill="1" applyBorder="1" applyAlignment="1">
      <alignment horizontal="center" wrapText="1"/>
    </xf>
    <xf numFmtId="0" fontId="31" fillId="0" borderId="0" xfId="3" applyFont="1" applyFill="1" applyBorder="1" applyAlignment="1">
      <alignment horizontal="left" wrapText="1"/>
    </xf>
    <xf numFmtId="0" fontId="31" fillId="0" borderId="0" xfId="3" applyFont="1" applyFill="1" applyAlignment="1">
      <alignment horizontal="center" wrapText="1"/>
    </xf>
    <xf numFmtId="164" fontId="33" fillId="0" borderId="0" xfId="3" applyNumberFormat="1" applyFont="1" applyFill="1"/>
    <xf numFmtId="0" fontId="33" fillId="0" borderId="0" xfId="3" applyFont="1" applyFill="1"/>
    <xf numFmtId="164" fontId="31" fillId="0" borderId="0" xfId="3" applyNumberFormat="1" applyFont="1" applyFill="1"/>
    <xf numFmtId="0" fontId="31" fillId="0" borderId="18" xfId="3" applyFont="1" applyFill="1" applyBorder="1" applyAlignment="1">
      <alignment horizontal="left" wrapText="1"/>
    </xf>
    <xf numFmtId="0" fontId="31" fillId="0" borderId="4" xfId="3" applyFont="1" applyFill="1" applyBorder="1" applyAlignment="1">
      <alignment horizontal="center" vertical="center" wrapText="1"/>
    </xf>
    <xf numFmtId="0" fontId="31" fillId="0" borderId="5" xfId="3" applyFont="1" applyFill="1" applyBorder="1" applyAlignment="1">
      <alignment horizontal="center" vertical="center" wrapText="1"/>
    </xf>
    <xf numFmtId="0" fontId="31" fillId="0" borderId="0" xfId="3" applyFont="1" applyFill="1" applyAlignment="1">
      <alignment horizontal="left" vertical="top"/>
    </xf>
    <xf numFmtId="0" fontId="31" fillId="0" borderId="0" xfId="3" applyFont="1" applyFill="1" applyAlignment="1">
      <alignment horizontal="left" vertical="top" wrapText="1"/>
    </xf>
    <xf numFmtId="0" fontId="34" fillId="0" borderId="0" xfId="3" applyFont="1" applyFill="1" applyAlignment="1">
      <alignment horizontal="right" wrapText="1"/>
    </xf>
    <xf numFmtId="164" fontId="31" fillId="0" borderId="0" xfId="3" applyNumberFormat="1" applyFont="1" applyFill="1" applyAlignment="1">
      <alignment horizontal="right"/>
    </xf>
    <xf numFmtId="0" fontId="31" fillId="0" borderId="0" xfId="3" applyFont="1" applyFill="1" applyAlignment="1">
      <alignment horizontal="right" wrapText="1"/>
    </xf>
    <xf numFmtId="164" fontId="34" fillId="0" borderId="0" xfId="3" applyNumberFormat="1" applyFont="1" applyFill="1" applyAlignment="1">
      <alignment horizontal="right"/>
    </xf>
    <xf numFmtId="0" fontId="31" fillId="0" borderId="20" xfId="3" applyFont="1" applyFill="1" applyBorder="1" applyAlignment="1">
      <alignment horizontal="left" vertical="top"/>
    </xf>
    <xf numFmtId="0" fontId="31" fillId="0" borderId="20" xfId="3" applyFont="1" applyFill="1" applyBorder="1" applyAlignment="1">
      <alignment horizontal="left" vertical="top" wrapText="1"/>
    </xf>
    <xf numFmtId="0" fontId="34" fillId="0" borderId="20" xfId="3" applyFont="1" applyFill="1" applyBorder="1" applyAlignment="1">
      <alignment horizontal="right" wrapText="1"/>
    </xf>
    <xf numFmtId="0" fontId="31" fillId="0" borderId="20" xfId="3" applyFont="1" applyFill="1" applyBorder="1" applyAlignment="1">
      <alignment horizontal="right"/>
    </xf>
    <xf numFmtId="164" fontId="31" fillId="0" borderId="20" xfId="3" applyNumberFormat="1" applyFont="1" applyFill="1" applyBorder="1" applyAlignment="1">
      <alignment horizontal="right"/>
    </xf>
    <xf numFmtId="0" fontId="31" fillId="0" borderId="20" xfId="3" applyFont="1" applyFill="1" applyBorder="1" applyAlignment="1">
      <alignment horizontal="right" wrapText="1"/>
    </xf>
    <xf numFmtId="0" fontId="30" fillId="0" borderId="19" xfId="3" applyFill="1" applyBorder="1"/>
    <xf numFmtId="0" fontId="33" fillId="0" borderId="19" xfId="3" applyFont="1" applyFill="1" applyBorder="1"/>
    <xf numFmtId="0" fontId="31" fillId="0" borderId="0" xfId="3" quotePrefix="1" applyFont="1" applyFill="1" applyAlignment="1">
      <alignment horizontal="right" wrapText="1"/>
    </xf>
    <xf numFmtId="0" fontId="2" fillId="0" borderId="0" xfId="3" applyFont="1" applyFill="1" applyAlignment="1">
      <alignment wrapText="1"/>
    </xf>
    <xf numFmtId="0" fontId="31" fillId="0" borderId="18" xfId="3" applyFont="1" applyFill="1" applyBorder="1"/>
    <xf numFmtId="0" fontId="31" fillId="0" borderId="0" xfId="3" applyFont="1" applyFill="1" applyAlignment="1">
      <alignment wrapText="1"/>
    </xf>
    <xf numFmtId="0" fontId="39" fillId="0" borderId="20" xfId="3" applyFont="1" applyFill="1" applyBorder="1" applyAlignment="1">
      <alignment horizontal="center" wrapText="1"/>
    </xf>
    <xf numFmtId="0" fontId="31" fillId="0" borderId="20" xfId="3" applyFont="1" applyFill="1" applyBorder="1" applyAlignment="1">
      <alignment horizontal="left" wrapText="1"/>
    </xf>
    <xf numFmtId="165" fontId="31" fillId="0" borderId="0" xfId="3" applyNumberFormat="1" applyFont="1" applyFill="1" applyAlignment="1">
      <alignment horizontal="right"/>
    </xf>
    <xf numFmtId="0" fontId="42" fillId="0" borderId="0" xfId="3" applyFont="1" applyFill="1" applyAlignment="1">
      <alignment horizontal="left" vertical="top"/>
    </xf>
    <xf numFmtId="0" fontId="42" fillId="0" borderId="0" xfId="3" applyFont="1" applyFill="1" applyAlignment="1">
      <alignment horizontal="left" vertical="top" wrapText="1"/>
    </xf>
    <xf numFmtId="0" fontId="43" fillId="0" borderId="0" xfId="3" applyFont="1" applyFill="1" applyAlignment="1">
      <alignment horizontal="right" wrapText="1"/>
    </xf>
    <xf numFmtId="0" fontId="42" fillId="0" borderId="0" xfId="3" applyFont="1" applyFill="1" applyAlignment="1">
      <alignment horizontal="right"/>
    </xf>
    <xf numFmtId="165" fontId="42" fillId="0" borderId="0" xfId="3" applyNumberFormat="1" applyFont="1" applyFill="1" applyAlignment="1">
      <alignment horizontal="right"/>
    </xf>
    <xf numFmtId="0" fontId="42" fillId="0" borderId="0" xfId="3" quotePrefix="1" applyFont="1" applyFill="1" applyAlignment="1">
      <alignment horizontal="right" wrapText="1"/>
    </xf>
    <xf numFmtId="164" fontId="42" fillId="0" borderId="0" xfId="3" applyNumberFormat="1" applyFont="1" applyFill="1" applyAlignment="1">
      <alignment horizontal="right"/>
    </xf>
    <xf numFmtId="0" fontId="31" fillId="0" borderId="22" xfId="3" applyFont="1" applyFill="1" applyBorder="1" applyAlignment="1">
      <alignment horizontal="left" vertical="top"/>
    </xf>
    <xf numFmtId="0" fontId="31" fillId="0" borderId="22" xfId="3" applyFont="1" applyFill="1" applyBorder="1" applyAlignment="1">
      <alignment horizontal="left" vertical="top" wrapText="1"/>
    </xf>
    <xf numFmtId="0" fontId="34" fillId="0" borderId="22" xfId="3" applyFont="1" applyFill="1" applyBorder="1" applyAlignment="1">
      <alignment horizontal="right" wrapText="1"/>
    </xf>
    <xf numFmtId="0" fontId="31" fillId="0" borderId="22" xfId="3" applyFont="1" applyFill="1" applyBorder="1" applyAlignment="1">
      <alignment horizontal="right"/>
    </xf>
    <xf numFmtId="165" fontId="31" fillId="0" borderId="22" xfId="3" applyNumberFormat="1" applyFont="1" applyFill="1" applyBorder="1" applyAlignment="1">
      <alignment horizontal="right"/>
    </xf>
    <xf numFmtId="0" fontId="31" fillId="0" borderId="22" xfId="3" applyFont="1" applyFill="1" applyBorder="1" applyAlignment="1">
      <alignment horizontal="right" wrapText="1"/>
    </xf>
    <xf numFmtId="164" fontId="31" fillId="0" borderId="22" xfId="3" applyNumberFormat="1" applyFont="1" applyFill="1" applyBorder="1" applyAlignment="1">
      <alignment horizontal="right"/>
    </xf>
    <xf numFmtId="0" fontId="30" fillId="0" borderId="21" xfId="3" applyFill="1" applyBorder="1"/>
    <xf numFmtId="0" fontId="33" fillId="0" borderId="21" xfId="3" applyFont="1" applyFill="1" applyBorder="1"/>
    <xf numFmtId="0" fontId="42" fillId="0" borderId="22" xfId="3" applyFont="1" applyFill="1" applyBorder="1" applyAlignment="1">
      <alignment horizontal="left" vertical="top"/>
    </xf>
    <xf numFmtId="0" fontId="42" fillId="0" borderId="22" xfId="3" applyFont="1" applyFill="1" applyBorder="1" applyAlignment="1">
      <alignment horizontal="left" vertical="top" wrapText="1"/>
    </xf>
    <xf numFmtId="0" fontId="43" fillId="0" borderId="22" xfId="3" applyFont="1" applyFill="1" applyBorder="1" applyAlignment="1">
      <alignment horizontal="right" wrapText="1"/>
    </xf>
    <xf numFmtId="0" fontId="42" fillId="0" borderId="22" xfId="3" applyFont="1" applyFill="1" applyBorder="1" applyAlignment="1">
      <alignment horizontal="right"/>
    </xf>
    <xf numFmtId="165" fontId="42" fillId="0" borderId="22" xfId="3" applyNumberFormat="1" applyFont="1" applyFill="1" applyBorder="1" applyAlignment="1">
      <alignment horizontal="right"/>
    </xf>
    <xf numFmtId="0" fontId="42" fillId="0" borderId="22" xfId="3" applyFont="1" applyFill="1" applyBorder="1" applyAlignment="1">
      <alignment horizontal="right" wrapText="1"/>
    </xf>
    <xf numFmtId="164" fontId="42" fillId="0" borderId="22" xfId="3" applyNumberFormat="1" applyFont="1" applyFill="1" applyBorder="1" applyAlignment="1">
      <alignment horizontal="right"/>
    </xf>
    <xf numFmtId="0" fontId="41" fillId="0" borderId="21" xfId="3" applyFont="1" applyFill="1" applyBorder="1"/>
    <xf numFmtId="0" fontId="40" fillId="0" borderId="21" xfId="3" applyFont="1" applyFill="1" applyBorder="1"/>
    <xf numFmtId="0" fontId="31" fillId="0" borderId="20" xfId="3" applyFont="1" applyFill="1" applyBorder="1"/>
    <xf numFmtId="0" fontId="31" fillId="0" borderId="18" xfId="3" applyFont="1" applyFill="1" applyBorder="1" applyAlignment="1">
      <alignment horizontal="left" vertical="top"/>
    </xf>
    <xf numFmtId="0" fontId="31" fillId="0" borderId="18" xfId="3" applyFont="1" applyFill="1" applyBorder="1" applyAlignment="1">
      <alignment horizontal="left" vertical="top" wrapText="1"/>
    </xf>
    <xf numFmtId="0" fontId="34" fillId="0" borderId="18" xfId="3" applyFont="1" applyFill="1" applyBorder="1" applyAlignment="1">
      <alignment horizontal="right" wrapText="1"/>
    </xf>
    <xf numFmtId="0" fontId="31" fillId="0" borderId="18" xfId="3" applyFont="1" applyFill="1" applyBorder="1" applyAlignment="1">
      <alignment horizontal="right"/>
    </xf>
    <xf numFmtId="165" fontId="31" fillId="0" borderId="18" xfId="3" applyNumberFormat="1" applyFont="1" applyFill="1" applyBorder="1" applyAlignment="1">
      <alignment horizontal="right"/>
    </xf>
    <xf numFmtId="0" fontId="31" fillId="0" borderId="18" xfId="3" applyFont="1" applyFill="1" applyBorder="1" applyAlignment="1">
      <alignment horizontal="right" wrapText="1"/>
    </xf>
    <xf numFmtId="164" fontId="31" fillId="0" borderId="18" xfId="3" applyNumberFormat="1" applyFont="1" applyFill="1" applyBorder="1" applyAlignment="1">
      <alignment horizontal="right"/>
    </xf>
    <xf numFmtId="0" fontId="30" fillId="0" borderId="17" xfId="3" applyFill="1" applyBorder="1"/>
    <xf numFmtId="0" fontId="33" fillId="0" borderId="17" xfId="3" applyFont="1" applyFill="1" applyBorder="1"/>
    <xf numFmtId="0" fontId="31" fillId="0" borderId="1" xfId="3" applyFont="1" applyFill="1" applyBorder="1"/>
    <xf numFmtId="0" fontId="30" fillId="0" borderId="22" xfId="3" applyFill="1" applyBorder="1"/>
    <xf numFmtId="0" fontId="2" fillId="0" borderId="22" xfId="3" applyFont="1" applyFill="1" applyBorder="1" applyAlignment="1">
      <alignment wrapText="1"/>
    </xf>
    <xf numFmtId="0" fontId="33" fillId="0" borderId="0" xfId="3" applyFont="1" applyFill="1" applyAlignment="1">
      <alignment horizontal="left" wrapText="1"/>
    </xf>
    <xf numFmtId="165" fontId="31" fillId="0" borderId="20" xfId="3" applyNumberFormat="1" applyFont="1" applyFill="1" applyBorder="1" applyAlignment="1">
      <alignment horizontal="right"/>
    </xf>
    <xf numFmtId="165" fontId="42" fillId="0" borderId="20" xfId="3" applyNumberFormat="1" applyFont="1" applyFill="1" applyBorder="1" applyAlignment="1">
      <alignment horizontal="right"/>
    </xf>
    <xf numFmtId="4" fontId="7" fillId="0" borderId="0" xfId="0" applyNumberFormat="1" applyFont="1" applyAlignment="1">
      <alignment horizontal="center"/>
    </xf>
    <xf numFmtId="4" fontId="4" fillId="0" borderId="0" xfId="0" applyNumberFormat="1" applyFont="1" applyAlignment="1">
      <alignment horizontal="center"/>
    </xf>
    <xf numFmtId="0" fontId="8" fillId="0" borderId="2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4" fontId="7" fillId="0" borderId="0" xfId="0" applyNumberFormat="1" applyFont="1" applyAlignment="1">
      <alignment horizontal="left" wrapText="1"/>
    </xf>
    <xf numFmtId="0" fontId="7" fillId="0" borderId="0" xfId="0" applyFont="1" applyBorder="1" applyAlignment="1">
      <alignment horizontal="center" vertical="top"/>
    </xf>
    <xf numFmtId="0" fontId="8" fillId="0" borderId="1" xfId="0" applyFont="1" applyFill="1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21" fillId="0" borderId="1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" fontId="9" fillId="0" borderId="4" xfId="0" applyNumberFormat="1" applyFont="1" applyBorder="1" applyAlignment="1">
      <alignment horizontal="center" vertical="center"/>
    </xf>
    <xf numFmtId="4" fontId="9" fillId="0" borderId="4" xfId="0" applyNumberFormat="1" applyFont="1" applyBorder="1" applyAlignment="1">
      <alignment horizontal="center" vertical="center" wrapText="1"/>
    </xf>
    <xf numFmtId="4" fontId="15" fillId="0" borderId="4" xfId="0" applyNumberFormat="1" applyFont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left" vertical="top" wrapText="1"/>
    </xf>
    <xf numFmtId="49" fontId="16" fillId="2" borderId="4" xfId="0" applyNumberFormat="1" applyFont="1" applyFill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3" fillId="0" borderId="1" xfId="0" applyNumberFormat="1" applyFont="1" applyBorder="1" applyAlignment="1">
      <alignment horizontal="center" vertical="center" wrapText="1"/>
    </xf>
    <xf numFmtId="0" fontId="3" fillId="0" borderId="0" xfId="11" quotePrefix="1" applyFont="1" applyAlignment="1">
      <alignment horizontal="left" vertical="top" wrapText="1"/>
    </xf>
    <xf numFmtId="0" fontId="24" fillId="0" borderId="0" xfId="5" applyFont="1" applyAlignment="1">
      <alignment wrapText="1"/>
    </xf>
    <xf numFmtId="0" fontId="24" fillId="0" borderId="0" xfId="10" quotePrefix="1" applyFont="1" applyAlignment="1">
      <alignment horizontal="left" vertical="top" wrapText="1"/>
    </xf>
    <xf numFmtId="0" fontId="24" fillId="0" borderId="0" xfId="15" quotePrefix="1" applyFont="1" applyAlignment="1">
      <alignment horizontal="left" vertical="center" wrapText="1"/>
    </xf>
    <xf numFmtId="0" fontId="3" fillId="0" borderId="0" xfId="14" quotePrefix="1" applyFont="1" applyAlignment="1">
      <alignment horizontal="right" vertical="center" wrapText="1"/>
    </xf>
    <xf numFmtId="0" fontId="24" fillId="0" borderId="0" xfId="5" applyFont="1" applyAlignment="1">
      <alignment horizontal="right" wrapText="1"/>
    </xf>
    <xf numFmtId="0" fontId="3" fillId="0" borderId="0" xfId="14" quotePrefix="1" applyFont="1" applyAlignment="1">
      <alignment horizontal="right" wrapText="1"/>
    </xf>
    <xf numFmtId="0" fontId="3" fillId="0" borderId="0" xfId="13" quotePrefix="1" applyFont="1" applyAlignment="1">
      <alignment horizontal="center" vertical="center" wrapText="1"/>
    </xf>
    <xf numFmtId="0" fontId="24" fillId="0" borderId="0" xfId="12" quotePrefix="1" applyFont="1" applyAlignment="1">
      <alignment horizontal="center" vertical="top" wrapText="1"/>
    </xf>
    <xf numFmtId="0" fontId="24" fillId="0" borderId="6" xfId="9" quotePrefix="1" applyFont="1" applyBorder="1" applyAlignment="1">
      <alignment horizontal="center" vertical="center" wrapText="1"/>
    </xf>
    <xf numFmtId="0" fontId="24" fillId="0" borderId="7" xfId="5" applyFont="1" applyBorder="1" applyAlignment="1">
      <alignment wrapText="1"/>
    </xf>
    <xf numFmtId="0" fontId="24" fillId="0" borderId="23" xfId="8" quotePrefix="1" applyFont="1" applyBorder="1" applyAlignment="1">
      <alignment horizontal="left" vertical="top" wrapText="1"/>
    </xf>
    <xf numFmtId="0" fontId="24" fillId="0" borderId="24" xfId="5" applyFont="1" applyBorder="1" applyAlignment="1">
      <alignment wrapText="1"/>
    </xf>
    <xf numFmtId="0" fontId="24" fillId="0" borderId="23" xfId="7" quotePrefix="1" applyFont="1" applyBorder="1" applyAlignment="1">
      <alignment horizontal="left" vertical="center" wrapText="1"/>
    </xf>
    <xf numFmtId="0" fontId="24" fillId="0" borderId="6" xfId="7" quotePrefix="1" applyFont="1" applyBorder="1" applyAlignment="1">
      <alignment horizontal="left" vertical="center" wrapText="1"/>
    </xf>
    <xf numFmtId="0" fontId="24" fillId="0" borderId="2" xfId="7" quotePrefix="1" applyFont="1" applyBorder="1" applyAlignment="1">
      <alignment horizontal="left" vertical="center" wrapText="1"/>
    </xf>
    <xf numFmtId="0" fontId="24" fillId="0" borderId="7" xfId="7" quotePrefix="1" applyFont="1" applyBorder="1" applyAlignment="1">
      <alignment horizontal="left" vertical="center" wrapText="1"/>
    </xf>
    <xf numFmtId="0" fontId="24" fillId="0" borderId="4" xfId="7" quotePrefix="1" applyFont="1" applyAlignment="1">
      <alignment horizontal="left" vertical="center" wrapText="1"/>
    </xf>
    <xf numFmtId="0" fontId="24" fillId="0" borderId="4" xfId="5" applyFont="1" applyBorder="1" applyAlignment="1">
      <alignment wrapText="1"/>
    </xf>
    <xf numFmtId="0" fontId="24" fillId="0" borderId="0" xfId="5" applyFont="1" applyAlignment="1">
      <alignment horizontal="left" wrapText="1"/>
    </xf>
    <xf numFmtId="0" fontId="32" fillId="0" borderId="3" xfId="3" applyFont="1" applyBorder="1" applyAlignment="1">
      <alignment horizontal="center"/>
    </xf>
    <xf numFmtId="0" fontId="31" fillId="0" borderId="0" xfId="3" applyFont="1" applyAlignment="1">
      <alignment horizontal="left" wrapText="1"/>
    </xf>
    <xf numFmtId="164" fontId="31" fillId="0" borderId="0" xfId="3" applyNumberFormat="1" applyFont="1" applyAlignment="1">
      <alignment horizontal="right"/>
    </xf>
    <xf numFmtId="0" fontId="31" fillId="0" borderId="0" xfId="3" applyFont="1" applyAlignment="1">
      <alignment horizontal="right" vertical="center"/>
    </xf>
    <xf numFmtId="0" fontId="35" fillId="0" borderId="0" xfId="3" applyFont="1" applyAlignment="1">
      <alignment horizontal="center" wrapText="1"/>
    </xf>
    <xf numFmtId="164" fontId="33" fillId="0" borderId="3" xfId="3" applyNumberFormat="1" applyFont="1" applyBorder="1" applyAlignment="1">
      <alignment horizontal="right"/>
    </xf>
    <xf numFmtId="164" fontId="33" fillId="0" borderId="0" xfId="3" applyNumberFormat="1" applyFont="1" applyAlignment="1">
      <alignment horizontal="right"/>
    </xf>
    <xf numFmtId="0" fontId="33" fillId="0" borderId="0" xfId="3" applyFont="1" applyAlignment="1">
      <alignment horizontal="right"/>
    </xf>
    <xf numFmtId="0" fontId="33" fillId="0" borderId="0" xfId="3" applyFont="1" applyAlignment="1">
      <alignment horizontal="left" wrapText="1"/>
    </xf>
    <xf numFmtId="0" fontId="31" fillId="0" borderId="0" xfId="3" applyFont="1" applyAlignment="1">
      <alignment horizontal="left"/>
    </xf>
    <xf numFmtId="0" fontId="31" fillId="0" borderId="0" xfId="4" applyFont="1" applyFill="1" applyAlignment="1">
      <alignment horizontal="left"/>
    </xf>
    <xf numFmtId="0" fontId="2" fillId="0" borderId="0" xfId="4" applyFont="1" applyFill="1" applyAlignment="1">
      <alignment horizontal="left"/>
    </xf>
    <xf numFmtId="0" fontId="31" fillId="0" borderId="1" xfId="3" applyFont="1" applyBorder="1" applyAlignment="1">
      <alignment horizontal="left" wrapText="1"/>
    </xf>
    <xf numFmtId="0" fontId="39" fillId="0" borderId="1" xfId="3" applyFont="1" applyBorder="1" applyAlignment="1">
      <alignment horizontal="center" wrapText="1"/>
    </xf>
    <xf numFmtId="0" fontId="38" fillId="0" borderId="1" xfId="3" applyFont="1" applyBorder="1" applyAlignment="1">
      <alignment horizontal="center" wrapText="1"/>
    </xf>
    <xf numFmtId="0" fontId="37" fillId="0" borderId="1" xfId="3" applyFont="1" applyBorder="1" applyAlignment="1">
      <alignment horizontal="center" wrapText="1"/>
    </xf>
    <xf numFmtId="0" fontId="32" fillId="0" borderId="0" xfId="3" applyFont="1" applyAlignment="1">
      <alignment horizontal="center" wrapText="1"/>
    </xf>
    <xf numFmtId="0" fontId="30" fillId="0" borderId="0" xfId="3" applyAlignment="1"/>
    <xf numFmtId="0" fontId="33" fillId="0" borderId="0" xfId="3" applyFont="1" applyAlignment="1">
      <alignment horizontal="left"/>
    </xf>
    <xf numFmtId="0" fontId="39" fillId="0" borderId="0" xfId="3" applyFont="1" applyAlignment="1">
      <alignment horizontal="left"/>
    </xf>
    <xf numFmtId="0" fontId="31" fillId="0" borderId="0" xfId="3" applyFont="1" applyBorder="1" applyAlignment="1">
      <alignment horizontal="left" wrapText="1"/>
    </xf>
    <xf numFmtId="167" fontId="31" fillId="0" borderId="0" xfId="3" applyNumberFormat="1" applyFont="1" applyAlignment="1">
      <alignment horizontal="right"/>
    </xf>
    <xf numFmtId="0" fontId="39" fillId="0" borderId="18" xfId="3" applyFont="1" applyBorder="1" applyAlignment="1">
      <alignment horizontal="center" wrapText="1"/>
    </xf>
    <xf numFmtId="0" fontId="32" fillId="0" borderId="17" xfId="3" applyFont="1" applyBorder="1" applyAlignment="1">
      <alignment horizontal="center"/>
    </xf>
    <xf numFmtId="0" fontId="38" fillId="0" borderId="18" xfId="3" applyFont="1" applyBorder="1" applyAlignment="1">
      <alignment horizontal="center" wrapText="1"/>
    </xf>
    <xf numFmtId="0" fontId="37" fillId="0" borderId="18" xfId="3" applyFont="1" applyBorder="1" applyAlignment="1">
      <alignment horizontal="center" wrapText="1"/>
    </xf>
    <xf numFmtId="0" fontId="31" fillId="0" borderId="18" xfId="3" applyFont="1" applyBorder="1" applyAlignment="1">
      <alignment horizontal="left" wrapText="1"/>
    </xf>
    <xf numFmtId="164" fontId="33" fillId="0" borderId="19" xfId="3" applyNumberFormat="1" applyFont="1" applyBorder="1" applyAlignment="1">
      <alignment horizontal="right"/>
    </xf>
    <xf numFmtId="164" fontId="40" fillId="0" borderId="19" xfId="3" applyNumberFormat="1" applyFont="1" applyBorder="1" applyAlignment="1">
      <alignment horizontal="right"/>
    </xf>
    <xf numFmtId="164" fontId="33" fillId="0" borderId="17" xfId="3" applyNumberFormat="1" applyFont="1" applyBorder="1" applyAlignment="1">
      <alignment horizontal="right"/>
    </xf>
    <xf numFmtId="164" fontId="40" fillId="0" borderId="17" xfId="3" applyNumberFormat="1" applyFont="1" applyBorder="1" applyAlignment="1">
      <alignment horizontal="right"/>
    </xf>
    <xf numFmtId="0" fontId="31" fillId="0" borderId="0" xfId="3" applyFont="1" applyFill="1" applyAlignment="1">
      <alignment horizontal="right" vertical="center"/>
    </xf>
    <xf numFmtId="0" fontId="32" fillId="0" borderId="3" xfId="3" applyFont="1" applyFill="1" applyBorder="1" applyAlignment="1">
      <alignment horizontal="center"/>
    </xf>
    <xf numFmtId="0" fontId="31" fillId="0" borderId="0" xfId="3" applyFont="1" applyFill="1" applyAlignment="1">
      <alignment horizontal="left" wrapText="1"/>
    </xf>
    <xf numFmtId="164" fontId="31" fillId="0" borderId="0" xfId="3" applyNumberFormat="1" applyFont="1" applyFill="1" applyAlignment="1">
      <alignment horizontal="right"/>
    </xf>
    <xf numFmtId="167" fontId="31" fillId="0" borderId="0" xfId="3" applyNumberFormat="1" applyFont="1" applyFill="1" applyAlignment="1">
      <alignment horizontal="right"/>
    </xf>
    <xf numFmtId="164" fontId="33" fillId="0" borderId="0" xfId="3" applyNumberFormat="1" applyFont="1" applyFill="1" applyAlignment="1">
      <alignment horizontal="right"/>
    </xf>
    <xf numFmtId="0" fontId="33" fillId="0" borderId="0" xfId="3" applyFont="1" applyFill="1" applyAlignment="1">
      <alignment horizontal="right"/>
    </xf>
    <xf numFmtId="0" fontId="33" fillId="0" borderId="0" xfId="3" applyFont="1" applyFill="1" applyAlignment="1">
      <alignment horizontal="left" wrapText="1"/>
    </xf>
    <xf numFmtId="0" fontId="35" fillId="0" borderId="0" xfId="3" applyFont="1" applyFill="1" applyAlignment="1">
      <alignment horizontal="center" wrapText="1"/>
    </xf>
    <xf numFmtId="164" fontId="33" fillId="0" borderId="17" xfId="3" applyNumberFormat="1" applyFont="1" applyFill="1" applyBorder="1" applyAlignment="1">
      <alignment horizontal="right"/>
    </xf>
    <xf numFmtId="0" fontId="31" fillId="0" borderId="0" xfId="3" applyFont="1" applyFill="1" applyAlignment="1">
      <alignment horizontal="left"/>
    </xf>
    <xf numFmtId="0" fontId="31" fillId="0" borderId="1" xfId="3" applyFont="1" applyFill="1" applyBorder="1" applyAlignment="1">
      <alignment horizontal="left" wrapText="1"/>
    </xf>
    <xf numFmtId="0" fontId="39" fillId="0" borderId="1" xfId="3" applyFont="1" applyFill="1" applyBorder="1" applyAlignment="1">
      <alignment horizontal="center" wrapText="1"/>
    </xf>
    <xf numFmtId="0" fontId="38" fillId="0" borderId="1" xfId="3" applyFont="1" applyFill="1" applyBorder="1" applyAlignment="1">
      <alignment horizontal="center" wrapText="1"/>
    </xf>
    <xf numFmtId="0" fontId="37" fillId="0" borderId="1" xfId="3" applyFont="1" applyFill="1" applyBorder="1" applyAlignment="1">
      <alignment horizontal="center" wrapText="1"/>
    </xf>
    <xf numFmtId="0" fontId="32" fillId="0" borderId="0" xfId="3" applyFont="1" applyFill="1" applyAlignment="1">
      <alignment horizontal="center" wrapText="1"/>
    </xf>
    <xf numFmtId="0" fontId="30" fillId="0" borderId="0" xfId="3" applyFill="1" applyAlignment="1"/>
    <xf numFmtId="0" fontId="33" fillId="0" borderId="0" xfId="3" applyFont="1" applyFill="1" applyAlignment="1">
      <alignment horizontal="left"/>
    </xf>
    <xf numFmtId="0" fontId="39" fillId="0" borderId="0" xfId="3" applyFont="1" applyFill="1" applyAlignment="1">
      <alignment horizontal="left"/>
    </xf>
    <xf numFmtId="0" fontId="31" fillId="0" borderId="0" xfId="3" applyFont="1" applyFill="1" applyBorder="1" applyAlignment="1">
      <alignment horizontal="left" wrapText="1"/>
    </xf>
    <xf numFmtId="0" fontId="32" fillId="0" borderId="19" xfId="3" applyFont="1" applyFill="1" applyBorder="1" applyAlignment="1">
      <alignment horizontal="center"/>
    </xf>
    <xf numFmtId="164" fontId="33" fillId="0" borderId="21" xfId="3" applyNumberFormat="1" applyFont="1" applyFill="1" applyBorder="1" applyAlignment="1">
      <alignment horizontal="right"/>
    </xf>
    <xf numFmtId="164" fontId="40" fillId="0" borderId="21" xfId="3" applyNumberFormat="1" applyFont="1" applyFill="1" applyBorder="1" applyAlignment="1">
      <alignment horizontal="right"/>
    </xf>
    <xf numFmtId="0" fontId="31" fillId="0" borderId="20" xfId="3" applyFont="1" applyFill="1" applyBorder="1" applyAlignment="1">
      <alignment horizontal="left" wrapText="1"/>
    </xf>
    <xf numFmtId="0" fontId="39" fillId="0" borderId="20" xfId="3" applyFont="1" applyFill="1" applyBorder="1" applyAlignment="1">
      <alignment horizontal="center" wrapText="1"/>
    </xf>
    <xf numFmtId="0" fontId="38" fillId="0" borderId="20" xfId="3" applyFont="1" applyFill="1" applyBorder="1" applyAlignment="1">
      <alignment horizontal="center" wrapText="1"/>
    </xf>
    <xf numFmtId="0" fontId="37" fillId="0" borderId="20" xfId="3" applyFont="1" applyFill="1" applyBorder="1" applyAlignment="1">
      <alignment horizontal="center" wrapText="1"/>
    </xf>
    <xf numFmtId="0" fontId="39" fillId="0" borderId="18" xfId="3" applyFont="1" applyFill="1" applyBorder="1" applyAlignment="1">
      <alignment horizontal="center" wrapText="1"/>
    </xf>
    <xf numFmtId="0" fontId="32" fillId="0" borderId="17" xfId="3" applyFont="1" applyFill="1" applyBorder="1" applyAlignment="1">
      <alignment horizontal="center"/>
    </xf>
    <xf numFmtId="0" fontId="38" fillId="0" borderId="18" xfId="3" applyFont="1" applyFill="1" applyBorder="1" applyAlignment="1">
      <alignment horizontal="center" wrapText="1"/>
    </xf>
    <xf numFmtId="0" fontId="37" fillId="0" borderId="18" xfId="3" applyFont="1" applyFill="1" applyBorder="1" applyAlignment="1">
      <alignment horizontal="center" wrapText="1"/>
    </xf>
    <xf numFmtId="0" fontId="31" fillId="0" borderId="18" xfId="3" applyFont="1" applyFill="1" applyBorder="1" applyAlignment="1">
      <alignment horizontal="left" wrapText="1"/>
    </xf>
    <xf numFmtId="164" fontId="33" fillId="0" borderId="19" xfId="3" applyNumberFormat="1" applyFont="1" applyFill="1" applyBorder="1" applyAlignment="1">
      <alignment horizontal="right"/>
    </xf>
    <xf numFmtId="164" fontId="40" fillId="0" borderId="19" xfId="3" applyNumberFormat="1" applyFont="1" applyFill="1" applyBorder="1" applyAlignment="1">
      <alignment horizontal="right"/>
    </xf>
    <xf numFmtId="0" fontId="39" fillId="0" borderId="20" xfId="3" applyFont="1" applyBorder="1" applyAlignment="1">
      <alignment horizontal="center" wrapText="1"/>
    </xf>
    <xf numFmtId="0" fontId="32" fillId="0" borderId="19" xfId="3" applyFont="1" applyBorder="1" applyAlignment="1">
      <alignment horizontal="center"/>
    </xf>
    <xf numFmtId="0" fontId="38" fillId="0" borderId="20" xfId="3" applyFont="1" applyBorder="1" applyAlignment="1">
      <alignment horizontal="center" wrapText="1"/>
    </xf>
    <xf numFmtId="0" fontId="37" fillId="0" borderId="20" xfId="3" applyFont="1" applyBorder="1" applyAlignment="1">
      <alignment horizontal="center" wrapText="1"/>
    </xf>
    <xf numFmtId="0" fontId="31" fillId="0" borderId="20" xfId="3" applyFont="1" applyBorder="1" applyAlignment="1">
      <alignment horizontal="left" wrapText="1"/>
    </xf>
    <xf numFmtId="1" fontId="20" fillId="0" borderId="3" xfId="0" applyNumberFormat="1" applyFont="1" applyBorder="1" applyAlignment="1">
      <alignment horizontal="center" vertical="center"/>
    </xf>
    <xf numFmtId="0" fontId="20" fillId="0" borderId="0" xfId="0" applyFont="1"/>
    <xf numFmtId="0" fontId="13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" fontId="13" fillId="0" borderId="0" xfId="0" applyNumberFormat="1" applyFont="1" applyBorder="1" applyAlignment="1">
      <alignment horizontal="center" vertical="center" wrapText="1"/>
    </xf>
    <xf numFmtId="1" fontId="13" fillId="0" borderId="1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left" vertical="center"/>
    </xf>
    <xf numFmtId="0" fontId="19" fillId="0" borderId="9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</cellXfs>
  <cellStyles count="22">
    <cellStyle name="S0" xfId="15" xr:uid="{00000000-0005-0000-0000-000000000000}"/>
    <cellStyle name="S1" xfId="14" xr:uid="{00000000-0005-0000-0000-000001000000}"/>
    <cellStyle name="S10" xfId="7" xr:uid="{00000000-0005-0000-0000-000002000000}"/>
    <cellStyle name="S11" xfId="13" xr:uid="{00000000-0005-0000-0000-000003000000}"/>
    <cellStyle name="S12" xfId="12" xr:uid="{00000000-0005-0000-0000-000004000000}"/>
    <cellStyle name="S13" xfId="6" xr:uid="{00000000-0005-0000-0000-000005000000}"/>
    <cellStyle name="S14" xfId="8" xr:uid="{00000000-0005-0000-0000-000006000000}"/>
    <cellStyle name="S2" xfId="20" xr:uid="{00000000-0005-0000-0000-000007000000}"/>
    <cellStyle name="S3" xfId="10" xr:uid="{00000000-0005-0000-0000-000008000000}"/>
    <cellStyle name="S4" xfId="19" xr:uid="{00000000-0005-0000-0000-000009000000}"/>
    <cellStyle name="S5" xfId="16" xr:uid="{00000000-0005-0000-0000-00000A000000}"/>
    <cellStyle name="S6" xfId="11" xr:uid="{00000000-0005-0000-0000-00000B000000}"/>
    <cellStyle name="S7" xfId="9" xr:uid="{00000000-0005-0000-0000-00000C000000}"/>
    <cellStyle name="S8" xfId="18" xr:uid="{00000000-0005-0000-0000-00000D000000}"/>
    <cellStyle name="S9" xfId="17" xr:uid="{00000000-0005-0000-0000-00000E000000}"/>
    <cellStyle name="Обычный" xfId="0" builtinId="0"/>
    <cellStyle name="Обычный 12" xfId="1" xr:uid="{00000000-0005-0000-0000-000010000000}"/>
    <cellStyle name="Обычный 2" xfId="3" xr:uid="{00000000-0005-0000-0000-000011000000}"/>
    <cellStyle name="Обычный 2 2" xfId="21" xr:uid="{00000000-0005-0000-0000-000012000000}"/>
    <cellStyle name="Обычный 3" xfId="5" xr:uid="{00000000-0005-0000-0000-000013000000}"/>
    <cellStyle name="Обычный 4" xfId="4" xr:uid="{00000000-0005-0000-0000-000014000000}"/>
    <cellStyle name="Финансовый 4" xfId="2" xr:uid="{00000000-0005-0000-0000-000015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externalLink" Target="externalLinks/externalLink22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er\&#1086;&#1073;&#1097;&#1072;&#1103;%20&#1087;&#1072;&#1087;&#1082;&#1072;%20&#8470;2\Users\gritsukla\Desktop\&#1055;&#1088;&#1086;&#1074;&#1077;&#1088;&#1082;&#1072;%20&#1089;&#1084;&#1077;&#1090;\&#1058;&#1088;&#1080;%20&#1044;\&#1044;&#1091;&#1073;&#1086;&#1074;&#1072;&#1103;%20&#1056;&#1086;&#1097;&#1072;\01%20-20%20&#1089;&#1084;&#1077;&#1090;&#109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01%20&#1040;&#1056;%20&#1055;&#1088;&#1080;&#1089;&#1087;&#1086;&#1089;&#1086;&#1073;&#1083;&#1077;&#1085;&#1080;&#1103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02%20&#1040;&#1056;%20&#1056;&#1077;&#1089;&#1090;&#1072;&#1074;&#1088;&#1072;&#1094;&#1080;&#1103;,&#1048;&#1085;&#1090;&#1077;&#1088;&#1098;&#1077;&#1088;&#1099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03%20&#1050;&#1086;&#1085;&#1089;&#1090;&#1088;&#1091;&#1082;&#1090;&#1080;&#1074;&#1085;&#1099;&#1077;%20&#1088;&#1077;&#1096;&#1077;&#1085;&#1080;&#1103;.%20&#1055;&#1088;&#1080;&#1089;&#1087;&#1086;&#1089;&#1086;&#1073;&#1083;&#1077;&#1085;&#1080;&#1103;.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04%20&#1050;&#1086;&#1085;&#1089;&#1090;&#1088;&#1091;&#1082;&#1090;&#1080;&#1074;&#1085;&#1099;&#1077;%20&#1088;&#1077;&#1096;&#1077;&#1085;&#1080;&#1103;.%20&#1056;&#1077;&#1089;&#1090;&#1072;&#1074;&#1088;&#1072;&#1094;&#1080;&#1103;.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05%20&#1056;&#1077;&#1084;&#1086;&#1085;&#1090;%20&#1082;&#1088;&#1086;&#1074;&#1083;&#1080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06%20&#1056;&#1077;&#1084;&#1086;&#1085;&#1090;%20&#1092;&#1072;&#1089;&#1072;&#1076;&#1072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&#1089;&#1086;&#1075;&#1083;%20&#1052;&#1043;&#1069;\&#1057;&#1086;&#1075;&#1083;%20&#1052;&#1043;&#1069;%20&#1084;&#1086;&#1077;\&#1054;&#1090;&#1086;&#1087;&#1083;&#1077;&#1085;&#1080;&#1077;%20&#1080;%20&#1074;&#1077;&#1085;&#1090;&#1080;&#1083;&#1103;&#1094;&#1080;&#1103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08,%2002-01-09,%2002-01-22%20&#1042;&#1086;&#1076;&#1086;&#1089;&#1085;&#1072;&#1073;&#1078;&#1077;&#1085;&#1080;&#1077;,%20&#1074;&#1086;&#1076;&#1086;&#1086;&#1090;&#1074;&#1077;&#1076;&#1077;&#1085;&#1080;&#1077;,%20&#1074;&#1086;&#1079;&#1074;&#1088;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&#1089;&#1086;&#1075;&#1083;%20&#1052;&#1043;&#1069;\&#1057;&#1086;&#1075;&#1083;%20&#1052;&#1043;&#1069;%20&#1084;&#1086;&#1077;\&#1069;&#1054;&#1052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&#1089;&#1086;&#1075;&#1083;%20&#1052;&#1043;&#1069;\&#1057;&#1086;&#1075;&#1083;%20&#1052;&#1043;&#1069;%20&#1084;&#1086;&#1077;\&#1057;&#1050;&#1057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&#1089;&#1086;&#1075;&#1083;%20&#1052;&#1043;&#1069;\&#1057;&#1086;&#1075;&#1083;%20&#1052;&#1043;&#1069;%20&#1084;&#1086;&#1077;\&#1056;&#1060;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&#1089;&#1086;&#1075;&#1083;%20&#1052;&#1043;&#1069;\&#1057;&#1086;&#1075;&#1083;%20&#1052;&#1043;&#1069;%20&#1084;&#1086;&#1077;\&#1069;&#1063;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&#1089;&#1086;&#1075;&#1083;%20&#1052;&#1043;&#1069;\&#1057;&#1086;&#1075;&#1083;%20&#1052;&#1043;&#1069;%20&#1084;&#1086;&#1077;\&#1042;&#1080;&#1076;&#1077;&#1086;&#1085;&#1072;&#1073;&#1083;&#1102;&#1076;&#1077;&#1085;&#1080;&#1077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&#1089;&#1086;&#1075;&#1083;%20&#1052;&#1043;&#1069;\&#1057;&#1086;&#1075;&#1083;%20&#1052;&#1043;&#1069;%20&#1084;&#1086;&#1077;\&#1057;&#1050;&#1059;&#1044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&#1089;&#1086;&#1075;&#1083;%20&#1052;&#1043;&#1069;\&#1057;&#1086;&#1075;&#1083;%20&#1052;&#1043;&#1069;%20&#1084;&#1086;&#1077;\&#1054;&#1093;&#1088;&#1072;&#1085;&#1085;&#1072;&#1103;%20&#1089;&#1080;&#1075;&#1085;&#1072;&#1083;&#1080;&#1079;&#1072;&#1094;&#1080;&#1103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&#1089;&#1086;&#1075;&#1083;%20&#1052;&#1043;&#1069;\&#1057;&#1086;&#1075;&#1083;%20&#1052;&#1043;&#1069;%20&#1084;&#1086;&#1077;\&#1040;&#1055;&#1057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&#1089;&#1086;&#1075;&#1083;%20&#1052;&#1043;&#1069;\&#1057;&#1086;&#1075;&#1083;%20&#1052;&#1043;&#1069;%20&#1084;&#1086;&#1077;\&#1057;&#1054;&#1059;&#1069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19%20&#1052;&#1059;&#1055;&#1058;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20%20&#1040;&#1057;&#1044;&#1059;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\D\&#1058;&#1056;&#1048;%20&#1044;\&#1047;&#1072;&#1075;&#1088;&#1091;&#1079;&#1082;&#1080;\&#1047;&#1072;&#1075;&#1086;&#1088;&#1086;&#1076;&#1085;&#1086;&#1077;%20&#1096;.2&#1089;&#1090;&#1088;20\&#1057;&#1054;&#1043;&#1051;&#1040;&#1057;&#1054;&#1042;&#1040;&#1053;&#1053;&#1067;&#1045;\02-01-21%20&#1052;&#1052;&#1043;&#1053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er\&#1086;&#1073;&#1097;&#1072;&#1103;%20&#1087;&#1072;&#1087;&#1082;&#1072;%20&#8470;2\Users\gritsukla\Desktop\&#1055;&#1088;&#1086;&#1074;&#1077;&#1088;&#1082;&#1072;%20&#1089;&#1084;&#1077;&#1090;\&#1058;&#1088;&#1080;%20&#1044;\&#1059;&#1089;&#1080;&#1077;&#1074;&#1080;&#1095;&#1072;\&#1057;&#1084;&#1077;&#1090;&#1099;%20&#1059;&#1089;&#1080;&#1077;&#1074;&#1080;&#1095;&#1072;\&#1057;&#1083;&#1072;&#1073;&#1086;&#1090;&#1086;&#1095;&#1085;&#1099;&#1077;%20&#1089;&#1080;&#1089;&#1090;&#1077;&#1084;&#1099;%20&#1059;&#1089;&#1080;&#1077;&#1074;&#1080;&#1095;&#1072;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erver\&#1086;&#1073;&#1097;&#1072;&#1103;%20&#1087;&#1072;&#1087;&#1082;&#1072;%20&#8470;2\Users\gritsukla\Desktop\&#1055;&#1088;&#1086;&#1074;&#1077;&#1088;&#1082;&#1072;%20&#1089;&#1084;&#1077;&#1090;\&#1058;&#1088;&#1080;%20&#1044;\&#1059;&#1089;&#1080;&#1077;&#1074;&#1080;&#1095;&#1072;\&#1057;&#1084;&#1077;&#1090;&#1099;%20&#1059;&#1089;&#1080;&#1077;&#1074;&#1080;&#1095;&#1072;\&#1059;&#1089;&#1080;&#1077;&#1074;&#1080;&#1095;&#1072;%20&#1040;&#1056;,%20&#1050;&#1056;,%20&#1042;&#105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Объектная смета 18"/>
      <sheetName val="объектная база"/>
      <sheetName val="ССР 18"/>
      <sheetName val="ССРБАЗА 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28">
          <cell r="R28">
            <v>0</v>
          </cell>
          <cell r="X28">
            <v>82347.600000000006</v>
          </cell>
          <cell r="Y28">
            <v>56613.98</v>
          </cell>
        </row>
        <row r="29">
          <cell r="R29">
            <v>0</v>
          </cell>
          <cell r="X29">
            <v>1634393.99</v>
          </cell>
          <cell r="Y29">
            <v>985443.44</v>
          </cell>
        </row>
        <row r="30">
          <cell r="R30">
            <v>0</v>
          </cell>
          <cell r="X30">
            <v>0</v>
          </cell>
          <cell r="Y30">
            <v>0</v>
          </cell>
        </row>
        <row r="31">
          <cell r="R31">
            <v>0</v>
          </cell>
          <cell r="X31">
            <v>0</v>
          </cell>
          <cell r="Y31">
            <v>0</v>
          </cell>
        </row>
        <row r="32">
          <cell r="R32">
            <v>0</v>
          </cell>
          <cell r="X32">
            <v>1072.3699999999999</v>
          </cell>
          <cell r="Y32">
            <v>737.25</v>
          </cell>
        </row>
        <row r="33">
          <cell r="R33">
            <v>0</v>
          </cell>
          <cell r="X33">
            <v>21283.82</v>
          </cell>
          <cell r="Y33">
            <v>12832.89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36">
          <cell r="R36">
            <v>0</v>
          </cell>
          <cell r="X36">
            <v>367.28</v>
          </cell>
          <cell r="Y36">
            <v>252.51</v>
          </cell>
        </row>
        <row r="37">
          <cell r="R37">
            <v>0</v>
          </cell>
          <cell r="X37">
            <v>7289.59</v>
          </cell>
          <cell r="Y37">
            <v>4395.2</v>
          </cell>
        </row>
        <row r="38">
          <cell r="R38">
            <v>0</v>
          </cell>
          <cell r="X38">
            <v>0</v>
          </cell>
          <cell r="Y38">
            <v>0</v>
          </cell>
        </row>
        <row r="39">
          <cell r="R39">
            <v>0</v>
          </cell>
          <cell r="X39">
            <v>0</v>
          </cell>
          <cell r="Y39">
            <v>0</v>
          </cell>
        </row>
        <row r="79">
          <cell r="R79">
            <v>192.67</v>
          </cell>
          <cell r="X79">
            <v>22483.13</v>
          </cell>
          <cell r="Y79">
            <v>17294.72</v>
          </cell>
        </row>
        <row r="80">
          <cell r="R80">
            <v>4498.84</v>
          </cell>
          <cell r="X80">
            <v>421138.74</v>
          </cell>
          <cell r="Y80">
            <v>236529.98</v>
          </cell>
        </row>
        <row r="81">
          <cell r="R81">
            <v>0</v>
          </cell>
          <cell r="X81">
            <v>0</v>
          </cell>
          <cell r="Y81">
            <v>0</v>
          </cell>
        </row>
        <row r="82">
          <cell r="R82">
            <v>0</v>
          </cell>
          <cell r="X82">
            <v>0</v>
          </cell>
          <cell r="Y82">
            <v>0</v>
          </cell>
        </row>
        <row r="83">
          <cell r="R83">
            <v>0</v>
          </cell>
          <cell r="X83">
            <v>0</v>
          </cell>
          <cell r="Y83">
            <v>0</v>
          </cell>
        </row>
        <row r="84">
          <cell r="R84">
            <v>0</v>
          </cell>
          <cell r="X84">
            <v>0</v>
          </cell>
          <cell r="Y84">
            <v>0</v>
          </cell>
        </row>
        <row r="85">
          <cell r="R85">
            <v>0</v>
          </cell>
          <cell r="X85">
            <v>0</v>
          </cell>
          <cell r="Y85">
            <v>0</v>
          </cell>
        </row>
        <row r="86">
          <cell r="R86">
            <v>0</v>
          </cell>
          <cell r="X86">
            <v>0</v>
          </cell>
          <cell r="Y86">
            <v>0</v>
          </cell>
        </row>
        <row r="87">
          <cell r="R87">
            <v>0</v>
          </cell>
          <cell r="X87">
            <v>10430.31</v>
          </cell>
          <cell r="Y87">
            <v>6675.4</v>
          </cell>
        </row>
        <row r="88">
          <cell r="R88">
            <v>0</v>
          </cell>
          <cell r="X88">
            <v>197273.67</v>
          </cell>
          <cell r="Y88">
            <v>99854.57</v>
          </cell>
        </row>
        <row r="89">
          <cell r="R89">
            <v>0</v>
          </cell>
          <cell r="X89">
            <v>0</v>
          </cell>
          <cell r="Y89">
            <v>0</v>
          </cell>
        </row>
        <row r="90">
          <cell r="R90">
            <v>0</v>
          </cell>
          <cell r="X90">
            <v>0</v>
          </cell>
          <cell r="Y90">
            <v>0</v>
          </cell>
        </row>
        <row r="91">
          <cell r="R91">
            <v>158.33000000000001</v>
          </cell>
          <cell r="X91">
            <v>6026.4</v>
          </cell>
          <cell r="Y91">
            <v>3856.9</v>
          </cell>
        </row>
        <row r="92">
          <cell r="R92">
            <v>3697.01</v>
          </cell>
          <cell r="X92">
            <v>113980.32</v>
          </cell>
          <cell r="Y92">
            <v>57693.74</v>
          </cell>
        </row>
        <row r="93">
          <cell r="R93">
            <v>0</v>
          </cell>
          <cell r="X93">
            <v>0</v>
          </cell>
          <cell r="Y93">
            <v>0</v>
          </cell>
        </row>
        <row r="94">
          <cell r="R94">
            <v>0</v>
          </cell>
          <cell r="X94">
            <v>0</v>
          </cell>
          <cell r="Y94">
            <v>0</v>
          </cell>
        </row>
        <row r="95">
          <cell r="R95">
            <v>0</v>
          </cell>
          <cell r="X95">
            <v>0</v>
          </cell>
          <cell r="Y95">
            <v>0</v>
          </cell>
        </row>
        <row r="96">
          <cell r="R96">
            <v>0</v>
          </cell>
          <cell r="X96">
            <v>0</v>
          </cell>
          <cell r="Y96">
            <v>0</v>
          </cell>
        </row>
        <row r="97">
          <cell r="R97">
            <v>125.9</v>
          </cell>
          <cell r="X97">
            <v>1192.74</v>
          </cell>
          <cell r="Y97">
            <v>917.49</v>
          </cell>
        </row>
        <row r="98">
          <cell r="R98">
            <v>2939.77</v>
          </cell>
          <cell r="X98">
            <v>22341.54</v>
          </cell>
          <cell r="Y98">
            <v>12547.99</v>
          </cell>
        </row>
        <row r="99">
          <cell r="R99">
            <v>0</v>
          </cell>
          <cell r="X99">
            <v>0</v>
          </cell>
          <cell r="Y99">
            <v>0</v>
          </cell>
        </row>
        <row r="100">
          <cell r="R100">
            <v>0</v>
          </cell>
          <cell r="X100">
            <v>0</v>
          </cell>
          <cell r="Y100">
            <v>0</v>
          </cell>
        </row>
        <row r="101">
          <cell r="R101">
            <v>0</v>
          </cell>
          <cell r="X101">
            <v>0</v>
          </cell>
          <cell r="Y101">
            <v>0</v>
          </cell>
        </row>
        <row r="102">
          <cell r="R102">
            <v>0</v>
          </cell>
          <cell r="X102">
            <v>0</v>
          </cell>
          <cell r="Y102">
            <v>0</v>
          </cell>
        </row>
        <row r="103">
          <cell r="R103">
            <v>52.62</v>
          </cell>
          <cell r="X103">
            <v>3689.78</v>
          </cell>
          <cell r="Y103">
            <v>2361.46</v>
          </cell>
        </row>
        <row r="104">
          <cell r="R104">
            <v>1228.68</v>
          </cell>
          <cell r="X104">
            <v>69786.649999999994</v>
          </cell>
          <cell r="Y104">
            <v>35324.11</v>
          </cell>
        </row>
        <row r="105">
          <cell r="R105">
            <v>0</v>
          </cell>
          <cell r="X105">
            <v>0</v>
          </cell>
          <cell r="Y105">
            <v>0</v>
          </cell>
        </row>
        <row r="106">
          <cell r="R106">
            <v>0</v>
          </cell>
          <cell r="X106">
            <v>0</v>
          </cell>
          <cell r="Y106">
            <v>0</v>
          </cell>
        </row>
        <row r="107">
          <cell r="R107">
            <v>0</v>
          </cell>
          <cell r="X107">
            <v>0</v>
          </cell>
          <cell r="Y107">
            <v>0</v>
          </cell>
        </row>
        <row r="108">
          <cell r="R108">
            <v>0</v>
          </cell>
          <cell r="X108">
            <v>0</v>
          </cell>
          <cell r="Y108">
            <v>0</v>
          </cell>
        </row>
        <row r="144">
          <cell r="R144">
            <v>43.11</v>
          </cell>
          <cell r="X144">
            <v>67333.490000000005</v>
          </cell>
          <cell r="Y144">
            <v>43093.43</v>
          </cell>
        </row>
        <row r="145">
          <cell r="R145">
            <v>1006.62</v>
          </cell>
          <cell r="X145">
            <v>1273511.96</v>
          </cell>
          <cell r="Y145">
            <v>644617.17000000004</v>
          </cell>
        </row>
        <row r="146">
          <cell r="R146">
            <v>0</v>
          </cell>
          <cell r="X146">
            <v>0</v>
          </cell>
          <cell r="Y146">
            <v>0</v>
          </cell>
        </row>
        <row r="147">
          <cell r="R147">
            <v>0</v>
          </cell>
          <cell r="X147">
            <v>0</v>
          </cell>
          <cell r="Y147">
            <v>0</v>
          </cell>
        </row>
        <row r="148">
          <cell r="R148">
            <v>0</v>
          </cell>
          <cell r="X148">
            <v>0</v>
          </cell>
          <cell r="Y148">
            <v>0</v>
          </cell>
        </row>
        <row r="149">
          <cell r="R149">
            <v>0</v>
          </cell>
          <cell r="X149">
            <v>0</v>
          </cell>
          <cell r="Y149">
            <v>0</v>
          </cell>
        </row>
        <row r="150">
          <cell r="R150">
            <v>0</v>
          </cell>
          <cell r="X150">
            <v>0</v>
          </cell>
          <cell r="Y150">
            <v>0</v>
          </cell>
        </row>
        <row r="151">
          <cell r="R151">
            <v>0</v>
          </cell>
          <cell r="X151">
            <v>0</v>
          </cell>
          <cell r="Y151">
            <v>0</v>
          </cell>
        </row>
        <row r="152">
          <cell r="R152">
            <v>0</v>
          </cell>
          <cell r="X152">
            <v>2338.44</v>
          </cell>
          <cell r="Y152">
            <v>1496.6</v>
          </cell>
        </row>
        <row r="153">
          <cell r="R153">
            <v>0</v>
          </cell>
          <cell r="X153">
            <v>44228.08</v>
          </cell>
          <cell r="Y153">
            <v>22387.05</v>
          </cell>
        </row>
        <row r="154">
          <cell r="R154">
            <v>0</v>
          </cell>
          <cell r="X154">
            <v>0</v>
          </cell>
          <cell r="Y154">
            <v>0</v>
          </cell>
        </row>
        <row r="155">
          <cell r="R155">
            <v>0</v>
          </cell>
          <cell r="X155">
            <v>0</v>
          </cell>
          <cell r="Y155">
            <v>0</v>
          </cell>
        </row>
        <row r="156">
          <cell r="R156">
            <v>2115.98</v>
          </cell>
          <cell r="X156">
            <v>26635.279999999999</v>
          </cell>
          <cell r="Y156">
            <v>17046.580000000002</v>
          </cell>
        </row>
        <row r="157">
          <cell r="R157">
            <v>49408.13</v>
          </cell>
          <cell r="X157">
            <v>503766.37</v>
          </cell>
          <cell r="Y157">
            <v>254992.85</v>
          </cell>
        </row>
        <row r="158">
          <cell r="R158">
            <v>0</v>
          </cell>
          <cell r="X158">
            <v>0</v>
          </cell>
          <cell r="Y158">
            <v>0</v>
          </cell>
        </row>
        <row r="159">
          <cell r="R159">
            <v>0</v>
          </cell>
          <cell r="X159">
            <v>0</v>
          </cell>
          <cell r="Y159">
            <v>0</v>
          </cell>
        </row>
        <row r="160">
          <cell r="R160">
            <v>0</v>
          </cell>
          <cell r="X160">
            <v>0</v>
          </cell>
          <cell r="Y160">
            <v>0</v>
          </cell>
        </row>
        <row r="161">
          <cell r="R161">
            <v>0</v>
          </cell>
          <cell r="X161">
            <v>0</v>
          </cell>
          <cell r="Y161">
            <v>0</v>
          </cell>
        </row>
        <row r="162">
          <cell r="R162">
            <v>0</v>
          </cell>
          <cell r="X162">
            <v>0</v>
          </cell>
          <cell r="Y162">
            <v>0</v>
          </cell>
        </row>
        <row r="163">
          <cell r="R163">
            <v>0</v>
          </cell>
          <cell r="X163">
            <v>0</v>
          </cell>
          <cell r="Y163">
            <v>0</v>
          </cell>
        </row>
        <row r="168">
          <cell r="R168">
            <v>206.45</v>
          </cell>
          <cell r="X168">
            <v>12698.55</v>
          </cell>
          <cell r="Y168">
            <v>8127.07</v>
          </cell>
        </row>
        <row r="169">
          <cell r="R169">
            <v>4820.6099999999997</v>
          </cell>
          <cell r="X169">
            <v>240174.02</v>
          </cell>
          <cell r="Y169">
            <v>121569.57</v>
          </cell>
        </row>
        <row r="170">
          <cell r="R170">
            <v>0</v>
          </cell>
          <cell r="X170">
            <v>0</v>
          </cell>
          <cell r="Y170">
            <v>0</v>
          </cell>
        </row>
        <row r="171">
          <cell r="R171">
            <v>0</v>
          </cell>
          <cell r="X171">
            <v>0</v>
          </cell>
          <cell r="Y171">
            <v>0</v>
          </cell>
        </row>
        <row r="172">
          <cell r="R172">
            <v>0</v>
          </cell>
          <cell r="X172">
            <v>0</v>
          </cell>
          <cell r="Y172">
            <v>0</v>
          </cell>
        </row>
        <row r="173">
          <cell r="R173">
            <v>0</v>
          </cell>
          <cell r="X173">
            <v>0</v>
          </cell>
          <cell r="Y173">
            <v>0</v>
          </cell>
        </row>
        <row r="178">
          <cell r="R178">
            <v>8.11</v>
          </cell>
          <cell r="X178">
            <v>12665.32</v>
          </cell>
          <cell r="Y178">
            <v>8105.8</v>
          </cell>
        </row>
        <row r="179">
          <cell r="R179">
            <v>189.37</v>
          </cell>
          <cell r="X179">
            <v>239545.53</v>
          </cell>
          <cell r="Y179">
            <v>121251.44</v>
          </cell>
        </row>
        <row r="180">
          <cell r="R180">
            <v>0</v>
          </cell>
          <cell r="X180">
            <v>0</v>
          </cell>
          <cell r="Y180">
            <v>0</v>
          </cell>
        </row>
        <row r="181">
          <cell r="R181">
            <v>0</v>
          </cell>
          <cell r="X181">
            <v>0</v>
          </cell>
          <cell r="Y181">
            <v>0</v>
          </cell>
        </row>
        <row r="182">
          <cell r="R182">
            <v>0</v>
          </cell>
          <cell r="X182">
            <v>0</v>
          </cell>
          <cell r="Y182">
            <v>0</v>
          </cell>
        </row>
        <row r="183">
          <cell r="R183">
            <v>0</v>
          </cell>
          <cell r="X183">
            <v>0</v>
          </cell>
          <cell r="Y183">
            <v>0</v>
          </cell>
        </row>
        <row r="184">
          <cell r="R184">
            <v>0</v>
          </cell>
          <cell r="X184">
            <v>0</v>
          </cell>
          <cell r="Y184">
            <v>0</v>
          </cell>
        </row>
        <row r="185">
          <cell r="R185">
            <v>0</v>
          </cell>
          <cell r="X185">
            <v>0</v>
          </cell>
          <cell r="Y185">
            <v>0</v>
          </cell>
        </row>
        <row r="186">
          <cell r="R186">
            <v>0</v>
          </cell>
          <cell r="X186">
            <v>439.86</v>
          </cell>
          <cell r="Y186">
            <v>281.51</v>
          </cell>
        </row>
        <row r="187">
          <cell r="R187">
            <v>0</v>
          </cell>
          <cell r="X187">
            <v>8319.2900000000009</v>
          </cell>
          <cell r="Y187">
            <v>4211</v>
          </cell>
        </row>
        <row r="188">
          <cell r="R188">
            <v>0</v>
          </cell>
          <cell r="X188">
            <v>0</v>
          </cell>
          <cell r="Y188">
            <v>0</v>
          </cell>
        </row>
        <row r="189">
          <cell r="R189">
            <v>0</v>
          </cell>
          <cell r="X189">
            <v>0</v>
          </cell>
          <cell r="Y189">
            <v>0</v>
          </cell>
        </row>
        <row r="190">
          <cell r="R190">
            <v>37.590000000000003</v>
          </cell>
          <cell r="X190">
            <v>12234.51</v>
          </cell>
          <cell r="Y190">
            <v>7830.09</v>
          </cell>
        </row>
        <row r="191">
          <cell r="R191">
            <v>877.73</v>
          </cell>
          <cell r="X191">
            <v>231397.41</v>
          </cell>
          <cell r="Y191">
            <v>117127.08</v>
          </cell>
        </row>
        <row r="192">
          <cell r="R192">
            <v>0</v>
          </cell>
          <cell r="X192">
            <v>0</v>
          </cell>
          <cell r="Y192">
            <v>0</v>
          </cell>
        </row>
        <row r="193">
          <cell r="R193">
            <v>0</v>
          </cell>
          <cell r="X193">
            <v>0</v>
          </cell>
          <cell r="Y193">
            <v>0</v>
          </cell>
        </row>
        <row r="194">
          <cell r="R194">
            <v>0</v>
          </cell>
          <cell r="X194">
            <v>0</v>
          </cell>
          <cell r="Y194">
            <v>0</v>
          </cell>
        </row>
        <row r="195">
          <cell r="R195">
            <v>0</v>
          </cell>
          <cell r="X195">
            <v>0</v>
          </cell>
          <cell r="Y195">
            <v>0</v>
          </cell>
        </row>
        <row r="196">
          <cell r="R196">
            <v>0</v>
          </cell>
          <cell r="X196">
            <v>0</v>
          </cell>
          <cell r="Y196">
            <v>0</v>
          </cell>
        </row>
        <row r="197">
          <cell r="R197">
            <v>0</v>
          </cell>
          <cell r="X197">
            <v>0</v>
          </cell>
          <cell r="Y197">
            <v>0</v>
          </cell>
        </row>
        <row r="198">
          <cell r="R198">
            <v>311.8</v>
          </cell>
          <cell r="X198">
            <v>3924.82</v>
          </cell>
          <cell r="Y198">
            <v>2511.88</v>
          </cell>
        </row>
        <row r="199">
          <cell r="R199">
            <v>7280.53</v>
          </cell>
          <cell r="X199">
            <v>74232.09</v>
          </cell>
          <cell r="Y199">
            <v>37574.269999999997</v>
          </cell>
        </row>
        <row r="200">
          <cell r="R200">
            <v>0</v>
          </cell>
          <cell r="X200">
            <v>0</v>
          </cell>
          <cell r="Y200">
            <v>0</v>
          </cell>
        </row>
        <row r="201">
          <cell r="R201">
            <v>0</v>
          </cell>
          <cell r="X201">
            <v>0</v>
          </cell>
          <cell r="Y201">
            <v>0</v>
          </cell>
        </row>
        <row r="202">
          <cell r="R202">
            <v>0</v>
          </cell>
          <cell r="X202">
            <v>0</v>
          </cell>
          <cell r="Y202">
            <v>0</v>
          </cell>
        </row>
        <row r="203">
          <cell r="R203">
            <v>0</v>
          </cell>
          <cell r="X203">
            <v>0</v>
          </cell>
          <cell r="Y203">
            <v>0</v>
          </cell>
        </row>
        <row r="204">
          <cell r="R204">
            <v>0</v>
          </cell>
          <cell r="X204">
            <v>0</v>
          </cell>
          <cell r="Y204">
            <v>0</v>
          </cell>
        </row>
        <row r="205">
          <cell r="R205">
            <v>0</v>
          </cell>
          <cell r="X205">
            <v>0</v>
          </cell>
          <cell r="Y205">
            <v>0</v>
          </cell>
        </row>
        <row r="210">
          <cell r="R210">
            <v>30.42</v>
          </cell>
          <cell r="X210">
            <v>1871.18</v>
          </cell>
          <cell r="Y210">
            <v>1197.56</v>
          </cell>
        </row>
        <row r="211">
          <cell r="R211">
            <v>710.31</v>
          </cell>
          <cell r="X211">
            <v>35390.559999999998</v>
          </cell>
          <cell r="Y211">
            <v>17913.740000000002</v>
          </cell>
        </row>
        <row r="212">
          <cell r="R212">
            <v>0</v>
          </cell>
          <cell r="X212">
            <v>0</v>
          </cell>
          <cell r="Y212">
            <v>0</v>
          </cell>
        </row>
        <row r="213">
          <cell r="R213">
            <v>0</v>
          </cell>
          <cell r="X213">
            <v>0</v>
          </cell>
          <cell r="Y213">
            <v>0</v>
          </cell>
        </row>
        <row r="214">
          <cell r="R214">
            <v>0</v>
          </cell>
          <cell r="X214">
            <v>0</v>
          </cell>
          <cell r="Y214">
            <v>0</v>
          </cell>
        </row>
        <row r="215">
          <cell r="R215">
            <v>0</v>
          </cell>
          <cell r="X215">
            <v>0</v>
          </cell>
          <cell r="Y215">
            <v>0</v>
          </cell>
        </row>
        <row r="216">
          <cell r="R216">
            <v>404.78</v>
          </cell>
          <cell r="X216">
            <v>35846.379999999997</v>
          </cell>
          <cell r="Y216">
            <v>22941.68</v>
          </cell>
        </row>
        <row r="217">
          <cell r="R217">
            <v>9451.61</v>
          </cell>
          <cell r="X217">
            <v>677980.51</v>
          </cell>
          <cell r="Y217">
            <v>343175.32</v>
          </cell>
        </row>
        <row r="218">
          <cell r="R218">
            <v>0</v>
          </cell>
          <cell r="X218">
            <v>0</v>
          </cell>
          <cell r="Y218">
            <v>0</v>
          </cell>
        </row>
        <row r="219">
          <cell r="R219">
            <v>0</v>
          </cell>
          <cell r="X219">
            <v>0</v>
          </cell>
          <cell r="Y219">
            <v>0</v>
          </cell>
        </row>
        <row r="220">
          <cell r="R220">
            <v>31.68</v>
          </cell>
          <cell r="X220">
            <v>49485.22</v>
          </cell>
          <cell r="Y220">
            <v>31670.54</v>
          </cell>
        </row>
        <row r="221">
          <cell r="R221">
            <v>739.73</v>
          </cell>
          <cell r="X221">
            <v>935938.71</v>
          </cell>
          <cell r="Y221">
            <v>473746.75</v>
          </cell>
        </row>
        <row r="222">
          <cell r="R222">
            <v>0</v>
          </cell>
          <cell r="X222">
            <v>0</v>
          </cell>
          <cell r="Y222">
            <v>0</v>
          </cell>
        </row>
        <row r="223">
          <cell r="R223">
            <v>0</v>
          </cell>
          <cell r="X223">
            <v>0</v>
          </cell>
          <cell r="Y223">
            <v>0</v>
          </cell>
        </row>
        <row r="224">
          <cell r="R224">
            <v>0</v>
          </cell>
          <cell r="X224">
            <v>0</v>
          </cell>
          <cell r="Y224">
            <v>0</v>
          </cell>
        </row>
        <row r="225">
          <cell r="R225">
            <v>0</v>
          </cell>
          <cell r="X225">
            <v>0</v>
          </cell>
          <cell r="Y225">
            <v>0</v>
          </cell>
        </row>
        <row r="226">
          <cell r="R226">
            <v>0</v>
          </cell>
          <cell r="X226">
            <v>0</v>
          </cell>
          <cell r="Y226">
            <v>0</v>
          </cell>
        </row>
        <row r="227">
          <cell r="R227">
            <v>0</v>
          </cell>
          <cell r="X227">
            <v>0</v>
          </cell>
          <cell r="Y227">
            <v>0</v>
          </cell>
        </row>
        <row r="228">
          <cell r="R228">
            <v>0</v>
          </cell>
          <cell r="X228">
            <v>1718.58</v>
          </cell>
          <cell r="Y228">
            <v>1099.8900000000001</v>
          </cell>
        </row>
        <row r="229">
          <cell r="R229">
            <v>0</v>
          </cell>
          <cell r="X229">
            <v>32504.36</v>
          </cell>
          <cell r="Y229">
            <v>16452.82</v>
          </cell>
        </row>
        <row r="230">
          <cell r="R230">
            <v>0</v>
          </cell>
          <cell r="X230">
            <v>0</v>
          </cell>
          <cell r="Y230">
            <v>0</v>
          </cell>
        </row>
        <row r="231">
          <cell r="R231">
            <v>0</v>
          </cell>
          <cell r="X231">
            <v>0</v>
          </cell>
          <cell r="Y231">
            <v>0</v>
          </cell>
        </row>
        <row r="232">
          <cell r="R232">
            <v>222.47</v>
          </cell>
          <cell r="X232">
            <v>4127.12</v>
          </cell>
          <cell r="Y232">
            <v>2641.36</v>
          </cell>
        </row>
        <row r="233">
          <cell r="R233">
            <v>5194.67</v>
          </cell>
          <cell r="X233">
            <v>78058.28</v>
          </cell>
          <cell r="Y233">
            <v>39510.980000000003</v>
          </cell>
        </row>
        <row r="234">
          <cell r="R234">
            <v>0</v>
          </cell>
          <cell r="X234">
            <v>0</v>
          </cell>
          <cell r="Y234">
            <v>0</v>
          </cell>
        </row>
        <row r="235">
          <cell r="R235">
            <v>0</v>
          </cell>
          <cell r="X235">
            <v>0</v>
          </cell>
          <cell r="Y235">
            <v>0</v>
          </cell>
        </row>
        <row r="236">
          <cell r="R236">
            <v>0</v>
          </cell>
          <cell r="X236">
            <v>0</v>
          </cell>
          <cell r="Y236">
            <v>0</v>
          </cell>
        </row>
        <row r="237">
          <cell r="R237">
            <v>0</v>
          </cell>
          <cell r="X237">
            <v>0</v>
          </cell>
          <cell r="Y237">
            <v>0</v>
          </cell>
        </row>
        <row r="238">
          <cell r="R238">
            <v>0</v>
          </cell>
          <cell r="X238">
            <v>0</v>
          </cell>
          <cell r="Y238">
            <v>0</v>
          </cell>
        </row>
        <row r="239">
          <cell r="R239">
            <v>0</v>
          </cell>
          <cell r="X239">
            <v>0</v>
          </cell>
          <cell r="Y239">
            <v>0</v>
          </cell>
        </row>
        <row r="240">
          <cell r="R240">
            <v>0</v>
          </cell>
          <cell r="X240">
            <v>0</v>
          </cell>
          <cell r="Y240">
            <v>0</v>
          </cell>
        </row>
        <row r="241">
          <cell r="R241">
            <v>0</v>
          </cell>
          <cell r="X241">
            <v>0</v>
          </cell>
          <cell r="Y241">
            <v>0</v>
          </cell>
        </row>
        <row r="242">
          <cell r="R242">
            <v>3.24</v>
          </cell>
          <cell r="X242">
            <v>1053.95</v>
          </cell>
          <cell r="Y242">
            <v>674.53</v>
          </cell>
        </row>
        <row r="243">
          <cell r="R243">
            <v>75.650000000000006</v>
          </cell>
          <cell r="X243">
            <v>19933.88</v>
          </cell>
          <cell r="Y243">
            <v>10089.99</v>
          </cell>
        </row>
        <row r="244">
          <cell r="R244">
            <v>0</v>
          </cell>
          <cell r="X244">
            <v>0</v>
          </cell>
          <cell r="Y244">
            <v>0</v>
          </cell>
        </row>
        <row r="245">
          <cell r="R245">
            <v>0</v>
          </cell>
          <cell r="X245">
            <v>0</v>
          </cell>
          <cell r="Y245">
            <v>0</v>
          </cell>
        </row>
        <row r="246">
          <cell r="R246">
            <v>0</v>
          </cell>
          <cell r="X246">
            <v>0</v>
          </cell>
          <cell r="Y246">
            <v>0</v>
          </cell>
        </row>
        <row r="247">
          <cell r="R247">
            <v>0</v>
          </cell>
          <cell r="X247">
            <v>0</v>
          </cell>
          <cell r="Y247">
            <v>0</v>
          </cell>
        </row>
        <row r="248">
          <cell r="R248">
            <v>0</v>
          </cell>
          <cell r="X248">
            <v>0</v>
          </cell>
          <cell r="Y248">
            <v>0</v>
          </cell>
        </row>
        <row r="249">
          <cell r="R249">
            <v>0</v>
          </cell>
          <cell r="X249">
            <v>0</v>
          </cell>
          <cell r="Y249">
            <v>0</v>
          </cell>
        </row>
        <row r="285">
          <cell r="R285">
            <v>291.68</v>
          </cell>
          <cell r="X285">
            <v>12580.8</v>
          </cell>
          <cell r="Y285">
            <v>9677.5400000000009</v>
          </cell>
        </row>
        <row r="286">
          <cell r="R286">
            <v>6810.73</v>
          </cell>
          <cell r="X286">
            <v>235654.89</v>
          </cell>
          <cell r="Y286">
            <v>132354.12</v>
          </cell>
        </row>
        <row r="287">
          <cell r="R287">
            <v>0</v>
          </cell>
          <cell r="X287">
            <v>0</v>
          </cell>
          <cell r="Y287">
            <v>0</v>
          </cell>
        </row>
        <row r="288">
          <cell r="R288">
            <v>0</v>
          </cell>
          <cell r="X288">
            <v>0</v>
          </cell>
          <cell r="Y288">
            <v>0</v>
          </cell>
        </row>
        <row r="289">
          <cell r="R289">
            <v>0</v>
          </cell>
          <cell r="X289">
            <v>0</v>
          </cell>
          <cell r="Y289">
            <v>0</v>
          </cell>
        </row>
        <row r="290">
          <cell r="R290">
            <v>0</v>
          </cell>
          <cell r="X290">
            <v>0</v>
          </cell>
          <cell r="Y290">
            <v>0</v>
          </cell>
        </row>
        <row r="291">
          <cell r="R291">
            <v>0</v>
          </cell>
          <cell r="X291">
            <v>0</v>
          </cell>
          <cell r="Y291">
            <v>0</v>
          </cell>
        </row>
        <row r="292">
          <cell r="R292">
            <v>0</v>
          </cell>
          <cell r="X292">
            <v>0</v>
          </cell>
          <cell r="Y292">
            <v>0</v>
          </cell>
        </row>
        <row r="293">
          <cell r="R293">
            <v>0</v>
          </cell>
          <cell r="X293">
            <v>0</v>
          </cell>
          <cell r="Y293">
            <v>0</v>
          </cell>
        </row>
        <row r="294">
          <cell r="R294">
            <v>0</v>
          </cell>
          <cell r="X294">
            <v>0</v>
          </cell>
          <cell r="Y294">
            <v>0</v>
          </cell>
        </row>
        <row r="295">
          <cell r="R295">
            <v>0</v>
          </cell>
          <cell r="X295">
            <v>0</v>
          </cell>
          <cell r="Y295">
            <v>0</v>
          </cell>
        </row>
        <row r="296">
          <cell r="R296">
            <v>0</v>
          </cell>
          <cell r="X296">
            <v>0</v>
          </cell>
          <cell r="Y296">
            <v>0</v>
          </cell>
        </row>
        <row r="297">
          <cell r="R297">
            <v>0</v>
          </cell>
          <cell r="X297">
            <v>0</v>
          </cell>
          <cell r="Y297">
            <v>0</v>
          </cell>
        </row>
        <row r="298">
          <cell r="R298">
            <v>0</v>
          </cell>
          <cell r="X298">
            <v>0</v>
          </cell>
          <cell r="Y298">
            <v>0</v>
          </cell>
        </row>
        <row r="299">
          <cell r="R299">
            <v>0</v>
          </cell>
          <cell r="X299">
            <v>8135.5</v>
          </cell>
          <cell r="Y299">
            <v>6258.08</v>
          </cell>
        </row>
        <row r="300">
          <cell r="R300">
            <v>0</v>
          </cell>
          <cell r="X300">
            <v>152388.65</v>
          </cell>
          <cell r="Y300">
            <v>85588.14</v>
          </cell>
        </row>
        <row r="301">
          <cell r="R301">
            <v>0</v>
          </cell>
          <cell r="X301">
            <v>0</v>
          </cell>
          <cell r="Y301">
            <v>0</v>
          </cell>
        </row>
        <row r="302">
          <cell r="R302">
            <v>0</v>
          </cell>
          <cell r="X302">
            <v>0</v>
          </cell>
          <cell r="Y302">
            <v>0</v>
          </cell>
        </row>
        <row r="303">
          <cell r="R303">
            <v>0</v>
          </cell>
          <cell r="X303">
            <v>0</v>
          </cell>
          <cell r="Y303">
            <v>0</v>
          </cell>
        </row>
        <row r="304">
          <cell r="R304">
            <v>0</v>
          </cell>
          <cell r="X304">
            <v>0</v>
          </cell>
          <cell r="Y304">
            <v>0</v>
          </cell>
        </row>
        <row r="340">
          <cell r="R340">
            <v>9.7100000000000009</v>
          </cell>
          <cell r="X340">
            <v>1163.55</v>
          </cell>
          <cell r="Y340">
            <v>783.16</v>
          </cell>
        </row>
        <row r="341">
          <cell r="R341">
            <v>226.73</v>
          </cell>
          <cell r="X341">
            <v>22205.38</v>
          </cell>
          <cell r="Y341">
            <v>10710.83</v>
          </cell>
        </row>
        <row r="342">
          <cell r="R342">
            <v>0</v>
          </cell>
          <cell r="X342">
            <v>0</v>
          </cell>
          <cell r="Y342">
            <v>0</v>
          </cell>
        </row>
        <row r="343">
          <cell r="R343">
            <v>0</v>
          </cell>
          <cell r="X343">
            <v>0</v>
          </cell>
          <cell r="Y343">
            <v>0</v>
          </cell>
        </row>
        <row r="344">
          <cell r="R344">
            <v>0</v>
          </cell>
          <cell r="X344">
            <v>0</v>
          </cell>
          <cell r="Y344">
            <v>0</v>
          </cell>
        </row>
        <row r="345">
          <cell r="R345">
            <v>0</v>
          </cell>
          <cell r="X345">
            <v>0</v>
          </cell>
          <cell r="Y345">
            <v>0</v>
          </cell>
        </row>
        <row r="346">
          <cell r="R346">
            <v>0</v>
          </cell>
          <cell r="X346">
            <v>0</v>
          </cell>
          <cell r="Y346">
            <v>0</v>
          </cell>
        </row>
        <row r="347">
          <cell r="R347">
            <v>0</v>
          </cell>
          <cell r="X347">
            <v>0</v>
          </cell>
          <cell r="Y347">
            <v>0</v>
          </cell>
        </row>
        <row r="348">
          <cell r="R348">
            <v>0</v>
          </cell>
          <cell r="X348">
            <v>0</v>
          </cell>
          <cell r="Y348">
            <v>0</v>
          </cell>
        </row>
        <row r="349">
          <cell r="R349">
            <v>0</v>
          </cell>
          <cell r="X349">
            <v>0</v>
          </cell>
          <cell r="Y349">
            <v>0</v>
          </cell>
        </row>
        <row r="350">
          <cell r="R350">
            <v>0</v>
          </cell>
          <cell r="X350">
            <v>0</v>
          </cell>
          <cell r="Y350">
            <v>0</v>
          </cell>
        </row>
        <row r="351">
          <cell r="R351">
            <v>0</v>
          </cell>
          <cell r="X351">
            <v>0</v>
          </cell>
          <cell r="Y351">
            <v>0</v>
          </cell>
        </row>
        <row r="352">
          <cell r="R352">
            <v>2.93</v>
          </cell>
          <cell r="X352">
            <v>2456.25</v>
          </cell>
          <cell r="Y352">
            <v>1653.25</v>
          </cell>
        </row>
        <row r="353">
          <cell r="R353">
            <v>68.42</v>
          </cell>
          <cell r="X353">
            <v>46875.43</v>
          </cell>
          <cell r="Y353">
            <v>22610.5</v>
          </cell>
        </row>
        <row r="354">
          <cell r="R354">
            <v>0</v>
          </cell>
          <cell r="X354">
            <v>0</v>
          </cell>
          <cell r="Y354">
            <v>0</v>
          </cell>
        </row>
        <row r="355">
          <cell r="R355">
            <v>0</v>
          </cell>
          <cell r="X355">
            <v>0</v>
          </cell>
          <cell r="Y355">
            <v>0</v>
          </cell>
        </row>
        <row r="356">
          <cell r="R356">
            <v>0</v>
          </cell>
          <cell r="X356">
            <v>0</v>
          </cell>
          <cell r="Y356">
            <v>0</v>
          </cell>
        </row>
        <row r="357">
          <cell r="R357">
            <v>0</v>
          </cell>
          <cell r="X357">
            <v>0</v>
          </cell>
          <cell r="Y357">
            <v>0</v>
          </cell>
        </row>
        <row r="358">
          <cell r="R358">
            <v>0</v>
          </cell>
          <cell r="X358">
            <v>0</v>
          </cell>
          <cell r="Y358">
            <v>0</v>
          </cell>
        </row>
        <row r="359">
          <cell r="R359">
            <v>0</v>
          </cell>
          <cell r="X359">
            <v>0</v>
          </cell>
          <cell r="Y359">
            <v>0</v>
          </cell>
        </row>
        <row r="395">
          <cell r="R395">
            <v>0.65</v>
          </cell>
          <cell r="X395">
            <v>516.54999999999995</v>
          </cell>
          <cell r="Y395">
            <v>330.59</v>
          </cell>
        </row>
        <row r="396">
          <cell r="R396">
            <v>15.18</v>
          </cell>
          <cell r="X396">
            <v>9769.77</v>
          </cell>
          <cell r="Y396">
            <v>4945.1899999999996</v>
          </cell>
        </row>
        <row r="397">
          <cell r="R397">
            <v>0</v>
          </cell>
          <cell r="X397">
            <v>0</v>
          </cell>
          <cell r="Y397">
            <v>0</v>
          </cell>
        </row>
        <row r="398">
          <cell r="R398">
            <v>0</v>
          </cell>
          <cell r="X398">
            <v>0</v>
          </cell>
          <cell r="Y398">
            <v>0</v>
          </cell>
        </row>
        <row r="399">
          <cell r="R399">
            <v>0</v>
          </cell>
          <cell r="X399">
            <v>0</v>
          </cell>
          <cell r="Y399">
            <v>0</v>
          </cell>
        </row>
        <row r="400">
          <cell r="R400">
            <v>0</v>
          </cell>
          <cell r="X400">
            <v>0</v>
          </cell>
          <cell r="Y400">
            <v>0</v>
          </cell>
        </row>
        <row r="401">
          <cell r="R401">
            <v>0</v>
          </cell>
          <cell r="X401">
            <v>0</v>
          </cell>
          <cell r="Y401">
            <v>0</v>
          </cell>
        </row>
        <row r="402">
          <cell r="R402">
            <v>0</v>
          </cell>
          <cell r="X402">
            <v>0</v>
          </cell>
          <cell r="Y402">
            <v>0</v>
          </cell>
        </row>
        <row r="403">
          <cell r="R403">
            <v>0</v>
          </cell>
          <cell r="X403">
            <v>0</v>
          </cell>
          <cell r="Y403">
            <v>0</v>
          </cell>
        </row>
        <row r="404">
          <cell r="R404">
            <v>0</v>
          </cell>
          <cell r="X404">
            <v>0</v>
          </cell>
          <cell r="Y404">
            <v>0</v>
          </cell>
        </row>
        <row r="405">
          <cell r="R405">
            <v>0</v>
          </cell>
          <cell r="X405">
            <v>0</v>
          </cell>
          <cell r="Y405">
            <v>0</v>
          </cell>
        </row>
        <row r="406">
          <cell r="R406">
            <v>0</v>
          </cell>
          <cell r="X406">
            <v>0</v>
          </cell>
          <cell r="Y406">
            <v>0</v>
          </cell>
        </row>
        <row r="407">
          <cell r="R407">
            <v>2.27</v>
          </cell>
          <cell r="X407">
            <v>2072.34</v>
          </cell>
          <cell r="Y407">
            <v>1326.3</v>
          </cell>
        </row>
        <row r="408">
          <cell r="R408">
            <v>53</v>
          </cell>
          <cell r="X408">
            <v>39195.199999999997</v>
          </cell>
          <cell r="Y408">
            <v>19839.55</v>
          </cell>
        </row>
        <row r="409">
          <cell r="R409">
            <v>0</v>
          </cell>
          <cell r="X409">
            <v>0</v>
          </cell>
          <cell r="Y409">
            <v>0</v>
          </cell>
        </row>
        <row r="410">
          <cell r="R410">
            <v>0</v>
          </cell>
          <cell r="X410">
            <v>0</v>
          </cell>
          <cell r="Y410">
            <v>0</v>
          </cell>
        </row>
        <row r="411">
          <cell r="R411">
            <v>0</v>
          </cell>
          <cell r="X411">
            <v>0</v>
          </cell>
          <cell r="Y411">
            <v>0</v>
          </cell>
        </row>
        <row r="412">
          <cell r="R412">
            <v>0</v>
          </cell>
          <cell r="X412">
            <v>0</v>
          </cell>
          <cell r="Y412">
            <v>0</v>
          </cell>
        </row>
        <row r="413">
          <cell r="R413">
            <v>0</v>
          </cell>
          <cell r="X413">
            <v>0</v>
          </cell>
          <cell r="Y413">
            <v>0</v>
          </cell>
        </row>
        <row r="414">
          <cell r="R414">
            <v>0</v>
          </cell>
          <cell r="X414">
            <v>0</v>
          </cell>
          <cell r="Y414">
            <v>0</v>
          </cell>
        </row>
        <row r="450">
          <cell r="R450">
            <v>1.95</v>
          </cell>
          <cell r="X450">
            <v>374.78</v>
          </cell>
          <cell r="Y450">
            <v>239.86</v>
          </cell>
        </row>
        <row r="451">
          <cell r="R451">
            <v>45.53</v>
          </cell>
          <cell r="X451">
            <v>7088.4</v>
          </cell>
          <cell r="Y451">
            <v>3587.96</v>
          </cell>
        </row>
        <row r="452">
          <cell r="R452">
            <v>0</v>
          </cell>
          <cell r="X452">
            <v>0</v>
          </cell>
          <cell r="Y452">
            <v>0</v>
          </cell>
        </row>
        <row r="453">
          <cell r="R453">
            <v>0</v>
          </cell>
          <cell r="X453">
            <v>0</v>
          </cell>
          <cell r="Y453">
            <v>0</v>
          </cell>
        </row>
        <row r="454">
          <cell r="R454">
            <v>0</v>
          </cell>
          <cell r="X454">
            <v>0</v>
          </cell>
          <cell r="Y454">
            <v>0</v>
          </cell>
        </row>
        <row r="455">
          <cell r="R455">
            <v>0</v>
          </cell>
          <cell r="X455">
            <v>0</v>
          </cell>
          <cell r="Y455">
            <v>0</v>
          </cell>
        </row>
        <row r="456">
          <cell r="R456">
            <v>0</v>
          </cell>
          <cell r="X456">
            <v>0</v>
          </cell>
          <cell r="Y456">
            <v>0</v>
          </cell>
        </row>
        <row r="457">
          <cell r="R457">
            <v>0</v>
          </cell>
          <cell r="X457">
            <v>0</v>
          </cell>
          <cell r="Y457">
            <v>0</v>
          </cell>
        </row>
        <row r="458">
          <cell r="R458">
            <v>0.85</v>
          </cell>
          <cell r="X458">
            <v>96.04</v>
          </cell>
          <cell r="Y458">
            <v>61.47</v>
          </cell>
        </row>
        <row r="459">
          <cell r="R459">
            <v>19.850000000000001</v>
          </cell>
          <cell r="X459">
            <v>1816.45</v>
          </cell>
          <cell r="Y459">
            <v>919.44</v>
          </cell>
        </row>
        <row r="460">
          <cell r="R460">
            <v>0</v>
          </cell>
          <cell r="X460">
            <v>0</v>
          </cell>
          <cell r="Y460">
            <v>0</v>
          </cell>
        </row>
        <row r="461">
          <cell r="R461">
            <v>0</v>
          </cell>
          <cell r="X461">
            <v>0</v>
          </cell>
          <cell r="Y461">
            <v>0</v>
          </cell>
        </row>
        <row r="468">
          <cell r="R468">
            <v>24.93</v>
          </cell>
          <cell r="X468">
            <v>2491.36</v>
          </cell>
          <cell r="Y468">
            <v>1594.47</v>
          </cell>
        </row>
        <row r="469">
          <cell r="R469">
            <v>582.12</v>
          </cell>
          <cell r="X469">
            <v>47120.34</v>
          </cell>
          <cell r="Y469">
            <v>23851.040000000001</v>
          </cell>
        </row>
        <row r="470">
          <cell r="R470">
            <v>0</v>
          </cell>
          <cell r="X470">
            <v>0</v>
          </cell>
          <cell r="Y470">
            <v>0</v>
          </cell>
        </row>
        <row r="471">
          <cell r="R471">
            <v>0</v>
          </cell>
          <cell r="X471">
            <v>0</v>
          </cell>
          <cell r="Y471">
            <v>0</v>
          </cell>
        </row>
        <row r="472">
          <cell r="R472">
            <v>0</v>
          </cell>
          <cell r="X472">
            <v>0</v>
          </cell>
          <cell r="Y472">
            <v>0</v>
          </cell>
        </row>
        <row r="473">
          <cell r="R473">
            <v>0</v>
          </cell>
          <cell r="X473">
            <v>0</v>
          </cell>
          <cell r="Y473">
            <v>0</v>
          </cell>
        </row>
        <row r="474">
          <cell r="R474">
            <v>0</v>
          </cell>
          <cell r="X474">
            <v>0</v>
          </cell>
          <cell r="Y474">
            <v>0</v>
          </cell>
        </row>
        <row r="475">
          <cell r="R475">
            <v>0</v>
          </cell>
          <cell r="X475">
            <v>0</v>
          </cell>
          <cell r="Y475">
            <v>0</v>
          </cell>
        </row>
        <row r="476">
          <cell r="R476">
            <v>0</v>
          </cell>
          <cell r="X476">
            <v>0</v>
          </cell>
          <cell r="Y476">
            <v>0</v>
          </cell>
        </row>
        <row r="477">
          <cell r="R477">
            <v>0</v>
          </cell>
          <cell r="X477">
            <v>0</v>
          </cell>
          <cell r="Y477">
            <v>0</v>
          </cell>
        </row>
        <row r="478">
          <cell r="R478">
            <v>8.31</v>
          </cell>
          <cell r="X478">
            <v>511.09</v>
          </cell>
          <cell r="Y478">
            <v>327.10000000000002</v>
          </cell>
        </row>
        <row r="479">
          <cell r="R479">
            <v>194.04</v>
          </cell>
          <cell r="X479">
            <v>9666.5</v>
          </cell>
          <cell r="Y479">
            <v>4892.92</v>
          </cell>
        </row>
        <row r="480">
          <cell r="R480">
            <v>0</v>
          </cell>
          <cell r="X480">
            <v>0</v>
          </cell>
          <cell r="Y480">
            <v>0</v>
          </cell>
        </row>
        <row r="481">
          <cell r="R481">
            <v>0</v>
          </cell>
          <cell r="X481">
            <v>0</v>
          </cell>
          <cell r="Y481">
            <v>0</v>
          </cell>
        </row>
        <row r="482">
          <cell r="R482">
            <v>0</v>
          </cell>
          <cell r="X482">
            <v>0</v>
          </cell>
          <cell r="Y482">
            <v>0</v>
          </cell>
        </row>
        <row r="483">
          <cell r="R483">
            <v>0</v>
          </cell>
          <cell r="X483">
            <v>0</v>
          </cell>
          <cell r="Y483">
            <v>0</v>
          </cell>
        </row>
        <row r="553">
          <cell r="R553">
            <v>121.04</v>
          </cell>
          <cell r="X553">
            <v>531.91</v>
          </cell>
          <cell r="Y553">
            <v>358.02</v>
          </cell>
        </row>
        <row r="554">
          <cell r="R554">
            <v>2826.28</v>
          </cell>
          <cell r="X554">
            <v>10151.01</v>
          </cell>
          <cell r="Y554">
            <v>4896.37</v>
          </cell>
        </row>
        <row r="559">
          <cell r="R559">
            <v>0.65</v>
          </cell>
          <cell r="X559">
            <v>650.82000000000005</v>
          </cell>
          <cell r="Y559">
            <v>438.05</v>
          </cell>
        </row>
        <row r="560">
          <cell r="R560">
            <v>15.18</v>
          </cell>
          <cell r="X560">
            <v>12420.37</v>
          </cell>
          <cell r="Y560">
            <v>5991</v>
          </cell>
        </row>
        <row r="561">
          <cell r="R561">
            <v>0</v>
          </cell>
          <cell r="X561">
            <v>0</v>
          </cell>
          <cell r="Y561">
            <v>0</v>
          </cell>
        </row>
        <row r="562">
          <cell r="R562">
            <v>0</v>
          </cell>
          <cell r="X562">
            <v>0</v>
          </cell>
          <cell r="Y562">
            <v>0</v>
          </cell>
        </row>
        <row r="563">
          <cell r="R563">
            <v>1.9</v>
          </cell>
          <cell r="X563">
            <v>102.07</v>
          </cell>
          <cell r="Y563">
            <v>68.7</v>
          </cell>
        </row>
        <row r="564">
          <cell r="R564">
            <v>44.37</v>
          </cell>
          <cell r="X564">
            <v>1947.83</v>
          </cell>
          <cell r="Y564">
            <v>939.54</v>
          </cell>
        </row>
        <row r="565">
          <cell r="R565">
            <v>0</v>
          </cell>
          <cell r="X565">
            <v>0</v>
          </cell>
          <cell r="Y565">
            <v>0</v>
          </cell>
        </row>
        <row r="566">
          <cell r="R566">
            <v>0</v>
          </cell>
          <cell r="X566">
            <v>0</v>
          </cell>
          <cell r="Y566">
            <v>0</v>
          </cell>
        </row>
        <row r="569">
          <cell r="R569">
            <v>0.33</v>
          </cell>
          <cell r="X569">
            <v>170.51</v>
          </cell>
          <cell r="Y569">
            <v>140.41999999999999</v>
          </cell>
        </row>
        <row r="570">
          <cell r="R570">
            <v>7.71</v>
          </cell>
          <cell r="X570">
            <v>3185.13</v>
          </cell>
          <cell r="Y570">
            <v>1920.44</v>
          </cell>
        </row>
        <row r="571">
          <cell r="R571">
            <v>0</v>
          </cell>
          <cell r="X571">
            <v>0</v>
          </cell>
          <cell r="Y571">
            <v>0</v>
          </cell>
        </row>
        <row r="572">
          <cell r="R572">
            <v>0</v>
          </cell>
          <cell r="X572">
            <v>0</v>
          </cell>
          <cell r="Y572">
            <v>0</v>
          </cell>
        </row>
        <row r="573">
          <cell r="R573">
            <v>0.61</v>
          </cell>
          <cell r="X573">
            <v>459.07</v>
          </cell>
          <cell r="Y573">
            <v>308.99</v>
          </cell>
        </row>
        <row r="574">
          <cell r="R574">
            <v>14.24</v>
          </cell>
          <cell r="X574">
            <v>8760.8799999999992</v>
          </cell>
          <cell r="Y574">
            <v>4225.84</v>
          </cell>
        </row>
        <row r="575">
          <cell r="R575">
            <v>0</v>
          </cell>
          <cell r="X575">
            <v>0</v>
          </cell>
          <cell r="Y575">
            <v>0</v>
          </cell>
        </row>
        <row r="576">
          <cell r="R576">
            <v>0</v>
          </cell>
          <cell r="X576">
            <v>0</v>
          </cell>
          <cell r="Y576">
            <v>0</v>
          </cell>
        </row>
        <row r="577">
          <cell r="R577">
            <v>0.32</v>
          </cell>
          <cell r="X577">
            <v>17.010000000000002</v>
          </cell>
          <cell r="Y577">
            <v>11.45</v>
          </cell>
        </row>
        <row r="578">
          <cell r="R578">
            <v>7.47</v>
          </cell>
          <cell r="X578">
            <v>324.70999999999998</v>
          </cell>
          <cell r="Y578">
            <v>156.62</v>
          </cell>
        </row>
        <row r="579">
          <cell r="R579">
            <v>0</v>
          </cell>
          <cell r="X579">
            <v>0</v>
          </cell>
          <cell r="Y579">
            <v>0</v>
          </cell>
        </row>
        <row r="580">
          <cell r="R580">
            <v>0</v>
          </cell>
          <cell r="X580">
            <v>0</v>
          </cell>
          <cell r="Y580">
            <v>0</v>
          </cell>
        </row>
        <row r="585">
          <cell r="R585">
            <v>24.71</v>
          </cell>
          <cell r="X585">
            <v>1865.55</v>
          </cell>
          <cell r="Y585">
            <v>1255.6600000000001</v>
          </cell>
        </row>
        <row r="586">
          <cell r="R586">
            <v>576.98</v>
          </cell>
          <cell r="X586">
            <v>35602.449999999997</v>
          </cell>
          <cell r="Y586">
            <v>17172.939999999999</v>
          </cell>
        </row>
        <row r="587">
          <cell r="R587">
            <v>0</v>
          </cell>
          <cell r="X587">
            <v>0</v>
          </cell>
          <cell r="Y587">
            <v>0</v>
          </cell>
        </row>
        <row r="588">
          <cell r="R588">
            <v>0</v>
          </cell>
          <cell r="X588">
            <v>0</v>
          </cell>
          <cell r="Y588">
            <v>0</v>
          </cell>
        </row>
        <row r="589">
          <cell r="R589">
            <v>0</v>
          </cell>
          <cell r="X589">
            <v>0</v>
          </cell>
          <cell r="Y589">
            <v>0</v>
          </cell>
        </row>
        <row r="590">
          <cell r="R590">
            <v>0</v>
          </cell>
          <cell r="X590">
            <v>0</v>
          </cell>
          <cell r="Y590">
            <v>0</v>
          </cell>
        </row>
        <row r="591">
          <cell r="R591">
            <v>0</v>
          </cell>
          <cell r="X591">
            <v>0</v>
          </cell>
          <cell r="Y591">
            <v>0</v>
          </cell>
        </row>
        <row r="592">
          <cell r="R592">
            <v>0</v>
          </cell>
          <cell r="X592">
            <v>0</v>
          </cell>
          <cell r="Y592">
            <v>0</v>
          </cell>
        </row>
        <row r="632">
          <cell r="R632">
            <v>2.77</v>
          </cell>
          <cell r="X632">
            <v>2767.38</v>
          </cell>
          <cell r="Y632">
            <v>1862.66</v>
          </cell>
        </row>
        <row r="633">
          <cell r="R633">
            <v>64.680000000000007</v>
          </cell>
          <cell r="X633">
            <v>52813.01</v>
          </cell>
          <cell r="Y633">
            <v>25474.51</v>
          </cell>
        </row>
        <row r="634">
          <cell r="R634">
            <v>0</v>
          </cell>
          <cell r="X634">
            <v>0</v>
          </cell>
          <cell r="Y634">
            <v>0</v>
          </cell>
        </row>
        <row r="635">
          <cell r="R635">
            <v>0</v>
          </cell>
          <cell r="X635">
            <v>0</v>
          </cell>
          <cell r="Y635">
            <v>0</v>
          </cell>
        </row>
        <row r="636">
          <cell r="R636">
            <v>37.630000000000003</v>
          </cell>
          <cell r="X636">
            <v>2025.38</v>
          </cell>
          <cell r="Y636">
            <v>1363.24</v>
          </cell>
        </row>
        <row r="637">
          <cell r="R637">
            <v>878.66</v>
          </cell>
          <cell r="X637">
            <v>38652.61</v>
          </cell>
          <cell r="Y637">
            <v>18644.2</v>
          </cell>
        </row>
        <row r="638">
          <cell r="R638">
            <v>0</v>
          </cell>
          <cell r="X638">
            <v>0</v>
          </cell>
          <cell r="Y638">
            <v>0</v>
          </cell>
        </row>
        <row r="639">
          <cell r="R639">
            <v>0</v>
          </cell>
          <cell r="X639">
            <v>0</v>
          </cell>
          <cell r="Y639">
            <v>0</v>
          </cell>
        </row>
        <row r="640">
          <cell r="R640">
            <v>1.51</v>
          </cell>
          <cell r="X640">
            <v>309.67</v>
          </cell>
          <cell r="Y640">
            <v>208.43</v>
          </cell>
        </row>
        <row r="641">
          <cell r="R641">
            <v>35.26</v>
          </cell>
          <cell r="X641">
            <v>5909.8</v>
          </cell>
          <cell r="Y641">
            <v>2850.61</v>
          </cell>
        </row>
        <row r="642">
          <cell r="R642">
            <v>0</v>
          </cell>
          <cell r="X642">
            <v>0</v>
          </cell>
          <cell r="Y642">
            <v>0</v>
          </cell>
        </row>
        <row r="643">
          <cell r="R643">
            <v>0</v>
          </cell>
          <cell r="X643">
            <v>0</v>
          </cell>
          <cell r="Y643">
            <v>0</v>
          </cell>
        </row>
        <row r="644">
          <cell r="R644">
            <v>2.6</v>
          </cell>
          <cell r="X644">
            <v>1952.01</v>
          </cell>
          <cell r="Y644">
            <v>1313.85</v>
          </cell>
        </row>
        <row r="645">
          <cell r="R645">
            <v>60.71</v>
          </cell>
          <cell r="X645">
            <v>37252.370000000003</v>
          </cell>
          <cell r="Y645">
            <v>17968.79</v>
          </cell>
        </row>
        <row r="646">
          <cell r="R646">
            <v>0</v>
          </cell>
          <cell r="X646">
            <v>0</v>
          </cell>
          <cell r="Y646">
            <v>0</v>
          </cell>
        </row>
        <row r="647">
          <cell r="R647">
            <v>0</v>
          </cell>
          <cell r="X647">
            <v>0</v>
          </cell>
          <cell r="Y647">
            <v>0</v>
          </cell>
        </row>
        <row r="648">
          <cell r="R648">
            <v>4.03</v>
          </cell>
          <cell r="X648">
            <v>217.01</v>
          </cell>
          <cell r="Y648">
            <v>146.06</v>
          </cell>
        </row>
        <row r="649">
          <cell r="R649">
            <v>94.1</v>
          </cell>
          <cell r="X649">
            <v>4141.38</v>
          </cell>
          <cell r="Y649">
            <v>1997.61</v>
          </cell>
        </row>
        <row r="650">
          <cell r="R650">
            <v>0</v>
          </cell>
          <cell r="X650">
            <v>0</v>
          </cell>
          <cell r="Y650">
            <v>0</v>
          </cell>
        </row>
        <row r="651">
          <cell r="R651">
            <v>0</v>
          </cell>
          <cell r="X651">
            <v>0</v>
          </cell>
          <cell r="Y651">
            <v>0</v>
          </cell>
        </row>
        <row r="652">
          <cell r="R652">
            <v>13.62</v>
          </cell>
          <cell r="X652">
            <v>256.56</v>
          </cell>
          <cell r="Y652">
            <v>211.29</v>
          </cell>
        </row>
        <row r="653">
          <cell r="R653">
            <v>318.02999999999997</v>
          </cell>
          <cell r="X653">
            <v>4792.6099999999997</v>
          </cell>
          <cell r="Y653">
            <v>2889.66</v>
          </cell>
        </row>
        <row r="654">
          <cell r="R654">
            <v>0</v>
          </cell>
          <cell r="X654">
            <v>0</v>
          </cell>
          <cell r="Y654">
            <v>0</v>
          </cell>
        </row>
        <row r="655">
          <cell r="R655">
            <v>0</v>
          </cell>
          <cell r="X655">
            <v>0</v>
          </cell>
          <cell r="Y655">
            <v>0</v>
          </cell>
        </row>
        <row r="656">
          <cell r="R656">
            <v>105.09</v>
          </cell>
          <cell r="X656">
            <v>7932.59</v>
          </cell>
          <cell r="Y656">
            <v>5339.24</v>
          </cell>
        </row>
        <row r="657">
          <cell r="R657">
            <v>2453.85</v>
          </cell>
          <cell r="X657">
            <v>151386.60999999999</v>
          </cell>
          <cell r="Y657">
            <v>73021.77</v>
          </cell>
        </row>
        <row r="658">
          <cell r="R658">
            <v>0</v>
          </cell>
          <cell r="X658">
            <v>0</v>
          </cell>
          <cell r="Y658">
            <v>0</v>
          </cell>
        </row>
        <row r="659">
          <cell r="R659">
            <v>0</v>
          </cell>
          <cell r="X659">
            <v>0</v>
          </cell>
          <cell r="Y659">
            <v>0</v>
          </cell>
        </row>
        <row r="660">
          <cell r="R660">
            <v>0</v>
          </cell>
          <cell r="X660">
            <v>0</v>
          </cell>
          <cell r="Y660">
            <v>0</v>
          </cell>
        </row>
        <row r="661">
          <cell r="R661">
            <v>0</v>
          </cell>
          <cell r="X661">
            <v>0</v>
          </cell>
          <cell r="Y661">
            <v>0</v>
          </cell>
        </row>
        <row r="662">
          <cell r="R662">
            <v>0</v>
          </cell>
          <cell r="X662">
            <v>0</v>
          </cell>
          <cell r="Y662">
            <v>0</v>
          </cell>
        </row>
        <row r="663">
          <cell r="R663">
            <v>0</v>
          </cell>
          <cell r="X663">
            <v>0</v>
          </cell>
          <cell r="Y663">
            <v>0</v>
          </cell>
        </row>
        <row r="703">
          <cell r="R703">
            <v>0.32</v>
          </cell>
          <cell r="X703">
            <v>322.52</v>
          </cell>
          <cell r="Y703">
            <v>217.08</v>
          </cell>
        </row>
        <row r="704">
          <cell r="R704">
            <v>7.47</v>
          </cell>
          <cell r="X704">
            <v>6155.11</v>
          </cell>
          <cell r="Y704">
            <v>2968.93</v>
          </cell>
        </row>
        <row r="705">
          <cell r="R705">
            <v>0</v>
          </cell>
          <cell r="X705">
            <v>0</v>
          </cell>
          <cell r="Y705">
            <v>0</v>
          </cell>
        </row>
        <row r="706">
          <cell r="R706">
            <v>0</v>
          </cell>
          <cell r="X706">
            <v>0</v>
          </cell>
          <cell r="Y706">
            <v>0</v>
          </cell>
        </row>
        <row r="707">
          <cell r="R707">
            <v>2.82</v>
          </cell>
          <cell r="X707">
            <v>151.75</v>
          </cell>
          <cell r="Y707">
            <v>102.14</v>
          </cell>
        </row>
        <row r="708">
          <cell r="R708">
            <v>65.849999999999994</v>
          </cell>
          <cell r="X708">
            <v>2895.95</v>
          </cell>
          <cell r="Y708">
            <v>1396.87</v>
          </cell>
        </row>
        <row r="709">
          <cell r="R709">
            <v>0</v>
          </cell>
          <cell r="X709">
            <v>0</v>
          </cell>
          <cell r="Y709">
            <v>0</v>
          </cell>
        </row>
        <row r="710">
          <cell r="R710">
            <v>0</v>
          </cell>
          <cell r="X710">
            <v>0</v>
          </cell>
          <cell r="Y710">
            <v>0</v>
          </cell>
        </row>
        <row r="715">
          <cell r="R715">
            <v>0.3</v>
          </cell>
          <cell r="X715">
            <v>227.5</v>
          </cell>
          <cell r="Y715">
            <v>153.13</v>
          </cell>
        </row>
        <row r="716">
          <cell r="R716">
            <v>7.01</v>
          </cell>
          <cell r="X716">
            <v>4341.6400000000003</v>
          </cell>
          <cell r="Y716">
            <v>2094.1999999999998</v>
          </cell>
        </row>
        <row r="717">
          <cell r="R717">
            <v>0</v>
          </cell>
          <cell r="X717">
            <v>0</v>
          </cell>
          <cell r="Y717">
            <v>0</v>
          </cell>
        </row>
        <row r="718">
          <cell r="R718">
            <v>0</v>
          </cell>
          <cell r="X718">
            <v>0</v>
          </cell>
          <cell r="Y718">
            <v>0</v>
          </cell>
        </row>
        <row r="719">
          <cell r="R719">
            <v>0.47</v>
          </cell>
          <cell r="X719">
            <v>25.29</v>
          </cell>
          <cell r="Y719">
            <v>17.02</v>
          </cell>
        </row>
        <row r="720">
          <cell r="R720">
            <v>10.97</v>
          </cell>
          <cell r="X720">
            <v>482.69</v>
          </cell>
          <cell r="Y720">
            <v>232.83</v>
          </cell>
        </row>
        <row r="721">
          <cell r="R721">
            <v>0</v>
          </cell>
          <cell r="X721">
            <v>0</v>
          </cell>
          <cell r="Y721">
            <v>0</v>
          </cell>
        </row>
        <row r="722">
          <cell r="R722">
            <v>0</v>
          </cell>
          <cell r="X722">
            <v>0</v>
          </cell>
          <cell r="Y722">
            <v>0</v>
          </cell>
        </row>
        <row r="723">
          <cell r="R723">
            <v>1.59</v>
          </cell>
          <cell r="X723">
            <v>29.9</v>
          </cell>
          <cell r="Y723">
            <v>24.63</v>
          </cell>
        </row>
        <row r="724">
          <cell r="R724">
            <v>37.130000000000003</v>
          </cell>
          <cell r="X724">
            <v>558.59</v>
          </cell>
          <cell r="Y724">
            <v>336.79</v>
          </cell>
        </row>
        <row r="725">
          <cell r="R725">
            <v>0</v>
          </cell>
          <cell r="X725">
            <v>0</v>
          </cell>
          <cell r="Y725">
            <v>0</v>
          </cell>
        </row>
        <row r="726">
          <cell r="R726">
            <v>0</v>
          </cell>
          <cell r="X726">
            <v>0</v>
          </cell>
          <cell r="Y726">
            <v>0</v>
          </cell>
        </row>
        <row r="727">
          <cell r="R727">
            <v>8.33</v>
          </cell>
          <cell r="X727">
            <v>262.39</v>
          </cell>
          <cell r="Y727">
            <v>176.61</v>
          </cell>
        </row>
        <row r="728">
          <cell r="R728">
            <v>194.51</v>
          </cell>
          <cell r="X728">
            <v>5007.53</v>
          </cell>
          <cell r="Y728">
            <v>2415.4</v>
          </cell>
        </row>
        <row r="729">
          <cell r="R729">
            <v>0</v>
          </cell>
          <cell r="X729">
            <v>0</v>
          </cell>
          <cell r="Y729">
            <v>0</v>
          </cell>
        </row>
        <row r="730">
          <cell r="R730">
            <v>0</v>
          </cell>
          <cell r="X730">
            <v>0</v>
          </cell>
          <cell r="Y730">
            <v>0</v>
          </cell>
        </row>
        <row r="778">
          <cell r="R778">
            <v>4.75</v>
          </cell>
          <cell r="X778">
            <v>4744.92</v>
          </cell>
          <cell r="Y778">
            <v>3193.69</v>
          </cell>
        </row>
        <row r="779">
          <cell r="R779">
            <v>110.91</v>
          </cell>
          <cell r="X779">
            <v>90552.63</v>
          </cell>
          <cell r="Y779">
            <v>43678.33</v>
          </cell>
        </row>
        <row r="780">
          <cell r="R780">
            <v>0</v>
          </cell>
          <cell r="X780">
            <v>0</v>
          </cell>
          <cell r="Y780">
            <v>0</v>
          </cell>
        </row>
        <row r="781">
          <cell r="R781">
            <v>0</v>
          </cell>
          <cell r="X781">
            <v>0</v>
          </cell>
          <cell r="Y781">
            <v>0</v>
          </cell>
        </row>
        <row r="782">
          <cell r="R782">
            <v>41.48</v>
          </cell>
          <cell r="X782">
            <v>2232.4499999999998</v>
          </cell>
          <cell r="Y782">
            <v>1502.61</v>
          </cell>
        </row>
        <row r="783">
          <cell r="R783">
            <v>968.56</v>
          </cell>
          <cell r="X783">
            <v>42604.45</v>
          </cell>
          <cell r="Y783">
            <v>20550.38</v>
          </cell>
        </row>
        <row r="784">
          <cell r="R784">
            <v>0</v>
          </cell>
          <cell r="X784">
            <v>0</v>
          </cell>
          <cell r="Y784">
            <v>0</v>
          </cell>
        </row>
        <row r="785">
          <cell r="R785">
            <v>0</v>
          </cell>
          <cell r="X785">
            <v>0</v>
          </cell>
          <cell r="Y785">
            <v>0</v>
          </cell>
        </row>
        <row r="786">
          <cell r="R786">
            <v>2.59</v>
          </cell>
          <cell r="X786">
            <v>530.96</v>
          </cell>
          <cell r="Y786">
            <v>357.38</v>
          </cell>
        </row>
        <row r="787">
          <cell r="R787">
            <v>60.48</v>
          </cell>
          <cell r="X787">
            <v>10132.94</v>
          </cell>
          <cell r="Y787">
            <v>4887.66</v>
          </cell>
        </row>
        <row r="788">
          <cell r="R788">
            <v>0</v>
          </cell>
          <cell r="X788">
            <v>0</v>
          </cell>
          <cell r="Y788">
            <v>0</v>
          </cell>
        </row>
        <row r="789">
          <cell r="R789">
            <v>0</v>
          </cell>
          <cell r="X789">
            <v>0</v>
          </cell>
          <cell r="Y789">
            <v>0</v>
          </cell>
        </row>
        <row r="790">
          <cell r="R790">
            <v>4.46</v>
          </cell>
          <cell r="X790">
            <v>3346.89</v>
          </cell>
          <cell r="Y790">
            <v>2252.71</v>
          </cell>
        </row>
        <row r="791">
          <cell r="R791">
            <v>104.14</v>
          </cell>
          <cell r="X791">
            <v>63872.43</v>
          </cell>
          <cell r="Y791">
            <v>30809.06</v>
          </cell>
        </row>
        <row r="792">
          <cell r="R792">
            <v>0</v>
          </cell>
          <cell r="X792">
            <v>0</v>
          </cell>
          <cell r="Y792">
            <v>0</v>
          </cell>
        </row>
        <row r="793">
          <cell r="R793">
            <v>0</v>
          </cell>
          <cell r="X793">
            <v>0</v>
          </cell>
          <cell r="Y793">
            <v>0</v>
          </cell>
        </row>
        <row r="794">
          <cell r="R794">
            <v>6.91</v>
          </cell>
          <cell r="X794">
            <v>372.07</v>
          </cell>
          <cell r="Y794">
            <v>250.43</v>
          </cell>
        </row>
        <row r="795">
          <cell r="R795">
            <v>161.35</v>
          </cell>
          <cell r="X795">
            <v>7100.65</v>
          </cell>
          <cell r="Y795">
            <v>3425.02</v>
          </cell>
        </row>
        <row r="796">
          <cell r="R796">
            <v>0</v>
          </cell>
          <cell r="X796">
            <v>0</v>
          </cell>
          <cell r="Y796">
            <v>0</v>
          </cell>
        </row>
        <row r="797">
          <cell r="R797">
            <v>0</v>
          </cell>
          <cell r="X797">
            <v>0</v>
          </cell>
          <cell r="Y797">
            <v>0</v>
          </cell>
        </row>
        <row r="798">
          <cell r="R798">
            <v>23.35</v>
          </cell>
          <cell r="X798">
            <v>439.9</v>
          </cell>
          <cell r="Y798">
            <v>362.27</v>
          </cell>
        </row>
        <row r="799">
          <cell r="R799">
            <v>545.22</v>
          </cell>
          <cell r="X799">
            <v>8217.34</v>
          </cell>
          <cell r="Y799">
            <v>4954.58</v>
          </cell>
        </row>
        <row r="800">
          <cell r="R800">
            <v>0</v>
          </cell>
          <cell r="X800">
            <v>0</v>
          </cell>
          <cell r="Y800">
            <v>0</v>
          </cell>
        </row>
        <row r="801">
          <cell r="R801">
            <v>0</v>
          </cell>
          <cell r="X801">
            <v>0</v>
          </cell>
          <cell r="Y801">
            <v>0</v>
          </cell>
        </row>
        <row r="802">
          <cell r="R802">
            <v>178.31</v>
          </cell>
          <cell r="X802">
            <v>8424.32</v>
          </cell>
          <cell r="Y802">
            <v>5670.22</v>
          </cell>
        </row>
        <row r="803">
          <cell r="R803">
            <v>4163.54</v>
          </cell>
          <cell r="X803">
            <v>160770.9</v>
          </cell>
          <cell r="Y803">
            <v>77548.320000000007</v>
          </cell>
        </row>
        <row r="804">
          <cell r="R804">
            <v>0</v>
          </cell>
          <cell r="X804">
            <v>0</v>
          </cell>
          <cell r="Y804">
            <v>0</v>
          </cell>
        </row>
        <row r="805">
          <cell r="R805">
            <v>0</v>
          </cell>
          <cell r="X805">
            <v>0</v>
          </cell>
          <cell r="Y805">
            <v>0</v>
          </cell>
        </row>
        <row r="806">
          <cell r="R806">
            <v>0</v>
          </cell>
          <cell r="X806">
            <v>0</v>
          </cell>
          <cell r="Y806">
            <v>0</v>
          </cell>
        </row>
        <row r="807">
          <cell r="R807">
            <v>0</v>
          </cell>
          <cell r="X807">
            <v>0</v>
          </cell>
          <cell r="Y807">
            <v>0</v>
          </cell>
        </row>
        <row r="859">
          <cell r="R859">
            <v>0.41</v>
          </cell>
          <cell r="X859">
            <v>407.73</v>
          </cell>
          <cell r="Y859">
            <v>274.44</v>
          </cell>
        </row>
        <row r="860">
          <cell r="R860">
            <v>9.57</v>
          </cell>
          <cell r="X860">
            <v>7781.21</v>
          </cell>
          <cell r="Y860">
            <v>3753.29</v>
          </cell>
        </row>
        <row r="861">
          <cell r="R861">
            <v>0</v>
          </cell>
          <cell r="X861">
            <v>0</v>
          </cell>
          <cell r="Y861">
            <v>0</v>
          </cell>
        </row>
        <row r="862">
          <cell r="R862">
            <v>0</v>
          </cell>
          <cell r="X862">
            <v>0</v>
          </cell>
          <cell r="Y862">
            <v>0</v>
          </cell>
        </row>
        <row r="863">
          <cell r="R863">
            <v>3.56</v>
          </cell>
          <cell r="X863">
            <v>191.84</v>
          </cell>
          <cell r="Y863">
            <v>129.12</v>
          </cell>
        </row>
        <row r="864">
          <cell r="R864">
            <v>83.13</v>
          </cell>
          <cell r="X864">
            <v>3661.07</v>
          </cell>
          <cell r="Y864">
            <v>1765.93</v>
          </cell>
        </row>
        <row r="865">
          <cell r="R865">
            <v>0</v>
          </cell>
          <cell r="X865">
            <v>0</v>
          </cell>
          <cell r="Y865">
            <v>0</v>
          </cell>
        </row>
        <row r="866">
          <cell r="R866">
            <v>0</v>
          </cell>
          <cell r="X866">
            <v>0</v>
          </cell>
          <cell r="Y866">
            <v>0</v>
          </cell>
        </row>
        <row r="867">
          <cell r="R867">
            <v>0.22</v>
          </cell>
          <cell r="X867">
            <v>45.62</v>
          </cell>
          <cell r="Y867">
            <v>30.71</v>
          </cell>
        </row>
        <row r="868">
          <cell r="R868">
            <v>5.14</v>
          </cell>
          <cell r="X868">
            <v>870.71</v>
          </cell>
          <cell r="Y868">
            <v>419.99</v>
          </cell>
        </row>
        <row r="869">
          <cell r="R869">
            <v>0</v>
          </cell>
          <cell r="X869">
            <v>0</v>
          </cell>
          <cell r="Y869">
            <v>0</v>
          </cell>
        </row>
        <row r="870">
          <cell r="R870">
            <v>0</v>
          </cell>
          <cell r="X870">
            <v>0</v>
          </cell>
          <cell r="Y870">
            <v>0</v>
          </cell>
        </row>
        <row r="871">
          <cell r="R871">
            <v>0.38</v>
          </cell>
          <cell r="X871">
            <v>287.60000000000002</v>
          </cell>
          <cell r="Y871">
            <v>193.58</v>
          </cell>
        </row>
        <row r="872">
          <cell r="R872">
            <v>8.8699999999999992</v>
          </cell>
          <cell r="X872">
            <v>5488.63</v>
          </cell>
          <cell r="Y872">
            <v>2647.46</v>
          </cell>
        </row>
        <row r="873">
          <cell r="R873">
            <v>0</v>
          </cell>
          <cell r="X873">
            <v>0</v>
          </cell>
          <cell r="Y873">
            <v>0</v>
          </cell>
        </row>
        <row r="874">
          <cell r="R874">
            <v>0</v>
          </cell>
          <cell r="X874">
            <v>0</v>
          </cell>
          <cell r="Y874">
            <v>0</v>
          </cell>
        </row>
        <row r="875">
          <cell r="R875">
            <v>0.59</v>
          </cell>
          <cell r="X875">
            <v>31.97</v>
          </cell>
          <cell r="Y875">
            <v>21.52</v>
          </cell>
        </row>
        <row r="876">
          <cell r="R876">
            <v>13.78</v>
          </cell>
          <cell r="X876">
            <v>610.11</v>
          </cell>
          <cell r="Y876">
            <v>294.29000000000002</v>
          </cell>
        </row>
        <row r="877">
          <cell r="R877">
            <v>0</v>
          </cell>
          <cell r="X877">
            <v>0</v>
          </cell>
          <cell r="Y877">
            <v>0</v>
          </cell>
        </row>
        <row r="878">
          <cell r="R878">
            <v>0</v>
          </cell>
          <cell r="X878">
            <v>0</v>
          </cell>
          <cell r="Y878">
            <v>0</v>
          </cell>
        </row>
        <row r="879">
          <cell r="R879">
            <v>2.0099999999999998</v>
          </cell>
          <cell r="X879">
            <v>37.799999999999997</v>
          </cell>
          <cell r="Y879">
            <v>31.13</v>
          </cell>
        </row>
        <row r="880">
          <cell r="R880">
            <v>46.93</v>
          </cell>
          <cell r="X880">
            <v>706.09</v>
          </cell>
          <cell r="Y880">
            <v>425.73</v>
          </cell>
        </row>
        <row r="881">
          <cell r="R881">
            <v>0</v>
          </cell>
          <cell r="X881">
            <v>0</v>
          </cell>
          <cell r="Y881">
            <v>0</v>
          </cell>
        </row>
        <row r="882">
          <cell r="R882">
            <v>0</v>
          </cell>
          <cell r="X882">
            <v>0</v>
          </cell>
          <cell r="Y882">
            <v>0</v>
          </cell>
        </row>
        <row r="883">
          <cell r="R883">
            <v>15.32</v>
          </cell>
          <cell r="X883">
            <v>723.9</v>
          </cell>
          <cell r="Y883">
            <v>487.24</v>
          </cell>
        </row>
        <row r="884">
          <cell r="R884">
            <v>357.72</v>
          </cell>
          <cell r="X884">
            <v>13815.05</v>
          </cell>
          <cell r="Y884">
            <v>6663.73</v>
          </cell>
        </row>
        <row r="885">
          <cell r="R885">
            <v>0</v>
          </cell>
          <cell r="X885">
            <v>0</v>
          </cell>
          <cell r="Y885">
            <v>0</v>
          </cell>
        </row>
        <row r="886">
          <cell r="R886">
            <v>0</v>
          </cell>
          <cell r="X886">
            <v>0</v>
          </cell>
          <cell r="Y886">
            <v>0</v>
          </cell>
        </row>
        <row r="887">
          <cell r="R887">
            <v>0</v>
          </cell>
          <cell r="X887">
            <v>0</v>
          </cell>
          <cell r="Y887">
            <v>0</v>
          </cell>
        </row>
        <row r="888">
          <cell r="R888">
            <v>0</v>
          </cell>
          <cell r="X888">
            <v>0</v>
          </cell>
          <cell r="Y888">
            <v>0</v>
          </cell>
        </row>
        <row r="936">
          <cell r="R936">
            <v>23.17</v>
          </cell>
          <cell r="X936">
            <v>520.70000000000005</v>
          </cell>
          <cell r="Y936">
            <v>350.47</v>
          </cell>
        </row>
        <row r="937">
          <cell r="R937">
            <v>541.02</v>
          </cell>
          <cell r="X937">
            <v>9937.0400000000009</v>
          </cell>
          <cell r="Y937">
            <v>4793.16</v>
          </cell>
        </row>
        <row r="938">
          <cell r="R938">
            <v>0</v>
          </cell>
          <cell r="X938">
            <v>0</v>
          </cell>
          <cell r="Y938">
            <v>0</v>
          </cell>
        </row>
        <row r="939">
          <cell r="R939">
            <v>0</v>
          </cell>
          <cell r="X939">
            <v>0</v>
          </cell>
          <cell r="Y939">
            <v>0</v>
          </cell>
        </row>
        <row r="952">
          <cell r="R952">
            <v>0.32</v>
          </cell>
          <cell r="X952">
            <v>66.12</v>
          </cell>
          <cell r="Y952">
            <v>44.51</v>
          </cell>
        </row>
        <row r="953">
          <cell r="R953">
            <v>7.47</v>
          </cell>
          <cell r="X953">
            <v>1261.9000000000001</v>
          </cell>
          <cell r="Y953">
            <v>608.67999999999995</v>
          </cell>
        </row>
        <row r="954">
          <cell r="R954">
            <v>0</v>
          </cell>
          <cell r="X954">
            <v>0</v>
          </cell>
          <cell r="Y954">
            <v>0</v>
          </cell>
        </row>
        <row r="955">
          <cell r="R955">
            <v>0</v>
          </cell>
          <cell r="X955">
            <v>0</v>
          </cell>
          <cell r="Y955">
            <v>0</v>
          </cell>
        </row>
        <row r="956">
          <cell r="R956">
            <v>0.56000000000000005</v>
          </cell>
          <cell r="X956">
            <v>416.8</v>
          </cell>
          <cell r="Y956">
            <v>280.54000000000002</v>
          </cell>
        </row>
        <row r="957">
          <cell r="R957">
            <v>13.08</v>
          </cell>
          <cell r="X957">
            <v>7954.28</v>
          </cell>
          <cell r="Y957">
            <v>3836.77</v>
          </cell>
        </row>
        <row r="958">
          <cell r="R958">
            <v>0</v>
          </cell>
          <cell r="X958">
            <v>0</v>
          </cell>
          <cell r="Y958">
            <v>0</v>
          </cell>
        </row>
        <row r="959">
          <cell r="R959">
            <v>0</v>
          </cell>
          <cell r="X959">
            <v>0</v>
          </cell>
          <cell r="Y959">
            <v>0</v>
          </cell>
        </row>
        <row r="960">
          <cell r="R960">
            <v>0.56999999999999995</v>
          </cell>
          <cell r="X960">
            <v>30.89</v>
          </cell>
          <cell r="Y960">
            <v>20.79</v>
          </cell>
        </row>
        <row r="961">
          <cell r="R961">
            <v>13.31</v>
          </cell>
          <cell r="X961">
            <v>589.48</v>
          </cell>
          <cell r="Y961">
            <v>284.33999999999997</v>
          </cell>
        </row>
        <row r="962">
          <cell r="R962">
            <v>0</v>
          </cell>
          <cell r="X962">
            <v>0</v>
          </cell>
          <cell r="Y962">
            <v>0</v>
          </cell>
        </row>
        <row r="963">
          <cell r="R963">
            <v>0</v>
          </cell>
          <cell r="X963">
            <v>0</v>
          </cell>
          <cell r="Y963">
            <v>0</v>
          </cell>
        </row>
        <row r="964">
          <cell r="R964">
            <v>2.91</v>
          </cell>
          <cell r="X964">
            <v>54.78</v>
          </cell>
          <cell r="Y964">
            <v>45.12</v>
          </cell>
        </row>
        <row r="965">
          <cell r="R965">
            <v>67.95</v>
          </cell>
          <cell r="X965">
            <v>1023.34</v>
          </cell>
          <cell r="Y965">
            <v>617.01</v>
          </cell>
        </row>
        <row r="966">
          <cell r="R966">
            <v>0</v>
          </cell>
          <cell r="X966">
            <v>0</v>
          </cell>
          <cell r="Y966">
            <v>0</v>
          </cell>
        </row>
        <row r="967">
          <cell r="R967">
            <v>0</v>
          </cell>
          <cell r="X967">
            <v>0</v>
          </cell>
          <cell r="Y967">
            <v>0</v>
          </cell>
        </row>
        <row r="978">
          <cell r="R978">
            <v>22.44</v>
          </cell>
          <cell r="X978">
            <v>1693.8</v>
          </cell>
          <cell r="Y978">
            <v>1140.06</v>
          </cell>
        </row>
        <row r="979">
          <cell r="R979">
            <v>523.97</v>
          </cell>
          <cell r="X979">
            <v>32324.63</v>
          </cell>
          <cell r="Y979">
            <v>15591.88</v>
          </cell>
        </row>
        <row r="980">
          <cell r="R980">
            <v>0</v>
          </cell>
          <cell r="X980">
            <v>0</v>
          </cell>
          <cell r="Y980">
            <v>0</v>
          </cell>
        </row>
        <row r="981">
          <cell r="R981">
            <v>0</v>
          </cell>
          <cell r="X981">
            <v>0</v>
          </cell>
          <cell r="Y981">
            <v>0</v>
          </cell>
        </row>
        <row r="982">
          <cell r="R982">
            <v>0</v>
          </cell>
          <cell r="X982">
            <v>0</v>
          </cell>
          <cell r="Y982">
            <v>0</v>
          </cell>
        </row>
        <row r="983">
          <cell r="R983">
            <v>0</v>
          </cell>
          <cell r="X983">
            <v>0</v>
          </cell>
          <cell r="Y983">
            <v>0</v>
          </cell>
        </row>
        <row r="984">
          <cell r="R984">
            <v>0</v>
          </cell>
          <cell r="X984">
            <v>0</v>
          </cell>
          <cell r="Y984">
            <v>0</v>
          </cell>
        </row>
        <row r="985">
          <cell r="R985">
            <v>0</v>
          </cell>
          <cell r="X985">
            <v>0</v>
          </cell>
          <cell r="Y985">
            <v>0</v>
          </cell>
        </row>
        <row r="1051">
          <cell r="R1051">
            <v>196.97</v>
          </cell>
          <cell r="X1051">
            <v>2586.1</v>
          </cell>
          <cell r="Y1051">
            <v>1724.07</v>
          </cell>
        </row>
        <row r="1052">
          <cell r="R1052">
            <v>4599.25</v>
          </cell>
          <cell r="X1052">
            <v>48883.4</v>
          </cell>
          <cell r="Y1052">
            <v>23579.05</v>
          </cell>
        </row>
        <row r="1055">
          <cell r="R1055">
            <v>0</v>
          </cell>
          <cell r="X1055">
            <v>0</v>
          </cell>
          <cell r="Y1055">
            <v>0</v>
          </cell>
        </row>
        <row r="1056">
          <cell r="R1056">
            <v>0</v>
          </cell>
          <cell r="X1056">
            <v>0</v>
          </cell>
          <cell r="Y1056">
            <v>0</v>
          </cell>
        </row>
        <row r="1057">
          <cell r="R1057">
            <v>0</v>
          </cell>
          <cell r="X1057">
            <v>0</v>
          </cell>
          <cell r="Y1057">
            <v>0</v>
          </cell>
        </row>
        <row r="1058">
          <cell r="R1058">
            <v>0</v>
          </cell>
          <cell r="X1058">
            <v>0</v>
          </cell>
          <cell r="Y1058">
            <v>0</v>
          </cell>
        </row>
        <row r="1059">
          <cell r="R1059">
            <v>0</v>
          </cell>
          <cell r="X1059">
            <v>0</v>
          </cell>
          <cell r="Y1059">
            <v>0</v>
          </cell>
        </row>
        <row r="1060">
          <cell r="R1060">
            <v>0</v>
          </cell>
          <cell r="X1060">
            <v>0</v>
          </cell>
          <cell r="Y1060">
            <v>0</v>
          </cell>
        </row>
        <row r="1067">
          <cell r="R1067">
            <v>0</v>
          </cell>
          <cell r="X1067">
            <v>0</v>
          </cell>
          <cell r="Y1067">
            <v>0</v>
          </cell>
        </row>
        <row r="1068">
          <cell r="R1068">
            <v>0</v>
          </cell>
          <cell r="X1068">
            <v>0</v>
          </cell>
          <cell r="Y1068">
            <v>0</v>
          </cell>
        </row>
        <row r="1069">
          <cell r="R1069">
            <v>0</v>
          </cell>
          <cell r="X1069">
            <v>0</v>
          </cell>
          <cell r="Y1069">
            <v>0</v>
          </cell>
        </row>
        <row r="1070">
          <cell r="R1070">
            <v>0</v>
          </cell>
          <cell r="X1070">
            <v>0</v>
          </cell>
          <cell r="Y1070">
            <v>0</v>
          </cell>
        </row>
        <row r="1075">
          <cell r="R1075">
            <v>0.44</v>
          </cell>
          <cell r="X1075">
            <v>64.56</v>
          </cell>
          <cell r="Y1075">
            <v>53.17</v>
          </cell>
        </row>
        <row r="1076">
          <cell r="R1076">
            <v>10.27</v>
          </cell>
          <cell r="X1076">
            <v>1205.93</v>
          </cell>
          <cell r="Y1076">
            <v>727.11</v>
          </cell>
        </row>
        <row r="1077">
          <cell r="R1077">
            <v>0</v>
          </cell>
          <cell r="X1077">
            <v>0</v>
          </cell>
          <cell r="Y1077">
            <v>0</v>
          </cell>
        </row>
        <row r="1078">
          <cell r="R1078">
            <v>0</v>
          </cell>
          <cell r="X1078">
            <v>0</v>
          </cell>
          <cell r="Y1078">
            <v>0</v>
          </cell>
        </row>
        <row r="1081">
          <cell r="R1081">
            <v>3.21</v>
          </cell>
          <cell r="X1081">
            <v>537.49</v>
          </cell>
          <cell r="Y1081">
            <v>442.64</v>
          </cell>
        </row>
        <row r="1082">
          <cell r="R1082">
            <v>74.95</v>
          </cell>
          <cell r="X1082">
            <v>10040.299999999999</v>
          </cell>
          <cell r="Y1082">
            <v>6053.71</v>
          </cell>
        </row>
        <row r="1083">
          <cell r="R1083">
            <v>0</v>
          </cell>
          <cell r="X1083">
            <v>0</v>
          </cell>
          <cell r="Y1083">
            <v>0</v>
          </cell>
        </row>
        <row r="1084">
          <cell r="R1084">
            <v>0</v>
          </cell>
          <cell r="X1084">
            <v>0</v>
          </cell>
          <cell r="Y1084">
            <v>0</v>
          </cell>
        </row>
        <row r="1085">
          <cell r="R1085">
            <v>0</v>
          </cell>
          <cell r="X1085">
            <v>0</v>
          </cell>
          <cell r="Y1085">
            <v>0</v>
          </cell>
        </row>
        <row r="1086">
          <cell r="R1086">
            <v>0</v>
          </cell>
          <cell r="X1086">
            <v>0</v>
          </cell>
          <cell r="Y1086">
            <v>0</v>
          </cell>
        </row>
        <row r="1087">
          <cell r="R1087">
            <v>0</v>
          </cell>
          <cell r="X1087">
            <v>0</v>
          </cell>
          <cell r="Y1087">
            <v>0</v>
          </cell>
        </row>
        <row r="1088">
          <cell r="R1088">
            <v>0</v>
          </cell>
          <cell r="X1088">
            <v>0</v>
          </cell>
          <cell r="Y1088">
            <v>0</v>
          </cell>
        </row>
        <row r="1089">
          <cell r="R1089">
            <v>0.9</v>
          </cell>
          <cell r="X1089">
            <v>124.58</v>
          </cell>
          <cell r="Y1089">
            <v>95.83</v>
          </cell>
        </row>
        <row r="1090">
          <cell r="R1090">
            <v>21.02</v>
          </cell>
          <cell r="X1090">
            <v>2333.5300000000002</v>
          </cell>
          <cell r="Y1090">
            <v>1310.6099999999999</v>
          </cell>
        </row>
        <row r="1091">
          <cell r="R1091">
            <v>0</v>
          </cell>
          <cell r="X1091">
            <v>0</v>
          </cell>
          <cell r="Y1091">
            <v>0</v>
          </cell>
        </row>
        <row r="1092">
          <cell r="R1092">
            <v>0</v>
          </cell>
          <cell r="X1092">
            <v>0</v>
          </cell>
          <cell r="Y1092">
            <v>0</v>
          </cell>
        </row>
        <row r="1093">
          <cell r="R1093">
            <v>2.5499999999999998</v>
          </cell>
          <cell r="X1093">
            <v>477.88</v>
          </cell>
          <cell r="Y1093">
            <v>318.58</v>
          </cell>
        </row>
        <row r="1094">
          <cell r="R1094">
            <v>59.54</v>
          </cell>
          <cell r="X1094">
            <v>9032.99</v>
          </cell>
          <cell r="Y1094">
            <v>4357.09</v>
          </cell>
        </row>
        <row r="1095">
          <cell r="R1095">
            <v>0</v>
          </cell>
          <cell r="X1095">
            <v>0</v>
          </cell>
          <cell r="Y1095">
            <v>0</v>
          </cell>
        </row>
        <row r="1096">
          <cell r="R1096">
            <v>0</v>
          </cell>
          <cell r="X1096">
            <v>0</v>
          </cell>
          <cell r="Y1096">
            <v>0</v>
          </cell>
        </row>
        <row r="1097">
          <cell r="R1097">
            <v>0</v>
          </cell>
          <cell r="X1097">
            <v>0</v>
          </cell>
          <cell r="Y1097">
            <v>0</v>
          </cell>
        </row>
        <row r="1098">
          <cell r="R1098">
            <v>0</v>
          </cell>
          <cell r="X1098">
            <v>0</v>
          </cell>
          <cell r="Y1098">
            <v>0</v>
          </cell>
        </row>
        <row r="1103">
          <cell r="R1103">
            <v>0.53</v>
          </cell>
          <cell r="X1103">
            <v>162.76</v>
          </cell>
          <cell r="Y1103">
            <v>134.04</v>
          </cell>
        </row>
        <row r="1104">
          <cell r="R1104">
            <v>12.38</v>
          </cell>
          <cell r="X1104">
            <v>3040.32</v>
          </cell>
          <cell r="Y1104">
            <v>1833.13</v>
          </cell>
        </row>
        <row r="1105">
          <cell r="R1105">
            <v>0</v>
          </cell>
          <cell r="X1105">
            <v>0</v>
          </cell>
          <cell r="Y1105">
            <v>0</v>
          </cell>
        </row>
        <row r="1106">
          <cell r="R1106">
            <v>0</v>
          </cell>
          <cell r="X1106">
            <v>0</v>
          </cell>
          <cell r="Y1106">
            <v>0</v>
          </cell>
        </row>
        <row r="1142">
          <cell r="R1142">
            <v>1889.99</v>
          </cell>
          <cell r="X1142">
            <v>0</v>
          </cell>
          <cell r="Y1142">
            <v>0</v>
          </cell>
        </row>
        <row r="1143">
          <cell r="R1143">
            <v>44131.27</v>
          </cell>
          <cell r="X1143">
            <v>0</v>
          </cell>
          <cell r="Y1143">
            <v>0</v>
          </cell>
        </row>
        <row r="1179">
          <cell r="R1179">
            <v>0</v>
          </cell>
          <cell r="X1179">
            <v>0</v>
          </cell>
          <cell r="Y1179">
            <v>0</v>
          </cell>
        </row>
        <row r="1180">
          <cell r="R1180">
            <v>0</v>
          </cell>
          <cell r="X1180">
            <v>0</v>
          </cell>
          <cell r="Y1180">
            <v>0</v>
          </cell>
        </row>
        <row r="1181">
          <cell r="R1181">
            <v>0</v>
          </cell>
          <cell r="X1181">
            <v>0</v>
          </cell>
          <cell r="Y1181">
            <v>0</v>
          </cell>
        </row>
        <row r="1182">
          <cell r="R1182">
            <v>0</v>
          </cell>
          <cell r="X1182">
            <v>0</v>
          </cell>
          <cell r="Y1182">
            <v>0</v>
          </cell>
        </row>
      </sheetData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28">
          <cell r="R28">
            <v>0</v>
          </cell>
          <cell r="X28">
            <v>251.23</v>
          </cell>
          <cell r="Y28">
            <v>193.26</v>
          </cell>
        </row>
        <row r="29">
          <cell r="R29">
            <v>0</v>
          </cell>
          <cell r="X29">
            <v>4705.92</v>
          </cell>
          <cell r="Y29">
            <v>2643.05</v>
          </cell>
        </row>
        <row r="30">
          <cell r="R30">
            <v>0</v>
          </cell>
          <cell r="X30">
            <v>0</v>
          </cell>
          <cell r="Y30">
            <v>0</v>
          </cell>
        </row>
        <row r="31">
          <cell r="R31">
            <v>0</v>
          </cell>
          <cell r="X31">
            <v>0</v>
          </cell>
          <cell r="Y31">
            <v>0</v>
          </cell>
        </row>
        <row r="32">
          <cell r="R32">
            <v>0</v>
          </cell>
          <cell r="X32">
            <v>25429.38</v>
          </cell>
          <cell r="Y32">
            <v>17482.7</v>
          </cell>
        </row>
        <row r="33">
          <cell r="R33">
            <v>0</v>
          </cell>
          <cell r="X33">
            <v>504709.7</v>
          </cell>
          <cell r="Y33">
            <v>304310.26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36">
          <cell r="R36">
            <v>383.81</v>
          </cell>
          <cell r="X36">
            <v>12459.66</v>
          </cell>
          <cell r="Y36">
            <v>8566.01</v>
          </cell>
        </row>
        <row r="37">
          <cell r="R37">
            <v>8961.9599999999991</v>
          </cell>
          <cell r="X37">
            <v>247293.02</v>
          </cell>
          <cell r="Y37">
            <v>149103.15</v>
          </cell>
        </row>
        <row r="38">
          <cell r="R38">
            <v>0</v>
          </cell>
          <cell r="X38">
            <v>0</v>
          </cell>
          <cell r="Y38">
            <v>0</v>
          </cell>
        </row>
        <row r="39">
          <cell r="R39">
            <v>0</v>
          </cell>
          <cell r="X39">
            <v>0</v>
          </cell>
          <cell r="Y39">
            <v>0</v>
          </cell>
        </row>
        <row r="40">
          <cell r="R40">
            <v>0</v>
          </cell>
          <cell r="X40">
            <v>673.87</v>
          </cell>
          <cell r="Y40">
            <v>463.29</v>
          </cell>
        </row>
        <row r="41">
          <cell r="R41">
            <v>0</v>
          </cell>
          <cell r="X41">
            <v>13374.68</v>
          </cell>
          <cell r="Y41">
            <v>8064.14</v>
          </cell>
        </row>
        <row r="42">
          <cell r="R42">
            <v>0</v>
          </cell>
          <cell r="X42">
            <v>0</v>
          </cell>
          <cell r="Y42">
            <v>0</v>
          </cell>
        </row>
        <row r="43">
          <cell r="R43">
            <v>0</v>
          </cell>
          <cell r="X43">
            <v>0</v>
          </cell>
          <cell r="Y43">
            <v>0</v>
          </cell>
        </row>
        <row r="44">
          <cell r="R44">
            <v>0</v>
          </cell>
          <cell r="X44">
            <v>814.44</v>
          </cell>
          <cell r="Y44">
            <v>559.92999999999995</v>
          </cell>
        </row>
        <row r="45">
          <cell r="R45">
            <v>0</v>
          </cell>
          <cell r="X45">
            <v>16164.6</v>
          </cell>
          <cell r="Y45">
            <v>9746.2999999999993</v>
          </cell>
        </row>
        <row r="46">
          <cell r="R46">
            <v>0</v>
          </cell>
          <cell r="X46">
            <v>0</v>
          </cell>
          <cell r="Y46">
            <v>0</v>
          </cell>
        </row>
        <row r="47">
          <cell r="R47">
            <v>0</v>
          </cell>
          <cell r="X47">
            <v>0</v>
          </cell>
          <cell r="Y47">
            <v>0</v>
          </cell>
        </row>
        <row r="48">
          <cell r="R48">
            <v>0</v>
          </cell>
          <cell r="X48">
            <v>129880.93</v>
          </cell>
          <cell r="Y48">
            <v>100362.53</v>
          </cell>
        </row>
        <row r="49">
          <cell r="R49">
            <v>0</v>
          </cell>
          <cell r="X49">
            <v>2426175.7200000002</v>
          </cell>
          <cell r="Y49">
            <v>1130377.32</v>
          </cell>
        </row>
        <row r="50">
          <cell r="R50">
            <v>0</v>
          </cell>
          <cell r="X50">
            <v>65927.899999999994</v>
          </cell>
          <cell r="Y50">
            <v>50944.28</v>
          </cell>
        </row>
        <row r="51">
          <cell r="R51">
            <v>0</v>
          </cell>
          <cell r="X51">
            <v>1231533.08</v>
          </cell>
          <cell r="Y51">
            <v>573782.46</v>
          </cell>
        </row>
        <row r="52">
          <cell r="R52">
            <v>0</v>
          </cell>
          <cell r="X52">
            <v>15984.54</v>
          </cell>
          <cell r="Y52">
            <v>12351.69</v>
          </cell>
        </row>
        <row r="53">
          <cell r="R53">
            <v>0</v>
          </cell>
          <cell r="X53">
            <v>298591.21000000002</v>
          </cell>
          <cell r="Y53">
            <v>139116.35999999999</v>
          </cell>
        </row>
        <row r="54">
          <cell r="R54">
            <v>0</v>
          </cell>
          <cell r="X54">
            <v>6292.53</v>
          </cell>
          <cell r="Y54">
            <v>4027.22</v>
          </cell>
        </row>
        <row r="55">
          <cell r="R55">
            <v>0</v>
          </cell>
          <cell r="X55">
            <v>119013.77</v>
          </cell>
          <cell r="Y55">
            <v>60241.54</v>
          </cell>
        </row>
        <row r="60">
          <cell r="R60">
            <v>0</v>
          </cell>
          <cell r="X60">
            <v>27266.12</v>
          </cell>
          <cell r="Y60">
            <v>20973.94</v>
          </cell>
        </row>
        <row r="61">
          <cell r="R61">
            <v>0</v>
          </cell>
          <cell r="X61">
            <v>510730.4</v>
          </cell>
          <cell r="Y61">
            <v>286848.58</v>
          </cell>
        </row>
        <row r="62">
          <cell r="R62">
            <v>0</v>
          </cell>
          <cell r="X62">
            <v>0</v>
          </cell>
          <cell r="Y62">
            <v>0</v>
          </cell>
        </row>
        <row r="63">
          <cell r="R63">
            <v>0</v>
          </cell>
          <cell r="X63">
            <v>0</v>
          </cell>
          <cell r="Y63">
            <v>0</v>
          </cell>
        </row>
        <row r="64">
          <cell r="R64">
            <v>0</v>
          </cell>
          <cell r="X64">
            <v>0</v>
          </cell>
          <cell r="Y64">
            <v>0</v>
          </cell>
        </row>
        <row r="65">
          <cell r="R65">
            <v>0</v>
          </cell>
          <cell r="X65">
            <v>0</v>
          </cell>
          <cell r="Y65">
            <v>0</v>
          </cell>
        </row>
        <row r="66">
          <cell r="R66">
            <v>0</v>
          </cell>
          <cell r="X66">
            <v>0</v>
          </cell>
          <cell r="Y66">
            <v>0</v>
          </cell>
        </row>
        <row r="67">
          <cell r="R67">
            <v>0</v>
          </cell>
          <cell r="X67">
            <v>0</v>
          </cell>
          <cell r="Y67">
            <v>0</v>
          </cell>
        </row>
        <row r="68">
          <cell r="R68">
            <v>0</v>
          </cell>
          <cell r="X68">
            <v>1633.66</v>
          </cell>
          <cell r="Y68">
            <v>1256.6600000000001</v>
          </cell>
        </row>
        <row r="69">
          <cell r="R69">
            <v>0</v>
          </cell>
          <cell r="X69">
            <v>30600.59</v>
          </cell>
          <cell r="Y69">
            <v>17186.63</v>
          </cell>
        </row>
        <row r="70">
          <cell r="R70">
            <v>0</v>
          </cell>
          <cell r="X70">
            <v>0</v>
          </cell>
          <cell r="Y70">
            <v>0</v>
          </cell>
        </row>
        <row r="71">
          <cell r="R71">
            <v>0</v>
          </cell>
          <cell r="X71">
            <v>0</v>
          </cell>
          <cell r="Y71">
            <v>0</v>
          </cell>
        </row>
        <row r="72">
          <cell r="R72">
            <v>0</v>
          </cell>
          <cell r="X72">
            <v>0</v>
          </cell>
          <cell r="Y72">
            <v>0</v>
          </cell>
        </row>
        <row r="73">
          <cell r="R73">
            <v>0</v>
          </cell>
          <cell r="X73">
            <v>0</v>
          </cell>
          <cell r="Y73">
            <v>0</v>
          </cell>
        </row>
        <row r="74">
          <cell r="R74">
            <v>0</v>
          </cell>
          <cell r="X74">
            <v>867.54</v>
          </cell>
          <cell r="Y74">
            <v>670.37</v>
          </cell>
        </row>
        <row r="75">
          <cell r="R75">
            <v>0</v>
          </cell>
          <cell r="X75">
            <v>16205.59</v>
          </cell>
          <cell r="Y75">
            <v>7550.33</v>
          </cell>
        </row>
        <row r="78">
          <cell r="R78">
            <v>0</v>
          </cell>
          <cell r="X78">
            <v>1735.13</v>
          </cell>
          <cell r="Y78">
            <v>1334.72</v>
          </cell>
        </row>
        <row r="79">
          <cell r="R79">
            <v>0</v>
          </cell>
          <cell r="X79">
            <v>32501.34</v>
          </cell>
          <cell r="Y79">
            <v>18254.18</v>
          </cell>
        </row>
        <row r="86">
          <cell r="R86">
            <v>0</v>
          </cell>
          <cell r="X86">
            <v>348.72</v>
          </cell>
          <cell r="Y86">
            <v>268.25</v>
          </cell>
        </row>
        <row r="87">
          <cell r="R87">
            <v>0</v>
          </cell>
          <cell r="X87">
            <v>6532</v>
          </cell>
          <cell r="Y87">
            <v>3668.66</v>
          </cell>
        </row>
        <row r="88">
          <cell r="R88">
            <v>0</v>
          </cell>
          <cell r="X88">
            <v>0</v>
          </cell>
          <cell r="Y88">
            <v>0</v>
          </cell>
        </row>
        <row r="89">
          <cell r="R89">
            <v>0</v>
          </cell>
          <cell r="X89">
            <v>0</v>
          </cell>
          <cell r="Y89">
            <v>0</v>
          </cell>
        </row>
        <row r="90">
          <cell r="R90">
            <v>0</v>
          </cell>
          <cell r="X90">
            <v>8477.7000000000007</v>
          </cell>
          <cell r="Y90">
            <v>6550.95</v>
          </cell>
        </row>
        <row r="91">
          <cell r="R91">
            <v>0</v>
          </cell>
          <cell r="X91">
            <v>158363.44</v>
          </cell>
          <cell r="Y91">
            <v>73782.960000000006</v>
          </cell>
        </row>
        <row r="92">
          <cell r="R92">
            <v>0</v>
          </cell>
          <cell r="X92">
            <v>0</v>
          </cell>
          <cell r="Y92">
            <v>0</v>
          </cell>
        </row>
        <row r="93">
          <cell r="R93">
            <v>0</v>
          </cell>
          <cell r="X93">
            <v>0</v>
          </cell>
          <cell r="Y93">
            <v>0</v>
          </cell>
        </row>
        <row r="96">
          <cell r="R96">
            <v>0</v>
          </cell>
          <cell r="X96">
            <v>440.46</v>
          </cell>
          <cell r="Y96">
            <v>340.36</v>
          </cell>
        </row>
        <row r="97">
          <cell r="R97">
            <v>0</v>
          </cell>
          <cell r="X97">
            <v>8227.83</v>
          </cell>
          <cell r="Y97">
            <v>3833.42</v>
          </cell>
        </row>
        <row r="98">
          <cell r="R98">
            <v>0</v>
          </cell>
          <cell r="X98">
            <v>0</v>
          </cell>
          <cell r="Y98">
            <v>0</v>
          </cell>
        </row>
        <row r="99">
          <cell r="R99">
            <v>0</v>
          </cell>
          <cell r="X99">
            <v>0</v>
          </cell>
          <cell r="Y99">
            <v>0</v>
          </cell>
        </row>
        <row r="100">
          <cell r="R100">
            <v>0</v>
          </cell>
          <cell r="X100">
            <v>4303.3</v>
          </cell>
          <cell r="Y100">
            <v>3325.28</v>
          </cell>
        </row>
        <row r="101">
          <cell r="R101">
            <v>0</v>
          </cell>
          <cell r="X101">
            <v>80385.62</v>
          </cell>
          <cell r="Y101">
            <v>37452.39</v>
          </cell>
        </row>
        <row r="102">
          <cell r="R102">
            <v>0</v>
          </cell>
          <cell r="X102">
            <v>0</v>
          </cell>
          <cell r="Y102">
            <v>0</v>
          </cell>
        </row>
        <row r="103">
          <cell r="R103">
            <v>0</v>
          </cell>
          <cell r="X103">
            <v>0</v>
          </cell>
          <cell r="Y103">
            <v>0</v>
          </cell>
        </row>
        <row r="106">
          <cell r="R106">
            <v>1.0900000000000001</v>
          </cell>
          <cell r="X106">
            <v>456.7</v>
          </cell>
          <cell r="Y106">
            <v>292.29000000000002</v>
          </cell>
        </row>
        <row r="107">
          <cell r="R107">
            <v>25.45</v>
          </cell>
          <cell r="X107">
            <v>8637.7999999999993</v>
          </cell>
          <cell r="Y107">
            <v>4372.22</v>
          </cell>
        </row>
        <row r="108">
          <cell r="R108">
            <v>0</v>
          </cell>
          <cell r="X108">
            <v>0</v>
          </cell>
          <cell r="Y108">
            <v>0</v>
          </cell>
        </row>
        <row r="109">
          <cell r="R109">
            <v>0</v>
          </cell>
          <cell r="X109">
            <v>0</v>
          </cell>
          <cell r="Y109">
            <v>0</v>
          </cell>
        </row>
        <row r="149">
          <cell r="R149">
            <v>0</v>
          </cell>
          <cell r="X149">
            <v>4695.7700000000004</v>
          </cell>
          <cell r="Y149">
            <v>3130.51</v>
          </cell>
        </row>
        <row r="150">
          <cell r="R150">
            <v>0</v>
          </cell>
          <cell r="X150">
            <v>88761.2</v>
          </cell>
          <cell r="Y150">
            <v>42814.23</v>
          </cell>
        </row>
        <row r="151">
          <cell r="R151">
            <v>0</v>
          </cell>
          <cell r="X151">
            <v>0</v>
          </cell>
          <cell r="Y151">
            <v>0</v>
          </cell>
        </row>
        <row r="152">
          <cell r="R152">
            <v>0</v>
          </cell>
          <cell r="X152">
            <v>0</v>
          </cell>
          <cell r="Y152">
            <v>0</v>
          </cell>
        </row>
        <row r="153">
          <cell r="R153">
            <v>0</v>
          </cell>
          <cell r="X153">
            <v>3111.57</v>
          </cell>
          <cell r="Y153">
            <v>2074.38</v>
          </cell>
        </row>
        <row r="154">
          <cell r="R154">
            <v>0</v>
          </cell>
          <cell r="X154">
            <v>58816.08</v>
          </cell>
          <cell r="Y154">
            <v>28370.11</v>
          </cell>
        </row>
        <row r="155">
          <cell r="R155">
            <v>0</v>
          </cell>
          <cell r="X155">
            <v>0</v>
          </cell>
          <cell r="Y155">
            <v>0</v>
          </cell>
        </row>
        <row r="156">
          <cell r="R156">
            <v>0</v>
          </cell>
          <cell r="X156">
            <v>0</v>
          </cell>
          <cell r="Y156">
            <v>0</v>
          </cell>
        </row>
        <row r="157">
          <cell r="R157">
            <v>0</v>
          </cell>
          <cell r="X157">
            <v>1567.91</v>
          </cell>
          <cell r="Y157">
            <v>1045.28</v>
          </cell>
        </row>
        <row r="158">
          <cell r="R158">
            <v>0</v>
          </cell>
          <cell r="X158">
            <v>29637.279999999999</v>
          </cell>
          <cell r="Y158">
            <v>14295.63</v>
          </cell>
        </row>
        <row r="159">
          <cell r="R159">
            <v>0</v>
          </cell>
          <cell r="X159">
            <v>0</v>
          </cell>
          <cell r="Y159">
            <v>0</v>
          </cell>
        </row>
        <row r="160">
          <cell r="R160">
            <v>0</v>
          </cell>
          <cell r="X160">
            <v>0</v>
          </cell>
          <cell r="Y160">
            <v>0</v>
          </cell>
        </row>
        <row r="161">
          <cell r="R161">
            <v>62.9</v>
          </cell>
          <cell r="X161">
            <v>70296.06</v>
          </cell>
          <cell r="Y161">
            <v>46864.04</v>
          </cell>
        </row>
        <row r="162">
          <cell r="R162">
            <v>1468.72</v>
          </cell>
          <cell r="X162">
            <v>1328762.93</v>
          </cell>
          <cell r="Y162">
            <v>640932.71</v>
          </cell>
        </row>
        <row r="163">
          <cell r="R163">
            <v>0</v>
          </cell>
          <cell r="X163">
            <v>0</v>
          </cell>
          <cell r="Y163">
            <v>0</v>
          </cell>
        </row>
        <row r="164">
          <cell r="R164">
            <v>0</v>
          </cell>
          <cell r="X164">
            <v>0</v>
          </cell>
          <cell r="Y164">
            <v>0</v>
          </cell>
        </row>
        <row r="165">
          <cell r="R165">
            <v>13.66</v>
          </cell>
          <cell r="X165">
            <v>31409.61</v>
          </cell>
          <cell r="Y165">
            <v>20939.740000000002</v>
          </cell>
        </row>
        <row r="166">
          <cell r="R166">
            <v>318.95999999999998</v>
          </cell>
          <cell r="X166">
            <v>593716.32999999996</v>
          </cell>
          <cell r="Y166">
            <v>286380.82</v>
          </cell>
        </row>
        <row r="167">
          <cell r="R167">
            <v>0</v>
          </cell>
          <cell r="X167">
            <v>0</v>
          </cell>
          <cell r="Y167">
            <v>0</v>
          </cell>
        </row>
        <row r="168">
          <cell r="R168">
            <v>0</v>
          </cell>
          <cell r="X168">
            <v>0</v>
          </cell>
          <cell r="Y168">
            <v>0</v>
          </cell>
        </row>
        <row r="169">
          <cell r="R169">
            <v>3.9</v>
          </cell>
          <cell r="X169">
            <v>13199</v>
          </cell>
          <cell r="Y169">
            <v>8799.34</v>
          </cell>
        </row>
        <row r="170">
          <cell r="R170">
            <v>91.07</v>
          </cell>
          <cell r="X170">
            <v>249492.6</v>
          </cell>
          <cell r="Y170">
            <v>120343.49</v>
          </cell>
        </row>
        <row r="171">
          <cell r="R171">
            <v>48.02</v>
          </cell>
          <cell r="X171">
            <v>305273.89</v>
          </cell>
          <cell r="Y171">
            <v>203515.93</v>
          </cell>
        </row>
        <row r="172">
          <cell r="R172">
            <v>1121.27</v>
          </cell>
          <cell r="X172">
            <v>5770403.4000000004</v>
          </cell>
          <cell r="Y172">
            <v>2783371.05</v>
          </cell>
        </row>
        <row r="173">
          <cell r="R173">
            <v>0</v>
          </cell>
          <cell r="X173">
            <v>0</v>
          </cell>
          <cell r="Y173">
            <v>0</v>
          </cell>
        </row>
        <row r="174">
          <cell r="R174">
            <v>0</v>
          </cell>
          <cell r="X174">
            <v>0</v>
          </cell>
          <cell r="Y174">
            <v>0</v>
          </cell>
        </row>
        <row r="175">
          <cell r="R175">
            <v>0.4</v>
          </cell>
          <cell r="X175">
            <v>1980.36</v>
          </cell>
          <cell r="Y175">
            <v>1320.24</v>
          </cell>
        </row>
        <row r="176">
          <cell r="R176">
            <v>9.34</v>
          </cell>
          <cell r="X176">
            <v>37433.58</v>
          </cell>
          <cell r="Y176">
            <v>18056.2</v>
          </cell>
        </row>
        <row r="177">
          <cell r="R177">
            <v>0</v>
          </cell>
          <cell r="X177">
            <v>0</v>
          </cell>
          <cell r="Y177">
            <v>0</v>
          </cell>
        </row>
        <row r="178">
          <cell r="R178">
            <v>0</v>
          </cell>
          <cell r="X178">
            <v>0</v>
          </cell>
          <cell r="Y178">
            <v>0</v>
          </cell>
        </row>
        <row r="179">
          <cell r="R179">
            <v>16.47</v>
          </cell>
          <cell r="X179">
            <v>116704.57</v>
          </cell>
          <cell r="Y179">
            <v>77803.05</v>
          </cell>
        </row>
        <row r="180">
          <cell r="R180">
            <v>384.57</v>
          </cell>
          <cell r="X180">
            <v>2205994.25</v>
          </cell>
          <cell r="Y180">
            <v>1064067.81</v>
          </cell>
        </row>
        <row r="181">
          <cell r="R181">
            <v>0</v>
          </cell>
          <cell r="X181">
            <v>0</v>
          </cell>
          <cell r="Y181">
            <v>0</v>
          </cell>
        </row>
        <row r="182">
          <cell r="R182">
            <v>0</v>
          </cell>
          <cell r="X182">
            <v>0</v>
          </cell>
          <cell r="Y182">
            <v>0</v>
          </cell>
        </row>
        <row r="183">
          <cell r="R183">
            <v>4.96</v>
          </cell>
          <cell r="X183">
            <v>10723.11</v>
          </cell>
          <cell r="Y183">
            <v>7148.74</v>
          </cell>
        </row>
        <row r="184">
          <cell r="R184">
            <v>115.82</v>
          </cell>
          <cell r="X184">
            <v>202692.39</v>
          </cell>
          <cell r="Y184">
            <v>97769.27</v>
          </cell>
        </row>
        <row r="185">
          <cell r="R185">
            <v>0</v>
          </cell>
          <cell r="X185">
            <v>0</v>
          </cell>
          <cell r="Y185">
            <v>0</v>
          </cell>
        </row>
        <row r="186">
          <cell r="R186">
            <v>0</v>
          </cell>
          <cell r="X186">
            <v>0</v>
          </cell>
          <cell r="Y186">
            <v>0</v>
          </cell>
        </row>
        <row r="187">
          <cell r="R187">
            <v>0</v>
          </cell>
          <cell r="X187">
            <v>0</v>
          </cell>
          <cell r="Y187">
            <v>0</v>
          </cell>
        </row>
        <row r="188">
          <cell r="R188">
            <v>0</v>
          </cell>
          <cell r="X188">
            <v>0</v>
          </cell>
          <cell r="Y188">
            <v>0</v>
          </cell>
        </row>
        <row r="189">
          <cell r="R189">
            <v>17.510000000000002</v>
          </cell>
          <cell r="X189">
            <v>42180.79</v>
          </cell>
          <cell r="Y189">
            <v>28120.53</v>
          </cell>
        </row>
        <row r="190">
          <cell r="R190">
            <v>408.86</v>
          </cell>
          <cell r="X190">
            <v>797317.34</v>
          </cell>
          <cell r="Y190">
            <v>384588.36</v>
          </cell>
        </row>
        <row r="191">
          <cell r="R191">
            <v>0</v>
          </cell>
          <cell r="X191">
            <v>0</v>
          </cell>
          <cell r="Y191">
            <v>0</v>
          </cell>
        </row>
        <row r="192">
          <cell r="R192">
            <v>0</v>
          </cell>
          <cell r="X192">
            <v>0</v>
          </cell>
          <cell r="Y192">
            <v>0</v>
          </cell>
        </row>
        <row r="193">
          <cell r="R193">
            <v>0</v>
          </cell>
          <cell r="X193">
            <v>2258.7199999999998</v>
          </cell>
          <cell r="Y193">
            <v>1581.11</v>
          </cell>
        </row>
        <row r="194">
          <cell r="R194">
            <v>0</v>
          </cell>
          <cell r="X194">
            <v>35600.31</v>
          </cell>
          <cell r="Y194">
            <v>18019.91</v>
          </cell>
        </row>
        <row r="195">
          <cell r="R195">
            <v>0</v>
          </cell>
          <cell r="X195">
            <v>0</v>
          </cell>
          <cell r="Y195">
            <v>0</v>
          </cell>
        </row>
        <row r="196">
          <cell r="R196">
            <v>0</v>
          </cell>
          <cell r="X196">
            <v>0</v>
          </cell>
          <cell r="Y196">
            <v>0</v>
          </cell>
        </row>
        <row r="197">
          <cell r="R197">
            <v>0</v>
          </cell>
          <cell r="X197">
            <v>2258.7199999999998</v>
          </cell>
          <cell r="Y197">
            <v>1581.11</v>
          </cell>
        </row>
        <row r="198">
          <cell r="R198">
            <v>0</v>
          </cell>
          <cell r="X198">
            <v>35600.31</v>
          </cell>
          <cell r="Y198">
            <v>18019.91</v>
          </cell>
        </row>
        <row r="199">
          <cell r="R199">
            <v>0</v>
          </cell>
          <cell r="X199">
            <v>0</v>
          </cell>
          <cell r="Y199">
            <v>0</v>
          </cell>
        </row>
        <row r="200">
          <cell r="R200">
            <v>0</v>
          </cell>
          <cell r="X200">
            <v>0</v>
          </cell>
          <cell r="Y200">
            <v>0</v>
          </cell>
        </row>
        <row r="201">
          <cell r="R201">
            <v>0</v>
          </cell>
          <cell r="X201">
            <v>113416.69</v>
          </cell>
          <cell r="Y201">
            <v>87640.17</v>
          </cell>
        </row>
        <row r="202">
          <cell r="R202">
            <v>0</v>
          </cell>
          <cell r="X202">
            <v>2118623.73</v>
          </cell>
          <cell r="Y202">
            <v>987086.06</v>
          </cell>
        </row>
        <row r="203">
          <cell r="R203">
            <v>0</v>
          </cell>
          <cell r="X203">
            <v>0</v>
          </cell>
          <cell r="Y203">
            <v>0</v>
          </cell>
        </row>
        <row r="204">
          <cell r="R204">
            <v>0</v>
          </cell>
          <cell r="X204">
            <v>0</v>
          </cell>
          <cell r="Y204">
            <v>0</v>
          </cell>
        </row>
        <row r="205">
          <cell r="R205">
            <v>0</v>
          </cell>
          <cell r="X205">
            <v>0</v>
          </cell>
          <cell r="Y205">
            <v>0</v>
          </cell>
        </row>
        <row r="206">
          <cell r="R206">
            <v>0</v>
          </cell>
          <cell r="X206">
            <v>0</v>
          </cell>
          <cell r="Y206">
            <v>0</v>
          </cell>
        </row>
        <row r="207">
          <cell r="R207">
            <v>0</v>
          </cell>
          <cell r="X207">
            <v>0</v>
          </cell>
          <cell r="Y207">
            <v>0</v>
          </cell>
        </row>
        <row r="208">
          <cell r="R208">
            <v>0</v>
          </cell>
          <cell r="X208">
            <v>0</v>
          </cell>
          <cell r="Y208">
            <v>0</v>
          </cell>
        </row>
        <row r="209">
          <cell r="R209">
            <v>0</v>
          </cell>
          <cell r="X209">
            <v>0</v>
          </cell>
          <cell r="Y209">
            <v>0</v>
          </cell>
        </row>
        <row r="210">
          <cell r="R210">
            <v>0</v>
          </cell>
          <cell r="X210">
            <v>0</v>
          </cell>
          <cell r="Y210">
            <v>0</v>
          </cell>
        </row>
        <row r="211">
          <cell r="R211">
            <v>0</v>
          </cell>
          <cell r="X211">
            <v>0</v>
          </cell>
          <cell r="Y211">
            <v>0</v>
          </cell>
        </row>
        <row r="212">
          <cell r="R212">
            <v>0</v>
          </cell>
          <cell r="X212">
            <v>0</v>
          </cell>
          <cell r="Y212">
            <v>0</v>
          </cell>
        </row>
        <row r="213">
          <cell r="R213">
            <v>0</v>
          </cell>
          <cell r="X213">
            <v>0</v>
          </cell>
          <cell r="Y213">
            <v>0</v>
          </cell>
        </row>
        <row r="214">
          <cell r="R214">
            <v>0</v>
          </cell>
          <cell r="X214">
            <v>0</v>
          </cell>
          <cell r="Y214">
            <v>0</v>
          </cell>
        </row>
        <row r="215">
          <cell r="R215">
            <v>0</v>
          </cell>
          <cell r="X215">
            <v>0</v>
          </cell>
          <cell r="Y215">
            <v>0</v>
          </cell>
        </row>
        <row r="216">
          <cell r="R216">
            <v>0</v>
          </cell>
          <cell r="X216">
            <v>0</v>
          </cell>
          <cell r="Y216">
            <v>0</v>
          </cell>
        </row>
        <row r="217">
          <cell r="R217">
            <v>0</v>
          </cell>
          <cell r="X217">
            <v>0</v>
          </cell>
          <cell r="Y217">
            <v>0</v>
          </cell>
        </row>
        <row r="218">
          <cell r="R218">
            <v>0</v>
          </cell>
          <cell r="X218">
            <v>0</v>
          </cell>
          <cell r="Y218">
            <v>0</v>
          </cell>
        </row>
        <row r="221">
          <cell r="R221">
            <v>0</v>
          </cell>
          <cell r="X221">
            <v>7775.02</v>
          </cell>
          <cell r="Y221">
            <v>6007.97</v>
          </cell>
        </row>
        <row r="222">
          <cell r="R222">
            <v>0</v>
          </cell>
          <cell r="X222">
            <v>145237.37</v>
          </cell>
          <cell r="Y222">
            <v>67667.41</v>
          </cell>
        </row>
        <row r="223">
          <cell r="R223">
            <v>0</v>
          </cell>
          <cell r="X223">
            <v>111139.07</v>
          </cell>
          <cell r="Y223">
            <v>85880.19</v>
          </cell>
        </row>
        <row r="224">
          <cell r="R224">
            <v>0</v>
          </cell>
          <cell r="X224">
            <v>2076077.86</v>
          </cell>
          <cell r="Y224">
            <v>967263.55</v>
          </cell>
        </row>
        <row r="225">
          <cell r="R225">
            <v>0</v>
          </cell>
          <cell r="X225">
            <v>0</v>
          </cell>
          <cell r="Y225">
            <v>0</v>
          </cell>
        </row>
        <row r="226">
          <cell r="R226">
            <v>0</v>
          </cell>
          <cell r="X226">
            <v>0</v>
          </cell>
          <cell r="Y226">
            <v>0</v>
          </cell>
        </row>
        <row r="227">
          <cell r="R227">
            <v>0</v>
          </cell>
          <cell r="X227">
            <v>0</v>
          </cell>
          <cell r="Y227">
            <v>0</v>
          </cell>
        </row>
        <row r="228">
          <cell r="R228">
            <v>0</v>
          </cell>
          <cell r="X228">
            <v>0</v>
          </cell>
          <cell r="Y228">
            <v>0</v>
          </cell>
        </row>
        <row r="229">
          <cell r="R229">
            <v>0</v>
          </cell>
          <cell r="X229">
            <v>0</v>
          </cell>
          <cell r="Y229">
            <v>0</v>
          </cell>
        </row>
        <row r="230">
          <cell r="R230">
            <v>0</v>
          </cell>
          <cell r="X230">
            <v>0</v>
          </cell>
          <cell r="Y230">
            <v>0</v>
          </cell>
        </row>
        <row r="231">
          <cell r="R231">
            <v>0</v>
          </cell>
          <cell r="X231">
            <v>11785.75</v>
          </cell>
          <cell r="Y231">
            <v>9107.17</v>
          </cell>
        </row>
        <row r="232">
          <cell r="R232">
            <v>0</v>
          </cell>
          <cell r="X232">
            <v>220157.85</v>
          </cell>
          <cell r="Y232">
            <v>102573.54</v>
          </cell>
        </row>
        <row r="268">
          <cell r="R268">
            <v>0</v>
          </cell>
          <cell r="X268">
            <v>8.82</v>
          </cell>
          <cell r="Y268">
            <v>5.88</v>
          </cell>
        </row>
        <row r="269">
          <cell r="R269">
            <v>0</v>
          </cell>
          <cell r="X269">
            <v>166.72</v>
          </cell>
          <cell r="Y269">
            <v>80.42</v>
          </cell>
        </row>
        <row r="270">
          <cell r="R270">
            <v>0</v>
          </cell>
          <cell r="X270">
            <v>0</v>
          </cell>
          <cell r="Y270">
            <v>0</v>
          </cell>
        </row>
        <row r="271">
          <cell r="R271">
            <v>0</v>
          </cell>
          <cell r="X271">
            <v>0</v>
          </cell>
          <cell r="Y271">
            <v>0</v>
          </cell>
        </row>
        <row r="272">
          <cell r="R272">
            <v>0</v>
          </cell>
          <cell r="X272">
            <v>75.430000000000007</v>
          </cell>
          <cell r="Y272">
            <v>50.29</v>
          </cell>
        </row>
        <row r="273">
          <cell r="R273">
            <v>0</v>
          </cell>
          <cell r="X273">
            <v>1425.84</v>
          </cell>
          <cell r="Y273">
            <v>687.76</v>
          </cell>
        </row>
        <row r="274">
          <cell r="R274">
            <v>0</v>
          </cell>
          <cell r="X274">
            <v>0</v>
          </cell>
          <cell r="Y274">
            <v>0</v>
          </cell>
        </row>
        <row r="275">
          <cell r="R275">
            <v>0</v>
          </cell>
          <cell r="X275">
            <v>0</v>
          </cell>
          <cell r="Y275">
            <v>0</v>
          </cell>
        </row>
        <row r="276">
          <cell r="R276">
            <v>0</v>
          </cell>
          <cell r="X276">
            <v>18.46</v>
          </cell>
          <cell r="Y276">
            <v>12.31</v>
          </cell>
        </row>
        <row r="277">
          <cell r="R277">
            <v>0</v>
          </cell>
          <cell r="X277">
            <v>348.92</v>
          </cell>
          <cell r="Y277">
            <v>168.3</v>
          </cell>
        </row>
        <row r="278">
          <cell r="R278">
            <v>0</v>
          </cell>
          <cell r="X278">
            <v>0</v>
          </cell>
          <cell r="Y278">
            <v>0</v>
          </cell>
        </row>
        <row r="279">
          <cell r="R279">
            <v>0</v>
          </cell>
          <cell r="X279">
            <v>0</v>
          </cell>
          <cell r="Y279">
            <v>0</v>
          </cell>
        </row>
        <row r="280">
          <cell r="R280">
            <v>0</v>
          </cell>
          <cell r="X280">
            <v>15.25</v>
          </cell>
          <cell r="Y280">
            <v>10.16</v>
          </cell>
        </row>
        <row r="281">
          <cell r="R281">
            <v>0</v>
          </cell>
          <cell r="X281">
            <v>288.18</v>
          </cell>
          <cell r="Y281">
            <v>139.01</v>
          </cell>
        </row>
        <row r="282">
          <cell r="R282">
            <v>0</v>
          </cell>
          <cell r="X282">
            <v>0</v>
          </cell>
          <cell r="Y282">
            <v>0</v>
          </cell>
        </row>
        <row r="283">
          <cell r="R283">
            <v>0</v>
          </cell>
          <cell r="X283">
            <v>0</v>
          </cell>
          <cell r="Y283">
            <v>0</v>
          </cell>
        </row>
        <row r="284">
          <cell r="R284">
            <v>0.82</v>
          </cell>
          <cell r="X284">
            <v>913.32</v>
          </cell>
          <cell r="Y284">
            <v>608.88</v>
          </cell>
        </row>
        <row r="285">
          <cell r="R285">
            <v>19.149999999999999</v>
          </cell>
          <cell r="X285">
            <v>17263.95</v>
          </cell>
          <cell r="Y285">
            <v>8327.32</v>
          </cell>
        </row>
        <row r="286">
          <cell r="R286">
            <v>0</v>
          </cell>
          <cell r="X286">
            <v>0</v>
          </cell>
          <cell r="Y286">
            <v>0</v>
          </cell>
        </row>
        <row r="287">
          <cell r="R287">
            <v>0</v>
          </cell>
          <cell r="X287">
            <v>0</v>
          </cell>
          <cell r="Y287">
            <v>0</v>
          </cell>
        </row>
        <row r="288">
          <cell r="R288">
            <v>0.65</v>
          </cell>
          <cell r="X288">
            <v>1485.89</v>
          </cell>
          <cell r="Y288">
            <v>990.59</v>
          </cell>
        </row>
        <row r="289">
          <cell r="R289">
            <v>15.18</v>
          </cell>
          <cell r="X289">
            <v>28086.799999999999</v>
          </cell>
          <cell r="Y289">
            <v>13547.75</v>
          </cell>
        </row>
        <row r="290">
          <cell r="R290">
            <v>0</v>
          </cell>
          <cell r="X290">
            <v>0</v>
          </cell>
          <cell r="Y290">
            <v>0</v>
          </cell>
        </row>
        <row r="291">
          <cell r="R291">
            <v>0</v>
          </cell>
          <cell r="X291">
            <v>0</v>
          </cell>
          <cell r="Y291">
            <v>0</v>
          </cell>
        </row>
        <row r="292">
          <cell r="R292">
            <v>0.18</v>
          </cell>
          <cell r="X292">
            <v>1055.18</v>
          </cell>
          <cell r="Y292">
            <v>703.45</v>
          </cell>
        </row>
        <row r="293">
          <cell r="R293">
            <v>4.2</v>
          </cell>
          <cell r="X293">
            <v>19945.349999999999</v>
          </cell>
          <cell r="Y293">
            <v>9620.7000000000007</v>
          </cell>
        </row>
        <row r="294">
          <cell r="R294">
            <v>0</v>
          </cell>
          <cell r="X294">
            <v>0</v>
          </cell>
          <cell r="Y294">
            <v>0</v>
          </cell>
        </row>
        <row r="295">
          <cell r="R295">
            <v>0</v>
          </cell>
          <cell r="X295">
            <v>0</v>
          </cell>
          <cell r="Y295">
            <v>0</v>
          </cell>
        </row>
        <row r="296">
          <cell r="R296">
            <v>0.03</v>
          </cell>
          <cell r="X296">
            <v>64.88</v>
          </cell>
          <cell r="Y296">
            <v>43.25</v>
          </cell>
        </row>
        <row r="297">
          <cell r="R297">
            <v>0.7</v>
          </cell>
          <cell r="X297">
            <v>1226.3800000000001</v>
          </cell>
          <cell r="Y297">
            <v>591.54999999999995</v>
          </cell>
        </row>
        <row r="298">
          <cell r="R298">
            <v>0</v>
          </cell>
          <cell r="X298">
            <v>0</v>
          </cell>
          <cell r="Y298">
            <v>0</v>
          </cell>
        </row>
        <row r="299">
          <cell r="R299">
            <v>0</v>
          </cell>
          <cell r="X299">
            <v>0</v>
          </cell>
          <cell r="Y299">
            <v>0</v>
          </cell>
        </row>
        <row r="300">
          <cell r="R300">
            <v>0</v>
          </cell>
          <cell r="X300">
            <v>0</v>
          </cell>
          <cell r="Y300">
            <v>0</v>
          </cell>
        </row>
        <row r="301">
          <cell r="R301">
            <v>0</v>
          </cell>
          <cell r="X301">
            <v>0</v>
          </cell>
          <cell r="Y301">
            <v>0</v>
          </cell>
        </row>
        <row r="302">
          <cell r="R302">
            <v>1.99</v>
          </cell>
          <cell r="X302">
            <v>3424.07</v>
          </cell>
          <cell r="Y302">
            <v>2282.71</v>
          </cell>
        </row>
        <row r="303">
          <cell r="R303">
            <v>46.47</v>
          </cell>
          <cell r="X303">
            <v>64723.1</v>
          </cell>
          <cell r="Y303">
            <v>31219.38</v>
          </cell>
        </row>
        <row r="304">
          <cell r="R304">
            <v>0</v>
          </cell>
          <cell r="X304">
            <v>0</v>
          </cell>
          <cell r="Y304">
            <v>0</v>
          </cell>
        </row>
        <row r="305">
          <cell r="R305">
            <v>0</v>
          </cell>
          <cell r="X305">
            <v>0</v>
          </cell>
          <cell r="Y305">
            <v>0</v>
          </cell>
        </row>
        <row r="306">
          <cell r="R306">
            <v>0</v>
          </cell>
          <cell r="X306">
            <v>197.69</v>
          </cell>
          <cell r="Y306">
            <v>131.80000000000001</v>
          </cell>
        </row>
        <row r="307">
          <cell r="R307">
            <v>0</v>
          </cell>
          <cell r="X307">
            <v>3736.89</v>
          </cell>
          <cell r="Y307">
            <v>1802.5</v>
          </cell>
        </row>
        <row r="308">
          <cell r="R308">
            <v>0</v>
          </cell>
          <cell r="X308">
            <v>0</v>
          </cell>
          <cell r="Y308">
            <v>0</v>
          </cell>
        </row>
        <row r="309">
          <cell r="R309">
            <v>0</v>
          </cell>
          <cell r="X309">
            <v>0</v>
          </cell>
          <cell r="Y309">
            <v>0</v>
          </cell>
        </row>
        <row r="310">
          <cell r="R310">
            <v>0</v>
          </cell>
          <cell r="X310">
            <v>66.22</v>
          </cell>
          <cell r="Y310">
            <v>46.35</v>
          </cell>
        </row>
        <row r="311">
          <cell r="R311">
            <v>0</v>
          </cell>
          <cell r="X311">
            <v>1043.6400000000001</v>
          </cell>
          <cell r="Y311">
            <v>528.26</v>
          </cell>
        </row>
        <row r="312">
          <cell r="R312">
            <v>0</v>
          </cell>
          <cell r="X312">
            <v>0</v>
          </cell>
          <cell r="Y312">
            <v>0</v>
          </cell>
        </row>
        <row r="313">
          <cell r="R313">
            <v>0</v>
          </cell>
          <cell r="X313">
            <v>0</v>
          </cell>
          <cell r="Y313">
            <v>0</v>
          </cell>
        </row>
        <row r="314">
          <cell r="R314">
            <v>0</v>
          </cell>
          <cell r="X314">
            <v>66.22</v>
          </cell>
          <cell r="Y314">
            <v>46.35</v>
          </cell>
        </row>
        <row r="315">
          <cell r="R315">
            <v>0</v>
          </cell>
          <cell r="X315">
            <v>1043.6400000000001</v>
          </cell>
          <cell r="Y315">
            <v>528.26</v>
          </cell>
        </row>
        <row r="316">
          <cell r="R316">
            <v>0</v>
          </cell>
          <cell r="X316">
            <v>0</v>
          </cell>
          <cell r="Y316">
            <v>0</v>
          </cell>
        </row>
        <row r="317">
          <cell r="R317">
            <v>0</v>
          </cell>
          <cell r="X317">
            <v>0</v>
          </cell>
          <cell r="Y317">
            <v>0</v>
          </cell>
        </row>
        <row r="318">
          <cell r="R318">
            <v>0</v>
          </cell>
          <cell r="X318">
            <v>1845.23</v>
          </cell>
          <cell r="Y318">
            <v>1425.86</v>
          </cell>
        </row>
        <row r="319">
          <cell r="R319">
            <v>0</v>
          </cell>
          <cell r="X319">
            <v>34468.86</v>
          </cell>
          <cell r="Y319">
            <v>16059.36</v>
          </cell>
        </row>
        <row r="320">
          <cell r="R320">
            <v>0</v>
          </cell>
          <cell r="X320">
            <v>0</v>
          </cell>
          <cell r="Y320">
            <v>0</v>
          </cell>
        </row>
        <row r="321">
          <cell r="R321">
            <v>0</v>
          </cell>
          <cell r="X321">
            <v>0</v>
          </cell>
          <cell r="Y321">
            <v>0</v>
          </cell>
        </row>
        <row r="322">
          <cell r="R322">
            <v>0</v>
          </cell>
          <cell r="X322">
            <v>0</v>
          </cell>
          <cell r="Y322">
            <v>0</v>
          </cell>
        </row>
        <row r="323">
          <cell r="R323">
            <v>0</v>
          </cell>
          <cell r="X323">
            <v>0</v>
          </cell>
          <cell r="Y323">
            <v>0</v>
          </cell>
        </row>
        <row r="324">
          <cell r="R324">
            <v>0</v>
          </cell>
          <cell r="X324">
            <v>0</v>
          </cell>
          <cell r="Y324">
            <v>0</v>
          </cell>
        </row>
        <row r="325">
          <cell r="R325">
            <v>0</v>
          </cell>
          <cell r="X325">
            <v>0</v>
          </cell>
          <cell r="Y325">
            <v>0</v>
          </cell>
        </row>
        <row r="326">
          <cell r="R326">
            <v>0</v>
          </cell>
          <cell r="X326">
            <v>0</v>
          </cell>
          <cell r="Y326">
            <v>0</v>
          </cell>
        </row>
        <row r="327">
          <cell r="R327">
            <v>0</v>
          </cell>
          <cell r="X327">
            <v>0</v>
          </cell>
          <cell r="Y327">
            <v>0</v>
          </cell>
        </row>
        <row r="328">
          <cell r="R328">
            <v>0</v>
          </cell>
          <cell r="X328">
            <v>55.31</v>
          </cell>
          <cell r="Y328">
            <v>42.74</v>
          </cell>
        </row>
        <row r="329">
          <cell r="R329">
            <v>0</v>
          </cell>
          <cell r="X329">
            <v>1033.1600000000001</v>
          </cell>
          <cell r="Y329">
            <v>481.36</v>
          </cell>
        </row>
        <row r="330">
          <cell r="R330">
            <v>0</v>
          </cell>
          <cell r="X330">
            <v>1053.0999999999999</v>
          </cell>
          <cell r="Y330">
            <v>813.76</v>
          </cell>
        </row>
        <row r="331">
          <cell r="R331">
            <v>0</v>
          </cell>
          <cell r="X331">
            <v>19671.84</v>
          </cell>
          <cell r="Y331">
            <v>9165.2900000000009</v>
          </cell>
        </row>
        <row r="332">
          <cell r="R332">
            <v>0</v>
          </cell>
          <cell r="X332">
            <v>0</v>
          </cell>
          <cell r="Y332">
            <v>0</v>
          </cell>
        </row>
        <row r="333">
          <cell r="R333">
            <v>0</v>
          </cell>
          <cell r="X333">
            <v>0</v>
          </cell>
          <cell r="Y333">
            <v>0</v>
          </cell>
        </row>
        <row r="338">
          <cell r="R338">
            <v>0</v>
          </cell>
          <cell r="X338">
            <v>0</v>
          </cell>
          <cell r="Y338">
            <v>0</v>
          </cell>
        </row>
        <row r="339">
          <cell r="R339">
            <v>0</v>
          </cell>
          <cell r="X339">
            <v>0</v>
          </cell>
          <cell r="Y339">
            <v>0</v>
          </cell>
        </row>
        <row r="342">
          <cell r="R342">
            <v>0</v>
          </cell>
          <cell r="X342">
            <v>0</v>
          </cell>
          <cell r="Y342">
            <v>0</v>
          </cell>
        </row>
        <row r="343">
          <cell r="R343">
            <v>0</v>
          </cell>
          <cell r="X343">
            <v>0</v>
          </cell>
          <cell r="Y343">
            <v>0</v>
          </cell>
        </row>
        <row r="344">
          <cell r="R344">
            <v>0</v>
          </cell>
          <cell r="X344">
            <v>0</v>
          </cell>
          <cell r="Y344">
            <v>0</v>
          </cell>
        </row>
        <row r="345">
          <cell r="R345">
            <v>0</v>
          </cell>
          <cell r="X345">
            <v>0</v>
          </cell>
          <cell r="Y345">
            <v>0</v>
          </cell>
        </row>
        <row r="346">
          <cell r="R346">
            <v>0</v>
          </cell>
          <cell r="X346">
            <v>45.06</v>
          </cell>
          <cell r="Y346">
            <v>34.82</v>
          </cell>
        </row>
        <row r="347">
          <cell r="R347">
            <v>0</v>
          </cell>
          <cell r="X347">
            <v>841.65</v>
          </cell>
          <cell r="Y347">
            <v>392.13</v>
          </cell>
        </row>
        <row r="348">
          <cell r="R348">
            <v>0</v>
          </cell>
          <cell r="X348">
            <v>453.33</v>
          </cell>
          <cell r="Y348">
            <v>350.3</v>
          </cell>
        </row>
        <row r="349">
          <cell r="R349">
            <v>0</v>
          </cell>
          <cell r="X349">
            <v>8468.24</v>
          </cell>
          <cell r="Y349">
            <v>3945.43</v>
          </cell>
        </row>
        <row r="354">
          <cell r="R354">
            <v>0</v>
          </cell>
          <cell r="X354">
            <v>0</v>
          </cell>
          <cell r="Y354">
            <v>0</v>
          </cell>
        </row>
        <row r="355">
          <cell r="R355">
            <v>0</v>
          </cell>
          <cell r="X355">
            <v>0</v>
          </cell>
          <cell r="Y355">
            <v>0</v>
          </cell>
        </row>
        <row r="358">
          <cell r="R358">
            <v>0</v>
          </cell>
          <cell r="X358">
            <v>0</v>
          </cell>
          <cell r="Y358">
            <v>0</v>
          </cell>
        </row>
        <row r="359">
          <cell r="R359">
            <v>0</v>
          </cell>
          <cell r="X359">
            <v>0</v>
          </cell>
          <cell r="Y359">
            <v>0</v>
          </cell>
        </row>
        <row r="360">
          <cell r="R360">
            <v>0</v>
          </cell>
          <cell r="X360">
            <v>33.42</v>
          </cell>
          <cell r="Y360">
            <v>25.82</v>
          </cell>
        </row>
        <row r="361">
          <cell r="R361">
            <v>0</v>
          </cell>
          <cell r="X361">
            <v>624.25</v>
          </cell>
          <cell r="Y361">
            <v>290.83999999999997</v>
          </cell>
        </row>
        <row r="362">
          <cell r="R362">
            <v>0.05</v>
          </cell>
          <cell r="X362">
            <v>10.7</v>
          </cell>
          <cell r="Y362">
            <v>7.49</v>
          </cell>
        </row>
        <row r="363">
          <cell r="R363">
            <v>1.17</v>
          </cell>
          <cell r="X363">
            <v>177.04</v>
          </cell>
          <cell r="Y363">
            <v>85.39</v>
          </cell>
        </row>
        <row r="364">
          <cell r="R364">
            <v>0</v>
          </cell>
          <cell r="X364">
            <v>0</v>
          </cell>
          <cell r="Y364">
            <v>0</v>
          </cell>
        </row>
        <row r="365">
          <cell r="R365">
            <v>0</v>
          </cell>
          <cell r="X365">
            <v>0</v>
          </cell>
          <cell r="Y365">
            <v>0</v>
          </cell>
        </row>
        <row r="368">
          <cell r="R368">
            <v>0</v>
          </cell>
          <cell r="X368">
            <v>917</v>
          </cell>
          <cell r="Y368">
            <v>708.59</v>
          </cell>
        </row>
        <row r="369">
          <cell r="R369">
            <v>0</v>
          </cell>
          <cell r="X369">
            <v>17129.63</v>
          </cell>
          <cell r="Y369">
            <v>7980.85</v>
          </cell>
        </row>
        <row r="370">
          <cell r="R370">
            <v>0</v>
          </cell>
          <cell r="X370">
            <v>0</v>
          </cell>
          <cell r="Y370">
            <v>0</v>
          </cell>
        </row>
        <row r="371">
          <cell r="R371">
            <v>0</v>
          </cell>
          <cell r="X371">
            <v>0</v>
          </cell>
          <cell r="Y371">
            <v>0</v>
          </cell>
        </row>
        <row r="372">
          <cell r="R372">
            <v>0</v>
          </cell>
          <cell r="X372">
            <v>0</v>
          </cell>
          <cell r="Y372">
            <v>0</v>
          </cell>
        </row>
        <row r="373">
          <cell r="R373">
            <v>0</v>
          </cell>
          <cell r="X373">
            <v>0</v>
          </cell>
          <cell r="Y373">
            <v>0</v>
          </cell>
        </row>
        <row r="374">
          <cell r="R374">
            <v>0</v>
          </cell>
          <cell r="X374">
            <v>0</v>
          </cell>
          <cell r="Y374">
            <v>0</v>
          </cell>
        </row>
        <row r="375">
          <cell r="R375">
            <v>0</v>
          </cell>
          <cell r="X375">
            <v>0</v>
          </cell>
          <cell r="Y375">
            <v>0</v>
          </cell>
        </row>
        <row r="376">
          <cell r="R376">
            <v>0</v>
          </cell>
          <cell r="X376">
            <v>0</v>
          </cell>
          <cell r="Y376">
            <v>0</v>
          </cell>
        </row>
        <row r="377">
          <cell r="R377">
            <v>0</v>
          </cell>
          <cell r="X377">
            <v>0</v>
          </cell>
          <cell r="Y377">
            <v>0</v>
          </cell>
        </row>
        <row r="378">
          <cell r="R378">
            <v>0</v>
          </cell>
          <cell r="X378">
            <v>0</v>
          </cell>
          <cell r="Y378">
            <v>0</v>
          </cell>
        </row>
        <row r="379">
          <cell r="R379">
            <v>0</v>
          </cell>
          <cell r="X379">
            <v>0</v>
          </cell>
          <cell r="Y379">
            <v>0</v>
          </cell>
        </row>
        <row r="380">
          <cell r="R380">
            <v>0</v>
          </cell>
          <cell r="X380">
            <v>21.47</v>
          </cell>
          <cell r="Y380">
            <v>16.59</v>
          </cell>
        </row>
        <row r="381">
          <cell r="R381">
            <v>0</v>
          </cell>
          <cell r="X381">
            <v>401.1</v>
          </cell>
          <cell r="Y381">
            <v>186.87</v>
          </cell>
        </row>
        <row r="417">
          <cell r="R417">
            <v>0.56000000000000005</v>
          </cell>
          <cell r="X417">
            <v>872.47</v>
          </cell>
          <cell r="Y417">
            <v>581.64</v>
          </cell>
        </row>
        <row r="418">
          <cell r="R418">
            <v>13.08</v>
          </cell>
          <cell r="X418">
            <v>16491.68</v>
          </cell>
          <cell r="Y418">
            <v>7954.81</v>
          </cell>
        </row>
        <row r="419">
          <cell r="R419">
            <v>0</v>
          </cell>
          <cell r="X419">
            <v>0</v>
          </cell>
          <cell r="Y419">
            <v>0</v>
          </cell>
        </row>
        <row r="420">
          <cell r="R420">
            <v>0</v>
          </cell>
          <cell r="X420">
            <v>0</v>
          </cell>
          <cell r="Y420">
            <v>0</v>
          </cell>
        </row>
        <row r="421">
          <cell r="R421">
            <v>0.18</v>
          </cell>
          <cell r="X421">
            <v>529.36</v>
          </cell>
          <cell r="Y421">
            <v>352.91</v>
          </cell>
        </row>
        <row r="422">
          <cell r="R422">
            <v>4.2</v>
          </cell>
          <cell r="X422">
            <v>10006.120000000001</v>
          </cell>
          <cell r="Y422">
            <v>4826.4799999999996</v>
          </cell>
        </row>
        <row r="423">
          <cell r="R423">
            <v>0</v>
          </cell>
          <cell r="X423">
            <v>0</v>
          </cell>
          <cell r="Y423">
            <v>0</v>
          </cell>
        </row>
        <row r="424">
          <cell r="R424">
            <v>0</v>
          </cell>
          <cell r="X424">
            <v>0</v>
          </cell>
          <cell r="Y424">
            <v>0</v>
          </cell>
        </row>
        <row r="425">
          <cell r="R425">
            <v>0</v>
          </cell>
          <cell r="X425">
            <v>101.52</v>
          </cell>
          <cell r="Y425">
            <v>67.680000000000007</v>
          </cell>
        </row>
        <row r="426">
          <cell r="R426">
            <v>0</v>
          </cell>
          <cell r="X426">
            <v>1919.05</v>
          </cell>
          <cell r="Y426">
            <v>925.66</v>
          </cell>
        </row>
        <row r="427">
          <cell r="R427">
            <v>0</v>
          </cell>
          <cell r="X427">
            <v>0</v>
          </cell>
          <cell r="Y427">
            <v>0</v>
          </cell>
        </row>
        <row r="428">
          <cell r="R428">
            <v>0</v>
          </cell>
          <cell r="X428">
            <v>0</v>
          </cell>
          <cell r="Y428">
            <v>0</v>
          </cell>
        </row>
        <row r="429">
          <cell r="R429">
            <v>0</v>
          </cell>
          <cell r="X429">
            <v>26</v>
          </cell>
          <cell r="Y429">
            <v>17.88</v>
          </cell>
        </row>
        <row r="430">
          <cell r="R430">
            <v>0</v>
          </cell>
          <cell r="X430">
            <v>516.04</v>
          </cell>
          <cell r="Y430">
            <v>311.14</v>
          </cell>
        </row>
        <row r="431">
          <cell r="R431">
            <v>0</v>
          </cell>
          <cell r="X431">
            <v>0</v>
          </cell>
          <cell r="Y431">
            <v>0</v>
          </cell>
        </row>
        <row r="432">
          <cell r="R432">
            <v>0</v>
          </cell>
          <cell r="X432">
            <v>0</v>
          </cell>
          <cell r="Y432">
            <v>0</v>
          </cell>
        </row>
        <row r="433">
          <cell r="R433">
            <v>0</v>
          </cell>
          <cell r="X433">
            <v>190.87</v>
          </cell>
          <cell r="Y433">
            <v>147.49</v>
          </cell>
        </row>
        <row r="434">
          <cell r="R434">
            <v>0</v>
          </cell>
          <cell r="X434">
            <v>3565.49</v>
          </cell>
          <cell r="Y434">
            <v>1661.19</v>
          </cell>
        </row>
        <row r="435">
          <cell r="R435">
            <v>0</v>
          </cell>
          <cell r="X435">
            <v>202.8</v>
          </cell>
          <cell r="Y435">
            <v>156.71</v>
          </cell>
        </row>
        <row r="436">
          <cell r="R436">
            <v>0</v>
          </cell>
          <cell r="X436">
            <v>3788.23</v>
          </cell>
          <cell r="Y436">
            <v>1764.97</v>
          </cell>
        </row>
        <row r="437">
          <cell r="R437">
            <v>0</v>
          </cell>
          <cell r="X437">
            <v>9961.84</v>
          </cell>
          <cell r="Y437">
            <v>7697.79</v>
          </cell>
        </row>
        <row r="438">
          <cell r="R438">
            <v>0</v>
          </cell>
          <cell r="X438">
            <v>186087.21</v>
          </cell>
          <cell r="Y438">
            <v>86699.72</v>
          </cell>
        </row>
        <row r="439">
          <cell r="R439">
            <v>0.01</v>
          </cell>
          <cell r="X439">
            <v>190.16</v>
          </cell>
          <cell r="Y439">
            <v>146.94</v>
          </cell>
        </row>
        <row r="440">
          <cell r="R440">
            <v>0.23</v>
          </cell>
          <cell r="X440">
            <v>3552.13</v>
          </cell>
          <cell r="Y440">
            <v>1654.97</v>
          </cell>
        </row>
        <row r="441">
          <cell r="R441">
            <v>0</v>
          </cell>
          <cell r="X441">
            <v>0</v>
          </cell>
          <cell r="Y441">
            <v>0</v>
          </cell>
        </row>
        <row r="442">
          <cell r="R442">
            <v>0</v>
          </cell>
          <cell r="X442">
            <v>0</v>
          </cell>
          <cell r="Y442">
            <v>0</v>
          </cell>
        </row>
        <row r="445">
          <cell r="R445">
            <v>0.17</v>
          </cell>
          <cell r="X445">
            <v>2344.29</v>
          </cell>
          <cell r="Y445">
            <v>1811.49</v>
          </cell>
        </row>
        <row r="446">
          <cell r="R446">
            <v>3.97</v>
          </cell>
          <cell r="X446">
            <v>43791.28</v>
          </cell>
          <cell r="Y446">
            <v>20402.759999999998</v>
          </cell>
        </row>
        <row r="447">
          <cell r="R447">
            <v>0</v>
          </cell>
          <cell r="X447">
            <v>0</v>
          </cell>
          <cell r="Y447">
            <v>0</v>
          </cell>
        </row>
        <row r="448">
          <cell r="R448">
            <v>0</v>
          </cell>
          <cell r="X448">
            <v>0</v>
          </cell>
          <cell r="Y448">
            <v>0</v>
          </cell>
        </row>
        <row r="449">
          <cell r="R449">
            <v>0</v>
          </cell>
          <cell r="X449">
            <v>0</v>
          </cell>
          <cell r="Y449">
            <v>0</v>
          </cell>
        </row>
        <row r="450">
          <cell r="R450">
            <v>0</v>
          </cell>
          <cell r="X450">
            <v>0</v>
          </cell>
          <cell r="Y450">
            <v>0</v>
          </cell>
        </row>
        <row r="451">
          <cell r="R451">
            <v>0</v>
          </cell>
          <cell r="X451">
            <v>12.11</v>
          </cell>
          <cell r="Y451">
            <v>8.07</v>
          </cell>
        </row>
        <row r="452">
          <cell r="R452">
            <v>0</v>
          </cell>
          <cell r="X452">
            <v>228.85</v>
          </cell>
          <cell r="Y452">
            <v>110.38</v>
          </cell>
        </row>
        <row r="455">
          <cell r="R455">
            <v>0.13</v>
          </cell>
          <cell r="X455">
            <v>242.24</v>
          </cell>
          <cell r="Y455">
            <v>161.49</v>
          </cell>
        </row>
        <row r="456">
          <cell r="R456">
            <v>3.04</v>
          </cell>
          <cell r="X456">
            <v>4578.82</v>
          </cell>
          <cell r="Y456">
            <v>2208.61</v>
          </cell>
        </row>
        <row r="457">
          <cell r="R457">
            <v>0</v>
          </cell>
          <cell r="X457">
            <v>0</v>
          </cell>
          <cell r="Y457">
            <v>0</v>
          </cell>
        </row>
        <row r="458">
          <cell r="R458">
            <v>0</v>
          </cell>
          <cell r="X458">
            <v>0</v>
          </cell>
          <cell r="Y458">
            <v>0</v>
          </cell>
        </row>
        <row r="459">
          <cell r="R459">
            <v>0</v>
          </cell>
          <cell r="X459">
            <v>0</v>
          </cell>
          <cell r="Y459">
            <v>0</v>
          </cell>
        </row>
        <row r="460">
          <cell r="R460">
            <v>0</v>
          </cell>
          <cell r="X460">
            <v>0</v>
          </cell>
          <cell r="Y460">
            <v>0</v>
          </cell>
        </row>
        <row r="461">
          <cell r="R461">
            <v>0</v>
          </cell>
          <cell r="X461">
            <v>5074.38</v>
          </cell>
          <cell r="Y461">
            <v>3921.11</v>
          </cell>
        </row>
        <row r="462">
          <cell r="R462">
            <v>0</v>
          </cell>
          <cell r="X462">
            <v>94789.36</v>
          </cell>
          <cell r="Y462">
            <v>44163.22</v>
          </cell>
        </row>
        <row r="463">
          <cell r="R463">
            <v>0</v>
          </cell>
          <cell r="X463">
            <v>0</v>
          </cell>
          <cell r="Y463">
            <v>0</v>
          </cell>
        </row>
        <row r="464">
          <cell r="R464">
            <v>0</v>
          </cell>
          <cell r="X464">
            <v>0</v>
          </cell>
          <cell r="Y464">
            <v>0</v>
          </cell>
        </row>
        <row r="465">
          <cell r="R465">
            <v>0</v>
          </cell>
          <cell r="X465">
            <v>0</v>
          </cell>
          <cell r="Y465">
            <v>0</v>
          </cell>
        </row>
        <row r="466">
          <cell r="R466">
            <v>0</v>
          </cell>
          <cell r="X466">
            <v>0</v>
          </cell>
          <cell r="Y466">
            <v>0</v>
          </cell>
        </row>
        <row r="467">
          <cell r="R467">
            <v>0</v>
          </cell>
          <cell r="X467">
            <v>0</v>
          </cell>
          <cell r="Y467">
            <v>0</v>
          </cell>
        </row>
        <row r="468">
          <cell r="R468">
            <v>0</v>
          </cell>
          <cell r="X468">
            <v>0</v>
          </cell>
          <cell r="Y468">
            <v>0</v>
          </cell>
        </row>
        <row r="469">
          <cell r="R469">
            <v>0</v>
          </cell>
          <cell r="X469">
            <v>0</v>
          </cell>
          <cell r="Y469">
            <v>0</v>
          </cell>
        </row>
        <row r="470">
          <cell r="R470">
            <v>0</v>
          </cell>
          <cell r="X470">
            <v>0</v>
          </cell>
          <cell r="Y470">
            <v>0</v>
          </cell>
        </row>
        <row r="471">
          <cell r="R471">
            <v>0</v>
          </cell>
          <cell r="X471">
            <v>152.1</v>
          </cell>
          <cell r="Y471">
            <v>117.53</v>
          </cell>
        </row>
        <row r="472">
          <cell r="R472">
            <v>0</v>
          </cell>
          <cell r="X472">
            <v>2841.17</v>
          </cell>
          <cell r="Y472">
            <v>1323.73</v>
          </cell>
        </row>
        <row r="473">
          <cell r="R473">
            <v>0</v>
          </cell>
          <cell r="X473">
            <v>2896.01</v>
          </cell>
          <cell r="Y473">
            <v>2237.83</v>
          </cell>
        </row>
        <row r="474">
          <cell r="R474">
            <v>0</v>
          </cell>
          <cell r="X474">
            <v>54097.54</v>
          </cell>
          <cell r="Y474">
            <v>25204.54</v>
          </cell>
        </row>
        <row r="475">
          <cell r="R475">
            <v>0</v>
          </cell>
          <cell r="X475">
            <v>0</v>
          </cell>
          <cell r="Y475">
            <v>0</v>
          </cell>
        </row>
        <row r="476">
          <cell r="R476">
            <v>0</v>
          </cell>
          <cell r="X476">
            <v>0</v>
          </cell>
          <cell r="Y476">
            <v>0</v>
          </cell>
        </row>
        <row r="481">
          <cell r="R481">
            <v>0</v>
          </cell>
          <cell r="X481">
            <v>0</v>
          </cell>
          <cell r="Y481">
            <v>0</v>
          </cell>
        </row>
        <row r="482">
          <cell r="R482">
            <v>0</v>
          </cell>
          <cell r="X482">
            <v>0</v>
          </cell>
          <cell r="Y482">
            <v>0</v>
          </cell>
        </row>
        <row r="485">
          <cell r="R485">
            <v>0</v>
          </cell>
          <cell r="X485">
            <v>0</v>
          </cell>
          <cell r="Y485">
            <v>0</v>
          </cell>
        </row>
        <row r="486">
          <cell r="R486">
            <v>0</v>
          </cell>
          <cell r="X486">
            <v>0</v>
          </cell>
          <cell r="Y486">
            <v>0</v>
          </cell>
        </row>
        <row r="487">
          <cell r="R487">
            <v>0</v>
          </cell>
          <cell r="X487">
            <v>0</v>
          </cell>
          <cell r="Y487">
            <v>0</v>
          </cell>
        </row>
        <row r="488">
          <cell r="R488">
            <v>0</v>
          </cell>
          <cell r="X488">
            <v>0</v>
          </cell>
          <cell r="Y488">
            <v>0</v>
          </cell>
        </row>
        <row r="491">
          <cell r="R491">
            <v>0</v>
          </cell>
          <cell r="X491">
            <v>148.02000000000001</v>
          </cell>
          <cell r="Y491">
            <v>98.68</v>
          </cell>
        </row>
        <row r="492">
          <cell r="R492">
            <v>0</v>
          </cell>
          <cell r="X492">
            <v>2797.9</v>
          </cell>
          <cell r="Y492">
            <v>1349.58</v>
          </cell>
        </row>
        <row r="493">
          <cell r="R493">
            <v>0</v>
          </cell>
          <cell r="X493">
            <v>0</v>
          </cell>
          <cell r="Y493">
            <v>0</v>
          </cell>
        </row>
        <row r="494">
          <cell r="R494">
            <v>0</v>
          </cell>
          <cell r="X494">
            <v>0</v>
          </cell>
          <cell r="Y494">
            <v>0</v>
          </cell>
        </row>
        <row r="495">
          <cell r="R495">
            <v>0</v>
          </cell>
          <cell r="X495">
            <v>395.39</v>
          </cell>
          <cell r="Y495">
            <v>263.58999999999997</v>
          </cell>
        </row>
        <row r="496">
          <cell r="R496">
            <v>0</v>
          </cell>
          <cell r="X496">
            <v>7473.78</v>
          </cell>
          <cell r="Y496">
            <v>3605</v>
          </cell>
        </row>
        <row r="497">
          <cell r="R497">
            <v>0</v>
          </cell>
          <cell r="X497">
            <v>0</v>
          </cell>
          <cell r="Y497">
            <v>0</v>
          </cell>
        </row>
        <row r="498">
          <cell r="R498">
            <v>0</v>
          </cell>
          <cell r="X498">
            <v>0</v>
          </cell>
          <cell r="Y498">
            <v>0</v>
          </cell>
        </row>
        <row r="499">
          <cell r="R499">
            <v>0.28000000000000003</v>
          </cell>
          <cell r="X499">
            <v>58.9</v>
          </cell>
          <cell r="Y499">
            <v>41.23</v>
          </cell>
        </row>
        <row r="500">
          <cell r="R500">
            <v>6.54</v>
          </cell>
          <cell r="X500">
            <v>974.12</v>
          </cell>
          <cell r="Y500">
            <v>469.87</v>
          </cell>
        </row>
        <row r="501">
          <cell r="R501">
            <v>0</v>
          </cell>
          <cell r="X501">
            <v>0</v>
          </cell>
          <cell r="Y501">
            <v>0</v>
          </cell>
        </row>
        <row r="502">
          <cell r="R502">
            <v>0</v>
          </cell>
          <cell r="X502">
            <v>0</v>
          </cell>
          <cell r="Y502">
            <v>0</v>
          </cell>
        </row>
        <row r="568">
          <cell r="R568">
            <v>938.74</v>
          </cell>
          <cell r="X568">
            <v>0</v>
          </cell>
          <cell r="Y568">
            <v>0</v>
          </cell>
        </row>
        <row r="569">
          <cell r="R569">
            <v>21919.58</v>
          </cell>
          <cell r="X569">
            <v>0</v>
          </cell>
          <cell r="Y569">
            <v>0</v>
          </cell>
        </row>
        <row r="605">
          <cell r="R605">
            <v>0</v>
          </cell>
          <cell r="X605">
            <v>0</v>
          </cell>
          <cell r="Y605">
            <v>0</v>
          </cell>
        </row>
        <row r="606">
          <cell r="R606">
            <v>0</v>
          </cell>
          <cell r="X606">
            <v>0</v>
          </cell>
          <cell r="Y606">
            <v>0</v>
          </cell>
        </row>
        <row r="607">
          <cell r="R607">
            <v>0</v>
          </cell>
          <cell r="X607">
            <v>0</v>
          </cell>
          <cell r="Y607">
            <v>0</v>
          </cell>
        </row>
        <row r="608">
          <cell r="R608">
            <v>0</v>
          </cell>
          <cell r="X608">
            <v>0</v>
          </cell>
          <cell r="Y608">
            <v>0</v>
          </cell>
        </row>
        <row r="640">
          <cell r="G640" t="str">
            <v>Архитектурные решения. Реставрация и приспособления</v>
          </cell>
        </row>
      </sheetData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32">
          <cell r="R32">
            <v>0</v>
          </cell>
          <cell r="X32">
            <v>167.72</v>
          </cell>
          <cell r="Y32">
            <v>123.49</v>
          </cell>
        </row>
        <row r="33">
          <cell r="R33">
            <v>0</v>
          </cell>
          <cell r="X33">
            <v>3141.66</v>
          </cell>
          <cell r="Y33">
            <v>1764.49</v>
          </cell>
        </row>
        <row r="34">
          <cell r="R34">
            <v>27.15</v>
          </cell>
          <cell r="X34">
            <v>157.88999999999999</v>
          </cell>
          <cell r="Y34">
            <v>106.27</v>
          </cell>
        </row>
        <row r="35">
          <cell r="R35">
            <v>633.95000000000005</v>
          </cell>
          <cell r="X35">
            <v>3013.25</v>
          </cell>
          <cell r="Y35">
            <v>1453.45</v>
          </cell>
        </row>
        <row r="36">
          <cell r="R36">
            <v>0.05</v>
          </cell>
          <cell r="X36">
            <v>26.3</v>
          </cell>
          <cell r="Y36">
            <v>21.66</v>
          </cell>
        </row>
        <row r="37">
          <cell r="R37">
            <v>1.17</v>
          </cell>
          <cell r="X37">
            <v>491.27</v>
          </cell>
          <cell r="Y37">
            <v>296.2</v>
          </cell>
        </row>
        <row r="38">
          <cell r="R38">
            <v>0</v>
          </cell>
          <cell r="X38">
            <v>0</v>
          </cell>
          <cell r="Y38">
            <v>0</v>
          </cell>
        </row>
        <row r="39">
          <cell r="R39">
            <v>0</v>
          </cell>
          <cell r="X39">
            <v>0</v>
          </cell>
          <cell r="Y39">
            <v>0</v>
          </cell>
        </row>
        <row r="40">
          <cell r="R40">
            <v>15.64</v>
          </cell>
          <cell r="X40">
            <v>87.77</v>
          </cell>
          <cell r="Y40">
            <v>59.07</v>
          </cell>
        </row>
        <row r="41">
          <cell r="R41">
            <v>365.19</v>
          </cell>
          <cell r="X41">
            <v>1674.93</v>
          </cell>
          <cell r="Y41">
            <v>807.91</v>
          </cell>
        </row>
        <row r="42">
          <cell r="R42">
            <v>0</v>
          </cell>
          <cell r="X42">
            <v>0</v>
          </cell>
          <cell r="Y42">
            <v>0</v>
          </cell>
        </row>
        <row r="43">
          <cell r="R43">
            <v>0</v>
          </cell>
          <cell r="X43">
            <v>0</v>
          </cell>
          <cell r="Y43">
            <v>0</v>
          </cell>
        </row>
        <row r="48">
          <cell r="R48">
            <v>7.78</v>
          </cell>
          <cell r="X48">
            <v>303.61</v>
          </cell>
          <cell r="Y48">
            <v>250.03</v>
          </cell>
        </row>
        <row r="49">
          <cell r="R49">
            <v>181.66</v>
          </cell>
          <cell r="X49">
            <v>5671.47</v>
          </cell>
          <cell r="Y49">
            <v>3419.56</v>
          </cell>
        </row>
        <row r="50">
          <cell r="R50">
            <v>0</v>
          </cell>
          <cell r="X50">
            <v>0</v>
          </cell>
          <cell r="Y50">
            <v>0</v>
          </cell>
        </row>
        <row r="51">
          <cell r="R51">
            <v>0</v>
          </cell>
          <cell r="X51">
            <v>0</v>
          </cell>
          <cell r="Y51">
            <v>0</v>
          </cell>
        </row>
        <row r="52">
          <cell r="R52">
            <v>0</v>
          </cell>
          <cell r="X52">
            <v>0</v>
          </cell>
          <cell r="Y52">
            <v>0</v>
          </cell>
        </row>
        <row r="53">
          <cell r="R53">
            <v>0</v>
          </cell>
          <cell r="X53">
            <v>0</v>
          </cell>
          <cell r="Y53">
            <v>0</v>
          </cell>
        </row>
        <row r="54">
          <cell r="R54">
            <v>0</v>
          </cell>
          <cell r="X54">
            <v>0</v>
          </cell>
          <cell r="Y54">
            <v>0</v>
          </cell>
        </row>
        <row r="55">
          <cell r="R55">
            <v>0</v>
          </cell>
          <cell r="X55">
            <v>0</v>
          </cell>
          <cell r="Y55">
            <v>0</v>
          </cell>
        </row>
        <row r="56">
          <cell r="R56">
            <v>0</v>
          </cell>
          <cell r="X56">
            <v>0</v>
          </cell>
          <cell r="Y56">
            <v>0</v>
          </cell>
        </row>
        <row r="57">
          <cell r="R57">
            <v>0</v>
          </cell>
          <cell r="X57">
            <v>0</v>
          </cell>
          <cell r="Y57">
            <v>0</v>
          </cell>
        </row>
        <row r="64">
          <cell r="R64">
            <v>5.54</v>
          </cell>
          <cell r="X64">
            <v>128.84</v>
          </cell>
          <cell r="Y64">
            <v>99.11</v>
          </cell>
        </row>
        <row r="65">
          <cell r="R65">
            <v>129.36000000000001</v>
          </cell>
          <cell r="X65">
            <v>2413.3000000000002</v>
          </cell>
          <cell r="Y65">
            <v>1355.41</v>
          </cell>
        </row>
        <row r="66">
          <cell r="R66">
            <v>0</v>
          </cell>
          <cell r="X66">
            <v>0</v>
          </cell>
          <cell r="Y66">
            <v>0</v>
          </cell>
        </row>
        <row r="67">
          <cell r="R67">
            <v>0</v>
          </cell>
          <cell r="X67">
            <v>0</v>
          </cell>
          <cell r="Y67">
            <v>0</v>
          </cell>
        </row>
        <row r="69">
          <cell r="G69" t="str">
            <v>Лестницы входа в подвал в осях "2-4/Г-В/2". 023/18КН-КР 4.2 лист 1</v>
          </cell>
        </row>
        <row r="103">
          <cell r="R103">
            <v>2.02</v>
          </cell>
          <cell r="X103">
            <v>11.74</v>
          </cell>
          <cell r="Y103">
            <v>7.9</v>
          </cell>
        </row>
        <row r="104">
          <cell r="R104">
            <v>47.17</v>
          </cell>
          <cell r="X104">
            <v>224.08</v>
          </cell>
          <cell r="Y104">
            <v>108.08</v>
          </cell>
        </row>
        <row r="105">
          <cell r="R105">
            <v>0</v>
          </cell>
          <cell r="X105">
            <v>1.89</v>
          </cell>
          <cell r="Y105">
            <v>1.55</v>
          </cell>
        </row>
        <row r="106">
          <cell r="R106">
            <v>0</v>
          </cell>
          <cell r="X106">
            <v>35.25</v>
          </cell>
          <cell r="Y106">
            <v>21.25</v>
          </cell>
        </row>
        <row r="107">
          <cell r="R107">
            <v>0</v>
          </cell>
          <cell r="X107">
            <v>0</v>
          </cell>
          <cell r="Y107">
            <v>0</v>
          </cell>
        </row>
        <row r="108">
          <cell r="R108">
            <v>0</v>
          </cell>
          <cell r="X108">
            <v>0</v>
          </cell>
          <cell r="Y108">
            <v>0</v>
          </cell>
        </row>
        <row r="109">
          <cell r="R109">
            <v>1.1599999999999999</v>
          </cell>
          <cell r="X109">
            <v>6.48</v>
          </cell>
          <cell r="Y109">
            <v>4.3600000000000003</v>
          </cell>
        </row>
        <row r="110">
          <cell r="R110">
            <v>27.09</v>
          </cell>
          <cell r="X110">
            <v>123.65</v>
          </cell>
          <cell r="Y110">
            <v>59.64</v>
          </cell>
        </row>
        <row r="111">
          <cell r="R111">
            <v>0</v>
          </cell>
          <cell r="X111">
            <v>0</v>
          </cell>
          <cell r="Y111">
            <v>0</v>
          </cell>
        </row>
        <row r="112">
          <cell r="R112">
            <v>0</v>
          </cell>
          <cell r="X112">
            <v>0</v>
          </cell>
          <cell r="Y112">
            <v>0</v>
          </cell>
        </row>
        <row r="117">
          <cell r="R117">
            <v>0.56000000000000005</v>
          </cell>
          <cell r="X117">
            <v>21.68</v>
          </cell>
          <cell r="Y117">
            <v>17.86</v>
          </cell>
        </row>
        <row r="118">
          <cell r="R118">
            <v>13.08</v>
          </cell>
          <cell r="X118">
            <v>405.05</v>
          </cell>
          <cell r="Y118">
            <v>244.22</v>
          </cell>
        </row>
        <row r="119">
          <cell r="R119">
            <v>0</v>
          </cell>
          <cell r="X119">
            <v>0</v>
          </cell>
          <cell r="Y119">
            <v>0</v>
          </cell>
        </row>
        <row r="120">
          <cell r="R120">
            <v>0</v>
          </cell>
          <cell r="X120">
            <v>0</v>
          </cell>
          <cell r="Y120">
            <v>0</v>
          </cell>
        </row>
        <row r="121">
          <cell r="R121">
            <v>0</v>
          </cell>
          <cell r="X121">
            <v>0</v>
          </cell>
          <cell r="Y121">
            <v>0</v>
          </cell>
        </row>
        <row r="122">
          <cell r="R122">
            <v>0</v>
          </cell>
          <cell r="X122">
            <v>0</v>
          </cell>
          <cell r="Y122">
            <v>0</v>
          </cell>
        </row>
        <row r="123">
          <cell r="R123">
            <v>0</v>
          </cell>
          <cell r="X123">
            <v>0</v>
          </cell>
          <cell r="Y123">
            <v>0</v>
          </cell>
        </row>
        <row r="124">
          <cell r="R124">
            <v>0</v>
          </cell>
          <cell r="X124">
            <v>0</v>
          </cell>
          <cell r="Y124">
            <v>0</v>
          </cell>
        </row>
        <row r="125">
          <cell r="R125">
            <v>0</v>
          </cell>
          <cell r="X125">
            <v>0</v>
          </cell>
          <cell r="Y125">
            <v>0</v>
          </cell>
        </row>
        <row r="126">
          <cell r="R126">
            <v>0</v>
          </cell>
          <cell r="X126">
            <v>0</v>
          </cell>
          <cell r="Y126">
            <v>0</v>
          </cell>
        </row>
        <row r="134">
          <cell r="G134" t="str">
            <v>Лестницы входа в подвал в осях "11/В-В/2". 023/18КН-КР 4.2 лист 1</v>
          </cell>
        </row>
        <row r="198">
          <cell r="R198">
            <v>125.33</v>
          </cell>
          <cell r="X198">
            <v>728.73</v>
          </cell>
          <cell r="Y198">
            <v>490.49</v>
          </cell>
        </row>
        <row r="199">
          <cell r="R199">
            <v>2926.46</v>
          </cell>
          <cell r="X199">
            <v>13907.15</v>
          </cell>
          <cell r="Y199">
            <v>6708.15</v>
          </cell>
        </row>
        <row r="200">
          <cell r="R200">
            <v>0.24</v>
          </cell>
          <cell r="X200">
            <v>121.38</v>
          </cell>
          <cell r="Y200">
            <v>99.96</v>
          </cell>
        </row>
        <row r="201">
          <cell r="R201">
            <v>5.6</v>
          </cell>
          <cell r="X201">
            <v>2267.38</v>
          </cell>
          <cell r="Y201">
            <v>1367.1</v>
          </cell>
        </row>
        <row r="202">
          <cell r="R202">
            <v>0</v>
          </cell>
          <cell r="X202">
            <v>0</v>
          </cell>
          <cell r="Y202">
            <v>0</v>
          </cell>
        </row>
        <row r="203">
          <cell r="R203">
            <v>0</v>
          </cell>
          <cell r="X203">
            <v>0</v>
          </cell>
          <cell r="Y203">
            <v>0</v>
          </cell>
        </row>
        <row r="204">
          <cell r="R204">
            <v>72.2</v>
          </cell>
          <cell r="X204">
            <v>405.07</v>
          </cell>
          <cell r="Y204">
            <v>272.64</v>
          </cell>
        </row>
        <row r="205">
          <cell r="R205">
            <v>1685.87</v>
          </cell>
          <cell r="X205">
            <v>7730.4</v>
          </cell>
          <cell r="Y205">
            <v>3728.78</v>
          </cell>
        </row>
        <row r="206">
          <cell r="R206">
            <v>0</v>
          </cell>
          <cell r="X206">
            <v>0</v>
          </cell>
          <cell r="Y206">
            <v>0</v>
          </cell>
        </row>
        <row r="207">
          <cell r="R207">
            <v>0</v>
          </cell>
          <cell r="X207">
            <v>0</v>
          </cell>
          <cell r="Y207">
            <v>0</v>
          </cell>
        </row>
        <row r="208">
          <cell r="R208">
            <v>35.51</v>
          </cell>
          <cell r="X208">
            <v>253.17</v>
          </cell>
          <cell r="Y208">
            <v>170.4</v>
          </cell>
        </row>
        <row r="209">
          <cell r="R209">
            <v>829.16</v>
          </cell>
          <cell r="X209">
            <v>4831.4799999999996</v>
          </cell>
          <cell r="Y209">
            <v>2330.48</v>
          </cell>
        </row>
        <row r="210">
          <cell r="R210">
            <v>0</v>
          </cell>
          <cell r="X210">
            <v>0</v>
          </cell>
          <cell r="Y210">
            <v>0</v>
          </cell>
        </row>
        <row r="211">
          <cell r="R211">
            <v>0</v>
          </cell>
          <cell r="X211">
            <v>0</v>
          </cell>
          <cell r="Y211">
            <v>0</v>
          </cell>
        </row>
        <row r="212">
          <cell r="R212">
            <v>15</v>
          </cell>
          <cell r="X212">
            <v>585.54</v>
          </cell>
          <cell r="Y212">
            <v>482.21</v>
          </cell>
        </row>
        <row r="213">
          <cell r="R213">
            <v>350.25</v>
          </cell>
          <cell r="X213">
            <v>10937.87</v>
          </cell>
          <cell r="Y213">
            <v>6594.9</v>
          </cell>
        </row>
        <row r="214">
          <cell r="R214">
            <v>0</v>
          </cell>
          <cell r="X214">
            <v>0</v>
          </cell>
          <cell r="Y214">
            <v>0</v>
          </cell>
        </row>
        <row r="215">
          <cell r="R215">
            <v>0</v>
          </cell>
          <cell r="X215">
            <v>0</v>
          </cell>
          <cell r="Y215">
            <v>0</v>
          </cell>
        </row>
        <row r="216">
          <cell r="R216">
            <v>0</v>
          </cell>
          <cell r="X216">
            <v>0</v>
          </cell>
          <cell r="Y216">
            <v>0</v>
          </cell>
        </row>
        <row r="217">
          <cell r="R217">
            <v>0</v>
          </cell>
          <cell r="X217">
            <v>0</v>
          </cell>
          <cell r="Y217">
            <v>0</v>
          </cell>
        </row>
        <row r="218">
          <cell r="R218">
            <v>0</v>
          </cell>
          <cell r="X218">
            <v>0</v>
          </cell>
          <cell r="Y218">
            <v>0</v>
          </cell>
        </row>
        <row r="219">
          <cell r="R219">
            <v>0</v>
          </cell>
          <cell r="X219">
            <v>0</v>
          </cell>
          <cell r="Y219">
            <v>0</v>
          </cell>
        </row>
        <row r="227">
          <cell r="G227" t="str">
            <v>Уменьшение уровня пола в подвале на 450 мм в осях «8-11/ В-Г». 023/18КН-КР 4.2 лист 1.1</v>
          </cell>
        </row>
        <row r="265">
          <cell r="R265">
            <v>22.1</v>
          </cell>
          <cell r="X265">
            <v>35.99</v>
          </cell>
          <cell r="Y265">
            <v>24.23</v>
          </cell>
        </row>
        <row r="266">
          <cell r="R266">
            <v>516.04</v>
          </cell>
          <cell r="X266">
            <v>686.92</v>
          </cell>
          <cell r="Y266">
            <v>331.34</v>
          </cell>
        </row>
        <row r="267">
          <cell r="R267">
            <v>0.02</v>
          </cell>
          <cell r="X267">
            <v>10.79</v>
          </cell>
          <cell r="Y267">
            <v>8.8800000000000008</v>
          </cell>
        </row>
        <row r="268">
          <cell r="R268">
            <v>0.47</v>
          </cell>
          <cell r="X268">
            <v>201.49</v>
          </cell>
          <cell r="Y268">
            <v>121.49</v>
          </cell>
        </row>
        <row r="269">
          <cell r="R269">
            <v>0</v>
          </cell>
          <cell r="X269">
            <v>0</v>
          </cell>
          <cell r="Y269">
            <v>0</v>
          </cell>
        </row>
        <row r="270">
          <cell r="R270">
            <v>0</v>
          </cell>
          <cell r="X270">
            <v>0</v>
          </cell>
          <cell r="Y270">
            <v>0</v>
          </cell>
        </row>
        <row r="271">
          <cell r="R271">
            <v>4.9400000000000004</v>
          </cell>
          <cell r="X271">
            <v>93.08</v>
          </cell>
          <cell r="Y271">
            <v>76.66</v>
          </cell>
        </row>
        <row r="272">
          <cell r="R272">
            <v>115.35</v>
          </cell>
          <cell r="X272">
            <v>1738.8</v>
          </cell>
          <cell r="Y272">
            <v>1048.3900000000001</v>
          </cell>
        </row>
        <row r="273">
          <cell r="R273">
            <v>0</v>
          </cell>
          <cell r="X273">
            <v>0</v>
          </cell>
          <cell r="Y273">
            <v>0</v>
          </cell>
        </row>
        <row r="274">
          <cell r="R274">
            <v>0</v>
          </cell>
          <cell r="X274">
            <v>0</v>
          </cell>
          <cell r="Y274">
            <v>0</v>
          </cell>
        </row>
        <row r="275">
          <cell r="R275">
            <v>0</v>
          </cell>
          <cell r="X275">
            <v>0</v>
          </cell>
          <cell r="Y275">
            <v>0</v>
          </cell>
        </row>
        <row r="276">
          <cell r="R276">
            <v>0</v>
          </cell>
          <cell r="X276">
            <v>0</v>
          </cell>
          <cell r="Y276">
            <v>0</v>
          </cell>
        </row>
        <row r="277">
          <cell r="R277">
            <v>1.25</v>
          </cell>
          <cell r="X277">
            <v>47.7</v>
          </cell>
          <cell r="Y277">
            <v>39.28</v>
          </cell>
        </row>
        <row r="278">
          <cell r="R278">
            <v>29.19</v>
          </cell>
          <cell r="X278">
            <v>891.07</v>
          </cell>
          <cell r="Y278">
            <v>537.26</v>
          </cell>
        </row>
        <row r="279">
          <cell r="R279">
            <v>0</v>
          </cell>
          <cell r="X279">
            <v>0</v>
          </cell>
          <cell r="Y279">
            <v>0</v>
          </cell>
        </row>
        <row r="280">
          <cell r="R280">
            <v>0</v>
          </cell>
          <cell r="X280">
            <v>0</v>
          </cell>
          <cell r="Y280">
            <v>0</v>
          </cell>
        </row>
        <row r="281">
          <cell r="R281">
            <v>14.76</v>
          </cell>
          <cell r="X281">
            <v>102.18</v>
          </cell>
          <cell r="Y281">
            <v>68.78</v>
          </cell>
        </row>
        <row r="282">
          <cell r="R282">
            <v>344.65</v>
          </cell>
          <cell r="X282">
            <v>1950.02</v>
          </cell>
          <cell r="Y282">
            <v>940.6</v>
          </cell>
        </row>
        <row r="284">
          <cell r="G284" t="str">
            <v>Монолитный железобетонный фундамент ФБ-1./ 023/18КН-КР 4.2 лист 2</v>
          </cell>
        </row>
        <row r="318">
          <cell r="R318">
            <v>11.05</v>
          </cell>
          <cell r="X318">
            <v>18</v>
          </cell>
          <cell r="Y318">
            <v>12.12</v>
          </cell>
        </row>
        <row r="319">
          <cell r="R319">
            <v>258.02</v>
          </cell>
          <cell r="X319">
            <v>343.56</v>
          </cell>
          <cell r="Y319">
            <v>165.72</v>
          </cell>
        </row>
        <row r="320">
          <cell r="R320">
            <v>0.01</v>
          </cell>
          <cell r="X320">
            <v>5.4</v>
          </cell>
          <cell r="Y320">
            <v>4.45</v>
          </cell>
        </row>
        <row r="321">
          <cell r="R321">
            <v>0.23</v>
          </cell>
          <cell r="X321">
            <v>100.82</v>
          </cell>
          <cell r="Y321">
            <v>60.79</v>
          </cell>
        </row>
        <row r="322">
          <cell r="R322">
            <v>0</v>
          </cell>
          <cell r="X322">
            <v>0</v>
          </cell>
          <cell r="Y322">
            <v>0</v>
          </cell>
        </row>
        <row r="323">
          <cell r="R323">
            <v>0</v>
          </cell>
          <cell r="X323">
            <v>0</v>
          </cell>
          <cell r="Y323">
            <v>0</v>
          </cell>
        </row>
        <row r="324">
          <cell r="R324">
            <v>1.91</v>
          </cell>
          <cell r="X324">
            <v>35.96</v>
          </cell>
          <cell r="Y324">
            <v>29.62</v>
          </cell>
        </row>
        <row r="325">
          <cell r="R325">
            <v>44.6</v>
          </cell>
          <cell r="X325">
            <v>671.8</v>
          </cell>
          <cell r="Y325">
            <v>405.06</v>
          </cell>
        </row>
        <row r="326">
          <cell r="R326">
            <v>0</v>
          </cell>
          <cell r="X326">
            <v>0</v>
          </cell>
          <cell r="Y326">
            <v>0</v>
          </cell>
        </row>
        <row r="327">
          <cell r="R327">
            <v>0</v>
          </cell>
          <cell r="X327">
            <v>0</v>
          </cell>
          <cell r="Y327">
            <v>0</v>
          </cell>
        </row>
        <row r="328">
          <cell r="R328">
            <v>0</v>
          </cell>
          <cell r="X328">
            <v>0</v>
          </cell>
          <cell r="Y328">
            <v>0</v>
          </cell>
        </row>
        <row r="329">
          <cell r="R329">
            <v>0</v>
          </cell>
          <cell r="X329">
            <v>0</v>
          </cell>
          <cell r="Y329">
            <v>0</v>
          </cell>
        </row>
        <row r="330">
          <cell r="R330">
            <v>0.55000000000000004</v>
          </cell>
          <cell r="X330">
            <v>21.2</v>
          </cell>
          <cell r="Y330">
            <v>17.46</v>
          </cell>
        </row>
        <row r="331">
          <cell r="R331">
            <v>12.84</v>
          </cell>
          <cell r="X331">
            <v>396</v>
          </cell>
          <cell r="Y331">
            <v>238.76</v>
          </cell>
        </row>
        <row r="332">
          <cell r="R332">
            <v>0</v>
          </cell>
          <cell r="X332">
            <v>0</v>
          </cell>
          <cell r="Y332">
            <v>0</v>
          </cell>
        </row>
        <row r="333">
          <cell r="R333">
            <v>0</v>
          </cell>
          <cell r="X333">
            <v>0</v>
          </cell>
          <cell r="Y333">
            <v>0</v>
          </cell>
        </row>
        <row r="334">
          <cell r="R334">
            <v>6.56</v>
          </cell>
          <cell r="X334">
            <v>45.42</v>
          </cell>
          <cell r="Y334">
            <v>30.57</v>
          </cell>
        </row>
        <row r="335">
          <cell r="R335">
            <v>153.18</v>
          </cell>
          <cell r="X335">
            <v>866.74</v>
          </cell>
          <cell r="Y335">
            <v>418.07</v>
          </cell>
        </row>
        <row r="337">
          <cell r="G337" t="str">
            <v>Монолитный железобетонный фундамент ФБ-2. 023/18КН-КР 4.2 лист 2</v>
          </cell>
        </row>
        <row r="371">
          <cell r="R371">
            <v>5.67</v>
          </cell>
          <cell r="X371">
            <v>73.83</v>
          </cell>
          <cell r="Y371">
            <v>60.8</v>
          </cell>
        </row>
        <row r="372">
          <cell r="R372">
            <v>132.38999999999999</v>
          </cell>
          <cell r="X372">
            <v>1379.16</v>
          </cell>
          <cell r="Y372">
            <v>831.55</v>
          </cell>
        </row>
        <row r="373">
          <cell r="R373">
            <v>0</v>
          </cell>
          <cell r="X373">
            <v>0</v>
          </cell>
          <cell r="Y373">
            <v>0</v>
          </cell>
        </row>
        <row r="374">
          <cell r="R374">
            <v>0</v>
          </cell>
          <cell r="X374">
            <v>0</v>
          </cell>
          <cell r="Y374">
            <v>0</v>
          </cell>
        </row>
        <row r="379">
          <cell r="R379">
            <v>102.18</v>
          </cell>
          <cell r="X379">
            <v>231.53</v>
          </cell>
          <cell r="Y379">
            <v>190.67</v>
          </cell>
        </row>
        <row r="380">
          <cell r="R380">
            <v>2385.9</v>
          </cell>
          <cell r="X380">
            <v>4325.01</v>
          </cell>
          <cell r="Y380">
            <v>2607.73</v>
          </cell>
        </row>
        <row r="381">
          <cell r="R381">
            <v>0</v>
          </cell>
          <cell r="X381">
            <v>0</v>
          </cell>
          <cell r="Y381">
            <v>0</v>
          </cell>
        </row>
        <row r="382">
          <cell r="R382">
            <v>0</v>
          </cell>
          <cell r="X382">
            <v>0</v>
          </cell>
          <cell r="Y382">
            <v>0</v>
          </cell>
        </row>
        <row r="383">
          <cell r="R383">
            <v>1.69</v>
          </cell>
          <cell r="X383">
            <v>172.71</v>
          </cell>
          <cell r="Y383">
            <v>142.22999999999999</v>
          </cell>
        </row>
        <row r="384">
          <cell r="R384">
            <v>39.46</v>
          </cell>
          <cell r="X384">
            <v>3226.25</v>
          </cell>
          <cell r="Y384">
            <v>1945.24</v>
          </cell>
        </row>
        <row r="385">
          <cell r="R385">
            <v>0</v>
          </cell>
          <cell r="X385">
            <v>0</v>
          </cell>
          <cell r="Y385">
            <v>0</v>
          </cell>
        </row>
        <row r="386">
          <cell r="R386">
            <v>0</v>
          </cell>
          <cell r="X386">
            <v>0</v>
          </cell>
          <cell r="Y386">
            <v>0</v>
          </cell>
        </row>
        <row r="387">
          <cell r="R387">
            <v>3.09</v>
          </cell>
          <cell r="X387">
            <v>7</v>
          </cell>
          <cell r="Y387">
            <v>5.76</v>
          </cell>
        </row>
        <row r="388">
          <cell r="R388">
            <v>72.150000000000006</v>
          </cell>
          <cell r="X388">
            <v>130.68</v>
          </cell>
          <cell r="Y388">
            <v>78.790000000000006</v>
          </cell>
        </row>
        <row r="389">
          <cell r="R389">
            <v>0</v>
          </cell>
          <cell r="X389">
            <v>0</v>
          </cell>
          <cell r="Y389">
            <v>0</v>
          </cell>
        </row>
        <row r="390">
          <cell r="R390">
            <v>0</v>
          </cell>
          <cell r="X390">
            <v>0</v>
          </cell>
          <cell r="Y390">
            <v>0</v>
          </cell>
        </row>
        <row r="391">
          <cell r="R391">
            <v>0</v>
          </cell>
          <cell r="X391">
            <v>0</v>
          </cell>
          <cell r="Y391">
            <v>0</v>
          </cell>
        </row>
        <row r="392">
          <cell r="R392">
            <v>0</v>
          </cell>
          <cell r="X392">
            <v>0</v>
          </cell>
          <cell r="Y392">
            <v>0</v>
          </cell>
        </row>
        <row r="400">
          <cell r="G400" t="str">
            <v>Устройство перекрытия./ 023/18КН-КР 4.2 лист 2, 2.1</v>
          </cell>
        </row>
        <row r="434">
          <cell r="R434">
            <v>1.79</v>
          </cell>
          <cell r="X434">
            <v>68.78</v>
          </cell>
          <cell r="Y434">
            <v>56.64</v>
          </cell>
        </row>
        <row r="435">
          <cell r="R435">
            <v>41.8</v>
          </cell>
          <cell r="X435">
            <v>1284.8499999999999</v>
          </cell>
          <cell r="Y435">
            <v>774.69</v>
          </cell>
        </row>
        <row r="436">
          <cell r="R436">
            <v>0</v>
          </cell>
          <cell r="X436">
            <v>0</v>
          </cell>
          <cell r="Y436">
            <v>0</v>
          </cell>
        </row>
        <row r="437">
          <cell r="R437">
            <v>0</v>
          </cell>
          <cell r="X437">
            <v>0</v>
          </cell>
          <cell r="Y437">
            <v>0</v>
          </cell>
        </row>
        <row r="438">
          <cell r="R438">
            <v>0</v>
          </cell>
          <cell r="X438">
            <v>0</v>
          </cell>
          <cell r="Y438">
            <v>0</v>
          </cell>
        </row>
        <row r="439">
          <cell r="R439">
            <v>0</v>
          </cell>
          <cell r="X439">
            <v>0</v>
          </cell>
          <cell r="Y439">
            <v>0</v>
          </cell>
        </row>
        <row r="446">
          <cell r="R446">
            <v>0.2</v>
          </cell>
          <cell r="X446">
            <v>20.99</v>
          </cell>
          <cell r="Y446">
            <v>17.28</v>
          </cell>
        </row>
        <row r="447">
          <cell r="R447">
            <v>4.67</v>
          </cell>
          <cell r="X447">
            <v>392.03</v>
          </cell>
          <cell r="Y447">
            <v>236.37</v>
          </cell>
        </row>
        <row r="448">
          <cell r="R448">
            <v>0</v>
          </cell>
          <cell r="X448">
            <v>0</v>
          </cell>
          <cell r="Y448">
            <v>0</v>
          </cell>
        </row>
        <row r="449">
          <cell r="R449">
            <v>0</v>
          </cell>
          <cell r="X449">
            <v>0</v>
          </cell>
          <cell r="Y449">
            <v>0</v>
          </cell>
        </row>
        <row r="450">
          <cell r="R450">
            <v>0</v>
          </cell>
          <cell r="X450">
            <v>0</v>
          </cell>
          <cell r="Y450">
            <v>0</v>
          </cell>
        </row>
        <row r="451">
          <cell r="R451">
            <v>0</v>
          </cell>
          <cell r="X451">
            <v>0</v>
          </cell>
          <cell r="Y451">
            <v>0</v>
          </cell>
        </row>
        <row r="489">
          <cell r="R489">
            <v>15.23</v>
          </cell>
          <cell r="X489">
            <v>1403.96</v>
          </cell>
          <cell r="Y489">
            <v>1156.2</v>
          </cell>
        </row>
        <row r="490">
          <cell r="R490">
            <v>355.62</v>
          </cell>
          <cell r="X490">
            <v>26226.01</v>
          </cell>
          <cell r="Y490">
            <v>15812.74</v>
          </cell>
        </row>
        <row r="491">
          <cell r="R491">
            <v>0</v>
          </cell>
          <cell r="X491">
            <v>0</v>
          </cell>
          <cell r="Y491">
            <v>0</v>
          </cell>
        </row>
        <row r="492">
          <cell r="R492">
            <v>0</v>
          </cell>
          <cell r="X492">
            <v>0</v>
          </cell>
          <cell r="Y492">
            <v>0</v>
          </cell>
        </row>
        <row r="493">
          <cell r="R493">
            <v>0</v>
          </cell>
          <cell r="X493">
            <v>0</v>
          </cell>
          <cell r="Y493">
            <v>0</v>
          </cell>
        </row>
        <row r="494">
          <cell r="R494">
            <v>0</v>
          </cell>
          <cell r="X494">
            <v>0</v>
          </cell>
          <cell r="Y494">
            <v>0</v>
          </cell>
        </row>
        <row r="495">
          <cell r="R495">
            <v>0</v>
          </cell>
          <cell r="X495">
            <v>0</v>
          </cell>
          <cell r="Y495">
            <v>0</v>
          </cell>
        </row>
        <row r="496">
          <cell r="R496">
            <v>0</v>
          </cell>
          <cell r="X496">
            <v>0</v>
          </cell>
          <cell r="Y496">
            <v>0</v>
          </cell>
        </row>
        <row r="517">
          <cell r="R517">
            <v>30.38</v>
          </cell>
          <cell r="X517">
            <v>119.06</v>
          </cell>
          <cell r="Y517">
            <v>80.14</v>
          </cell>
        </row>
        <row r="518">
          <cell r="R518">
            <v>709.37</v>
          </cell>
          <cell r="X518">
            <v>2272.14</v>
          </cell>
          <cell r="Y518">
            <v>1095.98</v>
          </cell>
        </row>
        <row r="519">
          <cell r="R519">
            <v>5.81</v>
          </cell>
          <cell r="X519">
            <v>74.02</v>
          </cell>
          <cell r="Y519">
            <v>49.82</v>
          </cell>
        </row>
        <row r="520">
          <cell r="R520">
            <v>135.66</v>
          </cell>
          <cell r="X520">
            <v>1412.55</v>
          </cell>
          <cell r="Y520">
            <v>681.35</v>
          </cell>
        </row>
        <row r="521">
          <cell r="R521">
            <v>0</v>
          </cell>
          <cell r="X521">
            <v>0</v>
          </cell>
          <cell r="Y521">
            <v>0</v>
          </cell>
        </row>
        <row r="522">
          <cell r="R522">
            <v>0</v>
          </cell>
          <cell r="X522">
            <v>0</v>
          </cell>
          <cell r="Y522">
            <v>0</v>
          </cell>
        </row>
        <row r="523">
          <cell r="R523">
            <v>42.52</v>
          </cell>
          <cell r="X523">
            <v>238.54</v>
          </cell>
          <cell r="Y523">
            <v>160.56</v>
          </cell>
        </row>
        <row r="524">
          <cell r="R524">
            <v>992.84</v>
          </cell>
          <cell r="X524">
            <v>4552.42</v>
          </cell>
          <cell r="Y524">
            <v>2195.87</v>
          </cell>
        </row>
        <row r="525">
          <cell r="R525">
            <v>0</v>
          </cell>
          <cell r="X525">
            <v>0</v>
          </cell>
          <cell r="Y525">
            <v>0</v>
          </cell>
        </row>
        <row r="526">
          <cell r="R526">
            <v>0</v>
          </cell>
          <cell r="X526">
            <v>0</v>
          </cell>
          <cell r="Y526">
            <v>0</v>
          </cell>
        </row>
        <row r="530">
          <cell r="G530" t="str">
            <v>Монтаж перектытия в осях "11-14/В-Г". 023/18КН-КР 4.2 лист 2.3</v>
          </cell>
        </row>
        <row r="560">
          <cell r="G560" t="str">
            <v>Устройство перекрытия в осях "11-14/В-Г". 023/18КН-КР 4.2 лист 2</v>
          </cell>
        </row>
        <row r="594">
          <cell r="R594">
            <v>27.76</v>
          </cell>
          <cell r="X594">
            <v>1280.69</v>
          </cell>
          <cell r="Y594">
            <v>1054.68</v>
          </cell>
        </row>
        <row r="595">
          <cell r="R595">
            <v>648.20000000000005</v>
          </cell>
          <cell r="X595">
            <v>23923.22</v>
          </cell>
          <cell r="Y595">
            <v>14424.3</v>
          </cell>
        </row>
        <row r="596">
          <cell r="R596">
            <v>0</v>
          </cell>
          <cell r="X596">
            <v>0</v>
          </cell>
          <cell r="Y596">
            <v>0</v>
          </cell>
        </row>
        <row r="597">
          <cell r="R597">
            <v>0</v>
          </cell>
          <cell r="X597">
            <v>0</v>
          </cell>
          <cell r="Y597">
            <v>0</v>
          </cell>
        </row>
        <row r="598">
          <cell r="R598">
            <v>0</v>
          </cell>
          <cell r="X598">
            <v>0</v>
          </cell>
          <cell r="Y598">
            <v>0</v>
          </cell>
        </row>
        <row r="599">
          <cell r="R599">
            <v>0</v>
          </cell>
          <cell r="X599">
            <v>0</v>
          </cell>
          <cell r="Y599">
            <v>0</v>
          </cell>
        </row>
        <row r="600">
          <cell r="R600">
            <v>0</v>
          </cell>
          <cell r="X600">
            <v>0</v>
          </cell>
          <cell r="Y600">
            <v>0</v>
          </cell>
        </row>
        <row r="601">
          <cell r="R601">
            <v>0</v>
          </cell>
          <cell r="X601">
            <v>0</v>
          </cell>
          <cell r="Y601">
            <v>0</v>
          </cell>
        </row>
        <row r="602">
          <cell r="R602">
            <v>0</v>
          </cell>
          <cell r="X602">
            <v>0</v>
          </cell>
          <cell r="Y602">
            <v>0</v>
          </cell>
        </row>
        <row r="603">
          <cell r="R603">
            <v>0</v>
          </cell>
          <cell r="X603">
            <v>0</v>
          </cell>
          <cell r="Y603">
            <v>0</v>
          </cell>
        </row>
        <row r="604">
          <cell r="R604">
            <v>4.43</v>
          </cell>
          <cell r="X604">
            <v>204.13</v>
          </cell>
          <cell r="Y604">
            <v>168.11</v>
          </cell>
        </row>
        <row r="605">
          <cell r="R605">
            <v>103.44</v>
          </cell>
          <cell r="X605">
            <v>3813.1</v>
          </cell>
          <cell r="Y605">
            <v>2299.08</v>
          </cell>
        </row>
        <row r="606">
          <cell r="R606">
            <v>0</v>
          </cell>
          <cell r="X606">
            <v>0</v>
          </cell>
          <cell r="Y606">
            <v>0</v>
          </cell>
        </row>
        <row r="607">
          <cell r="R607">
            <v>0</v>
          </cell>
          <cell r="X607">
            <v>0</v>
          </cell>
          <cell r="Y607">
            <v>0</v>
          </cell>
        </row>
        <row r="608">
          <cell r="R608">
            <v>246.54</v>
          </cell>
          <cell r="X608">
            <v>676.35</v>
          </cell>
          <cell r="Y608">
            <v>556.99</v>
          </cell>
        </row>
        <row r="609">
          <cell r="R609">
            <v>3221.83</v>
          </cell>
          <cell r="X609">
            <v>12634.13</v>
          </cell>
          <cell r="Y609">
            <v>7617.64</v>
          </cell>
        </row>
        <row r="610">
          <cell r="R610">
            <v>0</v>
          </cell>
          <cell r="X610">
            <v>0</v>
          </cell>
          <cell r="Y610">
            <v>0</v>
          </cell>
        </row>
        <row r="611">
          <cell r="R611">
            <v>0</v>
          </cell>
          <cell r="X611">
            <v>0</v>
          </cell>
          <cell r="Y611">
            <v>0</v>
          </cell>
        </row>
        <row r="612">
          <cell r="R612">
            <v>0</v>
          </cell>
          <cell r="X612">
            <v>0</v>
          </cell>
          <cell r="Y612">
            <v>0</v>
          </cell>
        </row>
        <row r="613">
          <cell r="R613">
            <v>0</v>
          </cell>
          <cell r="X613">
            <v>0</v>
          </cell>
          <cell r="Y613">
            <v>0</v>
          </cell>
        </row>
        <row r="649">
          <cell r="R649">
            <v>11.21</v>
          </cell>
          <cell r="X649">
            <v>37423.22</v>
          </cell>
          <cell r="Y649">
            <v>28787.09</v>
          </cell>
        </row>
        <row r="650">
          <cell r="R650">
            <v>261.75</v>
          </cell>
          <cell r="X650">
            <v>700986.3</v>
          </cell>
          <cell r="Y650">
            <v>393704.64</v>
          </cell>
        </row>
        <row r="651">
          <cell r="R651">
            <v>0</v>
          </cell>
          <cell r="X651">
            <v>0</v>
          </cell>
          <cell r="Y651">
            <v>0</v>
          </cell>
        </row>
        <row r="652">
          <cell r="R652">
            <v>0</v>
          </cell>
          <cell r="X652">
            <v>0</v>
          </cell>
          <cell r="Y652">
            <v>0</v>
          </cell>
        </row>
        <row r="653">
          <cell r="R653">
            <v>5.64</v>
          </cell>
          <cell r="X653">
            <v>3692.52</v>
          </cell>
          <cell r="Y653">
            <v>2840.4</v>
          </cell>
        </row>
        <row r="654">
          <cell r="R654">
            <v>131.69</v>
          </cell>
          <cell r="X654">
            <v>69165.7</v>
          </cell>
          <cell r="Y654">
            <v>38846.49</v>
          </cell>
        </row>
        <row r="655">
          <cell r="R655">
            <v>0</v>
          </cell>
          <cell r="X655">
            <v>0</v>
          </cell>
          <cell r="Y655">
            <v>0</v>
          </cell>
        </row>
        <row r="656">
          <cell r="R656">
            <v>0</v>
          </cell>
          <cell r="X656">
            <v>0</v>
          </cell>
          <cell r="Y656">
            <v>0</v>
          </cell>
        </row>
        <row r="657">
          <cell r="R657">
            <v>5.53</v>
          </cell>
          <cell r="X657">
            <v>18459.32</v>
          </cell>
          <cell r="Y657">
            <v>14199.48</v>
          </cell>
        </row>
        <row r="658">
          <cell r="R658">
            <v>129.13</v>
          </cell>
          <cell r="X658">
            <v>345767.46</v>
          </cell>
          <cell r="Y658">
            <v>194198.16</v>
          </cell>
        </row>
        <row r="659">
          <cell r="R659">
            <v>0</v>
          </cell>
          <cell r="X659">
            <v>0</v>
          </cell>
          <cell r="Y659">
            <v>0</v>
          </cell>
        </row>
        <row r="660">
          <cell r="R660">
            <v>0</v>
          </cell>
          <cell r="X660">
            <v>0</v>
          </cell>
          <cell r="Y660">
            <v>0</v>
          </cell>
        </row>
        <row r="662">
          <cell r="G662" t="str">
            <v>Гидроизоляция подвала здания. 023/18КН-КР 4.2 лист 4</v>
          </cell>
        </row>
        <row r="696">
          <cell r="R696">
            <v>54.41</v>
          </cell>
          <cell r="X696">
            <v>99.93</v>
          </cell>
          <cell r="Y696">
            <v>68.7</v>
          </cell>
        </row>
        <row r="697">
          <cell r="R697">
            <v>1270.47</v>
          </cell>
          <cell r="X697">
            <v>1983.32</v>
          </cell>
          <cell r="Y697">
            <v>1195.83</v>
          </cell>
        </row>
        <row r="698">
          <cell r="R698">
            <v>0</v>
          </cell>
          <cell r="X698">
            <v>0</v>
          </cell>
          <cell r="Y698">
            <v>0</v>
          </cell>
        </row>
        <row r="699">
          <cell r="R699">
            <v>0</v>
          </cell>
          <cell r="X699">
            <v>0</v>
          </cell>
          <cell r="Y699">
            <v>0</v>
          </cell>
        </row>
        <row r="700">
          <cell r="R700">
            <v>51.97</v>
          </cell>
          <cell r="X700">
            <v>92.46</v>
          </cell>
          <cell r="Y700">
            <v>63.56</v>
          </cell>
        </row>
        <row r="701">
          <cell r="R701">
            <v>1213.5</v>
          </cell>
          <cell r="X701">
            <v>1835.02</v>
          </cell>
          <cell r="Y701">
            <v>1106.4100000000001</v>
          </cell>
        </row>
        <row r="702">
          <cell r="R702">
            <v>0</v>
          </cell>
          <cell r="X702">
            <v>0</v>
          </cell>
          <cell r="Y702">
            <v>0</v>
          </cell>
        </row>
        <row r="703">
          <cell r="R703">
            <v>0</v>
          </cell>
          <cell r="X703">
            <v>0</v>
          </cell>
          <cell r="Y703">
            <v>0</v>
          </cell>
        </row>
        <row r="704">
          <cell r="R704">
            <v>257.61</v>
          </cell>
          <cell r="X704">
            <v>1497.93</v>
          </cell>
          <cell r="Y704">
            <v>1008.22</v>
          </cell>
        </row>
        <row r="705">
          <cell r="R705">
            <v>6015.19</v>
          </cell>
          <cell r="X705">
            <v>28586.75</v>
          </cell>
          <cell r="Y705">
            <v>13788.9</v>
          </cell>
        </row>
        <row r="706">
          <cell r="R706">
            <v>0.48</v>
          </cell>
          <cell r="X706">
            <v>249.5</v>
          </cell>
          <cell r="Y706">
            <v>205.47</v>
          </cell>
        </row>
        <row r="707">
          <cell r="R707">
            <v>11.21</v>
          </cell>
          <cell r="X707">
            <v>4660.67</v>
          </cell>
          <cell r="Y707">
            <v>2810.11</v>
          </cell>
        </row>
        <row r="708">
          <cell r="R708">
            <v>0</v>
          </cell>
          <cell r="X708">
            <v>0</v>
          </cell>
          <cell r="Y708">
            <v>0</v>
          </cell>
        </row>
        <row r="709">
          <cell r="R709">
            <v>0</v>
          </cell>
          <cell r="X709">
            <v>0</v>
          </cell>
          <cell r="Y709">
            <v>0</v>
          </cell>
        </row>
        <row r="710">
          <cell r="R710">
            <v>81.790000000000006</v>
          </cell>
          <cell r="X710">
            <v>422.8</v>
          </cell>
          <cell r="Y710">
            <v>238.58</v>
          </cell>
        </row>
        <row r="711">
          <cell r="R711">
            <v>1909.8</v>
          </cell>
          <cell r="X711">
            <v>7897.9</v>
          </cell>
          <cell r="Y711">
            <v>2891.2</v>
          </cell>
        </row>
        <row r="712">
          <cell r="R712">
            <v>0</v>
          </cell>
          <cell r="X712">
            <v>0</v>
          </cell>
          <cell r="Y712">
            <v>0</v>
          </cell>
        </row>
        <row r="713">
          <cell r="R713">
            <v>0</v>
          </cell>
          <cell r="X713">
            <v>0</v>
          </cell>
          <cell r="Y713">
            <v>0</v>
          </cell>
        </row>
        <row r="714">
          <cell r="R714">
            <v>2.58</v>
          </cell>
          <cell r="X714">
            <v>305.58999999999997</v>
          </cell>
          <cell r="Y714">
            <v>164.55</v>
          </cell>
        </row>
        <row r="715">
          <cell r="R715">
            <v>60.24</v>
          </cell>
          <cell r="X715">
            <v>4116.63</v>
          </cell>
          <cell r="Y715">
            <v>1875.35</v>
          </cell>
        </row>
        <row r="716">
          <cell r="R716">
            <v>0</v>
          </cell>
          <cell r="X716">
            <v>0</v>
          </cell>
          <cell r="Y716">
            <v>0</v>
          </cell>
        </row>
        <row r="717">
          <cell r="R717">
            <v>0</v>
          </cell>
          <cell r="X717">
            <v>0</v>
          </cell>
          <cell r="Y717">
            <v>0</v>
          </cell>
        </row>
        <row r="718">
          <cell r="R718">
            <v>0</v>
          </cell>
          <cell r="X718">
            <v>0</v>
          </cell>
          <cell r="Y718">
            <v>0</v>
          </cell>
        </row>
        <row r="719">
          <cell r="R719">
            <v>0</v>
          </cell>
          <cell r="X719">
            <v>0</v>
          </cell>
          <cell r="Y719">
            <v>0</v>
          </cell>
        </row>
        <row r="755">
          <cell r="R755">
            <v>0</v>
          </cell>
          <cell r="X755">
            <v>1251.6600000000001</v>
          </cell>
          <cell r="Y755">
            <v>860.52</v>
          </cell>
        </row>
        <row r="756">
          <cell r="R756">
            <v>0</v>
          </cell>
          <cell r="X756">
            <v>24842.400000000001</v>
          </cell>
          <cell r="Y756">
            <v>14978.51</v>
          </cell>
        </row>
        <row r="757">
          <cell r="R757">
            <v>0</v>
          </cell>
          <cell r="X757">
            <v>0</v>
          </cell>
          <cell r="Y757">
            <v>0</v>
          </cell>
        </row>
        <row r="758">
          <cell r="R758">
            <v>0</v>
          </cell>
          <cell r="X758">
            <v>0</v>
          </cell>
          <cell r="Y758">
            <v>0</v>
          </cell>
        </row>
        <row r="759">
          <cell r="R759">
            <v>35.53</v>
          </cell>
          <cell r="X759">
            <v>727.63</v>
          </cell>
          <cell r="Y759">
            <v>599.22</v>
          </cell>
        </row>
        <row r="760">
          <cell r="R760">
            <v>829.63</v>
          </cell>
          <cell r="X760">
            <v>13592.04</v>
          </cell>
          <cell r="Y760">
            <v>8195.2000000000007</v>
          </cell>
        </row>
        <row r="761">
          <cell r="R761">
            <v>0</v>
          </cell>
          <cell r="X761">
            <v>0</v>
          </cell>
          <cell r="Y761">
            <v>0</v>
          </cell>
        </row>
        <row r="762">
          <cell r="R762">
            <v>0</v>
          </cell>
          <cell r="X762">
            <v>0</v>
          </cell>
          <cell r="Y762">
            <v>0</v>
          </cell>
        </row>
        <row r="763">
          <cell r="R763">
            <v>4.3600000000000003</v>
          </cell>
          <cell r="X763">
            <v>3267.82</v>
          </cell>
          <cell r="Y763">
            <v>2199.4899999999998</v>
          </cell>
        </row>
        <row r="764">
          <cell r="R764">
            <v>101.81</v>
          </cell>
          <cell r="X764">
            <v>62363.43</v>
          </cell>
          <cell r="Y764">
            <v>30081.18</v>
          </cell>
        </row>
        <row r="765">
          <cell r="R765">
            <v>0</v>
          </cell>
          <cell r="X765">
            <v>0</v>
          </cell>
          <cell r="Y765">
            <v>0</v>
          </cell>
        </row>
        <row r="766">
          <cell r="R766">
            <v>0</v>
          </cell>
          <cell r="X766">
            <v>0</v>
          </cell>
          <cell r="Y766">
            <v>0</v>
          </cell>
        </row>
        <row r="767">
          <cell r="R767">
            <v>6.75</v>
          </cell>
          <cell r="X767">
            <v>363.28</v>
          </cell>
          <cell r="Y767">
            <v>244.52</v>
          </cell>
        </row>
        <row r="768">
          <cell r="R768">
            <v>157.61000000000001</v>
          </cell>
          <cell r="X768">
            <v>6932.93</v>
          </cell>
          <cell r="Y768">
            <v>3344.12</v>
          </cell>
        </row>
        <row r="769">
          <cell r="R769">
            <v>0</v>
          </cell>
          <cell r="X769">
            <v>0</v>
          </cell>
          <cell r="Y769">
            <v>0</v>
          </cell>
        </row>
        <row r="770">
          <cell r="R770">
            <v>0</v>
          </cell>
          <cell r="X770">
            <v>0</v>
          </cell>
          <cell r="Y770">
            <v>0</v>
          </cell>
        </row>
        <row r="771">
          <cell r="R771">
            <v>4.3600000000000003</v>
          </cell>
          <cell r="X771">
            <v>3267.82</v>
          </cell>
          <cell r="Y771">
            <v>2199.4899999999998</v>
          </cell>
        </row>
        <row r="772">
          <cell r="R772">
            <v>101.81</v>
          </cell>
          <cell r="X772">
            <v>62363.43</v>
          </cell>
          <cell r="Y772">
            <v>30081.18</v>
          </cell>
        </row>
        <row r="773">
          <cell r="R773">
            <v>0</v>
          </cell>
          <cell r="X773">
            <v>0</v>
          </cell>
          <cell r="Y773">
            <v>0</v>
          </cell>
        </row>
        <row r="774">
          <cell r="R774">
            <v>0</v>
          </cell>
          <cell r="X774">
            <v>0</v>
          </cell>
          <cell r="Y774">
            <v>0</v>
          </cell>
        </row>
        <row r="775">
          <cell r="R775">
            <v>1265.6300000000001</v>
          </cell>
          <cell r="X775">
            <v>4960.8599999999997</v>
          </cell>
          <cell r="Y775">
            <v>3339.04</v>
          </cell>
        </row>
        <row r="776">
          <cell r="R776">
            <v>29552.46</v>
          </cell>
          <cell r="X776">
            <v>94673.77</v>
          </cell>
          <cell r="Y776">
            <v>45666.17</v>
          </cell>
        </row>
        <row r="777">
          <cell r="R777">
            <v>2.5299999999999998</v>
          </cell>
          <cell r="X777">
            <v>518.41999999999996</v>
          </cell>
          <cell r="Y777">
            <v>348.94</v>
          </cell>
        </row>
        <row r="778">
          <cell r="R778">
            <v>59.08</v>
          </cell>
          <cell r="X778">
            <v>9893.58</v>
          </cell>
          <cell r="Y778">
            <v>4772.2</v>
          </cell>
        </row>
        <row r="779">
          <cell r="R779">
            <v>0</v>
          </cell>
          <cell r="X779">
            <v>0</v>
          </cell>
          <cell r="Y779">
            <v>0</v>
          </cell>
        </row>
        <row r="780">
          <cell r="R780">
            <v>0</v>
          </cell>
          <cell r="X780">
            <v>0</v>
          </cell>
          <cell r="Y780">
            <v>0</v>
          </cell>
        </row>
        <row r="781">
          <cell r="R781">
            <v>1700.16</v>
          </cell>
          <cell r="X781">
            <v>23914.75</v>
          </cell>
          <cell r="Y781">
            <v>18395.96</v>
          </cell>
        </row>
        <row r="782">
          <cell r="R782">
            <v>39698.74</v>
          </cell>
          <cell r="X782">
            <v>447954.72</v>
          </cell>
          <cell r="Y782">
            <v>251591.01</v>
          </cell>
        </row>
        <row r="783">
          <cell r="R783">
            <v>0</v>
          </cell>
          <cell r="X783">
            <v>0</v>
          </cell>
          <cell r="Y783">
            <v>0</v>
          </cell>
        </row>
        <row r="784">
          <cell r="R784">
            <v>0</v>
          </cell>
          <cell r="X784">
            <v>0</v>
          </cell>
          <cell r="Y784">
            <v>0</v>
          </cell>
        </row>
        <row r="785">
          <cell r="R785">
            <v>0</v>
          </cell>
          <cell r="X785">
            <v>0</v>
          </cell>
          <cell r="Y785">
            <v>0</v>
          </cell>
        </row>
        <row r="786">
          <cell r="R786">
            <v>0</v>
          </cell>
          <cell r="X786">
            <v>0</v>
          </cell>
          <cell r="Y786">
            <v>0</v>
          </cell>
        </row>
        <row r="787">
          <cell r="R787">
            <v>5.61</v>
          </cell>
          <cell r="X787">
            <v>78.739999999999995</v>
          </cell>
          <cell r="Y787">
            <v>52.49</v>
          </cell>
        </row>
        <row r="788">
          <cell r="R788">
            <v>130.99</v>
          </cell>
          <cell r="X788">
            <v>1488.37</v>
          </cell>
          <cell r="Y788">
            <v>717.92</v>
          </cell>
        </row>
        <row r="789">
          <cell r="R789">
            <v>0</v>
          </cell>
          <cell r="X789">
            <v>0</v>
          </cell>
          <cell r="Y789">
            <v>0</v>
          </cell>
        </row>
        <row r="790">
          <cell r="R790">
            <v>0</v>
          </cell>
          <cell r="X790">
            <v>0</v>
          </cell>
          <cell r="Y790">
            <v>0</v>
          </cell>
        </row>
        <row r="791">
          <cell r="R791">
            <v>0</v>
          </cell>
          <cell r="X791">
            <v>555</v>
          </cell>
          <cell r="Y791">
            <v>355.2</v>
          </cell>
        </row>
        <row r="792">
          <cell r="R792">
            <v>0</v>
          </cell>
          <cell r="X792">
            <v>10496.99</v>
          </cell>
          <cell r="Y792">
            <v>5313.29</v>
          </cell>
        </row>
        <row r="798">
          <cell r="R798">
            <v>0.04</v>
          </cell>
          <cell r="X798">
            <v>10.87</v>
          </cell>
          <cell r="Y798">
            <v>8.9499999999999993</v>
          </cell>
        </row>
        <row r="799">
          <cell r="R799">
            <v>0.7</v>
          </cell>
          <cell r="X799">
            <v>203.08</v>
          </cell>
          <cell r="Y799">
            <v>122.45</v>
          </cell>
        </row>
        <row r="800">
          <cell r="R800">
            <v>0</v>
          </cell>
          <cell r="X800">
            <v>0</v>
          </cell>
          <cell r="Y800">
            <v>0</v>
          </cell>
        </row>
        <row r="801">
          <cell r="R801">
            <v>0</v>
          </cell>
          <cell r="X801">
            <v>0</v>
          </cell>
          <cell r="Y801">
            <v>0</v>
          </cell>
        </row>
        <row r="802">
          <cell r="R802">
            <v>0.98</v>
          </cell>
          <cell r="X802">
            <v>30.49</v>
          </cell>
          <cell r="Y802">
            <v>25.11</v>
          </cell>
        </row>
        <row r="803">
          <cell r="R803">
            <v>22.88</v>
          </cell>
          <cell r="X803">
            <v>569.54</v>
          </cell>
          <cell r="Y803">
            <v>343.4</v>
          </cell>
        </row>
        <row r="804">
          <cell r="R804">
            <v>0</v>
          </cell>
          <cell r="X804">
            <v>0</v>
          </cell>
          <cell r="Y804">
            <v>0</v>
          </cell>
        </row>
        <row r="805">
          <cell r="R805">
            <v>0</v>
          </cell>
          <cell r="X805">
            <v>0</v>
          </cell>
          <cell r="Y805">
            <v>0</v>
          </cell>
        </row>
        <row r="806">
          <cell r="R806">
            <v>0.13</v>
          </cell>
          <cell r="X806">
            <v>4.7699999999999996</v>
          </cell>
          <cell r="Y806">
            <v>3.05</v>
          </cell>
        </row>
        <row r="807">
          <cell r="R807">
            <v>3.04</v>
          </cell>
          <cell r="X807">
            <v>90.22</v>
          </cell>
          <cell r="Y807">
            <v>45.67</v>
          </cell>
        </row>
        <row r="808">
          <cell r="R808">
            <v>0</v>
          </cell>
          <cell r="X808">
            <v>0</v>
          </cell>
          <cell r="Y808">
            <v>0</v>
          </cell>
        </row>
        <row r="809">
          <cell r="R809">
            <v>0</v>
          </cell>
          <cell r="X809">
            <v>0</v>
          </cell>
          <cell r="Y809">
            <v>0</v>
          </cell>
        </row>
        <row r="810">
          <cell r="R810">
            <v>0.01</v>
          </cell>
          <cell r="X810">
            <v>0.82</v>
          </cell>
          <cell r="Y810">
            <v>0.52</v>
          </cell>
        </row>
        <row r="811">
          <cell r="R811">
            <v>0.23</v>
          </cell>
          <cell r="X811">
            <v>15.51</v>
          </cell>
          <cell r="Y811">
            <v>7.85</v>
          </cell>
        </row>
        <row r="813">
          <cell r="G813" t="str">
            <v>Устройство металлической стремянки. 023/18КН-КР 4.2 лист 5</v>
          </cell>
        </row>
        <row r="881">
          <cell r="R881">
            <v>0.73</v>
          </cell>
          <cell r="X881">
            <v>344.23</v>
          </cell>
          <cell r="Y881">
            <v>264.8</v>
          </cell>
        </row>
        <row r="882">
          <cell r="R882">
            <v>17.05</v>
          </cell>
          <cell r="X882">
            <v>6447.97</v>
          </cell>
          <cell r="Y882">
            <v>3621.46</v>
          </cell>
        </row>
        <row r="883">
          <cell r="R883">
            <v>0</v>
          </cell>
          <cell r="X883">
            <v>0</v>
          </cell>
          <cell r="Y883">
            <v>0</v>
          </cell>
        </row>
        <row r="884">
          <cell r="R884">
            <v>0</v>
          </cell>
          <cell r="X884">
            <v>0</v>
          </cell>
          <cell r="Y884">
            <v>0</v>
          </cell>
        </row>
        <row r="885">
          <cell r="R885">
            <v>0</v>
          </cell>
          <cell r="X885">
            <v>0</v>
          </cell>
          <cell r="Y885">
            <v>0</v>
          </cell>
        </row>
        <row r="886">
          <cell r="R886">
            <v>0</v>
          </cell>
          <cell r="X886">
            <v>0</v>
          </cell>
          <cell r="Y886">
            <v>0</v>
          </cell>
        </row>
        <row r="887">
          <cell r="R887">
            <v>0</v>
          </cell>
          <cell r="X887">
            <v>0</v>
          </cell>
          <cell r="Y887">
            <v>0</v>
          </cell>
        </row>
        <row r="888">
          <cell r="R888">
            <v>0</v>
          </cell>
          <cell r="X888">
            <v>0</v>
          </cell>
          <cell r="Y888">
            <v>0</v>
          </cell>
        </row>
        <row r="889">
          <cell r="R889">
            <v>0</v>
          </cell>
          <cell r="X889">
            <v>0</v>
          </cell>
          <cell r="Y889">
            <v>0</v>
          </cell>
        </row>
        <row r="890">
          <cell r="R890">
            <v>0</v>
          </cell>
          <cell r="X890">
            <v>0</v>
          </cell>
          <cell r="Y890">
            <v>0</v>
          </cell>
        </row>
        <row r="891">
          <cell r="R891">
            <v>0</v>
          </cell>
          <cell r="X891">
            <v>0</v>
          </cell>
          <cell r="Y891">
            <v>0</v>
          </cell>
        </row>
        <row r="892">
          <cell r="R892">
            <v>0</v>
          </cell>
          <cell r="X892">
            <v>0</v>
          </cell>
          <cell r="Y892">
            <v>0</v>
          </cell>
        </row>
        <row r="893">
          <cell r="R893">
            <v>0</v>
          </cell>
          <cell r="X893">
            <v>0</v>
          </cell>
          <cell r="Y893">
            <v>0</v>
          </cell>
        </row>
        <row r="894">
          <cell r="R894">
            <v>0</v>
          </cell>
          <cell r="X894">
            <v>0</v>
          </cell>
          <cell r="Y894">
            <v>0</v>
          </cell>
        </row>
        <row r="895">
          <cell r="R895">
            <v>0</v>
          </cell>
          <cell r="X895">
            <v>0</v>
          </cell>
          <cell r="Y895">
            <v>0</v>
          </cell>
        </row>
        <row r="896">
          <cell r="R896">
            <v>0</v>
          </cell>
          <cell r="X896">
            <v>0</v>
          </cell>
          <cell r="Y896">
            <v>0</v>
          </cell>
        </row>
        <row r="897">
          <cell r="R897">
            <v>0</v>
          </cell>
          <cell r="X897">
            <v>18.739999999999998</v>
          </cell>
          <cell r="Y897">
            <v>14.41</v>
          </cell>
        </row>
        <row r="898">
          <cell r="R898">
            <v>0</v>
          </cell>
          <cell r="X898">
            <v>350.97</v>
          </cell>
          <cell r="Y898">
            <v>197.12</v>
          </cell>
        </row>
        <row r="899">
          <cell r="R899">
            <v>0</v>
          </cell>
          <cell r="X899">
            <v>0</v>
          </cell>
          <cell r="Y899">
            <v>0</v>
          </cell>
        </row>
        <row r="900">
          <cell r="R900">
            <v>0</v>
          </cell>
          <cell r="X900">
            <v>0</v>
          </cell>
          <cell r="Y900">
            <v>0</v>
          </cell>
        </row>
        <row r="901">
          <cell r="R901">
            <v>0</v>
          </cell>
          <cell r="X901">
            <v>13.55</v>
          </cell>
          <cell r="Y901">
            <v>10.42</v>
          </cell>
        </row>
        <row r="902">
          <cell r="R902">
            <v>0</v>
          </cell>
          <cell r="X902">
            <v>253.81</v>
          </cell>
          <cell r="Y902">
            <v>142.55000000000001</v>
          </cell>
        </row>
        <row r="903">
          <cell r="R903">
            <v>0</v>
          </cell>
          <cell r="X903">
            <v>0</v>
          </cell>
          <cell r="Y903">
            <v>0</v>
          </cell>
        </row>
        <row r="904">
          <cell r="R904">
            <v>0</v>
          </cell>
          <cell r="X904">
            <v>0</v>
          </cell>
          <cell r="Y904">
            <v>0</v>
          </cell>
        </row>
        <row r="944">
          <cell r="R944">
            <v>3.87</v>
          </cell>
          <cell r="X944">
            <v>1833.99</v>
          </cell>
          <cell r="Y944">
            <v>1410.76</v>
          </cell>
        </row>
        <row r="945">
          <cell r="R945">
            <v>90.36</v>
          </cell>
          <cell r="X945">
            <v>34352.99</v>
          </cell>
          <cell r="Y945">
            <v>19294.14</v>
          </cell>
        </row>
        <row r="946">
          <cell r="R946">
            <v>0</v>
          </cell>
          <cell r="X946">
            <v>0</v>
          </cell>
          <cell r="Y946">
            <v>0</v>
          </cell>
        </row>
        <row r="947">
          <cell r="R947">
            <v>0</v>
          </cell>
          <cell r="X947">
            <v>0</v>
          </cell>
          <cell r="Y947">
            <v>0</v>
          </cell>
        </row>
        <row r="948">
          <cell r="R948">
            <v>0</v>
          </cell>
          <cell r="X948">
            <v>0</v>
          </cell>
          <cell r="Y948">
            <v>0</v>
          </cell>
        </row>
        <row r="949">
          <cell r="R949">
            <v>0</v>
          </cell>
          <cell r="X949">
            <v>0</v>
          </cell>
          <cell r="Y949">
            <v>0</v>
          </cell>
        </row>
        <row r="950">
          <cell r="R950">
            <v>0</v>
          </cell>
          <cell r="X950">
            <v>0</v>
          </cell>
          <cell r="Y950">
            <v>0</v>
          </cell>
        </row>
        <row r="951">
          <cell r="R951">
            <v>0</v>
          </cell>
          <cell r="X951">
            <v>0</v>
          </cell>
          <cell r="Y951">
            <v>0</v>
          </cell>
        </row>
        <row r="952">
          <cell r="R952">
            <v>0</v>
          </cell>
          <cell r="X952">
            <v>0</v>
          </cell>
          <cell r="Y952">
            <v>0</v>
          </cell>
        </row>
        <row r="953">
          <cell r="R953">
            <v>0</v>
          </cell>
          <cell r="X953">
            <v>0</v>
          </cell>
          <cell r="Y953">
            <v>0</v>
          </cell>
        </row>
        <row r="954">
          <cell r="R954">
            <v>0</v>
          </cell>
          <cell r="X954">
            <v>0</v>
          </cell>
          <cell r="Y954">
            <v>0</v>
          </cell>
        </row>
        <row r="955">
          <cell r="R955">
            <v>0</v>
          </cell>
          <cell r="X955">
            <v>0</v>
          </cell>
          <cell r="Y955">
            <v>0</v>
          </cell>
        </row>
        <row r="956">
          <cell r="R956">
            <v>0</v>
          </cell>
          <cell r="X956">
            <v>0</v>
          </cell>
          <cell r="Y956">
            <v>0</v>
          </cell>
        </row>
        <row r="957">
          <cell r="R957">
            <v>0</v>
          </cell>
          <cell r="X957">
            <v>0</v>
          </cell>
          <cell r="Y957">
            <v>0</v>
          </cell>
        </row>
        <row r="958">
          <cell r="R958">
            <v>0</v>
          </cell>
          <cell r="X958">
            <v>0</v>
          </cell>
          <cell r="Y958">
            <v>0</v>
          </cell>
        </row>
        <row r="959">
          <cell r="R959">
            <v>0</v>
          </cell>
          <cell r="X959">
            <v>0</v>
          </cell>
          <cell r="Y959">
            <v>0</v>
          </cell>
        </row>
        <row r="995">
          <cell r="R995">
            <v>0.85</v>
          </cell>
          <cell r="X995">
            <v>401.05</v>
          </cell>
          <cell r="Y995">
            <v>308.5</v>
          </cell>
        </row>
        <row r="996">
          <cell r="R996">
            <v>19.850000000000001</v>
          </cell>
          <cell r="X996">
            <v>7512.12</v>
          </cell>
          <cell r="Y996">
            <v>4219.1400000000003</v>
          </cell>
        </row>
        <row r="997">
          <cell r="R997">
            <v>0</v>
          </cell>
          <cell r="X997">
            <v>0</v>
          </cell>
          <cell r="Y997">
            <v>0</v>
          </cell>
        </row>
        <row r="998">
          <cell r="R998">
            <v>0</v>
          </cell>
          <cell r="X998">
            <v>0</v>
          </cell>
          <cell r="Y998">
            <v>0</v>
          </cell>
        </row>
        <row r="999">
          <cell r="R999">
            <v>0</v>
          </cell>
          <cell r="X999">
            <v>0</v>
          </cell>
          <cell r="Y999">
            <v>0</v>
          </cell>
        </row>
        <row r="1000">
          <cell r="R1000">
            <v>0</v>
          </cell>
          <cell r="X1000">
            <v>0</v>
          </cell>
          <cell r="Y1000">
            <v>0</v>
          </cell>
        </row>
        <row r="1001">
          <cell r="R1001">
            <v>0</v>
          </cell>
          <cell r="X1001">
            <v>0</v>
          </cell>
          <cell r="Y1001">
            <v>0</v>
          </cell>
        </row>
        <row r="1002">
          <cell r="R1002">
            <v>0</v>
          </cell>
          <cell r="X1002">
            <v>0</v>
          </cell>
          <cell r="Y1002">
            <v>0</v>
          </cell>
        </row>
        <row r="1003">
          <cell r="R1003">
            <v>0</v>
          </cell>
          <cell r="X1003">
            <v>0</v>
          </cell>
          <cell r="Y1003">
            <v>0</v>
          </cell>
        </row>
        <row r="1004">
          <cell r="R1004">
            <v>0</v>
          </cell>
          <cell r="X1004">
            <v>0</v>
          </cell>
          <cell r="Y1004">
            <v>0</v>
          </cell>
        </row>
        <row r="1005">
          <cell r="R1005">
            <v>0</v>
          </cell>
          <cell r="X1005">
            <v>0</v>
          </cell>
          <cell r="Y1005">
            <v>0</v>
          </cell>
        </row>
        <row r="1006">
          <cell r="R1006">
            <v>0</v>
          </cell>
          <cell r="X1006">
            <v>0</v>
          </cell>
          <cell r="Y1006">
            <v>0</v>
          </cell>
        </row>
        <row r="1007">
          <cell r="R1007">
            <v>0</v>
          </cell>
          <cell r="X1007">
            <v>0</v>
          </cell>
          <cell r="Y1007">
            <v>0</v>
          </cell>
        </row>
        <row r="1008">
          <cell r="R1008">
            <v>0</v>
          </cell>
          <cell r="X1008">
            <v>0</v>
          </cell>
          <cell r="Y1008">
            <v>0</v>
          </cell>
        </row>
        <row r="1009">
          <cell r="R1009">
            <v>0</v>
          </cell>
          <cell r="X1009">
            <v>0</v>
          </cell>
          <cell r="Y1009">
            <v>0</v>
          </cell>
        </row>
        <row r="1010">
          <cell r="R1010">
            <v>0</v>
          </cell>
          <cell r="X1010">
            <v>0</v>
          </cell>
          <cell r="Y1010">
            <v>0</v>
          </cell>
        </row>
        <row r="1046">
          <cell r="R1046">
            <v>0.98</v>
          </cell>
          <cell r="X1046">
            <v>465.55</v>
          </cell>
          <cell r="Y1046">
            <v>358.11</v>
          </cell>
        </row>
        <row r="1047">
          <cell r="R1047">
            <v>22.88</v>
          </cell>
          <cell r="X1047">
            <v>8720.31</v>
          </cell>
          <cell r="Y1047">
            <v>4897.71</v>
          </cell>
        </row>
        <row r="1048">
          <cell r="R1048">
            <v>0</v>
          </cell>
          <cell r="X1048">
            <v>0</v>
          </cell>
          <cell r="Y1048">
            <v>0</v>
          </cell>
        </row>
        <row r="1049">
          <cell r="R1049">
            <v>0</v>
          </cell>
          <cell r="X1049">
            <v>0</v>
          </cell>
          <cell r="Y1049">
            <v>0</v>
          </cell>
        </row>
        <row r="1050">
          <cell r="R1050">
            <v>0</v>
          </cell>
          <cell r="X1050">
            <v>0</v>
          </cell>
          <cell r="Y1050">
            <v>0</v>
          </cell>
        </row>
        <row r="1051">
          <cell r="R1051">
            <v>0</v>
          </cell>
          <cell r="X1051">
            <v>0</v>
          </cell>
          <cell r="Y1051">
            <v>0</v>
          </cell>
        </row>
        <row r="1052">
          <cell r="R1052">
            <v>0</v>
          </cell>
          <cell r="X1052">
            <v>0</v>
          </cell>
          <cell r="Y1052">
            <v>0</v>
          </cell>
        </row>
        <row r="1053">
          <cell r="R1053">
            <v>0</v>
          </cell>
          <cell r="X1053">
            <v>0</v>
          </cell>
          <cell r="Y1053">
            <v>0</v>
          </cell>
        </row>
        <row r="1054">
          <cell r="R1054">
            <v>0</v>
          </cell>
          <cell r="X1054">
            <v>0</v>
          </cell>
          <cell r="Y1054">
            <v>0</v>
          </cell>
        </row>
        <row r="1055">
          <cell r="R1055">
            <v>0</v>
          </cell>
          <cell r="X1055">
            <v>0</v>
          </cell>
          <cell r="Y1055">
            <v>0</v>
          </cell>
        </row>
        <row r="1056">
          <cell r="R1056">
            <v>0</v>
          </cell>
          <cell r="X1056">
            <v>0</v>
          </cell>
          <cell r="Y1056">
            <v>0</v>
          </cell>
        </row>
        <row r="1057">
          <cell r="R1057">
            <v>0</v>
          </cell>
          <cell r="X1057">
            <v>0</v>
          </cell>
          <cell r="Y1057">
            <v>0</v>
          </cell>
        </row>
        <row r="1058">
          <cell r="R1058">
            <v>0</v>
          </cell>
          <cell r="X1058">
            <v>0</v>
          </cell>
          <cell r="Y1058">
            <v>0</v>
          </cell>
        </row>
        <row r="1059">
          <cell r="R1059">
            <v>0</v>
          </cell>
          <cell r="X1059">
            <v>0</v>
          </cell>
          <cell r="Y1059">
            <v>0</v>
          </cell>
        </row>
        <row r="1060">
          <cell r="R1060">
            <v>0</v>
          </cell>
          <cell r="X1060">
            <v>0</v>
          </cell>
          <cell r="Y1060">
            <v>0</v>
          </cell>
        </row>
        <row r="1061">
          <cell r="R1061">
            <v>0</v>
          </cell>
          <cell r="X1061">
            <v>0</v>
          </cell>
          <cell r="Y1061">
            <v>0</v>
          </cell>
        </row>
        <row r="1097">
          <cell r="R1097">
            <v>637.92999999999995</v>
          </cell>
          <cell r="X1097">
            <v>879.16</v>
          </cell>
          <cell r="Y1097">
            <v>604.41999999999996</v>
          </cell>
        </row>
        <row r="1098">
          <cell r="R1098">
            <v>14895.67</v>
          </cell>
          <cell r="X1098">
            <v>17449.13</v>
          </cell>
          <cell r="Y1098">
            <v>10520.8</v>
          </cell>
        </row>
        <row r="1099">
          <cell r="R1099">
            <v>0</v>
          </cell>
          <cell r="X1099">
            <v>0</v>
          </cell>
          <cell r="Y1099">
            <v>0</v>
          </cell>
        </row>
        <row r="1100">
          <cell r="R1100">
            <v>0</v>
          </cell>
          <cell r="X1100">
            <v>0</v>
          </cell>
          <cell r="Y1100">
            <v>0</v>
          </cell>
        </row>
        <row r="1101">
          <cell r="R1101">
            <v>1.6</v>
          </cell>
          <cell r="X1101">
            <v>760.8</v>
          </cell>
          <cell r="Y1101">
            <v>585.23</v>
          </cell>
        </row>
        <row r="1102">
          <cell r="R1102">
            <v>37.36</v>
          </cell>
          <cell r="X1102">
            <v>14250.72</v>
          </cell>
          <cell r="Y1102">
            <v>8003.83</v>
          </cell>
        </row>
        <row r="1103">
          <cell r="R1103">
            <v>0</v>
          </cell>
          <cell r="X1103">
            <v>0</v>
          </cell>
          <cell r="Y1103">
            <v>0</v>
          </cell>
        </row>
        <row r="1104">
          <cell r="R1104">
            <v>0</v>
          </cell>
          <cell r="X1104">
            <v>0</v>
          </cell>
          <cell r="Y1104">
            <v>0</v>
          </cell>
        </row>
        <row r="1105">
          <cell r="R1105">
            <v>0</v>
          </cell>
          <cell r="X1105">
            <v>0</v>
          </cell>
          <cell r="Y1105">
            <v>0</v>
          </cell>
        </row>
        <row r="1106">
          <cell r="R1106">
            <v>0</v>
          </cell>
          <cell r="X1106">
            <v>0</v>
          </cell>
          <cell r="Y1106">
            <v>0</v>
          </cell>
        </row>
        <row r="1107">
          <cell r="R1107">
            <v>0</v>
          </cell>
          <cell r="X1107">
            <v>0</v>
          </cell>
          <cell r="Y1107">
            <v>0</v>
          </cell>
        </row>
        <row r="1108">
          <cell r="R1108">
            <v>0</v>
          </cell>
          <cell r="X1108">
            <v>0</v>
          </cell>
          <cell r="Y1108">
            <v>0</v>
          </cell>
        </row>
        <row r="1116">
          <cell r="G1116" t="str">
            <v>Усиление кирпичных стен в местах прохода коммуникаций для проемов. 023/18КН-КР 4.2 лист 9</v>
          </cell>
        </row>
        <row r="1180">
          <cell r="R1180">
            <v>0.28999999999999998</v>
          </cell>
          <cell r="X1180">
            <v>3108.69</v>
          </cell>
          <cell r="Y1180">
            <v>2288.81</v>
          </cell>
        </row>
        <row r="1181">
          <cell r="R1181">
            <v>6.77</v>
          </cell>
          <cell r="X1181">
            <v>58229.82</v>
          </cell>
          <cell r="Y1181">
            <v>32704.42</v>
          </cell>
        </row>
        <row r="1182">
          <cell r="R1182">
            <v>0</v>
          </cell>
          <cell r="X1182">
            <v>0</v>
          </cell>
          <cell r="Y1182">
            <v>0</v>
          </cell>
        </row>
        <row r="1183">
          <cell r="R1183">
            <v>0</v>
          </cell>
          <cell r="X1183">
            <v>0</v>
          </cell>
          <cell r="Y1183">
            <v>0</v>
          </cell>
        </row>
        <row r="1184">
          <cell r="R1184">
            <v>234.63</v>
          </cell>
          <cell r="X1184">
            <v>716.33</v>
          </cell>
          <cell r="Y1184">
            <v>492.48</v>
          </cell>
        </row>
        <row r="1185">
          <cell r="R1185">
            <v>5478.61</v>
          </cell>
          <cell r="X1185">
            <v>14217.32</v>
          </cell>
          <cell r="Y1185">
            <v>8572.2099999999991</v>
          </cell>
        </row>
        <row r="1186">
          <cell r="R1186">
            <v>0</v>
          </cell>
          <cell r="X1186">
            <v>0</v>
          </cell>
          <cell r="Y1186">
            <v>0</v>
          </cell>
        </row>
        <row r="1187">
          <cell r="R1187">
            <v>0</v>
          </cell>
          <cell r="X1187">
            <v>0</v>
          </cell>
          <cell r="Y1187">
            <v>0</v>
          </cell>
        </row>
        <row r="1223">
          <cell r="R1223">
            <v>73.42</v>
          </cell>
          <cell r="X1223">
            <v>116.18</v>
          </cell>
          <cell r="Y1223">
            <v>79.87</v>
          </cell>
        </row>
        <row r="1224">
          <cell r="R1224">
            <v>1714.36</v>
          </cell>
          <cell r="X1224">
            <v>2305.81</v>
          </cell>
          <cell r="Y1224">
            <v>1390.26</v>
          </cell>
        </row>
        <row r="1225">
          <cell r="R1225">
            <v>0</v>
          </cell>
          <cell r="X1225">
            <v>0</v>
          </cell>
          <cell r="Y1225">
            <v>0</v>
          </cell>
        </row>
        <row r="1226">
          <cell r="R1226">
            <v>0</v>
          </cell>
          <cell r="X1226">
            <v>0</v>
          </cell>
          <cell r="Y1226">
            <v>0</v>
          </cell>
        </row>
        <row r="1231">
          <cell r="R1231">
            <v>461.6</v>
          </cell>
          <cell r="X1231">
            <v>778.69</v>
          </cell>
          <cell r="Y1231">
            <v>535.35</v>
          </cell>
        </row>
        <row r="1232">
          <cell r="R1232">
            <v>10778.36</v>
          </cell>
          <cell r="X1232">
            <v>15455.01</v>
          </cell>
          <cell r="Y1232">
            <v>9318.4599999999991</v>
          </cell>
        </row>
        <row r="1233">
          <cell r="R1233">
            <v>0</v>
          </cell>
          <cell r="X1233">
            <v>0</v>
          </cell>
          <cell r="Y1233">
            <v>0</v>
          </cell>
        </row>
        <row r="1234">
          <cell r="R1234">
            <v>0</v>
          </cell>
          <cell r="X1234">
            <v>0</v>
          </cell>
          <cell r="Y1234">
            <v>0</v>
          </cell>
        </row>
        <row r="1235">
          <cell r="R1235">
            <v>0</v>
          </cell>
          <cell r="X1235">
            <v>140</v>
          </cell>
          <cell r="Y1235">
            <v>96.25</v>
          </cell>
        </row>
        <row r="1236">
          <cell r="R1236">
            <v>0</v>
          </cell>
          <cell r="X1236">
            <v>2778.65</v>
          </cell>
          <cell r="Y1236">
            <v>1675.36</v>
          </cell>
        </row>
        <row r="1237">
          <cell r="R1237">
            <v>0</v>
          </cell>
          <cell r="X1237">
            <v>0</v>
          </cell>
          <cell r="Y1237">
            <v>0</v>
          </cell>
        </row>
        <row r="1238">
          <cell r="R1238">
            <v>0</v>
          </cell>
          <cell r="X1238">
            <v>0</v>
          </cell>
          <cell r="Y1238">
            <v>0</v>
          </cell>
        </row>
        <row r="1239">
          <cell r="R1239">
            <v>109.53</v>
          </cell>
          <cell r="X1239">
            <v>423.8</v>
          </cell>
          <cell r="Y1239">
            <v>291.36</v>
          </cell>
        </row>
        <row r="1240">
          <cell r="R1240">
            <v>2557.5300000000002</v>
          </cell>
          <cell r="X1240">
            <v>8411.3700000000008</v>
          </cell>
          <cell r="Y1240">
            <v>5071.5600000000004</v>
          </cell>
        </row>
        <row r="1241">
          <cell r="R1241">
            <v>0</v>
          </cell>
          <cell r="X1241">
            <v>0</v>
          </cell>
          <cell r="Y1241">
            <v>0</v>
          </cell>
        </row>
        <row r="1242">
          <cell r="R1242">
            <v>0</v>
          </cell>
          <cell r="X1242">
            <v>0</v>
          </cell>
          <cell r="Y1242">
            <v>0</v>
          </cell>
        </row>
        <row r="1243">
          <cell r="R1243">
            <v>10.45</v>
          </cell>
          <cell r="X1243">
            <v>36.85</v>
          </cell>
          <cell r="Y1243">
            <v>24.8</v>
          </cell>
        </row>
        <row r="1244">
          <cell r="R1244">
            <v>244.01</v>
          </cell>
          <cell r="X1244">
            <v>703.2</v>
          </cell>
          <cell r="Y1244">
            <v>339.19</v>
          </cell>
        </row>
        <row r="1245">
          <cell r="R1245">
            <v>0</v>
          </cell>
          <cell r="X1245">
            <v>0</v>
          </cell>
          <cell r="Y1245">
            <v>0</v>
          </cell>
        </row>
        <row r="1246">
          <cell r="R1246">
            <v>0</v>
          </cell>
          <cell r="X1246">
            <v>0</v>
          </cell>
          <cell r="Y1246">
            <v>0</v>
          </cell>
        </row>
        <row r="1247">
          <cell r="R1247">
            <v>0</v>
          </cell>
          <cell r="X1247">
            <v>429.36</v>
          </cell>
          <cell r="Y1247">
            <v>295.19</v>
          </cell>
        </row>
        <row r="1248">
          <cell r="R1248">
            <v>0</v>
          </cell>
          <cell r="X1248">
            <v>8521.73</v>
          </cell>
          <cell r="Y1248">
            <v>5138.1000000000004</v>
          </cell>
        </row>
        <row r="1249">
          <cell r="R1249">
            <v>0</v>
          </cell>
          <cell r="X1249">
            <v>0</v>
          </cell>
          <cell r="Y1249">
            <v>0</v>
          </cell>
        </row>
        <row r="1250">
          <cell r="R1250">
            <v>0</v>
          </cell>
          <cell r="X1250">
            <v>0</v>
          </cell>
          <cell r="Y1250">
            <v>0</v>
          </cell>
        </row>
        <row r="1252">
          <cell r="G1252" t="str">
            <v>Демонтаж перектытия в осях "11-14/В-Г". 023/18КН-КР 4.2 лист 2.4, 2.5</v>
          </cell>
        </row>
        <row r="1286">
          <cell r="R1286">
            <v>132.1</v>
          </cell>
          <cell r="X1286">
            <v>209.02</v>
          </cell>
          <cell r="Y1286">
            <v>143.69999999999999</v>
          </cell>
        </row>
        <row r="1287">
          <cell r="R1287">
            <v>3084.54</v>
          </cell>
          <cell r="X1287">
            <v>4148.6099999999997</v>
          </cell>
          <cell r="Y1287">
            <v>2501.36</v>
          </cell>
        </row>
        <row r="1288">
          <cell r="R1288">
            <v>0</v>
          </cell>
          <cell r="X1288">
            <v>0</v>
          </cell>
          <cell r="Y1288">
            <v>0</v>
          </cell>
        </row>
        <row r="1289">
          <cell r="R1289">
            <v>0</v>
          </cell>
          <cell r="X1289">
            <v>0</v>
          </cell>
          <cell r="Y1289">
            <v>0</v>
          </cell>
        </row>
        <row r="1290">
          <cell r="R1290">
            <v>20.45</v>
          </cell>
          <cell r="X1290">
            <v>1740.97</v>
          </cell>
          <cell r="Y1290">
            <v>1196.92</v>
          </cell>
        </row>
        <row r="1291">
          <cell r="R1291">
            <v>477.51</v>
          </cell>
          <cell r="X1291">
            <v>34553.86</v>
          </cell>
          <cell r="Y1291">
            <v>20833.95</v>
          </cell>
        </row>
        <row r="1292">
          <cell r="R1292">
            <v>0</v>
          </cell>
          <cell r="X1292">
            <v>0</v>
          </cell>
          <cell r="Y1292">
            <v>0</v>
          </cell>
        </row>
        <row r="1293">
          <cell r="R1293">
            <v>0</v>
          </cell>
          <cell r="X1293">
            <v>0</v>
          </cell>
          <cell r="Y1293">
            <v>0</v>
          </cell>
        </row>
        <row r="1294">
          <cell r="R1294">
            <v>372.54</v>
          </cell>
          <cell r="X1294">
            <v>513.41</v>
          </cell>
          <cell r="Y1294">
            <v>352.97</v>
          </cell>
        </row>
        <row r="1295">
          <cell r="R1295">
            <v>8698.81</v>
          </cell>
          <cell r="X1295">
            <v>10189.870000000001</v>
          </cell>
          <cell r="Y1295">
            <v>6143.89</v>
          </cell>
        </row>
        <row r="1296">
          <cell r="R1296">
            <v>0</v>
          </cell>
          <cell r="X1296">
            <v>0</v>
          </cell>
          <cell r="Y1296">
            <v>0</v>
          </cell>
        </row>
        <row r="1297">
          <cell r="R1297">
            <v>0</v>
          </cell>
          <cell r="X1297">
            <v>0</v>
          </cell>
          <cell r="Y1297">
            <v>0</v>
          </cell>
        </row>
        <row r="1333">
          <cell r="R1333">
            <v>392.42</v>
          </cell>
          <cell r="X1333">
            <v>0</v>
          </cell>
          <cell r="Y1333">
            <v>0</v>
          </cell>
        </row>
        <row r="1334">
          <cell r="R1334">
            <v>9163.01</v>
          </cell>
          <cell r="X1334">
            <v>0</v>
          </cell>
          <cell r="Y1334">
            <v>0</v>
          </cell>
        </row>
        <row r="1370">
          <cell r="R1370">
            <v>0</v>
          </cell>
          <cell r="X1370">
            <v>0</v>
          </cell>
          <cell r="Y1370">
            <v>0</v>
          </cell>
        </row>
        <row r="1371">
          <cell r="R1371">
            <v>0</v>
          </cell>
          <cell r="X1371">
            <v>0</v>
          </cell>
          <cell r="Y1371">
            <v>0</v>
          </cell>
        </row>
        <row r="1372">
          <cell r="R1372">
            <v>0</v>
          </cell>
          <cell r="X1372">
            <v>0</v>
          </cell>
          <cell r="Y1372">
            <v>0</v>
          </cell>
        </row>
        <row r="1373">
          <cell r="R1373">
            <v>0</v>
          </cell>
          <cell r="X1373">
            <v>0</v>
          </cell>
          <cell r="Y1373">
            <v>0</v>
          </cell>
        </row>
      </sheetData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28">
          <cell r="R28">
            <v>55.3</v>
          </cell>
          <cell r="X28">
            <v>7209.88</v>
          </cell>
          <cell r="Y28">
            <v>5546.06</v>
          </cell>
        </row>
        <row r="29">
          <cell r="R29">
            <v>1291.26</v>
          </cell>
          <cell r="X29">
            <v>135050.47</v>
          </cell>
          <cell r="Y29">
            <v>75850.27</v>
          </cell>
        </row>
        <row r="30">
          <cell r="R30">
            <v>530</v>
          </cell>
          <cell r="X30">
            <v>5896.8</v>
          </cell>
          <cell r="Y30">
            <v>4536</v>
          </cell>
        </row>
        <row r="31">
          <cell r="R31">
            <v>12375.5</v>
          </cell>
          <cell r="X31">
            <v>110454.84</v>
          </cell>
          <cell r="Y31">
            <v>62036.28</v>
          </cell>
        </row>
        <row r="32">
          <cell r="R32">
            <v>0</v>
          </cell>
          <cell r="X32">
            <v>3676.11</v>
          </cell>
          <cell r="Y32">
            <v>2827.78</v>
          </cell>
        </row>
        <row r="33">
          <cell r="R33">
            <v>0</v>
          </cell>
          <cell r="X33">
            <v>68858.37</v>
          </cell>
          <cell r="Y33">
            <v>38673.879999999997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71">
          <cell r="R71">
            <v>88.99</v>
          </cell>
          <cell r="X71">
            <v>11603.4</v>
          </cell>
          <cell r="Y71">
            <v>8925.69</v>
          </cell>
        </row>
        <row r="72">
          <cell r="R72">
            <v>2077.92</v>
          </cell>
          <cell r="X72">
            <v>217347</v>
          </cell>
          <cell r="Y72">
            <v>122071.6</v>
          </cell>
        </row>
        <row r="73">
          <cell r="R73">
            <v>1314.4</v>
          </cell>
          <cell r="X73">
            <v>14624.06</v>
          </cell>
          <cell r="Y73">
            <v>11249.28</v>
          </cell>
        </row>
        <row r="74">
          <cell r="R74">
            <v>30691.24</v>
          </cell>
          <cell r="X74">
            <v>273928</v>
          </cell>
          <cell r="Y74">
            <v>153849.97</v>
          </cell>
        </row>
        <row r="75">
          <cell r="R75">
            <v>0</v>
          </cell>
          <cell r="X75">
            <v>5916.24</v>
          </cell>
          <cell r="Y75">
            <v>4550.95</v>
          </cell>
        </row>
        <row r="76">
          <cell r="R76">
            <v>0</v>
          </cell>
          <cell r="X76">
            <v>110818.93</v>
          </cell>
          <cell r="Y76">
            <v>62240.77</v>
          </cell>
        </row>
        <row r="77">
          <cell r="R77">
            <v>0</v>
          </cell>
          <cell r="X77">
            <v>0</v>
          </cell>
          <cell r="Y77">
            <v>0</v>
          </cell>
        </row>
        <row r="78">
          <cell r="R78">
            <v>0</v>
          </cell>
          <cell r="X78">
            <v>0</v>
          </cell>
          <cell r="Y78">
            <v>0</v>
          </cell>
        </row>
        <row r="114">
          <cell r="R114">
            <v>0</v>
          </cell>
          <cell r="X114">
            <v>958.9</v>
          </cell>
          <cell r="Y114">
            <v>659.25</v>
          </cell>
        </row>
        <row r="115">
          <cell r="R115">
            <v>0</v>
          </cell>
          <cell r="X115">
            <v>19031.849999999999</v>
          </cell>
          <cell r="Y115">
            <v>11475.08</v>
          </cell>
        </row>
        <row r="116">
          <cell r="R116">
            <v>0</v>
          </cell>
          <cell r="X116">
            <v>0</v>
          </cell>
          <cell r="Y116">
            <v>0</v>
          </cell>
        </row>
        <row r="117">
          <cell r="R117">
            <v>0</v>
          </cell>
          <cell r="X117">
            <v>0</v>
          </cell>
          <cell r="Y117">
            <v>0</v>
          </cell>
        </row>
        <row r="118">
          <cell r="R118">
            <v>4.05</v>
          </cell>
          <cell r="X118">
            <v>8.5500000000000007</v>
          </cell>
          <cell r="Y118">
            <v>6.27</v>
          </cell>
        </row>
        <row r="119">
          <cell r="R119">
            <v>94.57</v>
          </cell>
          <cell r="X119">
            <v>138.75</v>
          </cell>
          <cell r="Y119">
            <v>77.930000000000007</v>
          </cell>
        </row>
        <row r="120">
          <cell r="R120">
            <v>0</v>
          </cell>
          <cell r="X120">
            <v>0</v>
          </cell>
          <cell r="Y120">
            <v>0</v>
          </cell>
        </row>
        <row r="121">
          <cell r="R121">
            <v>0</v>
          </cell>
          <cell r="X121">
            <v>0</v>
          </cell>
          <cell r="Y121">
            <v>0</v>
          </cell>
        </row>
        <row r="122">
          <cell r="R122">
            <v>0.02</v>
          </cell>
          <cell r="X122">
            <v>12.44</v>
          </cell>
          <cell r="Y122">
            <v>8.8800000000000008</v>
          </cell>
        </row>
        <row r="123">
          <cell r="R123">
            <v>0.47</v>
          </cell>
          <cell r="X123">
            <v>201.49</v>
          </cell>
          <cell r="Y123">
            <v>121.49</v>
          </cell>
        </row>
        <row r="124">
          <cell r="R124">
            <v>0</v>
          </cell>
          <cell r="X124">
            <v>0</v>
          </cell>
          <cell r="Y124">
            <v>0</v>
          </cell>
        </row>
        <row r="125">
          <cell r="R125">
            <v>0</v>
          </cell>
          <cell r="X125">
            <v>0</v>
          </cell>
          <cell r="Y125">
            <v>0</v>
          </cell>
        </row>
        <row r="126">
          <cell r="R126">
            <v>1.1200000000000001</v>
          </cell>
          <cell r="X126">
            <v>250.05</v>
          </cell>
          <cell r="Y126">
            <v>178.61</v>
          </cell>
        </row>
        <row r="127">
          <cell r="R127">
            <v>26.15</v>
          </cell>
          <cell r="X127">
            <v>4051.27</v>
          </cell>
          <cell r="Y127">
            <v>2442.6799999999998</v>
          </cell>
        </row>
        <row r="128">
          <cell r="R128">
            <v>0</v>
          </cell>
          <cell r="X128">
            <v>0</v>
          </cell>
          <cell r="Y128">
            <v>0</v>
          </cell>
        </row>
        <row r="129">
          <cell r="R129">
            <v>0</v>
          </cell>
          <cell r="X129">
            <v>0</v>
          </cell>
          <cell r="Y129">
            <v>0</v>
          </cell>
        </row>
        <row r="130">
          <cell r="R130">
            <v>2.52</v>
          </cell>
          <cell r="X130">
            <v>54.64</v>
          </cell>
          <cell r="Y130">
            <v>39.03</v>
          </cell>
        </row>
        <row r="131">
          <cell r="R131">
            <v>58.84</v>
          </cell>
          <cell r="X131">
            <v>885.36</v>
          </cell>
          <cell r="Y131">
            <v>533.82000000000005</v>
          </cell>
        </row>
        <row r="132">
          <cell r="R132">
            <v>0</v>
          </cell>
          <cell r="X132">
            <v>0</v>
          </cell>
          <cell r="Y132">
            <v>0</v>
          </cell>
        </row>
        <row r="133">
          <cell r="R133">
            <v>0</v>
          </cell>
          <cell r="X133">
            <v>0</v>
          </cell>
          <cell r="Y133">
            <v>0</v>
          </cell>
        </row>
        <row r="134">
          <cell r="R134">
            <v>5.01</v>
          </cell>
          <cell r="X134">
            <v>176.45</v>
          </cell>
          <cell r="Y134">
            <v>129.4</v>
          </cell>
        </row>
        <row r="135">
          <cell r="R135">
            <v>116.98</v>
          </cell>
          <cell r="X135">
            <v>2864.5</v>
          </cell>
          <cell r="Y135">
            <v>1608.83</v>
          </cell>
        </row>
        <row r="136">
          <cell r="R136">
            <v>0</v>
          </cell>
          <cell r="X136">
            <v>0</v>
          </cell>
          <cell r="Y136">
            <v>0</v>
          </cell>
        </row>
        <row r="137">
          <cell r="R137">
            <v>0</v>
          </cell>
          <cell r="X137">
            <v>0</v>
          </cell>
          <cell r="Y137">
            <v>0</v>
          </cell>
        </row>
        <row r="138">
          <cell r="R138">
            <v>3.1</v>
          </cell>
          <cell r="X138">
            <v>365.59</v>
          </cell>
          <cell r="Y138">
            <v>261.14</v>
          </cell>
        </row>
        <row r="139">
          <cell r="R139">
            <v>72.39</v>
          </cell>
          <cell r="X139">
            <v>5923.29</v>
          </cell>
          <cell r="Y139">
            <v>3571.4</v>
          </cell>
        </row>
        <row r="140">
          <cell r="R140">
            <v>0</v>
          </cell>
          <cell r="X140">
            <v>0</v>
          </cell>
          <cell r="Y140">
            <v>0</v>
          </cell>
        </row>
        <row r="141">
          <cell r="R141">
            <v>0</v>
          </cell>
          <cell r="X141">
            <v>0</v>
          </cell>
          <cell r="Y141">
            <v>0</v>
          </cell>
        </row>
        <row r="142">
          <cell r="R142">
            <v>11.17</v>
          </cell>
          <cell r="X142">
            <v>1769.74</v>
          </cell>
          <cell r="Y142">
            <v>2135.89</v>
          </cell>
        </row>
        <row r="143">
          <cell r="R143">
            <v>260.82</v>
          </cell>
          <cell r="X143">
            <v>32298.71</v>
          </cell>
          <cell r="Y143">
            <v>19474.22</v>
          </cell>
        </row>
        <row r="144">
          <cell r="R144">
            <v>0</v>
          </cell>
          <cell r="X144">
            <v>0</v>
          </cell>
          <cell r="Y144">
            <v>0</v>
          </cell>
        </row>
        <row r="145">
          <cell r="R145">
            <v>0</v>
          </cell>
          <cell r="X145">
            <v>0</v>
          </cell>
          <cell r="Y145">
            <v>0</v>
          </cell>
        </row>
        <row r="146">
          <cell r="R146">
            <v>472.5</v>
          </cell>
          <cell r="X146">
            <v>2136.98</v>
          </cell>
          <cell r="Y146">
            <v>1495.89</v>
          </cell>
        </row>
        <row r="147">
          <cell r="R147">
            <v>11032.88</v>
          </cell>
          <cell r="X147">
            <v>35344.83</v>
          </cell>
          <cell r="Y147">
            <v>17048.68</v>
          </cell>
        </row>
        <row r="148">
          <cell r="R148">
            <v>1.63</v>
          </cell>
          <cell r="X148">
            <v>1219.98</v>
          </cell>
          <cell r="Y148">
            <v>821.14</v>
          </cell>
        </row>
        <row r="149">
          <cell r="R149">
            <v>38.06</v>
          </cell>
          <cell r="X149">
            <v>23282.31</v>
          </cell>
          <cell r="Y149">
            <v>11230.29</v>
          </cell>
        </row>
        <row r="150">
          <cell r="R150">
            <v>0</v>
          </cell>
          <cell r="X150">
            <v>0</v>
          </cell>
          <cell r="Y150">
            <v>0</v>
          </cell>
        </row>
        <row r="151">
          <cell r="R151">
            <v>0</v>
          </cell>
          <cell r="X151">
            <v>0</v>
          </cell>
          <cell r="Y151">
            <v>0</v>
          </cell>
        </row>
        <row r="152">
          <cell r="R152">
            <v>2.52</v>
          </cell>
          <cell r="X152">
            <v>135.63</v>
          </cell>
          <cell r="Y152">
            <v>91.29</v>
          </cell>
        </row>
        <row r="153">
          <cell r="R153">
            <v>58.84</v>
          </cell>
          <cell r="X153">
            <v>2588.31</v>
          </cell>
          <cell r="Y153">
            <v>1248.48</v>
          </cell>
        </row>
        <row r="154">
          <cell r="R154">
            <v>0</v>
          </cell>
          <cell r="X154">
            <v>0</v>
          </cell>
          <cell r="Y154">
            <v>0</v>
          </cell>
        </row>
        <row r="155">
          <cell r="R155">
            <v>0</v>
          </cell>
          <cell r="X155">
            <v>0</v>
          </cell>
          <cell r="Y155">
            <v>0</v>
          </cell>
        </row>
        <row r="156">
          <cell r="R156">
            <v>17.82</v>
          </cell>
          <cell r="X156">
            <v>387.05</v>
          </cell>
          <cell r="Y156">
            <v>276.47000000000003</v>
          </cell>
        </row>
        <row r="157">
          <cell r="R157">
            <v>416.1</v>
          </cell>
          <cell r="X157">
            <v>6271.01</v>
          </cell>
          <cell r="Y157">
            <v>3781.05</v>
          </cell>
        </row>
        <row r="158">
          <cell r="R158">
            <v>0</v>
          </cell>
          <cell r="X158">
            <v>0</v>
          </cell>
          <cell r="Y158">
            <v>0</v>
          </cell>
        </row>
        <row r="159">
          <cell r="R159">
            <v>0</v>
          </cell>
          <cell r="X159">
            <v>0</v>
          </cell>
          <cell r="Y159">
            <v>0</v>
          </cell>
        </row>
        <row r="160">
          <cell r="R160">
            <v>336.95</v>
          </cell>
          <cell r="X160">
            <v>2181.16</v>
          </cell>
          <cell r="Y160">
            <v>1526.81</v>
          </cell>
        </row>
        <row r="161">
          <cell r="R161">
            <v>7867.78</v>
          </cell>
          <cell r="X161">
            <v>36075.410000000003</v>
          </cell>
          <cell r="Y161">
            <v>17401.080000000002</v>
          </cell>
        </row>
        <row r="162">
          <cell r="R162">
            <v>0</v>
          </cell>
          <cell r="X162">
            <v>0</v>
          </cell>
          <cell r="Y162">
            <v>0</v>
          </cell>
        </row>
        <row r="163">
          <cell r="R163">
            <v>0</v>
          </cell>
          <cell r="X163">
            <v>0</v>
          </cell>
          <cell r="Y163">
            <v>0</v>
          </cell>
        </row>
        <row r="164">
          <cell r="R164">
            <v>165.69</v>
          </cell>
          <cell r="X164">
            <v>1363.22</v>
          </cell>
          <cell r="Y164">
            <v>954.26</v>
          </cell>
        </row>
        <row r="165">
          <cell r="R165">
            <v>3868.86</v>
          </cell>
          <cell r="X165">
            <v>22547.16</v>
          </cell>
          <cell r="Y165">
            <v>10875.69</v>
          </cell>
        </row>
        <row r="166">
          <cell r="R166">
            <v>0</v>
          </cell>
          <cell r="X166">
            <v>0</v>
          </cell>
          <cell r="Y166">
            <v>0</v>
          </cell>
        </row>
        <row r="167">
          <cell r="R167">
            <v>0</v>
          </cell>
          <cell r="X167">
            <v>0</v>
          </cell>
          <cell r="Y167">
            <v>0</v>
          </cell>
        </row>
        <row r="168">
          <cell r="R168">
            <v>0</v>
          </cell>
          <cell r="X168">
            <v>8033.93</v>
          </cell>
          <cell r="Y168">
            <v>6179.94</v>
          </cell>
        </row>
        <row r="169">
          <cell r="R169">
            <v>0</v>
          </cell>
          <cell r="X169">
            <v>150486.03</v>
          </cell>
          <cell r="Y169">
            <v>84519.55</v>
          </cell>
        </row>
        <row r="170">
          <cell r="R170">
            <v>0</v>
          </cell>
          <cell r="X170">
            <v>0</v>
          </cell>
          <cell r="Y170">
            <v>0</v>
          </cell>
        </row>
        <row r="171">
          <cell r="R171">
            <v>0</v>
          </cell>
          <cell r="X171">
            <v>0</v>
          </cell>
          <cell r="Y171">
            <v>0</v>
          </cell>
        </row>
        <row r="172">
          <cell r="R172">
            <v>0</v>
          </cell>
          <cell r="X172">
            <v>0</v>
          </cell>
          <cell r="Y172">
            <v>0</v>
          </cell>
        </row>
        <row r="173">
          <cell r="R173">
            <v>0</v>
          </cell>
          <cell r="X173">
            <v>0</v>
          </cell>
          <cell r="Y173">
            <v>0</v>
          </cell>
        </row>
        <row r="175">
          <cell r="G175" t="str">
            <v>Перекрытие над подвалом в осях В-Г/2-5 и В-Г/8-11. 023/18КН-КР 4.4 лист2</v>
          </cell>
        </row>
        <row r="209">
          <cell r="R209">
            <v>11.9</v>
          </cell>
          <cell r="X209">
            <v>0</v>
          </cell>
          <cell r="Y209">
            <v>0</v>
          </cell>
        </row>
        <row r="210">
          <cell r="R210">
            <v>277.87</v>
          </cell>
          <cell r="X210">
            <v>0</v>
          </cell>
          <cell r="Y210">
            <v>0</v>
          </cell>
        </row>
        <row r="246">
          <cell r="R246">
            <v>0</v>
          </cell>
          <cell r="X246">
            <v>0</v>
          </cell>
          <cell r="Y246">
            <v>0</v>
          </cell>
        </row>
        <row r="247">
          <cell r="R247">
            <v>0</v>
          </cell>
          <cell r="X247">
            <v>0</v>
          </cell>
          <cell r="Y247">
            <v>0</v>
          </cell>
        </row>
        <row r="248">
          <cell r="R248">
            <v>0</v>
          </cell>
          <cell r="X248">
            <v>0</v>
          </cell>
          <cell r="Y248">
            <v>0</v>
          </cell>
        </row>
        <row r="249">
          <cell r="R249">
            <v>0</v>
          </cell>
          <cell r="X249">
            <v>0</v>
          </cell>
          <cell r="Y249">
            <v>0</v>
          </cell>
        </row>
      </sheetData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32">
          <cell r="R32">
            <v>0</v>
          </cell>
          <cell r="X32">
            <v>1232.57</v>
          </cell>
          <cell r="Y32">
            <v>847.39</v>
          </cell>
        </row>
        <row r="33">
          <cell r="R33">
            <v>0</v>
          </cell>
          <cell r="X33">
            <v>24463.39</v>
          </cell>
          <cell r="Y33">
            <v>14749.99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36">
          <cell r="R36">
            <v>0</v>
          </cell>
          <cell r="X36">
            <v>814.34</v>
          </cell>
          <cell r="Y36">
            <v>559.86</v>
          </cell>
        </row>
        <row r="37">
          <cell r="R37">
            <v>0</v>
          </cell>
          <cell r="X37">
            <v>16162.7</v>
          </cell>
          <cell r="Y37">
            <v>9745.15</v>
          </cell>
        </row>
        <row r="38">
          <cell r="R38">
            <v>0</v>
          </cell>
          <cell r="X38">
            <v>0</v>
          </cell>
          <cell r="Y38">
            <v>0</v>
          </cell>
        </row>
        <row r="39">
          <cell r="R39">
            <v>0</v>
          </cell>
          <cell r="X39">
            <v>0</v>
          </cell>
          <cell r="Y39">
            <v>0</v>
          </cell>
        </row>
        <row r="42">
          <cell r="R42">
            <v>0</v>
          </cell>
          <cell r="X42">
            <v>17307.27</v>
          </cell>
          <cell r="Y42">
            <v>13146.87</v>
          </cell>
        </row>
        <row r="43">
          <cell r="R43">
            <v>0</v>
          </cell>
          <cell r="X43">
            <v>330294.34999999998</v>
          </cell>
          <cell r="Y43">
            <v>159318.45000000001</v>
          </cell>
        </row>
        <row r="44">
          <cell r="R44">
            <v>0</v>
          </cell>
          <cell r="X44">
            <v>0</v>
          </cell>
          <cell r="Y44">
            <v>0</v>
          </cell>
        </row>
        <row r="45">
          <cell r="R45">
            <v>0</v>
          </cell>
          <cell r="X45">
            <v>0</v>
          </cell>
          <cell r="Y45">
            <v>0</v>
          </cell>
        </row>
        <row r="46">
          <cell r="R46">
            <v>0</v>
          </cell>
          <cell r="X46">
            <v>2483.4899999999998</v>
          </cell>
          <cell r="Y46">
            <v>1886.5</v>
          </cell>
        </row>
        <row r="47">
          <cell r="R47">
            <v>0</v>
          </cell>
          <cell r="X47">
            <v>47395.24</v>
          </cell>
          <cell r="Y47">
            <v>22861.23</v>
          </cell>
        </row>
        <row r="48">
          <cell r="R48">
            <v>0</v>
          </cell>
          <cell r="X48">
            <v>0</v>
          </cell>
          <cell r="Y48">
            <v>0</v>
          </cell>
        </row>
        <row r="49">
          <cell r="R49">
            <v>0</v>
          </cell>
          <cell r="X49">
            <v>0</v>
          </cell>
          <cell r="Y49">
            <v>0</v>
          </cell>
        </row>
        <row r="85">
          <cell r="R85">
            <v>0</v>
          </cell>
          <cell r="X85">
            <v>819.58</v>
          </cell>
          <cell r="Y85">
            <v>622.57000000000005</v>
          </cell>
        </row>
        <row r="86">
          <cell r="R86">
            <v>0</v>
          </cell>
          <cell r="X86">
            <v>15641.02</v>
          </cell>
          <cell r="Y86">
            <v>7544.49</v>
          </cell>
        </row>
        <row r="87">
          <cell r="R87">
            <v>0</v>
          </cell>
          <cell r="X87">
            <v>0</v>
          </cell>
          <cell r="Y87">
            <v>0</v>
          </cell>
        </row>
        <row r="88">
          <cell r="R88">
            <v>0</v>
          </cell>
          <cell r="X88">
            <v>0</v>
          </cell>
          <cell r="Y88">
            <v>0</v>
          </cell>
        </row>
        <row r="89">
          <cell r="R89">
            <v>0</v>
          </cell>
          <cell r="X89">
            <v>0</v>
          </cell>
          <cell r="Y89">
            <v>0</v>
          </cell>
        </row>
        <row r="90">
          <cell r="R90">
            <v>0</v>
          </cell>
          <cell r="X90">
            <v>0</v>
          </cell>
          <cell r="Y90">
            <v>0</v>
          </cell>
        </row>
        <row r="91">
          <cell r="R91">
            <v>0</v>
          </cell>
          <cell r="X91">
            <v>152.94999999999999</v>
          </cell>
          <cell r="Y91">
            <v>116.19</v>
          </cell>
        </row>
        <row r="92">
          <cell r="R92">
            <v>0</v>
          </cell>
          <cell r="X92">
            <v>2918.97</v>
          </cell>
          <cell r="Y92">
            <v>1407.97</v>
          </cell>
        </row>
        <row r="93">
          <cell r="R93">
            <v>0</v>
          </cell>
          <cell r="X93">
            <v>0</v>
          </cell>
          <cell r="Y93">
            <v>0</v>
          </cell>
        </row>
        <row r="94">
          <cell r="R94">
            <v>0</v>
          </cell>
          <cell r="X94">
            <v>0</v>
          </cell>
          <cell r="Y94">
            <v>0</v>
          </cell>
        </row>
        <row r="95">
          <cell r="R95">
            <v>0</v>
          </cell>
          <cell r="X95">
            <v>0</v>
          </cell>
          <cell r="Y95">
            <v>0</v>
          </cell>
        </row>
        <row r="96">
          <cell r="R96">
            <v>0</v>
          </cell>
          <cell r="X96">
            <v>0</v>
          </cell>
          <cell r="Y96">
            <v>0</v>
          </cell>
        </row>
        <row r="97">
          <cell r="R97">
            <v>0</v>
          </cell>
          <cell r="X97">
            <v>118.86</v>
          </cell>
          <cell r="Y97">
            <v>90.29</v>
          </cell>
        </row>
        <row r="98">
          <cell r="R98">
            <v>0</v>
          </cell>
          <cell r="X98">
            <v>2268.37</v>
          </cell>
          <cell r="Y98">
            <v>1094.1500000000001</v>
          </cell>
        </row>
        <row r="99">
          <cell r="R99">
            <v>0</v>
          </cell>
          <cell r="X99">
            <v>0</v>
          </cell>
          <cell r="Y99">
            <v>0</v>
          </cell>
        </row>
        <row r="100">
          <cell r="R100">
            <v>0</v>
          </cell>
          <cell r="X100">
            <v>0</v>
          </cell>
          <cell r="Y100">
            <v>0</v>
          </cell>
        </row>
        <row r="101">
          <cell r="R101">
            <v>0</v>
          </cell>
          <cell r="X101">
            <v>0</v>
          </cell>
          <cell r="Y101">
            <v>0</v>
          </cell>
        </row>
        <row r="102">
          <cell r="R102">
            <v>0</v>
          </cell>
          <cell r="X102">
            <v>0</v>
          </cell>
          <cell r="Y102">
            <v>0</v>
          </cell>
        </row>
        <row r="103">
          <cell r="R103">
            <v>0</v>
          </cell>
          <cell r="X103">
            <v>321.24</v>
          </cell>
          <cell r="Y103">
            <v>244.02</v>
          </cell>
        </row>
        <row r="104">
          <cell r="R104">
            <v>0</v>
          </cell>
          <cell r="X104">
            <v>6130.5</v>
          </cell>
          <cell r="Y104">
            <v>2957.06</v>
          </cell>
        </row>
        <row r="105">
          <cell r="R105">
            <v>0</v>
          </cell>
          <cell r="X105">
            <v>0</v>
          </cell>
          <cell r="Y105">
            <v>0</v>
          </cell>
        </row>
        <row r="106">
          <cell r="R106">
            <v>0</v>
          </cell>
          <cell r="X106">
            <v>0</v>
          </cell>
          <cell r="Y106">
            <v>0</v>
          </cell>
        </row>
        <row r="107">
          <cell r="R107">
            <v>0</v>
          </cell>
          <cell r="X107">
            <v>0</v>
          </cell>
          <cell r="Y107">
            <v>0</v>
          </cell>
        </row>
        <row r="108">
          <cell r="R108">
            <v>0</v>
          </cell>
          <cell r="X108">
            <v>0</v>
          </cell>
          <cell r="Y108">
            <v>0</v>
          </cell>
        </row>
        <row r="150">
          <cell r="R150">
            <v>99.53</v>
          </cell>
          <cell r="X150">
            <v>64380.89</v>
          </cell>
          <cell r="Y150">
            <v>42920.59</v>
          </cell>
        </row>
        <row r="151">
          <cell r="R151">
            <v>2324.0300000000002</v>
          </cell>
          <cell r="X151">
            <v>1216952.05</v>
          </cell>
          <cell r="Y151">
            <v>587000.4</v>
          </cell>
        </row>
        <row r="152">
          <cell r="R152">
            <v>0</v>
          </cell>
          <cell r="X152">
            <v>0</v>
          </cell>
          <cell r="Y152">
            <v>0</v>
          </cell>
        </row>
        <row r="153">
          <cell r="R153">
            <v>0</v>
          </cell>
          <cell r="X153">
            <v>0</v>
          </cell>
          <cell r="Y153">
            <v>0</v>
          </cell>
        </row>
        <row r="154">
          <cell r="R154">
            <v>0</v>
          </cell>
          <cell r="X154">
            <v>0</v>
          </cell>
          <cell r="Y154">
            <v>0</v>
          </cell>
        </row>
        <row r="155">
          <cell r="R155">
            <v>0</v>
          </cell>
          <cell r="X155">
            <v>0</v>
          </cell>
          <cell r="Y155">
            <v>0</v>
          </cell>
        </row>
        <row r="156">
          <cell r="R156">
            <v>0</v>
          </cell>
          <cell r="X156">
            <v>0</v>
          </cell>
          <cell r="Y156">
            <v>0</v>
          </cell>
        </row>
        <row r="157">
          <cell r="R157">
            <v>0</v>
          </cell>
          <cell r="X157">
            <v>0</v>
          </cell>
          <cell r="Y157">
            <v>0</v>
          </cell>
        </row>
        <row r="158">
          <cell r="R158">
            <v>0</v>
          </cell>
          <cell r="X158">
            <v>0</v>
          </cell>
          <cell r="Y158">
            <v>0</v>
          </cell>
        </row>
        <row r="159">
          <cell r="R159">
            <v>0</v>
          </cell>
          <cell r="X159">
            <v>0</v>
          </cell>
          <cell r="Y159">
            <v>0</v>
          </cell>
        </row>
        <row r="164">
          <cell r="R164">
            <v>11.9</v>
          </cell>
          <cell r="X164">
            <v>6738.38</v>
          </cell>
          <cell r="Y164">
            <v>4492.25</v>
          </cell>
        </row>
        <row r="165">
          <cell r="R165">
            <v>277.87</v>
          </cell>
          <cell r="X165">
            <v>127371.34</v>
          </cell>
          <cell r="Y165">
            <v>61437.94</v>
          </cell>
        </row>
        <row r="168">
          <cell r="R168">
            <v>0</v>
          </cell>
          <cell r="X168">
            <v>0</v>
          </cell>
          <cell r="Y168">
            <v>0</v>
          </cell>
        </row>
        <row r="169">
          <cell r="R169">
            <v>0</v>
          </cell>
          <cell r="X169">
            <v>0</v>
          </cell>
          <cell r="Y169">
            <v>0</v>
          </cell>
        </row>
        <row r="170">
          <cell r="R170">
            <v>0</v>
          </cell>
          <cell r="X170">
            <v>0</v>
          </cell>
          <cell r="Y170">
            <v>0</v>
          </cell>
        </row>
        <row r="171">
          <cell r="R171">
            <v>0</v>
          </cell>
          <cell r="X171">
            <v>0</v>
          </cell>
          <cell r="Y171">
            <v>0</v>
          </cell>
        </row>
        <row r="172">
          <cell r="R172">
            <v>66.86</v>
          </cell>
          <cell r="X172">
            <v>1193.93</v>
          </cell>
          <cell r="Y172">
            <v>906.93</v>
          </cell>
        </row>
        <row r="173">
          <cell r="R173">
            <v>1561.18</v>
          </cell>
          <cell r="X173">
            <v>22785.13</v>
          </cell>
          <cell r="Y173">
            <v>10990.47</v>
          </cell>
        </row>
        <row r="174">
          <cell r="R174">
            <v>0</v>
          </cell>
          <cell r="X174">
            <v>0</v>
          </cell>
          <cell r="Y174">
            <v>0</v>
          </cell>
        </row>
        <row r="175">
          <cell r="R175">
            <v>0</v>
          </cell>
          <cell r="X175">
            <v>0</v>
          </cell>
          <cell r="Y175">
            <v>0</v>
          </cell>
        </row>
        <row r="176">
          <cell r="R176">
            <v>0</v>
          </cell>
          <cell r="X176">
            <v>0</v>
          </cell>
          <cell r="Y176">
            <v>0</v>
          </cell>
        </row>
        <row r="177">
          <cell r="R177">
            <v>0</v>
          </cell>
          <cell r="X177">
            <v>0</v>
          </cell>
          <cell r="Y177">
            <v>0</v>
          </cell>
        </row>
        <row r="178">
          <cell r="R178">
            <v>0.19</v>
          </cell>
          <cell r="X178">
            <v>1656.31</v>
          </cell>
          <cell r="Y178">
            <v>1104.21</v>
          </cell>
        </row>
        <row r="179">
          <cell r="R179">
            <v>4.4400000000000004</v>
          </cell>
          <cell r="X179">
            <v>31308.240000000002</v>
          </cell>
          <cell r="Y179">
            <v>15101.62</v>
          </cell>
        </row>
        <row r="180">
          <cell r="R180">
            <v>0</v>
          </cell>
          <cell r="X180">
            <v>0</v>
          </cell>
          <cell r="Y180">
            <v>0</v>
          </cell>
        </row>
        <row r="181">
          <cell r="R181">
            <v>0</v>
          </cell>
          <cell r="X181">
            <v>0</v>
          </cell>
          <cell r="Y181">
            <v>0</v>
          </cell>
        </row>
        <row r="182">
          <cell r="R182">
            <v>0</v>
          </cell>
          <cell r="X182">
            <v>0</v>
          </cell>
          <cell r="Y182">
            <v>0</v>
          </cell>
        </row>
        <row r="183">
          <cell r="R183">
            <v>0</v>
          </cell>
          <cell r="X183">
            <v>0</v>
          </cell>
          <cell r="Y183">
            <v>0</v>
          </cell>
        </row>
        <row r="188">
          <cell r="R188">
            <v>10.51</v>
          </cell>
          <cell r="X188">
            <v>1180.42</v>
          </cell>
          <cell r="Y188">
            <v>908.01</v>
          </cell>
        </row>
        <row r="189">
          <cell r="R189">
            <v>245.41</v>
          </cell>
          <cell r="X189">
            <v>22110.74</v>
          </cell>
          <cell r="Y189">
            <v>12418.36</v>
          </cell>
        </row>
        <row r="190">
          <cell r="R190">
            <v>0</v>
          </cell>
          <cell r="X190">
            <v>0</v>
          </cell>
          <cell r="Y190">
            <v>0</v>
          </cell>
        </row>
        <row r="191">
          <cell r="R191">
            <v>0</v>
          </cell>
          <cell r="X191">
            <v>0</v>
          </cell>
          <cell r="Y191">
            <v>0</v>
          </cell>
        </row>
        <row r="192">
          <cell r="R192">
            <v>6.83</v>
          </cell>
          <cell r="X192">
            <v>2095.9</v>
          </cell>
          <cell r="Y192">
            <v>1726.03</v>
          </cell>
        </row>
        <row r="193">
          <cell r="R193">
            <v>159.47999999999999</v>
          </cell>
          <cell r="X193">
            <v>39151.339999999997</v>
          </cell>
          <cell r="Y193">
            <v>23605.96</v>
          </cell>
        </row>
        <row r="194">
          <cell r="R194">
            <v>0</v>
          </cell>
          <cell r="X194">
            <v>0</v>
          </cell>
          <cell r="Y194">
            <v>0</v>
          </cell>
        </row>
        <row r="195">
          <cell r="R195">
            <v>0</v>
          </cell>
          <cell r="X195">
            <v>0</v>
          </cell>
          <cell r="Y195">
            <v>0</v>
          </cell>
        </row>
        <row r="196">
          <cell r="R196">
            <v>0</v>
          </cell>
          <cell r="X196">
            <v>0</v>
          </cell>
          <cell r="Y196">
            <v>0</v>
          </cell>
        </row>
        <row r="197">
          <cell r="R197">
            <v>0</v>
          </cell>
          <cell r="X197">
            <v>0</v>
          </cell>
          <cell r="Y197">
            <v>0</v>
          </cell>
        </row>
        <row r="198">
          <cell r="R198">
            <v>0</v>
          </cell>
          <cell r="X198">
            <v>0</v>
          </cell>
          <cell r="Y198">
            <v>0</v>
          </cell>
        </row>
        <row r="199">
          <cell r="R199">
            <v>0</v>
          </cell>
          <cell r="X199">
            <v>0</v>
          </cell>
          <cell r="Y199">
            <v>0</v>
          </cell>
        </row>
        <row r="200">
          <cell r="R200">
            <v>0.25</v>
          </cell>
          <cell r="X200">
            <v>632.15</v>
          </cell>
          <cell r="Y200">
            <v>520.6</v>
          </cell>
        </row>
        <row r="201">
          <cell r="R201">
            <v>5.84</v>
          </cell>
          <cell r="X201">
            <v>11808.63</v>
          </cell>
          <cell r="Y201">
            <v>7119.91</v>
          </cell>
        </row>
        <row r="202">
          <cell r="R202">
            <v>0</v>
          </cell>
          <cell r="X202">
            <v>0</v>
          </cell>
          <cell r="Y202">
            <v>0</v>
          </cell>
        </row>
        <row r="203">
          <cell r="R203">
            <v>0</v>
          </cell>
          <cell r="X203">
            <v>0</v>
          </cell>
          <cell r="Y203">
            <v>0</v>
          </cell>
        </row>
        <row r="212">
          <cell r="R212">
            <v>9.74</v>
          </cell>
          <cell r="X212">
            <v>2705.45</v>
          </cell>
          <cell r="Y212">
            <v>3265.2</v>
          </cell>
        </row>
        <row r="213">
          <cell r="R213">
            <v>227.43</v>
          </cell>
          <cell r="X213">
            <v>49375.98</v>
          </cell>
          <cell r="Y213">
            <v>29770.81</v>
          </cell>
        </row>
        <row r="214">
          <cell r="R214">
            <v>0</v>
          </cell>
          <cell r="X214">
            <v>0</v>
          </cell>
          <cell r="Y214">
            <v>0</v>
          </cell>
        </row>
        <row r="215">
          <cell r="R215">
            <v>0</v>
          </cell>
          <cell r="X215">
            <v>0</v>
          </cell>
          <cell r="Y215">
            <v>0</v>
          </cell>
        </row>
        <row r="216">
          <cell r="R216">
            <v>0</v>
          </cell>
          <cell r="X216">
            <v>0</v>
          </cell>
          <cell r="Y216">
            <v>0</v>
          </cell>
        </row>
        <row r="217">
          <cell r="R217">
            <v>0</v>
          </cell>
          <cell r="X217">
            <v>0</v>
          </cell>
          <cell r="Y217">
            <v>0</v>
          </cell>
        </row>
        <row r="218">
          <cell r="R218">
            <v>0</v>
          </cell>
          <cell r="X218">
            <v>0</v>
          </cell>
          <cell r="Y218">
            <v>0</v>
          </cell>
        </row>
        <row r="219">
          <cell r="R219">
            <v>0</v>
          </cell>
          <cell r="X219">
            <v>0</v>
          </cell>
          <cell r="Y219">
            <v>0</v>
          </cell>
        </row>
        <row r="222">
          <cell r="R222">
            <v>34</v>
          </cell>
          <cell r="X222">
            <v>52978.8</v>
          </cell>
          <cell r="Y222">
            <v>35319.199999999997</v>
          </cell>
        </row>
        <row r="223">
          <cell r="R223">
            <v>793.9</v>
          </cell>
          <cell r="X223">
            <v>1001425.46</v>
          </cell>
          <cell r="Y223">
            <v>483040.52</v>
          </cell>
        </row>
        <row r="224">
          <cell r="R224">
            <v>0</v>
          </cell>
          <cell r="X224">
            <v>0</v>
          </cell>
          <cell r="Y224">
            <v>0</v>
          </cell>
        </row>
        <row r="225">
          <cell r="R225">
            <v>0</v>
          </cell>
          <cell r="X225">
            <v>0</v>
          </cell>
          <cell r="Y225">
            <v>0</v>
          </cell>
        </row>
        <row r="226">
          <cell r="R226">
            <v>0</v>
          </cell>
          <cell r="X226">
            <v>0</v>
          </cell>
          <cell r="Y226">
            <v>0</v>
          </cell>
        </row>
        <row r="227">
          <cell r="R227">
            <v>0</v>
          </cell>
          <cell r="X227">
            <v>0</v>
          </cell>
          <cell r="Y227">
            <v>0</v>
          </cell>
        </row>
        <row r="244">
          <cell r="R244">
            <v>0</v>
          </cell>
          <cell r="X244">
            <v>13396.96</v>
          </cell>
          <cell r="Y244">
            <v>8574.0499999999993</v>
          </cell>
        </row>
        <row r="245">
          <cell r="R245">
            <v>0</v>
          </cell>
          <cell r="X245">
            <v>253383.41</v>
          </cell>
          <cell r="Y245">
            <v>128255.8</v>
          </cell>
        </row>
        <row r="315">
          <cell r="R315">
            <v>97.45</v>
          </cell>
          <cell r="X315">
            <v>0</v>
          </cell>
          <cell r="Y315">
            <v>0</v>
          </cell>
        </row>
        <row r="316">
          <cell r="R316">
            <v>2275.46</v>
          </cell>
          <cell r="X316">
            <v>0</v>
          </cell>
          <cell r="Y316">
            <v>0</v>
          </cell>
        </row>
        <row r="317">
          <cell r="R317">
            <v>0</v>
          </cell>
          <cell r="X317">
            <v>0</v>
          </cell>
          <cell r="Y317">
            <v>0</v>
          </cell>
        </row>
        <row r="318">
          <cell r="R318">
            <v>0</v>
          </cell>
          <cell r="X318">
            <v>0</v>
          </cell>
          <cell r="Y318">
            <v>0</v>
          </cell>
        </row>
        <row r="354">
          <cell r="R354">
            <v>0</v>
          </cell>
          <cell r="X354">
            <v>0</v>
          </cell>
          <cell r="Y354">
            <v>0</v>
          </cell>
        </row>
        <row r="355">
          <cell r="R355">
            <v>0</v>
          </cell>
          <cell r="X355">
            <v>0</v>
          </cell>
          <cell r="Y355">
            <v>0</v>
          </cell>
        </row>
        <row r="356">
          <cell r="R356">
            <v>0</v>
          </cell>
          <cell r="X356">
            <v>0</v>
          </cell>
          <cell r="Y356">
            <v>0</v>
          </cell>
        </row>
        <row r="357">
          <cell r="R357">
            <v>0</v>
          </cell>
          <cell r="X357">
            <v>0</v>
          </cell>
          <cell r="Y357">
            <v>0</v>
          </cell>
        </row>
      </sheetData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32">
          <cell r="R32">
            <v>0</v>
          </cell>
          <cell r="X32">
            <v>5785.29</v>
          </cell>
          <cell r="Y32">
            <v>4450.22</v>
          </cell>
        </row>
        <row r="33">
          <cell r="R33">
            <v>0</v>
          </cell>
          <cell r="X33">
            <v>108366.08</v>
          </cell>
          <cell r="Y33">
            <v>60863.14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36">
          <cell r="R36">
            <v>0</v>
          </cell>
          <cell r="X36">
            <v>13063.82</v>
          </cell>
          <cell r="Y36">
            <v>10094.77</v>
          </cell>
        </row>
        <row r="37">
          <cell r="R37">
            <v>0</v>
          </cell>
          <cell r="X37">
            <v>244032.16</v>
          </cell>
          <cell r="Y37">
            <v>113696.8</v>
          </cell>
        </row>
        <row r="38">
          <cell r="R38">
            <v>0</v>
          </cell>
          <cell r="X38">
            <v>29062.69</v>
          </cell>
          <cell r="Y38">
            <v>22457.54</v>
          </cell>
        </row>
        <row r="39">
          <cell r="R39">
            <v>0</v>
          </cell>
          <cell r="X39">
            <v>542891.1</v>
          </cell>
          <cell r="Y39">
            <v>252937.9</v>
          </cell>
        </row>
        <row r="40">
          <cell r="R40">
            <v>0</v>
          </cell>
          <cell r="X40">
            <v>112785.92</v>
          </cell>
          <cell r="Y40">
            <v>87152.75</v>
          </cell>
        </row>
        <row r="41">
          <cell r="R41">
            <v>0</v>
          </cell>
          <cell r="X41">
            <v>2106840.89</v>
          </cell>
          <cell r="Y41">
            <v>981596.33</v>
          </cell>
        </row>
        <row r="44">
          <cell r="R44">
            <v>0</v>
          </cell>
          <cell r="X44">
            <v>152466.73000000001</v>
          </cell>
          <cell r="Y44">
            <v>117815.2</v>
          </cell>
        </row>
        <row r="45">
          <cell r="R45">
            <v>0</v>
          </cell>
          <cell r="X45">
            <v>2848078.55</v>
          </cell>
          <cell r="Y45">
            <v>1326945.69</v>
          </cell>
        </row>
        <row r="52">
          <cell r="R52">
            <v>0</v>
          </cell>
          <cell r="X52">
            <v>36520.78</v>
          </cell>
          <cell r="Y52">
            <v>28092.91</v>
          </cell>
        </row>
        <row r="53">
          <cell r="R53">
            <v>0</v>
          </cell>
          <cell r="X53">
            <v>684082.45</v>
          </cell>
          <cell r="Y53">
            <v>384210.69</v>
          </cell>
        </row>
        <row r="54">
          <cell r="R54">
            <v>0</v>
          </cell>
          <cell r="X54">
            <v>0</v>
          </cell>
          <cell r="Y54">
            <v>0</v>
          </cell>
        </row>
        <row r="55">
          <cell r="R55">
            <v>0</v>
          </cell>
          <cell r="X55">
            <v>0</v>
          </cell>
          <cell r="Y55">
            <v>0</v>
          </cell>
        </row>
        <row r="56">
          <cell r="R56">
            <v>0</v>
          </cell>
          <cell r="X56">
            <v>0</v>
          </cell>
          <cell r="Y56">
            <v>0</v>
          </cell>
        </row>
        <row r="57">
          <cell r="R57">
            <v>0</v>
          </cell>
          <cell r="X57">
            <v>0</v>
          </cell>
          <cell r="Y57">
            <v>0</v>
          </cell>
        </row>
        <row r="58">
          <cell r="R58">
            <v>0</v>
          </cell>
          <cell r="X58">
            <v>0</v>
          </cell>
          <cell r="Y58">
            <v>0</v>
          </cell>
        </row>
        <row r="59">
          <cell r="R59">
            <v>0</v>
          </cell>
          <cell r="X59">
            <v>0</v>
          </cell>
          <cell r="Y59">
            <v>0</v>
          </cell>
        </row>
        <row r="60">
          <cell r="R60">
            <v>0</v>
          </cell>
          <cell r="X60">
            <v>0</v>
          </cell>
          <cell r="Y60">
            <v>0</v>
          </cell>
        </row>
        <row r="61">
          <cell r="R61">
            <v>0</v>
          </cell>
          <cell r="X61">
            <v>0</v>
          </cell>
          <cell r="Y61">
            <v>0</v>
          </cell>
        </row>
        <row r="62">
          <cell r="R62">
            <v>0</v>
          </cell>
          <cell r="X62">
            <v>55893.74</v>
          </cell>
          <cell r="Y62">
            <v>42995.18</v>
          </cell>
        </row>
        <row r="63">
          <cell r="R63">
            <v>0</v>
          </cell>
          <cell r="X63">
            <v>1046963.42</v>
          </cell>
          <cell r="Y63">
            <v>588020.55000000005</v>
          </cell>
        </row>
        <row r="64">
          <cell r="R64">
            <v>0</v>
          </cell>
          <cell r="X64">
            <v>0</v>
          </cell>
          <cell r="Y64">
            <v>0</v>
          </cell>
        </row>
        <row r="65">
          <cell r="R65">
            <v>0</v>
          </cell>
          <cell r="X65">
            <v>0</v>
          </cell>
          <cell r="Y65">
            <v>0</v>
          </cell>
        </row>
        <row r="66">
          <cell r="R66">
            <v>0</v>
          </cell>
          <cell r="X66">
            <v>0</v>
          </cell>
          <cell r="Y66">
            <v>0</v>
          </cell>
        </row>
        <row r="67">
          <cell r="R67">
            <v>0</v>
          </cell>
          <cell r="X67">
            <v>0</v>
          </cell>
          <cell r="Y67">
            <v>0</v>
          </cell>
        </row>
        <row r="68">
          <cell r="R68">
            <v>0</v>
          </cell>
          <cell r="X68">
            <v>0</v>
          </cell>
          <cell r="Y68">
            <v>0</v>
          </cell>
        </row>
        <row r="69">
          <cell r="R69">
            <v>0</v>
          </cell>
          <cell r="X69">
            <v>0</v>
          </cell>
          <cell r="Y69">
            <v>0</v>
          </cell>
        </row>
        <row r="70">
          <cell r="R70">
            <v>0</v>
          </cell>
          <cell r="X70">
            <v>0</v>
          </cell>
          <cell r="Y70">
            <v>0</v>
          </cell>
        </row>
        <row r="71">
          <cell r="R71">
            <v>0</v>
          </cell>
          <cell r="X71">
            <v>0</v>
          </cell>
          <cell r="Y71">
            <v>0</v>
          </cell>
        </row>
        <row r="72">
          <cell r="R72">
            <v>0</v>
          </cell>
          <cell r="X72">
            <v>1785.08</v>
          </cell>
          <cell r="Y72">
            <v>1373.14</v>
          </cell>
        </row>
        <row r="73">
          <cell r="R73">
            <v>0</v>
          </cell>
          <cell r="X73">
            <v>33436.959999999999</v>
          </cell>
          <cell r="Y73">
            <v>18779.66</v>
          </cell>
        </row>
        <row r="74">
          <cell r="R74">
            <v>0</v>
          </cell>
          <cell r="X74">
            <v>0</v>
          </cell>
          <cell r="Y74">
            <v>0</v>
          </cell>
        </row>
        <row r="75">
          <cell r="R75">
            <v>0</v>
          </cell>
          <cell r="X75">
            <v>0</v>
          </cell>
          <cell r="Y75">
            <v>0</v>
          </cell>
        </row>
        <row r="76">
          <cell r="R76">
            <v>0</v>
          </cell>
          <cell r="X76">
            <v>0</v>
          </cell>
          <cell r="Y76">
            <v>0</v>
          </cell>
        </row>
        <row r="77">
          <cell r="R77">
            <v>0</v>
          </cell>
          <cell r="X77">
            <v>0</v>
          </cell>
          <cell r="Y77">
            <v>0</v>
          </cell>
        </row>
        <row r="78">
          <cell r="R78">
            <v>0</v>
          </cell>
          <cell r="X78">
            <v>0</v>
          </cell>
          <cell r="Y78">
            <v>0</v>
          </cell>
        </row>
        <row r="79">
          <cell r="R79">
            <v>0</v>
          </cell>
          <cell r="X79">
            <v>0</v>
          </cell>
          <cell r="Y79">
            <v>0</v>
          </cell>
        </row>
        <row r="80">
          <cell r="R80">
            <v>0</v>
          </cell>
          <cell r="X80">
            <v>21990.57</v>
          </cell>
          <cell r="Y80">
            <v>16915.82</v>
          </cell>
        </row>
        <row r="81">
          <cell r="R81">
            <v>0</v>
          </cell>
          <cell r="X81">
            <v>411912.35</v>
          </cell>
          <cell r="Y81">
            <v>231348.03</v>
          </cell>
        </row>
        <row r="82">
          <cell r="R82">
            <v>0</v>
          </cell>
          <cell r="X82">
            <v>0</v>
          </cell>
          <cell r="Y82">
            <v>0</v>
          </cell>
        </row>
        <row r="83">
          <cell r="R83">
            <v>0</v>
          </cell>
          <cell r="X83">
            <v>0</v>
          </cell>
          <cell r="Y83">
            <v>0</v>
          </cell>
        </row>
        <row r="84">
          <cell r="R84">
            <v>0</v>
          </cell>
          <cell r="X84">
            <v>0</v>
          </cell>
          <cell r="Y84">
            <v>0</v>
          </cell>
        </row>
        <row r="85">
          <cell r="R85">
            <v>0</v>
          </cell>
          <cell r="X85">
            <v>0</v>
          </cell>
          <cell r="Y85">
            <v>0</v>
          </cell>
        </row>
        <row r="86">
          <cell r="R86">
            <v>0</v>
          </cell>
          <cell r="X86">
            <v>0</v>
          </cell>
          <cell r="Y86">
            <v>0</v>
          </cell>
        </row>
        <row r="87">
          <cell r="R87">
            <v>0</v>
          </cell>
          <cell r="X87">
            <v>0</v>
          </cell>
          <cell r="Y87">
            <v>0</v>
          </cell>
        </row>
        <row r="88">
          <cell r="R88">
            <v>0</v>
          </cell>
          <cell r="X88">
            <v>157.68</v>
          </cell>
          <cell r="Y88">
            <v>121.3</v>
          </cell>
        </row>
        <row r="89">
          <cell r="R89">
            <v>0</v>
          </cell>
          <cell r="X89">
            <v>2953.65</v>
          </cell>
          <cell r="Y89">
            <v>1658.9</v>
          </cell>
        </row>
        <row r="90">
          <cell r="R90">
            <v>0</v>
          </cell>
          <cell r="X90">
            <v>262.33999999999997</v>
          </cell>
          <cell r="Y90">
            <v>201.8</v>
          </cell>
        </row>
        <row r="91">
          <cell r="R91">
            <v>0</v>
          </cell>
          <cell r="X91">
            <v>4914.05</v>
          </cell>
          <cell r="Y91">
            <v>2759.94</v>
          </cell>
        </row>
        <row r="92">
          <cell r="R92">
            <v>0</v>
          </cell>
          <cell r="X92">
            <v>1071.53</v>
          </cell>
          <cell r="Y92">
            <v>824.26</v>
          </cell>
        </row>
        <row r="93">
          <cell r="R93">
            <v>0</v>
          </cell>
          <cell r="X93">
            <v>20071.25</v>
          </cell>
          <cell r="Y93">
            <v>11272.89</v>
          </cell>
        </row>
        <row r="94">
          <cell r="R94">
            <v>0</v>
          </cell>
          <cell r="X94">
            <v>226.19</v>
          </cell>
          <cell r="Y94">
            <v>173.99</v>
          </cell>
        </row>
        <row r="95">
          <cell r="R95">
            <v>0</v>
          </cell>
          <cell r="X95">
            <v>4236.83</v>
          </cell>
          <cell r="Y95">
            <v>2379.59</v>
          </cell>
        </row>
        <row r="96">
          <cell r="R96">
            <v>0</v>
          </cell>
          <cell r="X96">
            <v>0</v>
          </cell>
          <cell r="Y96">
            <v>0</v>
          </cell>
        </row>
        <row r="97">
          <cell r="R97">
            <v>0</v>
          </cell>
          <cell r="X97">
            <v>0</v>
          </cell>
          <cell r="Y97">
            <v>0</v>
          </cell>
        </row>
        <row r="98">
          <cell r="R98">
            <v>0</v>
          </cell>
          <cell r="X98">
            <v>0</v>
          </cell>
          <cell r="Y98">
            <v>0</v>
          </cell>
        </row>
        <row r="99">
          <cell r="R99">
            <v>0</v>
          </cell>
          <cell r="X99">
            <v>0</v>
          </cell>
          <cell r="Y99">
            <v>0</v>
          </cell>
        </row>
        <row r="100">
          <cell r="R100">
            <v>0</v>
          </cell>
          <cell r="X100">
            <v>0</v>
          </cell>
          <cell r="Y100">
            <v>0</v>
          </cell>
        </row>
        <row r="101">
          <cell r="R101">
            <v>0</v>
          </cell>
          <cell r="X101">
            <v>0</v>
          </cell>
          <cell r="Y101">
            <v>0</v>
          </cell>
        </row>
        <row r="102">
          <cell r="R102">
            <v>0</v>
          </cell>
          <cell r="X102">
            <v>0</v>
          </cell>
          <cell r="Y102">
            <v>0</v>
          </cell>
        </row>
        <row r="103">
          <cell r="R103">
            <v>0</v>
          </cell>
          <cell r="X103">
            <v>0</v>
          </cell>
          <cell r="Y103">
            <v>0</v>
          </cell>
        </row>
        <row r="108">
          <cell r="R108">
            <v>0</v>
          </cell>
          <cell r="X108">
            <v>2078.39</v>
          </cell>
          <cell r="Y108">
            <v>1598.77</v>
          </cell>
        </row>
        <row r="109">
          <cell r="R109">
            <v>0</v>
          </cell>
          <cell r="X109">
            <v>38931.07</v>
          </cell>
          <cell r="Y109">
            <v>21865.39</v>
          </cell>
        </row>
        <row r="110">
          <cell r="R110">
            <v>0</v>
          </cell>
          <cell r="X110">
            <v>0</v>
          </cell>
          <cell r="Y110">
            <v>0</v>
          </cell>
        </row>
        <row r="111">
          <cell r="R111">
            <v>0</v>
          </cell>
          <cell r="X111">
            <v>0</v>
          </cell>
          <cell r="Y111">
            <v>0</v>
          </cell>
        </row>
        <row r="112">
          <cell r="R112">
            <v>0</v>
          </cell>
          <cell r="X112">
            <v>0</v>
          </cell>
          <cell r="Y112">
            <v>0</v>
          </cell>
        </row>
        <row r="113">
          <cell r="R113">
            <v>0</v>
          </cell>
          <cell r="X113">
            <v>0</v>
          </cell>
          <cell r="Y113">
            <v>0</v>
          </cell>
        </row>
        <row r="114">
          <cell r="R114">
            <v>0</v>
          </cell>
          <cell r="X114">
            <v>0</v>
          </cell>
          <cell r="Y114">
            <v>0</v>
          </cell>
        </row>
        <row r="115">
          <cell r="R115">
            <v>0</v>
          </cell>
          <cell r="X115">
            <v>0</v>
          </cell>
          <cell r="Y115">
            <v>0</v>
          </cell>
        </row>
        <row r="116">
          <cell r="R116">
            <v>0</v>
          </cell>
          <cell r="X116">
            <v>1787.09</v>
          </cell>
          <cell r="Y116">
            <v>1380.94</v>
          </cell>
        </row>
        <row r="117">
          <cell r="R117">
            <v>0</v>
          </cell>
          <cell r="X117">
            <v>33382.9</v>
          </cell>
          <cell r="Y117">
            <v>15553.4</v>
          </cell>
        </row>
        <row r="118">
          <cell r="R118">
            <v>0</v>
          </cell>
          <cell r="X118">
            <v>0</v>
          </cell>
          <cell r="Y118">
            <v>0</v>
          </cell>
        </row>
        <row r="119">
          <cell r="R119">
            <v>0</v>
          </cell>
          <cell r="X119">
            <v>0</v>
          </cell>
          <cell r="Y119">
            <v>0</v>
          </cell>
        </row>
        <row r="120">
          <cell r="R120">
            <v>82.84</v>
          </cell>
          <cell r="X120">
            <v>10800.74</v>
          </cell>
          <cell r="Y120">
            <v>8308.26</v>
          </cell>
        </row>
        <row r="121">
          <cell r="R121">
            <v>1934.31</v>
          </cell>
          <cell r="X121">
            <v>202312.02</v>
          </cell>
          <cell r="Y121">
            <v>113627.3</v>
          </cell>
        </row>
        <row r="122">
          <cell r="R122">
            <v>1229.5999999999999</v>
          </cell>
          <cell r="X122">
            <v>13680.58</v>
          </cell>
          <cell r="Y122">
            <v>10523.52</v>
          </cell>
        </row>
        <row r="123">
          <cell r="R123">
            <v>28711.16</v>
          </cell>
          <cell r="X123">
            <v>256255.23</v>
          </cell>
          <cell r="Y123">
            <v>143924.17000000001</v>
          </cell>
        </row>
        <row r="124">
          <cell r="R124">
            <v>0</v>
          </cell>
          <cell r="X124">
            <v>0</v>
          </cell>
          <cell r="Y124">
            <v>0</v>
          </cell>
        </row>
        <row r="125">
          <cell r="R125">
            <v>0</v>
          </cell>
          <cell r="X125">
            <v>0</v>
          </cell>
          <cell r="Y125">
            <v>0</v>
          </cell>
        </row>
        <row r="126">
          <cell r="R126">
            <v>0</v>
          </cell>
          <cell r="X126">
            <v>5506.98</v>
          </cell>
          <cell r="Y126">
            <v>4236.1400000000003</v>
          </cell>
        </row>
        <row r="127">
          <cell r="R127">
            <v>0</v>
          </cell>
          <cell r="X127">
            <v>103153.06</v>
          </cell>
          <cell r="Y127">
            <v>57935.28</v>
          </cell>
        </row>
        <row r="128">
          <cell r="R128">
            <v>0</v>
          </cell>
          <cell r="X128">
            <v>0</v>
          </cell>
          <cell r="Y128">
            <v>0</v>
          </cell>
        </row>
        <row r="129">
          <cell r="R129">
            <v>0</v>
          </cell>
          <cell r="X129">
            <v>0</v>
          </cell>
          <cell r="Y129">
            <v>0</v>
          </cell>
        </row>
        <row r="165">
          <cell r="R165">
            <v>0</v>
          </cell>
          <cell r="X165">
            <v>582.91999999999996</v>
          </cell>
          <cell r="Y165">
            <v>448.4</v>
          </cell>
        </row>
        <row r="166">
          <cell r="R166">
            <v>0</v>
          </cell>
          <cell r="X166">
            <v>10918.84</v>
          </cell>
          <cell r="Y166">
            <v>6132.5</v>
          </cell>
        </row>
        <row r="167">
          <cell r="R167">
            <v>0.11</v>
          </cell>
          <cell r="X167">
            <v>248.85</v>
          </cell>
          <cell r="Y167">
            <v>191.42</v>
          </cell>
        </row>
        <row r="168">
          <cell r="R168">
            <v>2.57</v>
          </cell>
          <cell r="X168">
            <v>4661.26</v>
          </cell>
          <cell r="Y168">
            <v>2617.9699999999998</v>
          </cell>
        </row>
        <row r="169">
          <cell r="R169">
            <v>0</v>
          </cell>
          <cell r="X169">
            <v>0</v>
          </cell>
          <cell r="Y169">
            <v>0</v>
          </cell>
        </row>
        <row r="170">
          <cell r="R170">
            <v>0</v>
          </cell>
          <cell r="X170">
            <v>0</v>
          </cell>
          <cell r="Y170">
            <v>0</v>
          </cell>
        </row>
        <row r="173">
          <cell r="R173">
            <v>0</v>
          </cell>
          <cell r="X173">
            <v>9.86</v>
          </cell>
          <cell r="Y173">
            <v>7.58</v>
          </cell>
        </row>
        <row r="174">
          <cell r="R174">
            <v>0</v>
          </cell>
          <cell r="X174">
            <v>184.6</v>
          </cell>
          <cell r="Y174">
            <v>103.68</v>
          </cell>
        </row>
        <row r="175">
          <cell r="R175">
            <v>0</v>
          </cell>
          <cell r="X175">
            <v>0</v>
          </cell>
          <cell r="Y175">
            <v>0</v>
          </cell>
        </row>
        <row r="176">
          <cell r="R176">
            <v>0</v>
          </cell>
          <cell r="X176">
            <v>0</v>
          </cell>
          <cell r="Y176">
            <v>0</v>
          </cell>
        </row>
        <row r="177">
          <cell r="R177">
            <v>0</v>
          </cell>
          <cell r="X177">
            <v>0</v>
          </cell>
          <cell r="Y177">
            <v>0</v>
          </cell>
        </row>
        <row r="178">
          <cell r="R178">
            <v>0</v>
          </cell>
          <cell r="X178">
            <v>0</v>
          </cell>
          <cell r="Y178">
            <v>0</v>
          </cell>
        </row>
        <row r="187">
          <cell r="R187">
            <v>0.52</v>
          </cell>
          <cell r="X187">
            <v>537.12</v>
          </cell>
          <cell r="Y187">
            <v>413.17</v>
          </cell>
        </row>
        <row r="188">
          <cell r="R188">
            <v>12.14</v>
          </cell>
          <cell r="X188">
            <v>10060.93</v>
          </cell>
          <cell r="Y188">
            <v>5650.66</v>
          </cell>
        </row>
        <row r="189">
          <cell r="R189">
            <v>0</v>
          </cell>
          <cell r="X189">
            <v>0</v>
          </cell>
          <cell r="Y189">
            <v>0</v>
          </cell>
        </row>
        <row r="190">
          <cell r="R190">
            <v>0</v>
          </cell>
          <cell r="X190">
            <v>0</v>
          </cell>
          <cell r="Y190">
            <v>0</v>
          </cell>
        </row>
        <row r="260">
          <cell r="R260">
            <v>0</v>
          </cell>
          <cell r="X260">
            <v>53484.55</v>
          </cell>
          <cell r="Y260">
            <v>44046.1</v>
          </cell>
        </row>
        <row r="261">
          <cell r="R261">
            <v>0</v>
          </cell>
          <cell r="X261">
            <v>999091.39</v>
          </cell>
          <cell r="Y261">
            <v>602393.34</v>
          </cell>
        </row>
        <row r="262">
          <cell r="R262">
            <v>0</v>
          </cell>
          <cell r="X262">
            <v>0</v>
          </cell>
          <cell r="Y262">
            <v>0</v>
          </cell>
        </row>
        <row r="263">
          <cell r="R263">
            <v>0</v>
          </cell>
          <cell r="X263">
            <v>0</v>
          </cell>
          <cell r="Y263">
            <v>0</v>
          </cell>
        </row>
        <row r="264">
          <cell r="R264">
            <v>0</v>
          </cell>
          <cell r="X264">
            <v>483.13</v>
          </cell>
          <cell r="Y264">
            <v>397.87</v>
          </cell>
        </row>
        <row r="265">
          <cell r="R265">
            <v>0</v>
          </cell>
          <cell r="X265">
            <v>9024.9</v>
          </cell>
          <cell r="Y265">
            <v>5441.48</v>
          </cell>
        </row>
        <row r="266">
          <cell r="R266">
            <v>0.13</v>
          </cell>
          <cell r="X266">
            <v>371.6</v>
          </cell>
          <cell r="Y266">
            <v>306.02999999999997</v>
          </cell>
        </row>
        <row r="267">
          <cell r="R267">
            <v>3.04</v>
          </cell>
          <cell r="X267">
            <v>6941.54</v>
          </cell>
          <cell r="Y267">
            <v>4185.34</v>
          </cell>
        </row>
        <row r="268">
          <cell r="R268">
            <v>0</v>
          </cell>
          <cell r="X268">
            <v>0</v>
          </cell>
          <cell r="Y268">
            <v>0</v>
          </cell>
        </row>
        <row r="269">
          <cell r="R269">
            <v>0</v>
          </cell>
          <cell r="X269">
            <v>0</v>
          </cell>
          <cell r="Y269">
            <v>0</v>
          </cell>
        </row>
        <row r="270">
          <cell r="R270">
            <v>0.06</v>
          </cell>
          <cell r="X270">
            <v>22.69</v>
          </cell>
          <cell r="Y270">
            <v>16.21</v>
          </cell>
        </row>
        <row r="271">
          <cell r="R271">
            <v>1.4</v>
          </cell>
          <cell r="X271">
            <v>367.57</v>
          </cell>
          <cell r="Y271">
            <v>221.63</v>
          </cell>
        </row>
        <row r="272">
          <cell r="R272">
            <v>0</v>
          </cell>
          <cell r="X272">
            <v>0</v>
          </cell>
          <cell r="Y272">
            <v>0</v>
          </cell>
        </row>
        <row r="273">
          <cell r="R273">
            <v>0</v>
          </cell>
          <cell r="X273">
            <v>0</v>
          </cell>
          <cell r="Y273">
            <v>0</v>
          </cell>
        </row>
        <row r="274">
          <cell r="R274">
            <v>0.11</v>
          </cell>
          <cell r="X274">
            <v>206.34</v>
          </cell>
          <cell r="Y274">
            <v>159.44</v>
          </cell>
        </row>
        <row r="275">
          <cell r="R275">
            <v>2.57</v>
          </cell>
          <cell r="X275">
            <v>3854.39</v>
          </cell>
          <cell r="Y275">
            <v>1795.8</v>
          </cell>
        </row>
        <row r="276">
          <cell r="R276">
            <v>0</v>
          </cell>
          <cell r="X276">
            <v>0</v>
          </cell>
          <cell r="Y276">
            <v>0</v>
          </cell>
        </row>
        <row r="277">
          <cell r="R277">
            <v>0</v>
          </cell>
          <cell r="X277">
            <v>0</v>
          </cell>
          <cell r="Y277">
            <v>0</v>
          </cell>
        </row>
        <row r="278">
          <cell r="R278">
            <v>0.06</v>
          </cell>
          <cell r="X278">
            <v>169.29</v>
          </cell>
          <cell r="Y278">
            <v>130.82</v>
          </cell>
        </row>
        <row r="279">
          <cell r="R279">
            <v>1.4</v>
          </cell>
          <cell r="X279">
            <v>3162.34</v>
          </cell>
          <cell r="Y279">
            <v>1473.36</v>
          </cell>
        </row>
        <row r="280">
          <cell r="R280">
            <v>0</v>
          </cell>
          <cell r="X280">
            <v>0</v>
          </cell>
          <cell r="Y280">
            <v>0</v>
          </cell>
        </row>
        <row r="281">
          <cell r="R281">
            <v>0</v>
          </cell>
          <cell r="X281">
            <v>0</v>
          </cell>
          <cell r="Y281">
            <v>0</v>
          </cell>
        </row>
        <row r="282">
          <cell r="R282">
            <v>0</v>
          </cell>
          <cell r="X282">
            <v>1569.67</v>
          </cell>
          <cell r="Y282">
            <v>1192.3499999999999</v>
          </cell>
        </row>
        <row r="283">
          <cell r="R283">
            <v>0</v>
          </cell>
          <cell r="X283">
            <v>29955.84</v>
          </cell>
          <cell r="Y283">
            <v>14449.29</v>
          </cell>
        </row>
        <row r="319">
          <cell r="R319">
            <v>0</v>
          </cell>
          <cell r="X319">
            <v>60359.75</v>
          </cell>
          <cell r="Y319">
            <v>46641.63</v>
          </cell>
        </row>
        <row r="320">
          <cell r="R320">
            <v>0</v>
          </cell>
          <cell r="X320">
            <v>1127520.1299999999</v>
          </cell>
          <cell r="Y320">
            <v>525321.88</v>
          </cell>
        </row>
        <row r="321">
          <cell r="R321">
            <v>0</v>
          </cell>
          <cell r="X321">
            <v>0</v>
          </cell>
          <cell r="Y321">
            <v>0</v>
          </cell>
        </row>
        <row r="322">
          <cell r="R322">
            <v>0</v>
          </cell>
          <cell r="X322">
            <v>0</v>
          </cell>
          <cell r="Y322">
            <v>0</v>
          </cell>
        </row>
        <row r="327">
          <cell r="R327">
            <v>0</v>
          </cell>
          <cell r="X327">
            <v>5867.95</v>
          </cell>
          <cell r="Y327">
            <v>4534.33</v>
          </cell>
        </row>
        <row r="328">
          <cell r="R328">
            <v>0</v>
          </cell>
          <cell r="X328">
            <v>109613.31</v>
          </cell>
          <cell r="Y328">
            <v>51069.84</v>
          </cell>
        </row>
        <row r="329">
          <cell r="R329">
            <v>0</v>
          </cell>
          <cell r="X329">
            <v>0</v>
          </cell>
          <cell r="Y329">
            <v>0</v>
          </cell>
        </row>
        <row r="330">
          <cell r="R330">
            <v>0</v>
          </cell>
          <cell r="X330">
            <v>0</v>
          </cell>
          <cell r="Y330">
            <v>0</v>
          </cell>
        </row>
        <row r="331">
          <cell r="R331">
            <v>0</v>
          </cell>
          <cell r="X331">
            <v>43.16</v>
          </cell>
          <cell r="Y331">
            <v>33.35</v>
          </cell>
        </row>
        <row r="332">
          <cell r="R332">
            <v>0</v>
          </cell>
          <cell r="X332">
            <v>806.3</v>
          </cell>
          <cell r="Y332">
            <v>375.66</v>
          </cell>
        </row>
        <row r="368">
          <cell r="R368">
            <v>0.28000000000000003</v>
          </cell>
          <cell r="X368">
            <v>248.67</v>
          </cell>
          <cell r="Y368">
            <v>192.15</v>
          </cell>
        </row>
        <row r="369">
          <cell r="R369">
            <v>6.54</v>
          </cell>
          <cell r="X369">
            <v>4645.08</v>
          </cell>
          <cell r="Y369">
            <v>2164.19</v>
          </cell>
        </row>
        <row r="370">
          <cell r="R370">
            <v>0</v>
          </cell>
          <cell r="X370">
            <v>0</v>
          </cell>
          <cell r="Y370">
            <v>0</v>
          </cell>
        </row>
        <row r="371">
          <cell r="R371">
            <v>0</v>
          </cell>
          <cell r="X371">
            <v>0</v>
          </cell>
          <cell r="Y371">
            <v>0</v>
          </cell>
        </row>
        <row r="372">
          <cell r="R372">
            <v>0.04</v>
          </cell>
          <cell r="X372">
            <v>37.46</v>
          </cell>
          <cell r="Y372">
            <v>28.94</v>
          </cell>
        </row>
        <row r="373">
          <cell r="R373">
            <v>0.93</v>
          </cell>
          <cell r="X373">
            <v>699.66</v>
          </cell>
          <cell r="Y373">
            <v>325.98</v>
          </cell>
        </row>
        <row r="374">
          <cell r="R374">
            <v>0</v>
          </cell>
          <cell r="X374">
            <v>0</v>
          </cell>
          <cell r="Y374">
            <v>0</v>
          </cell>
        </row>
        <row r="375">
          <cell r="R375">
            <v>0</v>
          </cell>
          <cell r="X375">
            <v>0</v>
          </cell>
          <cell r="Y375">
            <v>0</v>
          </cell>
        </row>
        <row r="376">
          <cell r="R376">
            <v>0</v>
          </cell>
          <cell r="X376">
            <v>0</v>
          </cell>
          <cell r="Y376">
            <v>0</v>
          </cell>
        </row>
        <row r="377">
          <cell r="R377">
            <v>0</v>
          </cell>
          <cell r="X377">
            <v>0</v>
          </cell>
          <cell r="Y377">
            <v>0</v>
          </cell>
        </row>
        <row r="378">
          <cell r="R378">
            <v>0</v>
          </cell>
          <cell r="X378">
            <v>5576.01</v>
          </cell>
          <cell r="Y378">
            <v>4308.74</v>
          </cell>
        </row>
        <row r="379">
          <cell r="R379">
            <v>0</v>
          </cell>
          <cell r="X379">
            <v>104159.87</v>
          </cell>
          <cell r="Y379">
            <v>48529.03</v>
          </cell>
        </row>
        <row r="447">
          <cell r="R447">
            <v>0.65</v>
          </cell>
          <cell r="X447">
            <v>22.95</v>
          </cell>
          <cell r="Y447">
            <v>15.78</v>
          </cell>
        </row>
        <row r="448">
          <cell r="R448">
            <v>15.18</v>
          </cell>
          <cell r="X448">
            <v>455.54</v>
          </cell>
          <cell r="Y448">
            <v>274.66000000000003</v>
          </cell>
        </row>
        <row r="449">
          <cell r="R449">
            <v>0</v>
          </cell>
          <cell r="X449">
            <v>0</v>
          </cell>
          <cell r="Y449">
            <v>0</v>
          </cell>
        </row>
        <row r="450">
          <cell r="R450">
            <v>0</v>
          </cell>
          <cell r="X450">
            <v>0</v>
          </cell>
          <cell r="Y450">
            <v>0</v>
          </cell>
        </row>
        <row r="451">
          <cell r="R451">
            <v>0</v>
          </cell>
          <cell r="X451">
            <v>7.03</v>
          </cell>
          <cell r="Y451">
            <v>4.83</v>
          </cell>
        </row>
        <row r="452">
          <cell r="R452">
            <v>0</v>
          </cell>
          <cell r="X452">
            <v>139.57</v>
          </cell>
          <cell r="Y452">
            <v>84.15</v>
          </cell>
        </row>
        <row r="453">
          <cell r="R453">
            <v>0</v>
          </cell>
          <cell r="X453">
            <v>0</v>
          </cell>
          <cell r="Y453">
            <v>0</v>
          </cell>
        </row>
        <row r="454">
          <cell r="R454">
            <v>0</v>
          </cell>
          <cell r="X454">
            <v>0</v>
          </cell>
          <cell r="Y454">
            <v>0</v>
          </cell>
        </row>
        <row r="455">
          <cell r="R455">
            <v>88.23</v>
          </cell>
          <cell r="X455">
            <v>162.04</v>
          </cell>
          <cell r="Y455">
            <v>111.4</v>
          </cell>
        </row>
        <row r="456">
          <cell r="R456">
            <v>2060.17</v>
          </cell>
          <cell r="X456">
            <v>3216.09</v>
          </cell>
          <cell r="Y456">
            <v>1939.11</v>
          </cell>
        </row>
        <row r="457">
          <cell r="R457">
            <v>0</v>
          </cell>
          <cell r="X457">
            <v>0</v>
          </cell>
          <cell r="Y457">
            <v>0</v>
          </cell>
        </row>
        <row r="458">
          <cell r="R458">
            <v>0</v>
          </cell>
          <cell r="X458">
            <v>0</v>
          </cell>
          <cell r="Y458">
            <v>0</v>
          </cell>
        </row>
        <row r="459">
          <cell r="R459">
            <v>0</v>
          </cell>
          <cell r="X459">
            <v>22.82</v>
          </cell>
          <cell r="Y459">
            <v>15.69</v>
          </cell>
        </row>
        <row r="460">
          <cell r="R460">
            <v>0</v>
          </cell>
          <cell r="X460">
            <v>452.84</v>
          </cell>
          <cell r="Y460">
            <v>273.04000000000002</v>
          </cell>
        </row>
        <row r="461">
          <cell r="R461">
            <v>0</v>
          </cell>
          <cell r="X461">
            <v>0</v>
          </cell>
          <cell r="Y461">
            <v>0</v>
          </cell>
        </row>
        <row r="462">
          <cell r="R462">
            <v>0</v>
          </cell>
          <cell r="X462">
            <v>0</v>
          </cell>
          <cell r="Y462">
            <v>0</v>
          </cell>
        </row>
        <row r="463">
          <cell r="R463">
            <v>77.97</v>
          </cell>
          <cell r="X463">
            <v>137.5</v>
          </cell>
          <cell r="Y463">
            <v>94.53</v>
          </cell>
        </row>
        <row r="464">
          <cell r="R464">
            <v>1820.6</v>
          </cell>
          <cell r="X464">
            <v>2729.11</v>
          </cell>
          <cell r="Y464">
            <v>1645.49</v>
          </cell>
        </row>
        <row r="465">
          <cell r="R465">
            <v>0</v>
          </cell>
          <cell r="X465">
            <v>0</v>
          </cell>
          <cell r="Y465">
            <v>0</v>
          </cell>
        </row>
        <row r="466">
          <cell r="R466">
            <v>0</v>
          </cell>
          <cell r="X466">
            <v>0</v>
          </cell>
          <cell r="Y466">
            <v>0</v>
          </cell>
        </row>
        <row r="467">
          <cell r="R467">
            <v>92</v>
          </cell>
          <cell r="X467">
            <v>63199.4</v>
          </cell>
          <cell r="Y467">
            <v>48835.9</v>
          </cell>
        </row>
        <row r="468">
          <cell r="R468">
            <v>2148.1999999999998</v>
          </cell>
          <cell r="X468">
            <v>1180564.79</v>
          </cell>
          <cell r="Y468">
            <v>550035.87</v>
          </cell>
        </row>
        <row r="469">
          <cell r="R469">
            <v>2020.32</v>
          </cell>
          <cell r="X469">
            <v>0</v>
          </cell>
          <cell r="Y469">
            <v>0</v>
          </cell>
        </row>
        <row r="470">
          <cell r="R470">
            <v>47174.47</v>
          </cell>
          <cell r="X470">
            <v>0</v>
          </cell>
          <cell r="Y470">
            <v>0</v>
          </cell>
        </row>
        <row r="471">
          <cell r="R471">
            <v>92</v>
          </cell>
          <cell r="X471">
            <v>30866</v>
          </cell>
          <cell r="Y471">
            <v>23851</v>
          </cell>
        </row>
        <row r="472">
          <cell r="R472">
            <v>2148.1999999999998</v>
          </cell>
          <cell r="X472">
            <v>576576.88</v>
          </cell>
          <cell r="Y472">
            <v>268632.40999999997</v>
          </cell>
        </row>
        <row r="473">
          <cell r="R473">
            <v>0</v>
          </cell>
          <cell r="X473">
            <v>9736.82</v>
          </cell>
          <cell r="Y473">
            <v>7523.9</v>
          </cell>
        </row>
        <row r="474">
          <cell r="R474">
            <v>0</v>
          </cell>
          <cell r="X474">
            <v>181883.71</v>
          </cell>
          <cell r="Y474">
            <v>84741.27</v>
          </cell>
        </row>
        <row r="475">
          <cell r="R475">
            <v>0</v>
          </cell>
          <cell r="X475">
            <v>5621.97</v>
          </cell>
          <cell r="Y475">
            <v>4344.25</v>
          </cell>
        </row>
        <row r="476">
          <cell r="R476">
            <v>0</v>
          </cell>
          <cell r="X476">
            <v>105018.36</v>
          </cell>
          <cell r="Y476">
            <v>48929.01</v>
          </cell>
        </row>
        <row r="512">
          <cell r="R512">
            <v>643.29999999999995</v>
          </cell>
          <cell r="X512">
            <v>0</v>
          </cell>
          <cell r="Y512">
            <v>0</v>
          </cell>
        </row>
        <row r="513">
          <cell r="R513">
            <v>15021.06</v>
          </cell>
          <cell r="X513">
            <v>0</v>
          </cell>
          <cell r="Y513">
            <v>0</v>
          </cell>
        </row>
        <row r="514">
          <cell r="R514">
            <v>0</v>
          </cell>
          <cell r="X514">
            <v>0</v>
          </cell>
          <cell r="Y514">
            <v>0</v>
          </cell>
        </row>
        <row r="515">
          <cell r="R515">
            <v>0</v>
          </cell>
          <cell r="X515">
            <v>0</v>
          </cell>
          <cell r="Y515">
            <v>0</v>
          </cell>
        </row>
        <row r="551">
          <cell r="R551">
            <v>0</v>
          </cell>
          <cell r="X551">
            <v>0</v>
          </cell>
          <cell r="Y551">
            <v>0</v>
          </cell>
        </row>
        <row r="552">
          <cell r="R552">
            <v>0</v>
          </cell>
          <cell r="X552">
            <v>0</v>
          </cell>
          <cell r="Y552">
            <v>0</v>
          </cell>
        </row>
        <row r="553">
          <cell r="R553">
            <v>0</v>
          </cell>
          <cell r="X553">
            <v>0</v>
          </cell>
          <cell r="Y553">
            <v>0</v>
          </cell>
        </row>
        <row r="554">
          <cell r="R554">
            <v>0</v>
          </cell>
          <cell r="X554">
            <v>0</v>
          </cell>
          <cell r="Y554">
            <v>0</v>
          </cell>
        </row>
      </sheetData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32">
          <cell r="R32">
            <v>0</v>
          </cell>
          <cell r="X32">
            <v>1434.82</v>
          </cell>
          <cell r="Y32">
            <v>986.44</v>
          </cell>
        </row>
        <row r="33">
          <cell r="R33">
            <v>0</v>
          </cell>
          <cell r="X33">
            <v>28477.67</v>
          </cell>
          <cell r="Y33">
            <v>17170.36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36">
          <cell r="R36">
            <v>7.53</v>
          </cell>
          <cell r="X36">
            <v>6377.98</v>
          </cell>
          <cell r="Y36">
            <v>4384.8599999999997</v>
          </cell>
        </row>
        <row r="37">
          <cell r="R37">
            <v>175.83</v>
          </cell>
          <cell r="X37">
            <v>126587.04</v>
          </cell>
          <cell r="Y37">
            <v>76324.539999999994</v>
          </cell>
        </row>
        <row r="38">
          <cell r="R38">
            <v>0</v>
          </cell>
          <cell r="X38">
            <v>0</v>
          </cell>
          <cell r="Y38">
            <v>0</v>
          </cell>
        </row>
        <row r="39">
          <cell r="R39">
            <v>0</v>
          </cell>
          <cell r="X39">
            <v>0</v>
          </cell>
          <cell r="Y39">
            <v>0</v>
          </cell>
        </row>
        <row r="40">
          <cell r="R40">
            <v>0.95</v>
          </cell>
          <cell r="X40">
            <v>483.58</v>
          </cell>
          <cell r="Y40">
            <v>332.46</v>
          </cell>
        </row>
        <row r="41">
          <cell r="R41">
            <v>22.18</v>
          </cell>
          <cell r="X41">
            <v>9597.93</v>
          </cell>
          <cell r="Y41">
            <v>5786.99</v>
          </cell>
        </row>
        <row r="42">
          <cell r="R42">
            <v>0</v>
          </cell>
          <cell r="X42">
            <v>0</v>
          </cell>
          <cell r="Y42">
            <v>0</v>
          </cell>
        </row>
        <row r="43">
          <cell r="R43">
            <v>0</v>
          </cell>
          <cell r="X43">
            <v>0</v>
          </cell>
          <cell r="Y43">
            <v>0</v>
          </cell>
        </row>
        <row r="44">
          <cell r="R44">
            <v>16.46</v>
          </cell>
          <cell r="X44">
            <v>0</v>
          </cell>
          <cell r="Y44">
            <v>0</v>
          </cell>
        </row>
        <row r="45">
          <cell r="R45">
            <v>384.34</v>
          </cell>
          <cell r="X45">
            <v>0</v>
          </cell>
          <cell r="Y45">
            <v>0</v>
          </cell>
        </row>
        <row r="46">
          <cell r="R46">
            <v>0</v>
          </cell>
          <cell r="X46">
            <v>0</v>
          </cell>
          <cell r="Y46">
            <v>0</v>
          </cell>
        </row>
        <row r="47">
          <cell r="R47">
            <v>0</v>
          </cell>
          <cell r="X47">
            <v>0</v>
          </cell>
          <cell r="Y47">
            <v>0</v>
          </cell>
        </row>
        <row r="48">
          <cell r="R48">
            <v>0</v>
          </cell>
          <cell r="X48">
            <v>0</v>
          </cell>
          <cell r="Y48">
            <v>0</v>
          </cell>
        </row>
        <row r="49">
          <cell r="R49">
            <v>0</v>
          </cell>
          <cell r="X49">
            <v>0</v>
          </cell>
          <cell r="Y49">
            <v>0</v>
          </cell>
        </row>
        <row r="85">
          <cell r="R85">
            <v>102.97</v>
          </cell>
          <cell r="X85">
            <v>1927.15</v>
          </cell>
          <cell r="Y85">
            <v>1296.44</v>
          </cell>
        </row>
        <row r="86">
          <cell r="R86">
            <v>2404.35</v>
          </cell>
          <cell r="X86">
            <v>35999.07</v>
          </cell>
          <cell r="Y86">
            <v>16772.29</v>
          </cell>
        </row>
        <row r="87">
          <cell r="R87">
            <v>0</v>
          </cell>
          <cell r="X87">
            <v>0</v>
          </cell>
          <cell r="Y87">
            <v>0</v>
          </cell>
        </row>
        <row r="88">
          <cell r="R88">
            <v>0</v>
          </cell>
          <cell r="X88">
            <v>0</v>
          </cell>
          <cell r="Y88">
            <v>0</v>
          </cell>
        </row>
        <row r="89">
          <cell r="R89">
            <v>0</v>
          </cell>
          <cell r="X89">
            <v>0</v>
          </cell>
          <cell r="Y89">
            <v>0</v>
          </cell>
        </row>
        <row r="90">
          <cell r="R90">
            <v>0</v>
          </cell>
          <cell r="X90">
            <v>0</v>
          </cell>
          <cell r="Y90">
            <v>0</v>
          </cell>
        </row>
        <row r="91">
          <cell r="R91">
            <v>0</v>
          </cell>
          <cell r="X91">
            <v>0</v>
          </cell>
          <cell r="Y91">
            <v>0</v>
          </cell>
        </row>
        <row r="92">
          <cell r="R92">
            <v>0</v>
          </cell>
          <cell r="X92">
            <v>0</v>
          </cell>
          <cell r="Y92">
            <v>0</v>
          </cell>
        </row>
        <row r="93">
          <cell r="R93">
            <v>0</v>
          </cell>
          <cell r="X93">
            <v>0</v>
          </cell>
          <cell r="Y93">
            <v>0</v>
          </cell>
        </row>
        <row r="94">
          <cell r="R94">
            <v>0</v>
          </cell>
          <cell r="X94">
            <v>0</v>
          </cell>
          <cell r="Y94">
            <v>0</v>
          </cell>
        </row>
        <row r="95">
          <cell r="R95">
            <v>0</v>
          </cell>
          <cell r="X95">
            <v>0</v>
          </cell>
          <cell r="Y95">
            <v>0</v>
          </cell>
        </row>
        <row r="96">
          <cell r="R96">
            <v>0</v>
          </cell>
          <cell r="X96">
            <v>0</v>
          </cell>
          <cell r="Y96">
            <v>0</v>
          </cell>
        </row>
        <row r="97">
          <cell r="R97">
            <v>0</v>
          </cell>
          <cell r="X97">
            <v>0</v>
          </cell>
          <cell r="Y97">
            <v>0</v>
          </cell>
        </row>
        <row r="98">
          <cell r="R98">
            <v>0</v>
          </cell>
          <cell r="X98">
            <v>0</v>
          </cell>
          <cell r="Y98">
            <v>0</v>
          </cell>
        </row>
        <row r="103">
          <cell r="R103">
            <v>103.67</v>
          </cell>
          <cell r="X103">
            <v>1685.5</v>
          </cell>
          <cell r="Y103">
            <v>1133.8800000000001</v>
          </cell>
        </row>
        <row r="104">
          <cell r="R104">
            <v>2420.69</v>
          </cell>
          <cell r="X104">
            <v>31485.08</v>
          </cell>
          <cell r="Y104">
            <v>14669.19</v>
          </cell>
        </row>
        <row r="105">
          <cell r="R105">
            <v>0</v>
          </cell>
          <cell r="X105">
            <v>0</v>
          </cell>
          <cell r="Y105">
            <v>0</v>
          </cell>
        </row>
        <row r="106">
          <cell r="R106">
            <v>0</v>
          </cell>
          <cell r="X106">
            <v>0</v>
          </cell>
          <cell r="Y106">
            <v>0</v>
          </cell>
        </row>
        <row r="107">
          <cell r="R107">
            <v>141.19999999999999</v>
          </cell>
          <cell r="X107">
            <v>6170.66</v>
          </cell>
          <cell r="Y107">
            <v>4151.17</v>
          </cell>
        </row>
        <row r="108">
          <cell r="R108">
            <v>3297.02</v>
          </cell>
          <cell r="X108">
            <v>115267.91</v>
          </cell>
          <cell r="Y108">
            <v>53704.37</v>
          </cell>
        </row>
        <row r="111">
          <cell r="R111">
            <v>0</v>
          </cell>
          <cell r="X111">
            <v>0</v>
          </cell>
          <cell r="Y111">
            <v>0</v>
          </cell>
        </row>
        <row r="112">
          <cell r="R112">
            <v>0</v>
          </cell>
          <cell r="X112">
            <v>0</v>
          </cell>
          <cell r="Y112">
            <v>0</v>
          </cell>
        </row>
        <row r="113">
          <cell r="R113">
            <v>0</v>
          </cell>
          <cell r="X113">
            <v>0</v>
          </cell>
          <cell r="Y113">
            <v>0</v>
          </cell>
        </row>
        <row r="114">
          <cell r="R114">
            <v>0</v>
          </cell>
          <cell r="X114">
            <v>0</v>
          </cell>
          <cell r="Y114">
            <v>0</v>
          </cell>
        </row>
        <row r="115">
          <cell r="R115">
            <v>0</v>
          </cell>
          <cell r="X115">
            <v>0</v>
          </cell>
          <cell r="Y115">
            <v>0</v>
          </cell>
        </row>
        <row r="116">
          <cell r="R116">
            <v>0</v>
          </cell>
          <cell r="X116">
            <v>0</v>
          </cell>
          <cell r="Y116">
            <v>0</v>
          </cell>
        </row>
        <row r="117">
          <cell r="R117">
            <v>8.8000000000000007</v>
          </cell>
          <cell r="X117">
            <v>384.79</v>
          </cell>
          <cell r="Y117">
            <v>258.86</v>
          </cell>
        </row>
        <row r="118">
          <cell r="R118">
            <v>205.48</v>
          </cell>
          <cell r="X118">
            <v>7187.89</v>
          </cell>
          <cell r="Y118">
            <v>3348.9</v>
          </cell>
        </row>
        <row r="119">
          <cell r="R119">
            <v>0</v>
          </cell>
          <cell r="X119">
            <v>0</v>
          </cell>
          <cell r="Y119">
            <v>0</v>
          </cell>
        </row>
        <row r="120">
          <cell r="R120">
            <v>0</v>
          </cell>
          <cell r="X120">
            <v>0</v>
          </cell>
          <cell r="Y120">
            <v>0</v>
          </cell>
        </row>
        <row r="121">
          <cell r="R121">
            <v>0</v>
          </cell>
          <cell r="X121">
            <v>0</v>
          </cell>
          <cell r="Y121">
            <v>0</v>
          </cell>
        </row>
        <row r="122">
          <cell r="R122">
            <v>0</v>
          </cell>
          <cell r="X122">
            <v>0</v>
          </cell>
          <cell r="Y122">
            <v>0</v>
          </cell>
        </row>
        <row r="123">
          <cell r="R123">
            <v>0</v>
          </cell>
          <cell r="X123">
            <v>0</v>
          </cell>
          <cell r="Y123">
            <v>0</v>
          </cell>
        </row>
        <row r="124">
          <cell r="R124">
            <v>0</v>
          </cell>
          <cell r="X124">
            <v>0</v>
          </cell>
          <cell r="Y124">
            <v>0</v>
          </cell>
        </row>
        <row r="125">
          <cell r="R125">
            <v>13.1</v>
          </cell>
          <cell r="X125">
            <v>572.48</v>
          </cell>
          <cell r="Y125">
            <v>385.13</v>
          </cell>
        </row>
        <row r="126">
          <cell r="R126">
            <v>305.89</v>
          </cell>
          <cell r="X126">
            <v>10694</v>
          </cell>
          <cell r="Y126">
            <v>4982.43</v>
          </cell>
        </row>
        <row r="129">
          <cell r="R129">
            <v>0</v>
          </cell>
          <cell r="X129">
            <v>0</v>
          </cell>
          <cell r="Y129">
            <v>0</v>
          </cell>
        </row>
        <row r="130">
          <cell r="R130">
            <v>0</v>
          </cell>
          <cell r="X130">
            <v>0</v>
          </cell>
          <cell r="Y130">
            <v>0</v>
          </cell>
        </row>
        <row r="131">
          <cell r="R131">
            <v>0</v>
          </cell>
          <cell r="X131">
            <v>0</v>
          </cell>
          <cell r="Y131">
            <v>0</v>
          </cell>
        </row>
        <row r="132">
          <cell r="R132">
            <v>0</v>
          </cell>
          <cell r="X132">
            <v>0</v>
          </cell>
          <cell r="Y132">
            <v>0</v>
          </cell>
        </row>
        <row r="133">
          <cell r="R133">
            <v>14.6</v>
          </cell>
          <cell r="X133">
            <v>638.19000000000005</v>
          </cell>
          <cell r="Y133">
            <v>429.33</v>
          </cell>
        </row>
        <row r="134">
          <cell r="R134">
            <v>340.91</v>
          </cell>
          <cell r="X134">
            <v>11921.33</v>
          </cell>
          <cell r="Y134">
            <v>5554.26</v>
          </cell>
        </row>
        <row r="137">
          <cell r="R137">
            <v>0</v>
          </cell>
          <cell r="X137">
            <v>0</v>
          </cell>
          <cell r="Y137">
            <v>0</v>
          </cell>
        </row>
        <row r="138">
          <cell r="R138">
            <v>0</v>
          </cell>
          <cell r="X138">
            <v>0</v>
          </cell>
          <cell r="Y138">
            <v>0</v>
          </cell>
        </row>
        <row r="139">
          <cell r="R139">
            <v>0</v>
          </cell>
          <cell r="X139">
            <v>0</v>
          </cell>
          <cell r="Y139">
            <v>0</v>
          </cell>
        </row>
        <row r="140">
          <cell r="R140">
            <v>0</v>
          </cell>
          <cell r="X140">
            <v>0</v>
          </cell>
          <cell r="Y140">
            <v>0</v>
          </cell>
        </row>
        <row r="141">
          <cell r="R141">
            <v>10.52</v>
          </cell>
          <cell r="X141">
            <v>459.87</v>
          </cell>
          <cell r="Y141">
            <v>309.36</v>
          </cell>
        </row>
        <row r="142">
          <cell r="R142">
            <v>245.64</v>
          </cell>
          <cell r="X142">
            <v>8590.2999999999993</v>
          </cell>
          <cell r="Y142">
            <v>4002.3</v>
          </cell>
        </row>
        <row r="147">
          <cell r="R147">
            <v>0</v>
          </cell>
          <cell r="X147">
            <v>0</v>
          </cell>
          <cell r="Y147">
            <v>0</v>
          </cell>
        </row>
        <row r="148">
          <cell r="R148">
            <v>0</v>
          </cell>
          <cell r="X148">
            <v>0</v>
          </cell>
          <cell r="Y148">
            <v>0</v>
          </cell>
        </row>
        <row r="149">
          <cell r="R149">
            <v>6.26</v>
          </cell>
          <cell r="X149">
            <v>235.1</v>
          </cell>
          <cell r="Y149">
            <v>158.16</v>
          </cell>
        </row>
        <row r="150">
          <cell r="R150">
            <v>146.16999999999999</v>
          </cell>
          <cell r="X150">
            <v>4391.7299999999996</v>
          </cell>
          <cell r="Y150">
            <v>2046.15</v>
          </cell>
        </row>
        <row r="153">
          <cell r="R153">
            <v>0</v>
          </cell>
          <cell r="X153">
            <v>0</v>
          </cell>
          <cell r="Y153">
            <v>0</v>
          </cell>
        </row>
        <row r="154">
          <cell r="R154">
            <v>0</v>
          </cell>
          <cell r="X154">
            <v>0</v>
          </cell>
          <cell r="Y154">
            <v>0</v>
          </cell>
        </row>
        <row r="155">
          <cell r="R155">
            <v>0</v>
          </cell>
          <cell r="X155">
            <v>0</v>
          </cell>
          <cell r="Y155">
            <v>0</v>
          </cell>
        </row>
        <row r="156">
          <cell r="R156">
            <v>0</v>
          </cell>
          <cell r="X156">
            <v>0</v>
          </cell>
          <cell r="Y156">
            <v>0</v>
          </cell>
        </row>
        <row r="157">
          <cell r="R157">
            <v>0</v>
          </cell>
          <cell r="X157">
            <v>0</v>
          </cell>
          <cell r="Y157">
            <v>0</v>
          </cell>
        </row>
        <row r="158">
          <cell r="R158">
            <v>0</v>
          </cell>
          <cell r="X158">
            <v>0</v>
          </cell>
          <cell r="Y158">
            <v>0</v>
          </cell>
        </row>
        <row r="159">
          <cell r="R159">
            <v>19.86</v>
          </cell>
          <cell r="X159">
            <v>760.13</v>
          </cell>
          <cell r="Y159">
            <v>511.36</v>
          </cell>
        </row>
        <row r="160">
          <cell r="R160">
            <v>463.73</v>
          </cell>
          <cell r="X160">
            <v>14199.28</v>
          </cell>
          <cell r="Y160">
            <v>6615.58</v>
          </cell>
        </row>
        <row r="161">
          <cell r="R161">
            <v>0</v>
          </cell>
          <cell r="X161">
            <v>0</v>
          </cell>
          <cell r="Y161">
            <v>0</v>
          </cell>
        </row>
        <row r="162">
          <cell r="R162">
            <v>0</v>
          </cell>
          <cell r="X162">
            <v>0</v>
          </cell>
          <cell r="Y162">
            <v>0</v>
          </cell>
        </row>
        <row r="167">
          <cell r="R167">
            <v>0.11</v>
          </cell>
          <cell r="X167">
            <v>434.73</v>
          </cell>
          <cell r="Y167">
            <v>278.23</v>
          </cell>
        </row>
        <row r="168">
          <cell r="R168">
            <v>2.57</v>
          </cell>
          <cell r="X168">
            <v>8222.27</v>
          </cell>
          <cell r="Y168">
            <v>4161.8900000000003</v>
          </cell>
        </row>
        <row r="169">
          <cell r="R169">
            <v>0</v>
          </cell>
          <cell r="X169">
            <v>0</v>
          </cell>
          <cell r="Y169">
            <v>0</v>
          </cell>
        </row>
        <row r="170">
          <cell r="R170">
            <v>0</v>
          </cell>
          <cell r="X170">
            <v>0</v>
          </cell>
          <cell r="Y170">
            <v>0</v>
          </cell>
        </row>
        <row r="171">
          <cell r="R171">
            <v>0</v>
          </cell>
          <cell r="X171">
            <v>0</v>
          </cell>
          <cell r="Y171">
            <v>0</v>
          </cell>
        </row>
        <row r="172">
          <cell r="R172">
            <v>0</v>
          </cell>
          <cell r="X172">
            <v>0</v>
          </cell>
          <cell r="Y172">
            <v>0</v>
          </cell>
        </row>
        <row r="173">
          <cell r="R173">
            <v>209.09</v>
          </cell>
          <cell r="X173">
            <v>1896.36</v>
          </cell>
          <cell r="Y173">
            <v>1458.74</v>
          </cell>
        </row>
        <row r="174">
          <cell r="R174">
            <v>4882.25</v>
          </cell>
          <cell r="X174">
            <v>35521.29</v>
          </cell>
          <cell r="Y174">
            <v>19950.310000000001</v>
          </cell>
        </row>
        <row r="175">
          <cell r="R175">
            <v>0</v>
          </cell>
          <cell r="X175">
            <v>0</v>
          </cell>
          <cell r="Y175">
            <v>0</v>
          </cell>
        </row>
        <row r="176">
          <cell r="R176">
            <v>0</v>
          </cell>
          <cell r="X176">
            <v>0</v>
          </cell>
          <cell r="Y176">
            <v>0</v>
          </cell>
        </row>
        <row r="177">
          <cell r="R177">
            <v>0</v>
          </cell>
          <cell r="X177">
            <v>0</v>
          </cell>
          <cell r="Y177">
            <v>0</v>
          </cell>
        </row>
        <row r="178">
          <cell r="R178">
            <v>0</v>
          </cell>
          <cell r="X178">
            <v>0</v>
          </cell>
          <cell r="Y178">
            <v>0</v>
          </cell>
        </row>
        <row r="179">
          <cell r="R179">
            <v>0</v>
          </cell>
          <cell r="X179">
            <v>0</v>
          </cell>
          <cell r="Y179">
            <v>0</v>
          </cell>
        </row>
        <row r="180">
          <cell r="R180">
            <v>0</v>
          </cell>
          <cell r="X180">
            <v>0</v>
          </cell>
          <cell r="Y180">
            <v>0</v>
          </cell>
        </row>
        <row r="181">
          <cell r="R181">
            <v>0</v>
          </cell>
          <cell r="X181">
            <v>0</v>
          </cell>
          <cell r="Y181">
            <v>0</v>
          </cell>
        </row>
        <row r="182">
          <cell r="R182">
            <v>0</v>
          </cell>
          <cell r="X182">
            <v>0</v>
          </cell>
          <cell r="Y182">
            <v>0</v>
          </cell>
        </row>
        <row r="183">
          <cell r="R183">
            <v>0</v>
          </cell>
          <cell r="X183">
            <v>0</v>
          </cell>
          <cell r="Y183">
            <v>0</v>
          </cell>
        </row>
        <row r="184">
          <cell r="R184">
            <v>0</v>
          </cell>
          <cell r="X184">
            <v>0</v>
          </cell>
          <cell r="Y184">
            <v>0</v>
          </cell>
        </row>
        <row r="185">
          <cell r="R185">
            <v>0</v>
          </cell>
          <cell r="X185">
            <v>0</v>
          </cell>
          <cell r="Y185">
            <v>0</v>
          </cell>
        </row>
        <row r="186">
          <cell r="R186">
            <v>0</v>
          </cell>
          <cell r="X186">
            <v>0</v>
          </cell>
          <cell r="Y186">
            <v>0</v>
          </cell>
        </row>
        <row r="187">
          <cell r="R187">
            <v>0</v>
          </cell>
          <cell r="X187">
            <v>0</v>
          </cell>
          <cell r="Y187">
            <v>0</v>
          </cell>
        </row>
        <row r="188">
          <cell r="R188">
            <v>0</v>
          </cell>
          <cell r="X188">
            <v>0</v>
          </cell>
          <cell r="Y188">
            <v>0</v>
          </cell>
        </row>
        <row r="189">
          <cell r="R189">
            <v>0</v>
          </cell>
          <cell r="X189">
            <v>0</v>
          </cell>
          <cell r="Y189">
            <v>0</v>
          </cell>
        </row>
        <row r="190">
          <cell r="R190">
            <v>0</v>
          </cell>
          <cell r="X190">
            <v>0</v>
          </cell>
          <cell r="Y190">
            <v>0</v>
          </cell>
        </row>
        <row r="191">
          <cell r="R191">
            <v>0</v>
          </cell>
          <cell r="X191">
            <v>0</v>
          </cell>
          <cell r="Y191">
            <v>0</v>
          </cell>
        </row>
        <row r="192">
          <cell r="R192">
            <v>0</v>
          </cell>
          <cell r="X192">
            <v>0</v>
          </cell>
          <cell r="Y192">
            <v>0</v>
          </cell>
        </row>
        <row r="193">
          <cell r="R193">
            <v>0</v>
          </cell>
          <cell r="X193">
            <v>0</v>
          </cell>
          <cell r="Y193">
            <v>0</v>
          </cell>
        </row>
        <row r="194">
          <cell r="R194">
            <v>0</v>
          </cell>
          <cell r="X194">
            <v>0</v>
          </cell>
          <cell r="Y194">
            <v>0</v>
          </cell>
        </row>
        <row r="195">
          <cell r="R195">
            <v>0</v>
          </cell>
          <cell r="X195">
            <v>3151.36</v>
          </cell>
          <cell r="Y195">
            <v>2120</v>
          </cell>
        </row>
        <row r="196">
          <cell r="R196">
            <v>0</v>
          </cell>
          <cell r="X196">
            <v>58867.34</v>
          </cell>
          <cell r="Y196">
            <v>27426.83</v>
          </cell>
        </row>
        <row r="197">
          <cell r="R197">
            <v>0</v>
          </cell>
          <cell r="X197">
            <v>158.18</v>
          </cell>
          <cell r="Y197">
            <v>106.41</v>
          </cell>
        </row>
        <row r="198">
          <cell r="R198">
            <v>0</v>
          </cell>
          <cell r="X198">
            <v>2954.8</v>
          </cell>
          <cell r="Y198">
            <v>1376.67</v>
          </cell>
        </row>
        <row r="199">
          <cell r="R199">
            <v>7.55</v>
          </cell>
          <cell r="X199">
            <v>160.35</v>
          </cell>
          <cell r="Y199">
            <v>107.87</v>
          </cell>
        </row>
        <row r="200">
          <cell r="R200">
            <v>176.29</v>
          </cell>
          <cell r="X200">
            <v>2995.28</v>
          </cell>
          <cell r="Y200">
            <v>1395.53</v>
          </cell>
        </row>
        <row r="201">
          <cell r="R201">
            <v>0</v>
          </cell>
          <cell r="X201">
            <v>0</v>
          </cell>
          <cell r="Y201">
            <v>0</v>
          </cell>
        </row>
        <row r="202">
          <cell r="R202">
            <v>0</v>
          </cell>
          <cell r="X202">
            <v>0</v>
          </cell>
          <cell r="Y202">
            <v>0</v>
          </cell>
        </row>
        <row r="203">
          <cell r="R203">
            <v>0</v>
          </cell>
          <cell r="X203">
            <v>0</v>
          </cell>
          <cell r="Y203">
            <v>0</v>
          </cell>
        </row>
        <row r="204">
          <cell r="R204">
            <v>0</v>
          </cell>
          <cell r="X204">
            <v>0</v>
          </cell>
          <cell r="Y204">
            <v>0</v>
          </cell>
        </row>
        <row r="205">
          <cell r="R205">
            <v>2.58</v>
          </cell>
          <cell r="X205">
            <v>113.72</v>
          </cell>
          <cell r="Y205">
            <v>76.5</v>
          </cell>
        </row>
        <row r="206">
          <cell r="R206">
            <v>60.24</v>
          </cell>
          <cell r="X206">
            <v>2124.25</v>
          </cell>
          <cell r="Y206">
            <v>989.71</v>
          </cell>
        </row>
        <row r="207">
          <cell r="R207">
            <v>0</v>
          </cell>
          <cell r="X207">
            <v>0</v>
          </cell>
          <cell r="Y207">
            <v>0</v>
          </cell>
        </row>
        <row r="208">
          <cell r="R208">
            <v>0</v>
          </cell>
          <cell r="X208">
            <v>0</v>
          </cell>
          <cell r="Y208">
            <v>0</v>
          </cell>
        </row>
        <row r="282">
          <cell r="R282">
            <v>10.97</v>
          </cell>
          <cell r="X282">
            <v>640.75</v>
          </cell>
          <cell r="Y282">
            <v>431.05</v>
          </cell>
        </row>
        <row r="283">
          <cell r="R283">
            <v>256.14999999999998</v>
          </cell>
          <cell r="X283">
            <v>11969.21</v>
          </cell>
          <cell r="Y283">
            <v>5576.57</v>
          </cell>
        </row>
        <row r="284">
          <cell r="R284">
            <v>0</v>
          </cell>
          <cell r="X284">
            <v>0</v>
          </cell>
          <cell r="Y284">
            <v>0</v>
          </cell>
        </row>
        <row r="285">
          <cell r="R285">
            <v>0</v>
          </cell>
          <cell r="X285">
            <v>0</v>
          </cell>
          <cell r="Y285">
            <v>0</v>
          </cell>
        </row>
        <row r="286">
          <cell r="R286">
            <v>10.97</v>
          </cell>
          <cell r="X286">
            <v>640.75</v>
          </cell>
          <cell r="Y286">
            <v>431.05</v>
          </cell>
        </row>
        <row r="287">
          <cell r="R287">
            <v>256.14999999999998</v>
          </cell>
          <cell r="X287">
            <v>11969.21</v>
          </cell>
          <cell r="Y287">
            <v>5576.57</v>
          </cell>
        </row>
        <row r="288">
          <cell r="R288">
            <v>0</v>
          </cell>
          <cell r="X288">
            <v>0</v>
          </cell>
          <cell r="Y288">
            <v>0</v>
          </cell>
        </row>
        <row r="289">
          <cell r="R289">
            <v>0</v>
          </cell>
          <cell r="X289">
            <v>0</v>
          </cell>
          <cell r="Y289">
            <v>0</v>
          </cell>
        </row>
        <row r="290">
          <cell r="R290">
            <v>10.97</v>
          </cell>
          <cell r="X290">
            <v>640.75</v>
          </cell>
          <cell r="Y290">
            <v>431.05</v>
          </cell>
        </row>
        <row r="291">
          <cell r="R291">
            <v>256.14999999999998</v>
          </cell>
          <cell r="X291">
            <v>11969.21</v>
          </cell>
          <cell r="Y291">
            <v>5576.57</v>
          </cell>
        </row>
        <row r="292">
          <cell r="R292">
            <v>0</v>
          </cell>
          <cell r="X292">
            <v>0</v>
          </cell>
          <cell r="Y292">
            <v>0</v>
          </cell>
        </row>
        <row r="293">
          <cell r="R293">
            <v>0</v>
          </cell>
          <cell r="X293">
            <v>0</v>
          </cell>
          <cell r="Y293">
            <v>0</v>
          </cell>
        </row>
        <row r="294">
          <cell r="R294">
            <v>10.97</v>
          </cell>
          <cell r="X294">
            <v>640.75</v>
          </cell>
          <cell r="Y294">
            <v>431.05</v>
          </cell>
        </row>
        <row r="295">
          <cell r="R295">
            <v>256.14999999999998</v>
          </cell>
          <cell r="X295">
            <v>11969.21</v>
          </cell>
          <cell r="Y295">
            <v>5576.57</v>
          </cell>
        </row>
        <row r="296">
          <cell r="R296">
            <v>0</v>
          </cell>
          <cell r="X296">
            <v>0</v>
          </cell>
          <cell r="Y296">
            <v>0</v>
          </cell>
        </row>
        <row r="297">
          <cell r="R297">
            <v>0</v>
          </cell>
          <cell r="X297">
            <v>0</v>
          </cell>
          <cell r="Y297">
            <v>0</v>
          </cell>
        </row>
        <row r="298">
          <cell r="R298">
            <v>10.97</v>
          </cell>
          <cell r="X298">
            <v>640.75</v>
          </cell>
          <cell r="Y298">
            <v>431.05</v>
          </cell>
        </row>
        <row r="299">
          <cell r="R299">
            <v>256.14999999999998</v>
          </cell>
          <cell r="X299">
            <v>11969.21</v>
          </cell>
          <cell r="Y299">
            <v>5576.57</v>
          </cell>
        </row>
        <row r="300">
          <cell r="R300">
            <v>0</v>
          </cell>
          <cell r="X300">
            <v>0</v>
          </cell>
          <cell r="Y300">
            <v>0</v>
          </cell>
        </row>
        <row r="301">
          <cell r="R301">
            <v>0</v>
          </cell>
          <cell r="X301">
            <v>0</v>
          </cell>
          <cell r="Y301">
            <v>0</v>
          </cell>
        </row>
        <row r="302">
          <cell r="R302">
            <v>10.97</v>
          </cell>
          <cell r="X302">
            <v>640.75</v>
          </cell>
          <cell r="Y302">
            <v>431.05</v>
          </cell>
        </row>
        <row r="303">
          <cell r="R303">
            <v>256.14999999999998</v>
          </cell>
          <cell r="X303">
            <v>11969.21</v>
          </cell>
          <cell r="Y303">
            <v>5576.57</v>
          </cell>
        </row>
        <row r="304">
          <cell r="R304">
            <v>0</v>
          </cell>
          <cell r="X304">
            <v>0</v>
          </cell>
          <cell r="Y304">
            <v>0</v>
          </cell>
        </row>
        <row r="305">
          <cell r="R305">
            <v>0</v>
          </cell>
          <cell r="X305">
            <v>0</v>
          </cell>
          <cell r="Y305">
            <v>0</v>
          </cell>
        </row>
        <row r="346">
          <cell r="R346">
            <v>1.93</v>
          </cell>
          <cell r="X346">
            <v>83.15</v>
          </cell>
          <cell r="Y346">
            <v>55.94</v>
          </cell>
        </row>
        <row r="347">
          <cell r="R347">
            <v>45.07</v>
          </cell>
          <cell r="X347">
            <v>1553.23</v>
          </cell>
          <cell r="Y347">
            <v>723.66</v>
          </cell>
        </row>
        <row r="350">
          <cell r="R350">
            <v>0.24</v>
          </cell>
          <cell r="X350">
            <v>15.88</v>
          </cell>
          <cell r="Y350">
            <v>10.69</v>
          </cell>
        </row>
        <row r="351">
          <cell r="R351">
            <v>5.6</v>
          </cell>
          <cell r="X351">
            <v>296.70999999999998</v>
          </cell>
          <cell r="Y351">
            <v>138.24</v>
          </cell>
        </row>
        <row r="352">
          <cell r="R352">
            <v>0.8</v>
          </cell>
          <cell r="X352">
            <v>12.03</v>
          </cell>
          <cell r="Y352">
            <v>8.1</v>
          </cell>
        </row>
        <row r="353">
          <cell r="R353">
            <v>18.68</v>
          </cell>
          <cell r="X353">
            <v>224.8</v>
          </cell>
          <cell r="Y353">
            <v>104.73</v>
          </cell>
        </row>
        <row r="354">
          <cell r="R354">
            <v>0.92</v>
          </cell>
          <cell r="X354">
            <v>33.21</v>
          </cell>
          <cell r="Y354">
            <v>22.34</v>
          </cell>
        </row>
        <row r="355">
          <cell r="R355">
            <v>21.48</v>
          </cell>
          <cell r="X355">
            <v>620.35</v>
          </cell>
          <cell r="Y355">
            <v>289.02999999999997</v>
          </cell>
        </row>
        <row r="356">
          <cell r="R356">
            <v>0</v>
          </cell>
          <cell r="X356">
            <v>0</v>
          </cell>
          <cell r="Y356">
            <v>0</v>
          </cell>
        </row>
        <row r="357">
          <cell r="R357">
            <v>0</v>
          </cell>
          <cell r="X357">
            <v>0</v>
          </cell>
          <cell r="Y357">
            <v>0</v>
          </cell>
        </row>
        <row r="359">
          <cell r="R359">
            <v>1.93</v>
          </cell>
          <cell r="X359">
            <v>83.15</v>
          </cell>
          <cell r="Y359">
            <v>55.94</v>
          </cell>
        </row>
        <row r="360">
          <cell r="R360">
            <v>45.07</v>
          </cell>
          <cell r="X360">
            <v>1553.23</v>
          </cell>
          <cell r="Y360">
            <v>723.66</v>
          </cell>
        </row>
        <row r="363">
          <cell r="R363">
            <v>0.24</v>
          </cell>
          <cell r="X363">
            <v>15.88</v>
          </cell>
          <cell r="Y363">
            <v>10.69</v>
          </cell>
        </row>
        <row r="364">
          <cell r="R364">
            <v>5.6</v>
          </cell>
          <cell r="X364">
            <v>296.70999999999998</v>
          </cell>
          <cell r="Y364">
            <v>138.24</v>
          </cell>
        </row>
        <row r="365">
          <cell r="R365">
            <v>0.8</v>
          </cell>
          <cell r="X365">
            <v>12.03</v>
          </cell>
          <cell r="Y365">
            <v>8.1</v>
          </cell>
        </row>
        <row r="366">
          <cell r="R366">
            <v>18.68</v>
          </cell>
          <cell r="X366">
            <v>224.8</v>
          </cell>
          <cell r="Y366">
            <v>104.73</v>
          </cell>
        </row>
        <row r="367">
          <cell r="R367">
            <v>0.92</v>
          </cell>
          <cell r="X367">
            <v>33.21</v>
          </cell>
          <cell r="Y367">
            <v>22.34</v>
          </cell>
        </row>
        <row r="368">
          <cell r="R368">
            <v>21.48</v>
          </cell>
          <cell r="X368">
            <v>620.35</v>
          </cell>
          <cell r="Y368">
            <v>289.02999999999997</v>
          </cell>
        </row>
        <row r="369">
          <cell r="R369">
            <v>0</v>
          </cell>
          <cell r="X369">
            <v>0</v>
          </cell>
          <cell r="Y369">
            <v>0</v>
          </cell>
        </row>
        <row r="370">
          <cell r="R370">
            <v>0</v>
          </cell>
          <cell r="X370">
            <v>0</v>
          </cell>
          <cell r="Y370">
            <v>0</v>
          </cell>
        </row>
        <row r="372">
          <cell r="R372">
            <v>1.93</v>
          </cell>
          <cell r="X372">
            <v>83.15</v>
          </cell>
          <cell r="Y372">
            <v>55.94</v>
          </cell>
        </row>
        <row r="373">
          <cell r="R373">
            <v>45.07</v>
          </cell>
          <cell r="X373">
            <v>1553.23</v>
          </cell>
          <cell r="Y373">
            <v>723.66</v>
          </cell>
        </row>
        <row r="376">
          <cell r="R376">
            <v>0.24</v>
          </cell>
          <cell r="X376">
            <v>15.88</v>
          </cell>
          <cell r="Y376">
            <v>10.69</v>
          </cell>
        </row>
        <row r="377">
          <cell r="R377">
            <v>5.6</v>
          </cell>
          <cell r="X377">
            <v>296.70999999999998</v>
          </cell>
          <cell r="Y377">
            <v>138.24</v>
          </cell>
        </row>
        <row r="378">
          <cell r="R378">
            <v>0.8</v>
          </cell>
          <cell r="X378">
            <v>12.03</v>
          </cell>
          <cell r="Y378">
            <v>8.1</v>
          </cell>
        </row>
        <row r="379">
          <cell r="R379">
            <v>18.68</v>
          </cell>
          <cell r="X379">
            <v>224.8</v>
          </cell>
          <cell r="Y379">
            <v>104.73</v>
          </cell>
        </row>
        <row r="380">
          <cell r="R380">
            <v>0.92</v>
          </cell>
          <cell r="X380">
            <v>33.21</v>
          </cell>
          <cell r="Y380">
            <v>22.34</v>
          </cell>
        </row>
        <row r="381">
          <cell r="R381">
            <v>21.48</v>
          </cell>
          <cell r="X381">
            <v>620.35</v>
          </cell>
          <cell r="Y381">
            <v>289.02999999999997</v>
          </cell>
        </row>
        <row r="382">
          <cell r="R382">
            <v>0</v>
          </cell>
          <cell r="X382">
            <v>0</v>
          </cell>
          <cell r="Y382">
            <v>0</v>
          </cell>
        </row>
        <row r="383">
          <cell r="R383">
            <v>0</v>
          </cell>
          <cell r="X383">
            <v>0</v>
          </cell>
          <cell r="Y383">
            <v>0</v>
          </cell>
        </row>
        <row r="385">
          <cell r="R385">
            <v>1.93</v>
          </cell>
          <cell r="X385">
            <v>83.15</v>
          </cell>
          <cell r="Y385">
            <v>55.94</v>
          </cell>
        </row>
        <row r="386">
          <cell r="R386">
            <v>45.07</v>
          </cell>
          <cell r="X386">
            <v>1553.23</v>
          </cell>
          <cell r="Y386">
            <v>723.66</v>
          </cell>
        </row>
        <row r="387">
          <cell r="R387">
            <v>0.01</v>
          </cell>
          <cell r="X387">
            <v>6.92</v>
          </cell>
          <cell r="Y387">
            <v>4.6500000000000004</v>
          </cell>
        </row>
        <row r="388">
          <cell r="R388">
            <v>0.23</v>
          </cell>
          <cell r="X388">
            <v>129.25</v>
          </cell>
          <cell r="Y388">
            <v>60.22</v>
          </cell>
        </row>
        <row r="389">
          <cell r="R389">
            <v>0.24</v>
          </cell>
          <cell r="X389">
            <v>15.88</v>
          </cell>
          <cell r="Y389">
            <v>10.69</v>
          </cell>
        </row>
        <row r="390">
          <cell r="R390">
            <v>5.6</v>
          </cell>
          <cell r="X390">
            <v>296.70999999999998</v>
          </cell>
          <cell r="Y390">
            <v>138.24</v>
          </cell>
        </row>
        <row r="393">
          <cell r="R393">
            <v>0.92</v>
          </cell>
          <cell r="X393">
            <v>33.21</v>
          </cell>
          <cell r="Y393">
            <v>22.34</v>
          </cell>
        </row>
        <row r="394">
          <cell r="R394">
            <v>21.48</v>
          </cell>
          <cell r="X394">
            <v>620.35</v>
          </cell>
          <cell r="Y394">
            <v>289.02999999999997</v>
          </cell>
        </row>
        <row r="395">
          <cell r="R395">
            <v>0</v>
          </cell>
          <cell r="X395">
            <v>0</v>
          </cell>
          <cell r="Y395">
            <v>0</v>
          </cell>
        </row>
        <row r="396">
          <cell r="R396">
            <v>0</v>
          </cell>
          <cell r="X396">
            <v>0</v>
          </cell>
          <cell r="Y396">
            <v>0</v>
          </cell>
        </row>
        <row r="398">
          <cell r="R398">
            <v>1.93</v>
          </cell>
          <cell r="X398">
            <v>83.15</v>
          </cell>
          <cell r="Y398">
            <v>55.94</v>
          </cell>
        </row>
        <row r="399">
          <cell r="R399">
            <v>45.07</v>
          </cell>
          <cell r="X399">
            <v>1553.23</v>
          </cell>
          <cell r="Y399">
            <v>723.66</v>
          </cell>
        </row>
        <row r="402">
          <cell r="R402">
            <v>0.24</v>
          </cell>
          <cell r="X402">
            <v>15.88</v>
          </cell>
          <cell r="Y402">
            <v>10.69</v>
          </cell>
        </row>
        <row r="403">
          <cell r="R403">
            <v>5.6</v>
          </cell>
          <cell r="X403">
            <v>296.70999999999998</v>
          </cell>
          <cell r="Y403">
            <v>138.24</v>
          </cell>
        </row>
        <row r="404">
          <cell r="R404">
            <v>0.8</v>
          </cell>
          <cell r="X404">
            <v>12.03</v>
          </cell>
          <cell r="Y404">
            <v>8.1</v>
          </cell>
        </row>
        <row r="405">
          <cell r="R405">
            <v>18.68</v>
          </cell>
          <cell r="X405">
            <v>224.8</v>
          </cell>
          <cell r="Y405">
            <v>104.73</v>
          </cell>
        </row>
        <row r="406">
          <cell r="R406">
            <v>0.92</v>
          </cell>
          <cell r="X406">
            <v>33.21</v>
          </cell>
          <cell r="Y406">
            <v>22.34</v>
          </cell>
        </row>
        <row r="407">
          <cell r="R407">
            <v>21.48</v>
          </cell>
          <cell r="X407">
            <v>620.35</v>
          </cell>
          <cell r="Y407">
            <v>289.02999999999997</v>
          </cell>
        </row>
        <row r="408">
          <cell r="R408">
            <v>0</v>
          </cell>
          <cell r="X408">
            <v>0</v>
          </cell>
          <cell r="Y408">
            <v>0</v>
          </cell>
        </row>
        <row r="409">
          <cell r="R409">
            <v>0</v>
          </cell>
          <cell r="X409">
            <v>0</v>
          </cell>
          <cell r="Y409">
            <v>0</v>
          </cell>
        </row>
        <row r="411">
          <cell r="R411">
            <v>1.93</v>
          </cell>
          <cell r="X411">
            <v>83.15</v>
          </cell>
          <cell r="Y411">
            <v>55.94</v>
          </cell>
        </row>
        <row r="412">
          <cell r="R412">
            <v>45.07</v>
          </cell>
          <cell r="X412">
            <v>1553.23</v>
          </cell>
          <cell r="Y412">
            <v>723.66</v>
          </cell>
        </row>
        <row r="415">
          <cell r="R415">
            <v>0.24</v>
          </cell>
          <cell r="X415">
            <v>15.88</v>
          </cell>
          <cell r="Y415">
            <v>10.69</v>
          </cell>
        </row>
        <row r="416">
          <cell r="R416">
            <v>5.6</v>
          </cell>
          <cell r="X416">
            <v>296.70999999999998</v>
          </cell>
          <cell r="Y416">
            <v>138.24</v>
          </cell>
        </row>
        <row r="417">
          <cell r="R417">
            <v>0.8</v>
          </cell>
          <cell r="X417">
            <v>12.03</v>
          </cell>
          <cell r="Y417">
            <v>8.1</v>
          </cell>
        </row>
        <row r="418">
          <cell r="R418">
            <v>18.68</v>
          </cell>
          <cell r="X418">
            <v>224.8</v>
          </cell>
          <cell r="Y418">
            <v>104.73</v>
          </cell>
        </row>
        <row r="419">
          <cell r="R419">
            <v>0.92</v>
          </cell>
          <cell r="X419">
            <v>33.21</v>
          </cell>
          <cell r="Y419">
            <v>22.34</v>
          </cell>
        </row>
        <row r="420">
          <cell r="R420">
            <v>21.48</v>
          </cell>
          <cell r="X420">
            <v>620.35</v>
          </cell>
          <cell r="Y420">
            <v>289.02999999999997</v>
          </cell>
        </row>
        <row r="421">
          <cell r="R421">
            <v>0</v>
          </cell>
          <cell r="X421">
            <v>0</v>
          </cell>
          <cell r="Y421">
            <v>0</v>
          </cell>
        </row>
        <row r="422">
          <cell r="R422">
            <v>0</v>
          </cell>
          <cell r="X422">
            <v>0</v>
          </cell>
          <cell r="Y422">
            <v>0</v>
          </cell>
        </row>
        <row r="424">
          <cell r="R424">
            <v>1.93</v>
          </cell>
          <cell r="X424">
            <v>83.15</v>
          </cell>
          <cell r="Y424">
            <v>55.94</v>
          </cell>
        </row>
        <row r="425">
          <cell r="R425">
            <v>45.07</v>
          </cell>
          <cell r="X425">
            <v>1553.23</v>
          </cell>
          <cell r="Y425">
            <v>723.66</v>
          </cell>
        </row>
        <row r="428">
          <cell r="R428">
            <v>0.24</v>
          </cell>
          <cell r="X428">
            <v>15.88</v>
          </cell>
          <cell r="Y428">
            <v>10.69</v>
          </cell>
        </row>
        <row r="429">
          <cell r="R429">
            <v>5.6</v>
          </cell>
          <cell r="X429">
            <v>296.70999999999998</v>
          </cell>
          <cell r="Y429">
            <v>138.24</v>
          </cell>
        </row>
        <row r="430">
          <cell r="R430">
            <v>0.8</v>
          </cell>
          <cell r="X430">
            <v>12.03</v>
          </cell>
          <cell r="Y430">
            <v>8.1</v>
          </cell>
        </row>
        <row r="431">
          <cell r="R431">
            <v>18.68</v>
          </cell>
          <cell r="X431">
            <v>224.8</v>
          </cell>
          <cell r="Y431">
            <v>104.73</v>
          </cell>
        </row>
        <row r="432">
          <cell r="R432">
            <v>0.92</v>
          </cell>
          <cell r="X432">
            <v>33.21</v>
          </cell>
          <cell r="Y432">
            <v>22.34</v>
          </cell>
        </row>
        <row r="433">
          <cell r="R433">
            <v>21.48</v>
          </cell>
          <cell r="X433">
            <v>620.35</v>
          </cell>
          <cell r="Y433">
            <v>289.02999999999997</v>
          </cell>
        </row>
        <row r="434">
          <cell r="R434">
            <v>0</v>
          </cell>
          <cell r="X434">
            <v>0</v>
          </cell>
          <cell r="Y434">
            <v>0</v>
          </cell>
        </row>
        <row r="435">
          <cell r="R435">
            <v>0</v>
          </cell>
          <cell r="X435">
            <v>0</v>
          </cell>
          <cell r="Y435">
            <v>0</v>
          </cell>
        </row>
        <row r="437">
          <cell r="R437">
            <v>1.93</v>
          </cell>
          <cell r="X437">
            <v>83.15</v>
          </cell>
          <cell r="Y437">
            <v>55.94</v>
          </cell>
        </row>
        <row r="438">
          <cell r="R438">
            <v>45.07</v>
          </cell>
          <cell r="X438">
            <v>1553.23</v>
          </cell>
          <cell r="Y438">
            <v>723.66</v>
          </cell>
        </row>
        <row r="441">
          <cell r="R441">
            <v>0.24</v>
          </cell>
          <cell r="X441">
            <v>15.88</v>
          </cell>
          <cell r="Y441">
            <v>10.69</v>
          </cell>
        </row>
        <row r="442">
          <cell r="R442">
            <v>5.6</v>
          </cell>
          <cell r="X442">
            <v>296.70999999999998</v>
          </cell>
          <cell r="Y442">
            <v>138.24</v>
          </cell>
        </row>
        <row r="443">
          <cell r="R443">
            <v>0.8</v>
          </cell>
          <cell r="X443">
            <v>12.03</v>
          </cell>
          <cell r="Y443">
            <v>8.1</v>
          </cell>
        </row>
        <row r="444">
          <cell r="R444">
            <v>18.68</v>
          </cell>
          <cell r="X444">
            <v>224.8</v>
          </cell>
          <cell r="Y444">
            <v>104.73</v>
          </cell>
        </row>
        <row r="445">
          <cell r="R445">
            <v>0.92</v>
          </cell>
          <cell r="X445">
            <v>33.21</v>
          </cell>
          <cell r="Y445">
            <v>22.34</v>
          </cell>
        </row>
        <row r="446">
          <cell r="R446">
            <v>21.48</v>
          </cell>
          <cell r="X446">
            <v>620.35</v>
          </cell>
          <cell r="Y446">
            <v>289.02999999999997</v>
          </cell>
        </row>
        <row r="447">
          <cell r="R447">
            <v>0</v>
          </cell>
          <cell r="X447">
            <v>0</v>
          </cell>
          <cell r="Y447">
            <v>0</v>
          </cell>
        </row>
        <row r="448">
          <cell r="R448">
            <v>0</v>
          </cell>
          <cell r="X448">
            <v>0</v>
          </cell>
          <cell r="Y448">
            <v>0</v>
          </cell>
        </row>
        <row r="450">
          <cell r="R450">
            <v>1.93</v>
          </cell>
          <cell r="X450">
            <v>83.15</v>
          </cell>
          <cell r="Y450">
            <v>55.94</v>
          </cell>
        </row>
        <row r="451">
          <cell r="R451">
            <v>45.07</v>
          </cell>
          <cell r="X451">
            <v>1553.23</v>
          </cell>
          <cell r="Y451">
            <v>723.66</v>
          </cell>
        </row>
        <row r="454">
          <cell r="R454">
            <v>0.24</v>
          </cell>
          <cell r="X454">
            <v>15.88</v>
          </cell>
          <cell r="Y454">
            <v>10.69</v>
          </cell>
        </row>
        <row r="455">
          <cell r="R455">
            <v>5.6</v>
          </cell>
          <cell r="X455">
            <v>296.70999999999998</v>
          </cell>
          <cell r="Y455">
            <v>138.24</v>
          </cell>
        </row>
        <row r="456">
          <cell r="R456">
            <v>0.8</v>
          </cell>
          <cell r="X456">
            <v>12.03</v>
          </cell>
          <cell r="Y456">
            <v>8.1</v>
          </cell>
        </row>
        <row r="457">
          <cell r="R457">
            <v>18.68</v>
          </cell>
          <cell r="X457">
            <v>224.8</v>
          </cell>
          <cell r="Y457">
            <v>104.73</v>
          </cell>
        </row>
        <row r="458">
          <cell r="R458">
            <v>0.92</v>
          </cell>
          <cell r="X458">
            <v>33.21</v>
          </cell>
          <cell r="Y458">
            <v>22.34</v>
          </cell>
        </row>
        <row r="459">
          <cell r="R459">
            <v>21.48</v>
          </cell>
          <cell r="X459">
            <v>620.35</v>
          </cell>
          <cell r="Y459">
            <v>289.02999999999997</v>
          </cell>
        </row>
        <row r="460">
          <cell r="R460">
            <v>0</v>
          </cell>
          <cell r="X460">
            <v>0</v>
          </cell>
          <cell r="Y460">
            <v>0</v>
          </cell>
        </row>
        <row r="461">
          <cell r="R461">
            <v>0</v>
          </cell>
          <cell r="X461">
            <v>0</v>
          </cell>
          <cell r="Y461">
            <v>0</v>
          </cell>
        </row>
        <row r="463">
          <cell r="R463">
            <v>1.93</v>
          </cell>
          <cell r="X463">
            <v>83.15</v>
          </cell>
          <cell r="Y463">
            <v>55.94</v>
          </cell>
        </row>
        <row r="464">
          <cell r="R464">
            <v>45.07</v>
          </cell>
          <cell r="X464">
            <v>1553.23</v>
          </cell>
          <cell r="Y464">
            <v>723.66</v>
          </cell>
        </row>
        <row r="467">
          <cell r="R467">
            <v>0.24</v>
          </cell>
          <cell r="X467">
            <v>15.88</v>
          </cell>
          <cell r="Y467">
            <v>10.69</v>
          </cell>
        </row>
        <row r="468">
          <cell r="R468">
            <v>5.6</v>
          </cell>
          <cell r="X468">
            <v>296.70999999999998</v>
          </cell>
          <cell r="Y468">
            <v>138.24</v>
          </cell>
        </row>
        <row r="469">
          <cell r="R469">
            <v>0.8</v>
          </cell>
          <cell r="X469">
            <v>12.03</v>
          </cell>
          <cell r="Y469">
            <v>8.1</v>
          </cell>
        </row>
        <row r="470">
          <cell r="R470">
            <v>18.68</v>
          </cell>
          <cell r="X470">
            <v>224.8</v>
          </cell>
          <cell r="Y470">
            <v>104.73</v>
          </cell>
        </row>
        <row r="471">
          <cell r="R471">
            <v>0.92</v>
          </cell>
          <cell r="X471">
            <v>33.21</v>
          </cell>
          <cell r="Y471">
            <v>22.34</v>
          </cell>
        </row>
        <row r="472">
          <cell r="R472">
            <v>21.48</v>
          </cell>
          <cell r="X472">
            <v>620.35</v>
          </cell>
          <cell r="Y472">
            <v>289.02999999999997</v>
          </cell>
        </row>
        <row r="473">
          <cell r="R473">
            <v>0</v>
          </cell>
          <cell r="X473">
            <v>0</v>
          </cell>
          <cell r="Y473">
            <v>0</v>
          </cell>
        </row>
        <row r="474">
          <cell r="R474">
            <v>0</v>
          </cell>
          <cell r="X474">
            <v>0</v>
          </cell>
          <cell r="Y474">
            <v>0</v>
          </cell>
        </row>
        <row r="476">
          <cell r="R476">
            <v>3.86</v>
          </cell>
          <cell r="X476">
            <v>166.3</v>
          </cell>
          <cell r="Y476">
            <v>111.87</v>
          </cell>
        </row>
        <row r="477">
          <cell r="R477">
            <v>90.13</v>
          </cell>
          <cell r="X477">
            <v>3106.44</v>
          </cell>
          <cell r="Y477">
            <v>1447.32</v>
          </cell>
        </row>
        <row r="478">
          <cell r="R478">
            <v>0.03</v>
          </cell>
          <cell r="X478">
            <v>13.84</v>
          </cell>
          <cell r="Y478">
            <v>9.31</v>
          </cell>
        </row>
        <row r="479">
          <cell r="R479">
            <v>0.7</v>
          </cell>
          <cell r="X479">
            <v>258.49</v>
          </cell>
          <cell r="Y479">
            <v>120.43</v>
          </cell>
        </row>
        <row r="480">
          <cell r="R480">
            <v>0.71</v>
          </cell>
          <cell r="X480">
            <v>47.66</v>
          </cell>
          <cell r="Y480">
            <v>32.06</v>
          </cell>
        </row>
        <row r="481">
          <cell r="R481">
            <v>16.579999999999998</v>
          </cell>
          <cell r="X481">
            <v>890.35</v>
          </cell>
          <cell r="Y481">
            <v>414.82</v>
          </cell>
        </row>
        <row r="484">
          <cell r="R484">
            <v>0.92</v>
          </cell>
          <cell r="X484">
            <v>33.21</v>
          </cell>
          <cell r="Y484">
            <v>22.34</v>
          </cell>
        </row>
        <row r="485">
          <cell r="R485">
            <v>21.48</v>
          </cell>
          <cell r="X485">
            <v>620.35</v>
          </cell>
          <cell r="Y485">
            <v>289.02999999999997</v>
          </cell>
        </row>
        <row r="486">
          <cell r="R486">
            <v>0</v>
          </cell>
          <cell r="X486">
            <v>0</v>
          </cell>
          <cell r="Y486">
            <v>0</v>
          </cell>
        </row>
        <row r="487">
          <cell r="R487">
            <v>0</v>
          </cell>
          <cell r="X487">
            <v>0</v>
          </cell>
          <cell r="Y487">
            <v>0</v>
          </cell>
        </row>
        <row r="489">
          <cell r="R489">
            <v>1.93</v>
          </cell>
          <cell r="X489">
            <v>83.15</v>
          </cell>
          <cell r="Y489">
            <v>55.94</v>
          </cell>
        </row>
        <row r="490">
          <cell r="R490">
            <v>45.07</v>
          </cell>
          <cell r="X490">
            <v>1553.23</v>
          </cell>
          <cell r="Y490">
            <v>723.66</v>
          </cell>
        </row>
        <row r="491">
          <cell r="R491">
            <v>0.01</v>
          </cell>
          <cell r="X491">
            <v>6.92</v>
          </cell>
          <cell r="Y491">
            <v>4.6500000000000004</v>
          </cell>
        </row>
        <row r="492">
          <cell r="R492">
            <v>0.23</v>
          </cell>
          <cell r="X492">
            <v>129.25</v>
          </cell>
          <cell r="Y492">
            <v>60.22</v>
          </cell>
        </row>
        <row r="493">
          <cell r="R493">
            <v>0.24</v>
          </cell>
          <cell r="X493">
            <v>15.88</v>
          </cell>
          <cell r="Y493">
            <v>10.69</v>
          </cell>
        </row>
        <row r="494">
          <cell r="R494">
            <v>5.6</v>
          </cell>
          <cell r="X494">
            <v>296.70999999999998</v>
          </cell>
          <cell r="Y494">
            <v>138.24</v>
          </cell>
        </row>
        <row r="497">
          <cell r="R497">
            <v>0.92</v>
          </cell>
          <cell r="X497">
            <v>33.21</v>
          </cell>
          <cell r="Y497">
            <v>22.34</v>
          </cell>
        </row>
        <row r="498">
          <cell r="R498">
            <v>21.48</v>
          </cell>
          <cell r="X498">
            <v>620.35</v>
          </cell>
          <cell r="Y498">
            <v>289.02999999999997</v>
          </cell>
        </row>
        <row r="499">
          <cell r="R499">
            <v>0</v>
          </cell>
          <cell r="X499">
            <v>0</v>
          </cell>
          <cell r="Y499">
            <v>0</v>
          </cell>
        </row>
        <row r="500">
          <cell r="R500">
            <v>0</v>
          </cell>
          <cell r="X500">
            <v>0</v>
          </cell>
          <cell r="Y500">
            <v>0</v>
          </cell>
        </row>
        <row r="502">
          <cell r="R502">
            <v>1.93</v>
          </cell>
          <cell r="X502">
            <v>83.15</v>
          </cell>
          <cell r="Y502">
            <v>55.94</v>
          </cell>
        </row>
        <row r="503">
          <cell r="R503">
            <v>45.07</v>
          </cell>
          <cell r="X503">
            <v>1553.23</v>
          </cell>
          <cell r="Y503">
            <v>723.66</v>
          </cell>
        </row>
        <row r="506">
          <cell r="R506">
            <v>0.24</v>
          </cell>
          <cell r="X506">
            <v>15.88</v>
          </cell>
          <cell r="Y506">
            <v>10.69</v>
          </cell>
        </row>
        <row r="507">
          <cell r="R507">
            <v>5.6</v>
          </cell>
          <cell r="X507">
            <v>296.70999999999998</v>
          </cell>
          <cell r="Y507">
            <v>138.24</v>
          </cell>
        </row>
        <row r="508">
          <cell r="R508">
            <v>0.8</v>
          </cell>
          <cell r="X508">
            <v>12.03</v>
          </cell>
          <cell r="Y508">
            <v>8.1</v>
          </cell>
        </row>
        <row r="509">
          <cell r="R509">
            <v>18.68</v>
          </cell>
          <cell r="X509">
            <v>224.8</v>
          </cell>
          <cell r="Y509">
            <v>104.73</v>
          </cell>
        </row>
        <row r="510">
          <cell r="R510">
            <v>0.92</v>
          </cell>
          <cell r="X510">
            <v>33.21</v>
          </cell>
          <cell r="Y510">
            <v>22.34</v>
          </cell>
        </row>
        <row r="511">
          <cell r="R511">
            <v>21.48</v>
          </cell>
          <cell r="X511">
            <v>620.35</v>
          </cell>
          <cell r="Y511">
            <v>289.02999999999997</v>
          </cell>
        </row>
        <row r="512">
          <cell r="R512">
            <v>0</v>
          </cell>
          <cell r="X512">
            <v>0</v>
          </cell>
          <cell r="Y512">
            <v>0</v>
          </cell>
        </row>
        <row r="513">
          <cell r="R513">
            <v>0</v>
          </cell>
          <cell r="X513">
            <v>0</v>
          </cell>
          <cell r="Y513">
            <v>0</v>
          </cell>
        </row>
        <row r="515">
          <cell r="R515">
            <v>1.93</v>
          </cell>
          <cell r="X515">
            <v>83.15</v>
          </cell>
          <cell r="Y515">
            <v>55.94</v>
          </cell>
        </row>
        <row r="516">
          <cell r="R516">
            <v>45.07</v>
          </cell>
          <cell r="X516">
            <v>1553.23</v>
          </cell>
          <cell r="Y516">
            <v>723.66</v>
          </cell>
        </row>
        <row r="519">
          <cell r="R519">
            <v>0.24</v>
          </cell>
          <cell r="X519">
            <v>15.88</v>
          </cell>
          <cell r="Y519">
            <v>10.69</v>
          </cell>
        </row>
        <row r="520">
          <cell r="R520">
            <v>5.6</v>
          </cell>
          <cell r="X520">
            <v>296.70999999999998</v>
          </cell>
          <cell r="Y520">
            <v>138.24</v>
          </cell>
        </row>
        <row r="521">
          <cell r="R521">
            <v>0.8</v>
          </cell>
          <cell r="X521">
            <v>12.03</v>
          </cell>
          <cell r="Y521">
            <v>8.1</v>
          </cell>
        </row>
        <row r="522">
          <cell r="R522">
            <v>18.68</v>
          </cell>
          <cell r="X522">
            <v>224.8</v>
          </cell>
          <cell r="Y522">
            <v>104.73</v>
          </cell>
        </row>
        <row r="523">
          <cell r="R523">
            <v>0.92</v>
          </cell>
          <cell r="X523">
            <v>33.21</v>
          </cell>
          <cell r="Y523">
            <v>22.34</v>
          </cell>
        </row>
        <row r="524">
          <cell r="R524">
            <v>21.48</v>
          </cell>
          <cell r="X524">
            <v>620.35</v>
          </cell>
          <cell r="Y524">
            <v>289.02999999999997</v>
          </cell>
        </row>
        <row r="525">
          <cell r="R525">
            <v>0</v>
          </cell>
          <cell r="X525">
            <v>0</v>
          </cell>
          <cell r="Y525">
            <v>0</v>
          </cell>
        </row>
        <row r="526">
          <cell r="R526">
            <v>0</v>
          </cell>
          <cell r="X526">
            <v>0</v>
          </cell>
          <cell r="Y526">
            <v>0</v>
          </cell>
        </row>
        <row r="528">
          <cell r="R528">
            <v>1.93</v>
          </cell>
          <cell r="X528">
            <v>83.15</v>
          </cell>
          <cell r="Y528">
            <v>55.94</v>
          </cell>
        </row>
        <row r="529">
          <cell r="R529">
            <v>45.07</v>
          </cell>
          <cell r="X529">
            <v>1553.23</v>
          </cell>
          <cell r="Y529">
            <v>723.66</v>
          </cell>
        </row>
        <row r="532">
          <cell r="R532">
            <v>0.24</v>
          </cell>
          <cell r="X532">
            <v>15.88</v>
          </cell>
          <cell r="Y532">
            <v>10.69</v>
          </cell>
        </row>
        <row r="533">
          <cell r="R533">
            <v>5.6</v>
          </cell>
          <cell r="X533">
            <v>296.70999999999998</v>
          </cell>
          <cell r="Y533">
            <v>138.24</v>
          </cell>
        </row>
        <row r="534">
          <cell r="R534">
            <v>0.8</v>
          </cell>
          <cell r="X534">
            <v>12.03</v>
          </cell>
          <cell r="Y534">
            <v>8.1</v>
          </cell>
        </row>
        <row r="535">
          <cell r="R535">
            <v>18.68</v>
          </cell>
          <cell r="X535">
            <v>224.8</v>
          </cell>
          <cell r="Y535">
            <v>104.73</v>
          </cell>
        </row>
        <row r="536">
          <cell r="R536">
            <v>0.92</v>
          </cell>
          <cell r="X536">
            <v>33.21</v>
          </cell>
          <cell r="Y536">
            <v>22.34</v>
          </cell>
        </row>
        <row r="537">
          <cell r="R537">
            <v>21.48</v>
          </cell>
          <cell r="X537">
            <v>620.35</v>
          </cell>
          <cell r="Y537">
            <v>289.02999999999997</v>
          </cell>
        </row>
        <row r="538">
          <cell r="R538">
            <v>0</v>
          </cell>
          <cell r="X538">
            <v>0</v>
          </cell>
          <cell r="Y538">
            <v>0</v>
          </cell>
        </row>
        <row r="539">
          <cell r="R539">
            <v>0</v>
          </cell>
          <cell r="X539">
            <v>0</v>
          </cell>
          <cell r="Y539">
            <v>0</v>
          </cell>
        </row>
        <row r="541">
          <cell r="R541">
            <v>1.93</v>
          </cell>
          <cell r="X541">
            <v>83.15</v>
          </cell>
          <cell r="Y541">
            <v>55.94</v>
          </cell>
        </row>
        <row r="542">
          <cell r="R542">
            <v>45.07</v>
          </cell>
          <cell r="X542">
            <v>1553.23</v>
          </cell>
          <cell r="Y542">
            <v>723.66</v>
          </cell>
        </row>
        <row r="545">
          <cell r="R545">
            <v>0.24</v>
          </cell>
          <cell r="X545">
            <v>15.88</v>
          </cell>
          <cell r="Y545">
            <v>10.69</v>
          </cell>
        </row>
        <row r="546">
          <cell r="R546">
            <v>5.6</v>
          </cell>
          <cell r="X546">
            <v>296.70999999999998</v>
          </cell>
          <cell r="Y546">
            <v>138.24</v>
          </cell>
        </row>
        <row r="547">
          <cell r="R547">
            <v>0.8</v>
          </cell>
          <cell r="X547">
            <v>12.03</v>
          </cell>
          <cell r="Y547">
            <v>8.1</v>
          </cell>
        </row>
        <row r="548">
          <cell r="R548">
            <v>18.68</v>
          </cell>
          <cell r="X548">
            <v>224.8</v>
          </cell>
          <cell r="Y548">
            <v>104.73</v>
          </cell>
        </row>
        <row r="549">
          <cell r="R549">
            <v>0.92</v>
          </cell>
          <cell r="X549">
            <v>33.21</v>
          </cell>
          <cell r="Y549">
            <v>22.34</v>
          </cell>
        </row>
        <row r="550">
          <cell r="R550">
            <v>21.48</v>
          </cell>
          <cell r="X550">
            <v>620.35</v>
          </cell>
          <cell r="Y550">
            <v>289.02999999999997</v>
          </cell>
        </row>
        <row r="551">
          <cell r="R551">
            <v>0</v>
          </cell>
          <cell r="X551">
            <v>0</v>
          </cell>
          <cell r="Y551">
            <v>0</v>
          </cell>
        </row>
        <row r="552">
          <cell r="R552">
            <v>0</v>
          </cell>
          <cell r="X552">
            <v>0</v>
          </cell>
          <cell r="Y552">
            <v>0</v>
          </cell>
        </row>
        <row r="554">
          <cell r="R554">
            <v>1.93</v>
          </cell>
          <cell r="X554">
            <v>83.15</v>
          </cell>
          <cell r="Y554">
            <v>55.94</v>
          </cell>
        </row>
        <row r="555">
          <cell r="R555">
            <v>45.07</v>
          </cell>
          <cell r="X555">
            <v>1553.23</v>
          </cell>
          <cell r="Y555">
            <v>723.66</v>
          </cell>
        </row>
        <row r="558">
          <cell r="R558">
            <v>0.24</v>
          </cell>
          <cell r="X558">
            <v>15.88</v>
          </cell>
          <cell r="Y558">
            <v>10.69</v>
          </cell>
        </row>
        <row r="559">
          <cell r="R559">
            <v>5.6</v>
          </cell>
          <cell r="X559">
            <v>296.70999999999998</v>
          </cell>
          <cell r="Y559">
            <v>138.24</v>
          </cell>
        </row>
        <row r="560">
          <cell r="R560">
            <v>0.8</v>
          </cell>
          <cell r="X560">
            <v>12.03</v>
          </cell>
          <cell r="Y560">
            <v>8.1</v>
          </cell>
        </row>
        <row r="561">
          <cell r="R561">
            <v>18.68</v>
          </cell>
          <cell r="X561">
            <v>224.8</v>
          </cell>
          <cell r="Y561">
            <v>104.73</v>
          </cell>
        </row>
        <row r="562">
          <cell r="R562">
            <v>0.92</v>
          </cell>
          <cell r="X562">
            <v>33.21</v>
          </cell>
          <cell r="Y562">
            <v>22.34</v>
          </cell>
        </row>
        <row r="563">
          <cell r="R563">
            <v>21.48</v>
          </cell>
          <cell r="X563">
            <v>620.35</v>
          </cell>
          <cell r="Y563">
            <v>289.02999999999997</v>
          </cell>
        </row>
        <row r="564">
          <cell r="R564">
            <v>0</v>
          </cell>
          <cell r="X564">
            <v>0</v>
          </cell>
          <cell r="Y564">
            <v>0</v>
          </cell>
        </row>
        <row r="565">
          <cell r="R565">
            <v>0</v>
          </cell>
          <cell r="X565">
            <v>0</v>
          </cell>
          <cell r="Y565">
            <v>0</v>
          </cell>
        </row>
        <row r="567">
          <cell r="R567">
            <v>1.93</v>
          </cell>
          <cell r="X567">
            <v>83.15</v>
          </cell>
          <cell r="Y567">
            <v>55.94</v>
          </cell>
        </row>
        <row r="568">
          <cell r="R568">
            <v>45.07</v>
          </cell>
          <cell r="X568">
            <v>1553.23</v>
          </cell>
          <cell r="Y568">
            <v>723.66</v>
          </cell>
        </row>
        <row r="571">
          <cell r="R571">
            <v>0.24</v>
          </cell>
          <cell r="X571">
            <v>15.88</v>
          </cell>
          <cell r="Y571">
            <v>10.69</v>
          </cell>
        </row>
        <row r="572">
          <cell r="R572">
            <v>5.6</v>
          </cell>
          <cell r="X572">
            <v>296.70999999999998</v>
          </cell>
          <cell r="Y572">
            <v>138.24</v>
          </cell>
        </row>
        <row r="573">
          <cell r="R573">
            <v>0.8</v>
          </cell>
          <cell r="X573">
            <v>12.03</v>
          </cell>
          <cell r="Y573">
            <v>8.1</v>
          </cell>
        </row>
        <row r="574">
          <cell r="R574">
            <v>18.68</v>
          </cell>
          <cell r="X574">
            <v>224.8</v>
          </cell>
          <cell r="Y574">
            <v>104.73</v>
          </cell>
        </row>
        <row r="575">
          <cell r="R575">
            <v>0.92</v>
          </cell>
          <cell r="X575">
            <v>33.21</v>
          </cell>
          <cell r="Y575">
            <v>22.34</v>
          </cell>
        </row>
        <row r="576">
          <cell r="R576">
            <v>21.48</v>
          </cell>
          <cell r="X576">
            <v>620.35</v>
          </cell>
          <cell r="Y576">
            <v>289.02999999999997</v>
          </cell>
        </row>
        <row r="577">
          <cell r="R577">
            <v>0</v>
          </cell>
          <cell r="X577">
            <v>0</v>
          </cell>
          <cell r="Y577">
            <v>0</v>
          </cell>
        </row>
        <row r="578">
          <cell r="R578">
            <v>0</v>
          </cell>
          <cell r="X578">
            <v>0</v>
          </cell>
          <cell r="Y578">
            <v>0</v>
          </cell>
        </row>
        <row r="580">
          <cell r="R580">
            <v>1.93</v>
          </cell>
          <cell r="X580">
            <v>83.15</v>
          </cell>
          <cell r="Y580">
            <v>55.94</v>
          </cell>
        </row>
        <row r="581">
          <cell r="R581">
            <v>45.07</v>
          </cell>
          <cell r="X581">
            <v>1553.23</v>
          </cell>
          <cell r="Y581">
            <v>723.66</v>
          </cell>
        </row>
        <row r="584">
          <cell r="R584">
            <v>0.24</v>
          </cell>
          <cell r="X584">
            <v>15.88</v>
          </cell>
          <cell r="Y584">
            <v>10.69</v>
          </cell>
        </row>
        <row r="585">
          <cell r="R585">
            <v>5.6</v>
          </cell>
          <cell r="X585">
            <v>296.70999999999998</v>
          </cell>
          <cell r="Y585">
            <v>138.24</v>
          </cell>
        </row>
        <row r="586">
          <cell r="R586">
            <v>0.8</v>
          </cell>
          <cell r="X586">
            <v>12.03</v>
          </cell>
          <cell r="Y586">
            <v>8.1</v>
          </cell>
        </row>
        <row r="587">
          <cell r="R587">
            <v>18.68</v>
          </cell>
          <cell r="X587">
            <v>224.8</v>
          </cell>
          <cell r="Y587">
            <v>104.73</v>
          </cell>
        </row>
        <row r="588">
          <cell r="R588">
            <v>0.92</v>
          </cell>
          <cell r="X588">
            <v>33.21</v>
          </cell>
          <cell r="Y588">
            <v>22.34</v>
          </cell>
        </row>
        <row r="589">
          <cell r="R589">
            <v>21.48</v>
          </cell>
          <cell r="X589">
            <v>620.35</v>
          </cell>
          <cell r="Y589">
            <v>289.02999999999997</v>
          </cell>
        </row>
        <row r="590">
          <cell r="R590">
            <v>0</v>
          </cell>
          <cell r="X590">
            <v>0</v>
          </cell>
          <cell r="Y590">
            <v>0</v>
          </cell>
        </row>
        <row r="591">
          <cell r="R591">
            <v>0</v>
          </cell>
          <cell r="X591">
            <v>0</v>
          </cell>
          <cell r="Y591">
            <v>0</v>
          </cell>
        </row>
        <row r="593">
          <cell r="R593">
            <v>1.93</v>
          </cell>
          <cell r="X593">
            <v>83.15</v>
          </cell>
          <cell r="Y593">
            <v>55.94</v>
          </cell>
        </row>
        <row r="594">
          <cell r="R594">
            <v>45.07</v>
          </cell>
          <cell r="X594">
            <v>1553.23</v>
          </cell>
          <cell r="Y594">
            <v>723.66</v>
          </cell>
        </row>
        <row r="597">
          <cell r="R597">
            <v>0.24</v>
          </cell>
          <cell r="X597">
            <v>15.88</v>
          </cell>
          <cell r="Y597">
            <v>10.69</v>
          </cell>
        </row>
        <row r="598">
          <cell r="R598">
            <v>5.6</v>
          </cell>
          <cell r="X598">
            <v>296.70999999999998</v>
          </cell>
          <cell r="Y598">
            <v>138.24</v>
          </cell>
        </row>
        <row r="599">
          <cell r="R599">
            <v>0.8</v>
          </cell>
          <cell r="X599">
            <v>12.03</v>
          </cell>
          <cell r="Y599">
            <v>8.1</v>
          </cell>
        </row>
        <row r="600">
          <cell r="R600">
            <v>18.68</v>
          </cell>
          <cell r="X600">
            <v>224.8</v>
          </cell>
          <cell r="Y600">
            <v>104.73</v>
          </cell>
        </row>
        <row r="601">
          <cell r="R601">
            <v>0.92</v>
          </cell>
          <cell r="X601">
            <v>33.21</v>
          </cell>
          <cell r="Y601">
            <v>22.34</v>
          </cell>
        </row>
        <row r="602">
          <cell r="R602">
            <v>21.48</v>
          </cell>
          <cell r="X602">
            <v>620.35</v>
          </cell>
          <cell r="Y602">
            <v>289.02999999999997</v>
          </cell>
        </row>
        <row r="603">
          <cell r="R603">
            <v>0</v>
          </cell>
          <cell r="X603">
            <v>0</v>
          </cell>
          <cell r="Y603">
            <v>0</v>
          </cell>
        </row>
        <row r="604">
          <cell r="R604">
            <v>0</v>
          </cell>
          <cell r="X604">
            <v>0</v>
          </cell>
          <cell r="Y604">
            <v>0</v>
          </cell>
        </row>
        <row r="606">
          <cell r="R606">
            <v>1.93</v>
          </cell>
          <cell r="X606">
            <v>83.15</v>
          </cell>
          <cell r="Y606">
            <v>55.94</v>
          </cell>
        </row>
        <row r="607">
          <cell r="R607">
            <v>45.07</v>
          </cell>
          <cell r="X607">
            <v>1553.23</v>
          </cell>
          <cell r="Y607">
            <v>723.66</v>
          </cell>
        </row>
        <row r="610">
          <cell r="R610">
            <v>0.24</v>
          </cell>
          <cell r="X610">
            <v>15.88</v>
          </cell>
          <cell r="Y610">
            <v>10.69</v>
          </cell>
        </row>
        <row r="611">
          <cell r="R611">
            <v>5.6</v>
          </cell>
          <cell r="X611">
            <v>296.70999999999998</v>
          </cell>
          <cell r="Y611">
            <v>138.24</v>
          </cell>
        </row>
        <row r="612">
          <cell r="R612">
            <v>0.8</v>
          </cell>
          <cell r="X612">
            <v>12.03</v>
          </cell>
          <cell r="Y612">
            <v>8.1</v>
          </cell>
        </row>
        <row r="613">
          <cell r="R613">
            <v>18.68</v>
          </cell>
          <cell r="X613">
            <v>224.8</v>
          </cell>
          <cell r="Y613">
            <v>104.73</v>
          </cell>
        </row>
        <row r="614">
          <cell r="R614">
            <v>0.92</v>
          </cell>
          <cell r="X614">
            <v>33.21</v>
          </cell>
          <cell r="Y614">
            <v>22.34</v>
          </cell>
        </row>
        <row r="615">
          <cell r="R615">
            <v>21.48</v>
          </cell>
          <cell r="X615">
            <v>620.35</v>
          </cell>
          <cell r="Y615">
            <v>289.02999999999997</v>
          </cell>
        </row>
        <row r="616">
          <cell r="R616">
            <v>0</v>
          </cell>
          <cell r="X616">
            <v>0</v>
          </cell>
          <cell r="Y616">
            <v>0</v>
          </cell>
        </row>
        <row r="617">
          <cell r="R617">
            <v>0</v>
          </cell>
          <cell r="X617">
            <v>0</v>
          </cell>
          <cell r="Y617">
            <v>0</v>
          </cell>
        </row>
        <row r="619">
          <cell r="R619">
            <v>1.93</v>
          </cell>
          <cell r="X619">
            <v>83.15</v>
          </cell>
          <cell r="Y619">
            <v>55.94</v>
          </cell>
        </row>
        <row r="620">
          <cell r="R620">
            <v>45.07</v>
          </cell>
          <cell r="X620">
            <v>1553.23</v>
          </cell>
          <cell r="Y620">
            <v>723.66</v>
          </cell>
        </row>
        <row r="623">
          <cell r="R623">
            <v>0.24</v>
          </cell>
          <cell r="X623">
            <v>15.88</v>
          </cell>
          <cell r="Y623">
            <v>10.69</v>
          </cell>
        </row>
        <row r="624">
          <cell r="R624">
            <v>5.6</v>
          </cell>
          <cell r="X624">
            <v>296.70999999999998</v>
          </cell>
          <cell r="Y624">
            <v>138.24</v>
          </cell>
        </row>
        <row r="625">
          <cell r="R625">
            <v>0.8</v>
          </cell>
          <cell r="X625">
            <v>12.03</v>
          </cell>
          <cell r="Y625">
            <v>8.1</v>
          </cell>
        </row>
        <row r="626">
          <cell r="R626">
            <v>18.68</v>
          </cell>
          <cell r="X626">
            <v>224.8</v>
          </cell>
          <cell r="Y626">
            <v>104.73</v>
          </cell>
        </row>
        <row r="627">
          <cell r="R627">
            <v>0.92</v>
          </cell>
          <cell r="X627">
            <v>33.21</v>
          </cell>
          <cell r="Y627">
            <v>22.34</v>
          </cell>
        </row>
        <row r="628">
          <cell r="R628">
            <v>21.48</v>
          </cell>
          <cell r="X628">
            <v>620.35</v>
          </cell>
          <cell r="Y628">
            <v>289.02999999999997</v>
          </cell>
        </row>
        <row r="629">
          <cell r="R629">
            <v>0</v>
          </cell>
          <cell r="X629">
            <v>0</v>
          </cell>
          <cell r="Y629">
            <v>0</v>
          </cell>
        </row>
        <row r="630">
          <cell r="R630">
            <v>0</v>
          </cell>
          <cell r="X630">
            <v>0</v>
          </cell>
          <cell r="Y630">
            <v>0</v>
          </cell>
        </row>
        <row r="632">
          <cell r="R632">
            <v>1.93</v>
          </cell>
          <cell r="X632">
            <v>83.15</v>
          </cell>
          <cell r="Y632">
            <v>55.94</v>
          </cell>
        </row>
        <row r="633">
          <cell r="R633">
            <v>45.07</v>
          </cell>
          <cell r="X633">
            <v>1553.23</v>
          </cell>
          <cell r="Y633">
            <v>723.66</v>
          </cell>
        </row>
        <row r="636">
          <cell r="R636">
            <v>0.24</v>
          </cell>
          <cell r="X636">
            <v>15.88</v>
          </cell>
          <cell r="Y636">
            <v>10.69</v>
          </cell>
        </row>
        <row r="637">
          <cell r="R637">
            <v>5.6</v>
          </cell>
          <cell r="X637">
            <v>296.70999999999998</v>
          </cell>
          <cell r="Y637">
            <v>138.24</v>
          </cell>
        </row>
        <row r="638">
          <cell r="R638">
            <v>0.8</v>
          </cell>
          <cell r="X638">
            <v>12.03</v>
          </cell>
          <cell r="Y638">
            <v>8.1</v>
          </cell>
        </row>
        <row r="639">
          <cell r="R639">
            <v>18.68</v>
          </cell>
          <cell r="X639">
            <v>224.8</v>
          </cell>
          <cell r="Y639">
            <v>104.73</v>
          </cell>
        </row>
        <row r="642">
          <cell r="R642">
            <v>0</v>
          </cell>
          <cell r="X642">
            <v>0</v>
          </cell>
          <cell r="Y642">
            <v>0</v>
          </cell>
        </row>
        <row r="643">
          <cell r="R643">
            <v>0</v>
          </cell>
          <cell r="X643">
            <v>0</v>
          </cell>
          <cell r="Y643">
            <v>0</v>
          </cell>
        </row>
        <row r="645">
          <cell r="R645">
            <v>1.93</v>
          </cell>
          <cell r="X645">
            <v>83.15</v>
          </cell>
          <cell r="Y645">
            <v>55.94</v>
          </cell>
        </row>
        <row r="646">
          <cell r="R646">
            <v>45.07</v>
          </cell>
          <cell r="X646">
            <v>1553.23</v>
          </cell>
          <cell r="Y646">
            <v>723.66</v>
          </cell>
        </row>
        <row r="649">
          <cell r="R649">
            <v>0.24</v>
          </cell>
          <cell r="X649">
            <v>15.88</v>
          </cell>
          <cell r="Y649">
            <v>10.69</v>
          </cell>
        </row>
        <row r="650">
          <cell r="R650">
            <v>5.6</v>
          </cell>
          <cell r="X650">
            <v>296.70999999999998</v>
          </cell>
          <cell r="Y650">
            <v>138.24</v>
          </cell>
        </row>
        <row r="651">
          <cell r="R651">
            <v>0.8</v>
          </cell>
          <cell r="X651">
            <v>12.03</v>
          </cell>
          <cell r="Y651">
            <v>8.1</v>
          </cell>
        </row>
        <row r="652">
          <cell r="R652">
            <v>18.68</v>
          </cell>
          <cell r="X652">
            <v>224.8</v>
          </cell>
          <cell r="Y652">
            <v>104.73</v>
          </cell>
        </row>
        <row r="655">
          <cell r="R655">
            <v>0</v>
          </cell>
          <cell r="X655">
            <v>0</v>
          </cell>
          <cell r="Y655">
            <v>0</v>
          </cell>
        </row>
        <row r="656">
          <cell r="R656">
            <v>0</v>
          </cell>
          <cell r="X656">
            <v>0</v>
          </cell>
          <cell r="Y656">
            <v>0</v>
          </cell>
        </row>
        <row r="658">
          <cell r="R658">
            <v>1.93</v>
          </cell>
          <cell r="X658">
            <v>83.15</v>
          </cell>
          <cell r="Y658">
            <v>55.94</v>
          </cell>
        </row>
        <row r="659">
          <cell r="R659">
            <v>45.07</v>
          </cell>
          <cell r="X659">
            <v>1553.23</v>
          </cell>
          <cell r="Y659">
            <v>723.66</v>
          </cell>
        </row>
        <row r="662">
          <cell r="R662">
            <v>0.24</v>
          </cell>
          <cell r="X662">
            <v>15.88</v>
          </cell>
          <cell r="Y662">
            <v>10.69</v>
          </cell>
        </row>
        <row r="663">
          <cell r="R663">
            <v>5.6</v>
          </cell>
          <cell r="X663">
            <v>296.70999999999998</v>
          </cell>
          <cell r="Y663">
            <v>138.24</v>
          </cell>
        </row>
        <row r="664">
          <cell r="R664">
            <v>0.8</v>
          </cell>
          <cell r="X664">
            <v>12.03</v>
          </cell>
          <cell r="Y664">
            <v>8.1</v>
          </cell>
        </row>
        <row r="665">
          <cell r="R665">
            <v>18.68</v>
          </cell>
          <cell r="X665">
            <v>224.8</v>
          </cell>
          <cell r="Y665">
            <v>104.73</v>
          </cell>
        </row>
        <row r="668">
          <cell r="R668">
            <v>0</v>
          </cell>
          <cell r="X668">
            <v>0</v>
          </cell>
          <cell r="Y668">
            <v>0</v>
          </cell>
        </row>
        <row r="669">
          <cell r="R669">
            <v>0</v>
          </cell>
          <cell r="X669">
            <v>0</v>
          </cell>
          <cell r="Y669">
            <v>0</v>
          </cell>
        </row>
        <row r="671">
          <cell r="R671">
            <v>1.93</v>
          </cell>
          <cell r="X671">
            <v>83.15</v>
          </cell>
          <cell r="Y671">
            <v>55.94</v>
          </cell>
        </row>
        <row r="672">
          <cell r="R672">
            <v>45.07</v>
          </cell>
          <cell r="X672">
            <v>1553.23</v>
          </cell>
          <cell r="Y672">
            <v>723.66</v>
          </cell>
        </row>
        <row r="675">
          <cell r="R675">
            <v>0.24</v>
          </cell>
          <cell r="X675">
            <v>15.88</v>
          </cell>
          <cell r="Y675">
            <v>10.69</v>
          </cell>
        </row>
        <row r="676">
          <cell r="R676">
            <v>5.6</v>
          </cell>
          <cell r="X676">
            <v>296.70999999999998</v>
          </cell>
          <cell r="Y676">
            <v>138.24</v>
          </cell>
        </row>
        <row r="677">
          <cell r="R677">
            <v>0.8</v>
          </cell>
          <cell r="X677">
            <v>12.03</v>
          </cell>
          <cell r="Y677">
            <v>8.1</v>
          </cell>
        </row>
        <row r="678">
          <cell r="R678">
            <v>18.68</v>
          </cell>
          <cell r="X678">
            <v>224.8</v>
          </cell>
          <cell r="Y678">
            <v>104.73</v>
          </cell>
        </row>
        <row r="683">
          <cell r="R683">
            <v>0</v>
          </cell>
          <cell r="X683">
            <v>0</v>
          </cell>
          <cell r="Y683">
            <v>0</v>
          </cell>
        </row>
        <row r="684">
          <cell r="R684">
            <v>0</v>
          </cell>
          <cell r="X684">
            <v>0</v>
          </cell>
          <cell r="Y684">
            <v>0</v>
          </cell>
        </row>
        <row r="686">
          <cell r="R686">
            <v>1.93</v>
          </cell>
          <cell r="X686">
            <v>83.15</v>
          </cell>
          <cell r="Y686">
            <v>55.94</v>
          </cell>
        </row>
        <row r="687">
          <cell r="R687">
            <v>45.07</v>
          </cell>
          <cell r="X687">
            <v>1553.23</v>
          </cell>
          <cell r="Y687">
            <v>723.66</v>
          </cell>
        </row>
        <row r="690">
          <cell r="R690">
            <v>0.24</v>
          </cell>
          <cell r="X690">
            <v>15.88</v>
          </cell>
          <cell r="Y690">
            <v>10.69</v>
          </cell>
        </row>
        <row r="691">
          <cell r="R691">
            <v>5.6</v>
          </cell>
          <cell r="X691">
            <v>296.70999999999998</v>
          </cell>
          <cell r="Y691">
            <v>138.24</v>
          </cell>
        </row>
        <row r="692">
          <cell r="R692">
            <v>0.8</v>
          </cell>
          <cell r="X692">
            <v>12.03</v>
          </cell>
          <cell r="Y692">
            <v>8.1</v>
          </cell>
        </row>
        <row r="693">
          <cell r="R693">
            <v>18.68</v>
          </cell>
          <cell r="X693">
            <v>224.8</v>
          </cell>
          <cell r="Y693">
            <v>104.73</v>
          </cell>
        </row>
        <row r="696">
          <cell r="R696">
            <v>0</v>
          </cell>
          <cell r="X696">
            <v>0</v>
          </cell>
          <cell r="Y696">
            <v>0</v>
          </cell>
        </row>
        <row r="697">
          <cell r="R697">
            <v>0</v>
          </cell>
          <cell r="X697">
            <v>0</v>
          </cell>
          <cell r="Y697">
            <v>0</v>
          </cell>
        </row>
        <row r="699">
          <cell r="R699">
            <v>8.36</v>
          </cell>
          <cell r="X699">
            <v>530.64</v>
          </cell>
          <cell r="Y699">
            <v>356.98</v>
          </cell>
        </row>
        <row r="700">
          <cell r="R700">
            <v>195.21</v>
          </cell>
          <cell r="X700">
            <v>9912.36</v>
          </cell>
          <cell r="Y700">
            <v>4618.26</v>
          </cell>
        </row>
        <row r="701">
          <cell r="R701">
            <v>0</v>
          </cell>
          <cell r="X701">
            <v>0</v>
          </cell>
          <cell r="Y701">
            <v>0</v>
          </cell>
        </row>
        <row r="702">
          <cell r="R702">
            <v>0</v>
          </cell>
          <cell r="X702">
            <v>0</v>
          </cell>
          <cell r="Y702">
            <v>0</v>
          </cell>
        </row>
        <row r="768">
          <cell r="R768">
            <v>88.94</v>
          </cell>
          <cell r="X768">
            <v>8013.75</v>
          </cell>
          <cell r="Y768">
            <v>5391.07</v>
          </cell>
        </row>
        <row r="769">
          <cell r="R769">
            <v>2076.75</v>
          </cell>
          <cell r="X769">
            <v>149696.91</v>
          </cell>
          <cell r="Y769">
            <v>69745.149999999994</v>
          </cell>
        </row>
        <row r="770">
          <cell r="R770">
            <v>0</v>
          </cell>
          <cell r="X770">
            <v>0</v>
          </cell>
          <cell r="Y770">
            <v>0</v>
          </cell>
        </row>
        <row r="771">
          <cell r="R771">
            <v>0</v>
          </cell>
          <cell r="X771">
            <v>0</v>
          </cell>
          <cell r="Y771">
            <v>0</v>
          </cell>
        </row>
        <row r="772">
          <cell r="R772">
            <v>0</v>
          </cell>
          <cell r="X772">
            <v>0</v>
          </cell>
          <cell r="Y772">
            <v>0</v>
          </cell>
        </row>
        <row r="773">
          <cell r="R773">
            <v>0</v>
          </cell>
          <cell r="X773">
            <v>0</v>
          </cell>
          <cell r="Y773">
            <v>0</v>
          </cell>
        </row>
        <row r="774">
          <cell r="R774">
            <v>84.4</v>
          </cell>
          <cell r="X774">
            <v>7547.18</v>
          </cell>
          <cell r="Y774">
            <v>5077.1899999999996</v>
          </cell>
        </row>
        <row r="775">
          <cell r="R775">
            <v>1970.74</v>
          </cell>
          <cell r="X775">
            <v>140981.26</v>
          </cell>
          <cell r="Y775">
            <v>65684.45</v>
          </cell>
        </row>
        <row r="776">
          <cell r="R776">
            <v>0</v>
          </cell>
          <cell r="X776">
            <v>0</v>
          </cell>
          <cell r="Y776">
            <v>0</v>
          </cell>
        </row>
        <row r="777">
          <cell r="R777">
            <v>0</v>
          </cell>
          <cell r="X777">
            <v>0</v>
          </cell>
          <cell r="Y777">
            <v>0</v>
          </cell>
        </row>
        <row r="778">
          <cell r="R778">
            <v>0</v>
          </cell>
          <cell r="X778">
            <v>0</v>
          </cell>
          <cell r="Y778">
            <v>0</v>
          </cell>
        </row>
        <row r="779">
          <cell r="R779">
            <v>0</v>
          </cell>
          <cell r="X779">
            <v>0</v>
          </cell>
          <cell r="Y779">
            <v>0</v>
          </cell>
        </row>
        <row r="780">
          <cell r="R780">
            <v>34.369999999999997</v>
          </cell>
          <cell r="X780">
            <v>3524.58</v>
          </cell>
          <cell r="Y780">
            <v>2371.08</v>
          </cell>
        </row>
        <row r="781">
          <cell r="R781">
            <v>802.54</v>
          </cell>
          <cell r="X781">
            <v>65839.08</v>
          </cell>
          <cell r="Y781">
            <v>30675.03</v>
          </cell>
        </row>
        <row r="782">
          <cell r="R782">
            <v>0</v>
          </cell>
          <cell r="X782">
            <v>0</v>
          </cell>
          <cell r="Y782">
            <v>0</v>
          </cell>
        </row>
        <row r="783">
          <cell r="R783">
            <v>0</v>
          </cell>
          <cell r="X783">
            <v>0</v>
          </cell>
          <cell r="Y783">
            <v>0</v>
          </cell>
        </row>
        <row r="784">
          <cell r="R784">
            <v>0</v>
          </cell>
          <cell r="X784">
            <v>0</v>
          </cell>
          <cell r="Y784">
            <v>0</v>
          </cell>
        </row>
        <row r="785">
          <cell r="R785">
            <v>0</v>
          </cell>
          <cell r="X785">
            <v>0</v>
          </cell>
          <cell r="Y785">
            <v>0</v>
          </cell>
        </row>
        <row r="786">
          <cell r="R786">
            <v>5.19</v>
          </cell>
          <cell r="X786">
            <v>507.2</v>
          </cell>
          <cell r="Y786">
            <v>341.21</v>
          </cell>
        </row>
        <row r="787">
          <cell r="R787">
            <v>121.19</v>
          </cell>
          <cell r="X787">
            <v>9474.48</v>
          </cell>
          <cell r="Y787">
            <v>4414.24</v>
          </cell>
        </row>
        <row r="788">
          <cell r="R788">
            <v>0</v>
          </cell>
          <cell r="X788">
            <v>0</v>
          </cell>
          <cell r="Y788">
            <v>0</v>
          </cell>
        </row>
        <row r="789">
          <cell r="R789">
            <v>0</v>
          </cell>
          <cell r="X789">
            <v>0</v>
          </cell>
          <cell r="Y789">
            <v>0</v>
          </cell>
        </row>
        <row r="790">
          <cell r="R790">
            <v>0</v>
          </cell>
          <cell r="X790">
            <v>0</v>
          </cell>
          <cell r="Y790">
            <v>0</v>
          </cell>
        </row>
        <row r="791">
          <cell r="R791">
            <v>0</v>
          </cell>
          <cell r="X791">
            <v>0</v>
          </cell>
          <cell r="Y791">
            <v>0</v>
          </cell>
        </row>
        <row r="792">
          <cell r="R792">
            <v>69.790000000000006</v>
          </cell>
          <cell r="X792">
            <v>6825.68</v>
          </cell>
          <cell r="Y792">
            <v>4591.82</v>
          </cell>
        </row>
        <row r="793">
          <cell r="R793">
            <v>1629.6</v>
          </cell>
          <cell r="X793">
            <v>127503.63</v>
          </cell>
          <cell r="Y793">
            <v>59405.1</v>
          </cell>
        </row>
        <row r="794">
          <cell r="R794">
            <v>0</v>
          </cell>
          <cell r="X794">
            <v>0</v>
          </cell>
          <cell r="Y794">
            <v>0</v>
          </cell>
        </row>
        <row r="795">
          <cell r="R795">
            <v>0</v>
          </cell>
          <cell r="X795">
            <v>0</v>
          </cell>
          <cell r="Y795">
            <v>0</v>
          </cell>
        </row>
        <row r="796">
          <cell r="R796">
            <v>0</v>
          </cell>
          <cell r="X796">
            <v>0</v>
          </cell>
          <cell r="Y796">
            <v>0</v>
          </cell>
        </row>
        <row r="797">
          <cell r="R797">
            <v>0</v>
          </cell>
          <cell r="X797">
            <v>0</v>
          </cell>
          <cell r="Y797">
            <v>0</v>
          </cell>
        </row>
        <row r="798">
          <cell r="R798">
            <v>0</v>
          </cell>
          <cell r="X798">
            <v>0</v>
          </cell>
          <cell r="Y798">
            <v>0</v>
          </cell>
        </row>
        <row r="799">
          <cell r="R799">
            <v>0</v>
          </cell>
          <cell r="X799">
            <v>0</v>
          </cell>
          <cell r="Y799">
            <v>0</v>
          </cell>
        </row>
        <row r="800">
          <cell r="R800">
            <v>78.010000000000005</v>
          </cell>
          <cell r="X800">
            <v>7674.41</v>
          </cell>
          <cell r="Y800">
            <v>5162.79</v>
          </cell>
        </row>
        <row r="801">
          <cell r="R801">
            <v>1821.53</v>
          </cell>
          <cell r="X801">
            <v>143358.04999999999</v>
          </cell>
          <cell r="Y801">
            <v>66791.820000000007</v>
          </cell>
        </row>
        <row r="802">
          <cell r="R802">
            <v>0</v>
          </cell>
          <cell r="X802">
            <v>0</v>
          </cell>
          <cell r="Y802">
            <v>0</v>
          </cell>
        </row>
        <row r="803">
          <cell r="R803">
            <v>0</v>
          </cell>
          <cell r="X803">
            <v>0</v>
          </cell>
          <cell r="Y803">
            <v>0</v>
          </cell>
        </row>
        <row r="804">
          <cell r="R804">
            <v>0</v>
          </cell>
          <cell r="X804">
            <v>0</v>
          </cell>
          <cell r="Y804">
            <v>0</v>
          </cell>
        </row>
        <row r="805">
          <cell r="R805">
            <v>0</v>
          </cell>
          <cell r="X805">
            <v>0</v>
          </cell>
          <cell r="Y805">
            <v>0</v>
          </cell>
        </row>
        <row r="806">
          <cell r="R806">
            <v>0</v>
          </cell>
          <cell r="X806">
            <v>0</v>
          </cell>
          <cell r="Y806">
            <v>0</v>
          </cell>
        </row>
        <row r="807">
          <cell r="R807">
            <v>0</v>
          </cell>
          <cell r="X807">
            <v>0</v>
          </cell>
          <cell r="Y807">
            <v>0</v>
          </cell>
        </row>
        <row r="808">
          <cell r="R808">
            <v>13.37</v>
          </cell>
          <cell r="X808">
            <v>1001.86</v>
          </cell>
          <cell r="Y808">
            <v>673.98</v>
          </cell>
        </row>
        <row r="809">
          <cell r="R809">
            <v>312.19</v>
          </cell>
          <cell r="X809">
            <v>18714.7</v>
          </cell>
          <cell r="Y809">
            <v>8719.35</v>
          </cell>
        </row>
        <row r="810">
          <cell r="R810">
            <v>0</v>
          </cell>
          <cell r="X810">
            <v>0</v>
          </cell>
          <cell r="Y810">
            <v>0</v>
          </cell>
        </row>
        <row r="811">
          <cell r="R811">
            <v>0</v>
          </cell>
          <cell r="X811">
            <v>0</v>
          </cell>
          <cell r="Y811">
            <v>0</v>
          </cell>
        </row>
        <row r="812">
          <cell r="R812">
            <v>0</v>
          </cell>
          <cell r="X812">
            <v>0</v>
          </cell>
          <cell r="Y812">
            <v>0</v>
          </cell>
        </row>
        <row r="813">
          <cell r="R813">
            <v>0</v>
          </cell>
          <cell r="X813">
            <v>0</v>
          </cell>
          <cell r="Y813">
            <v>0</v>
          </cell>
        </row>
        <row r="814">
          <cell r="R814">
            <v>0</v>
          </cell>
          <cell r="X814">
            <v>0</v>
          </cell>
          <cell r="Y814">
            <v>0</v>
          </cell>
        </row>
        <row r="815">
          <cell r="R815">
            <v>0</v>
          </cell>
          <cell r="X815">
            <v>0</v>
          </cell>
          <cell r="Y815">
            <v>0</v>
          </cell>
        </row>
        <row r="816">
          <cell r="R816">
            <v>16.43</v>
          </cell>
          <cell r="X816">
            <v>1078.06</v>
          </cell>
          <cell r="Y816">
            <v>725.24</v>
          </cell>
        </row>
        <row r="817">
          <cell r="R817">
            <v>383.64</v>
          </cell>
          <cell r="X817">
            <v>20138.07</v>
          </cell>
          <cell r="Y817">
            <v>9382.51</v>
          </cell>
        </row>
        <row r="818">
          <cell r="R818">
            <v>0</v>
          </cell>
          <cell r="X818">
            <v>0</v>
          </cell>
          <cell r="Y818">
            <v>0</v>
          </cell>
        </row>
        <row r="819">
          <cell r="R819">
            <v>0</v>
          </cell>
          <cell r="X819">
            <v>0</v>
          </cell>
          <cell r="Y819">
            <v>0</v>
          </cell>
        </row>
        <row r="820">
          <cell r="R820">
            <v>0</v>
          </cell>
          <cell r="X820">
            <v>0</v>
          </cell>
          <cell r="Y820">
            <v>0</v>
          </cell>
        </row>
        <row r="821">
          <cell r="R821">
            <v>0</v>
          </cell>
          <cell r="X821">
            <v>0</v>
          </cell>
          <cell r="Y821">
            <v>0</v>
          </cell>
        </row>
        <row r="822">
          <cell r="R822">
            <v>0</v>
          </cell>
          <cell r="X822">
            <v>0</v>
          </cell>
          <cell r="Y822">
            <v>0</v>
          </cell>
        </row>
        <row r="823">
          <cell r="R823">
            <v>0</v>
          </cell>
          <cell r="X823">
            <v>0</v>
          </cell>
          <cell r="Y823">
            <v>0</v>
          </cell>
        </row>
        <row r="824">
          <cell r="R824">
            <v>11.19</v>
          </cell>
          <cell r="X824">
            <v>442.86</v>
          </cell>
          <cell r="Y824">
            <v>297.92</v>
          </cell>
        </row>
        <row r="825">
          <cell r="R825">
            <v>261.29000000000002</v>
          </cell>
          <cell r="X825">
            <v>8272.6200000000008</v>
          </cell>
          <cell r="Y825">
            <v>3854.29</v>
          </cell>
        </row>
        <row r="826">
          <cell r="R826">
            <v>0</v>
          </cell>
          <cell r="X826">
            <v>0</v>
          </cell>
          <cell r="Y826">
            <v>0</v>
          </cell>
        </row>
        <row r="827">
          <cell r="R827">
            <v>0</v>
          </cell>
          <cell r="X827">
            <v>0</v>
          </cell>
          <cell r="Y827">
            <v>0</v>
          </cell>
        </row>
        <row r="828">
          <cell r="R828">
            <v>0</v>
          </cell>
          <cell r="X828">
            <v>0</v>
          </cell>
          <cell r="Y828">
            <v>0</v>
          </cell>
        </row>
        <row r="829">
          <cell r="R829">
            <v>0</v>
          </cell>
          <cell r="X829">
            <v>0</v>
          </cell>
          <cell r="Y829">
            <v>0</v>
          </cell>
        </row>
        <row r="830">
          <cell r="R830">
            <v>0</v>
          </cell>
          <cell r="X830">
            <v>0</v>
          </cell>
          <cell r="Y830">
            <v>0</v>
          </cell>
        </row>
        <row r="831">
          <cell r="R831">
            <v>0</v>
          </cell>
          <cell r="X831">
            <v>0</v>
          </cell>
          <cell r="Y831">
            <v>0</v>
          </cell>
        </row>
        <row r="832">
          <cell r="R832">
            <v>38.979999999999997</v>
          </cell>
          <cell r="X832">
            <v>2621.17</v>
          </cell>
          <cell r="Y832">
            <v>1763.33</v>
          </cell>
        </row>
        <row r="833">
          <cell r="R833">
            <v>910.18</v>
          </cell>
          <cell r="X833">
            <v>48963.42</v>
          </cell>
          <cell r="Y833">
            <v>22812.5</v>
          </cell>
        </row>
        <row r="834">
          <cell r="R834">
            <v>0</v>
          </cell>
          <cell r="X834">
            <v>0</v>
          </cell>
          <cell r="Y834">
            <v>0</v>
          </cell>
        </row>
        <row r="835">
          <cell r="R835">
            <v>0</v>
          </cell>
          <cell r="X835">
            <v>0</v>
          </cell>
          <cell r="Y835">
            <v>0</v>
          </cell>
        </row>
        <row r="836">
          <cell r="R836">
            <v>0</v>
          </cell>
          <cell r="X836">
            <v>0</v>
          </cell>
          <cell r="Y836">
            <v>0</v>
          </cell>
        </row>
        <row r="837">
          <cell r="R837">
            <v>0</v>
          </cell>
          <cell r="X837">
            <v>0</v>
          </cell>
          <cell r="Y837">
            <v>0</v>
          </cell>
        </row>
        <row r="838">
          <cell r="R838">
            <v>0</v>
          </cell>
          <cell r="X838">
            <v>0</v>
          </cell>
          <cell r="Y838">
            <v>0</v>
          </cell>
        </row>
        <row r="839">
          <cell r="R839">
            <v>0</v>
          </cell>
          <cell r="X839">
            <v>0</v>
          </cell>
          <cell r="Y839">
            <v>0</v>
          </cell>
        </row>
        <row r="840">
          <cell r="R840">
            <v>0</v>
          </cell>
          <cell r="X840">
            <v>0</v>
          </cell>
          <cell r="Y840">
            <v>0</v>
          </cell>
        </row>
        <row r="841">
          <cell r="R841">
            <v>0</v>
          </cell>
          <cell r="X841">
            <v>0</v>
          </cell>
          <cell r="Y841">
            <v>0</v>
          </cell>
        </row>
        <row r="842">
          <cell r="R842">
            <v>0</v>
          </cell>
          <cell r="X842">
            <v>0</v>
          </cell>
          <cell r="Y842">
            <v>0</v>
          </cell>
        </row>
        <row r="843">
          <cell r="R843">
            <v>0</v>
          </cell>
          <cell r="X843">
            <v>0</v>
          </cell>
          <cell r="Y843">
            <v>0</v>
          </cell>
        </row>
        <row r="844">
          <cell r="R844">
            <v>0</v>
          </cell>
          <cell r="X844">
            <v>0</v>
          </cell>
          <cell r="Y844">
            <v>0</v>
          </cell>
        </row>
        <row r="845">
          <cell r="R845">
            <v>0</v>
          </cell>
          <cell r="X845">
            <v>0</v>
          </cell>
          <cell r="Y845">
            <v>0</v>
          </cell>
        </row>
        <row r="846">
          <cell r="R846">
            <v>1.98</v>
          </cell>
          <cell r="X846">
            <v>144.72</v>
          </cell>
          <cell r="Y846">
            <v>97.35</v>
          </cell>
        </row>
        <row r="847">
          <cell r="R847">
            <v>46.23</v>
          </cell>
          <cell r="X847">
            <v>2703.3</v>
          </cell>
          <cell r="Y847">
            <v>1259.49</v>
          </cell>
        </row>
        <row r="848">
          <cell r="R848">
            <v>0</v>
          </cell>
          <cell r="X848">
            <v>0</v>
          </cell>
          <cell r="Y848">
            <v>0</v>
          </cell>
        </row>
        <row r="849">
          <cell r="R849">
            <v>0</v>
          </cell>
          <cell r="X849">
            <v>0</v>
          </cell>
          <cell r="Y849">
            <v>0</v>
          </cell>
        </row>
        <row r="850">
          <cell r="R850">
            <v>0</v>
          </cell>
          <cell r="X850">
            <v>0</v>
          </cell>
          <cell r="Y850">
            <v>0</v>
          </cell>
        </row>
        <row r="851">
          <cell r="R851">
            <v>0</v>
          </cell>
          <cell r="X851">
            <v>0</v>
          </cell>
          <cell r="Y851">
            <v>0</v>
          </cell>
        </row>
        <row r="852">
          <cell r="R852">
            <v>2.1</v>
          </cell>
          <cell r="X852">
            <v>72.3</v>
          </cell>
          <cell r="Y852">
            <v>48.64</v>
          </cell>
        </row>
        <row r="853">
          <cell r="R853">
            <v>49.04</v>
          </cell>
          <cell r="X853">
            <v>1350.62</v>
          </cell>
          <cell r="Y853">
            <v>629.27</v>
          </cell>
        </row>
        <row r="854">
          <cell r="R854">
            <v>0</v>
          </cell>
          <cell r="X854">
            <v>0</v>
          </cell>
          <cell r="Y854">
            <v>0</v>
          </cell>
        </row>
        <row r="855">
          <cell r="R855">
            <v>0</v>
          </cell>
          <cell r="X855">
            <v>0</v>
          </cell>
          <cell r="Y855">
            <v>0</v>
          </cell>
        </row>
        <row r="856">
          <cell r="R856">
            <v>1139.99</v>
          </cell>
          <cell r="X856">
            <v>3445.38</v>
          </cell>
          <cell r="Y856">
            <v>2317.8000000000002</v>
          </cell>
        </row>
        <row r="857">
          <cell r="R857">
            <v>26618.77</v>
          </cell>
          <cell r="X857">
            <v>64359.63</v>
          </cell>
          <cell r="Y857">
            <v>29985.74</v>
          </cell>
        </row>
        <row r="860">
          <cell r="R860">
            <v>0</v>
          </cell>
          <cell r="X860">
            <v>0</v>
          </cell>
          <cell r="Y860">
            <v>0</v>
          </cell>
        </row>
        <row r="861">
          <cell r="R861">
            <v>0</v>
          </cell>
          <cell r="X861">
            <v>0</v>
          </cell>
          <cell r="Y861">
            <v>0</v>
          </cell>
        </row>
        <row r="864">
          <cell r="R864">
            <v>0</v>
          </cell>
          <cell r="X864">
            <v>0</v>
          </cell>
          <cell r="Y864">
            <v>0</v>
          </cell>
        </row>
        <row r="865">
          <cell r="R865">
            <v>0</v>
          </cell>
          <cell r="X865">
            <v>0</v>
          </cell>
          <cell r="Y865">
            <v>0</v>
          </cell>
        </row>
        <row r="866">
          <cell r="R866">
            <v>0</v>
          </cell>
          <cell r="X866">
            <v>0</v>
          </cell>
          <cell r="Y866">
            <v>0</v>
          </cell>
        </row>
        <row r="867">
          <cell r="R867">
            <v>0</v>
          </cell>
          <cell r="X867">
            <v>0</v>
          </cell>
          <cell r="Y867">
            <v>0</v>
          </cell>
        </row>
        <row r="868">
          <cell r="R868">
            <v>4.5</v>
          </cell>
          <cell r="X868">
            <v>286.45</v>
          </cell>
          <cell r="Y868">
            <v>192.7</v>
          </cell>
        </row>
        <row r="869">
          <cell r="R869">
            <v>105.08</v>
          </cell>
          <cell r="X869">
            <v>5350.9</v>
          </cell>
          <cell r="Y869">
            <v>2493.0300000000002</v>
          </cell>
        </row>
        <row r="870">
          <cell r="R870">
            <v>0</v>
          </cell>
          <cell r="X870">
            <v>0</v>
          </cell>
          <cell r="Y870">
            <v>0</v>
          </cell>
        </row>
        <row r="871">
          <cell r="R871">
            <v>0</v>
          </cell>
          <cell r="X871">
            <v>0</v>
          </cell>
          <cell r="Y871">
            <v>0</v>
          </cell>
        </row>
        <row r="872">
          <cell r="R872">
            <v>0</v>
          </cell>
          <cell r="X872">
            <v>0</v>
          </cell>
          <cell r="Y872">
            <v>0</v>
          </cell>
        </row>
        <row r="873">
          <cell r="R873">
            <v>0</v>
          </cell>
          <cell r="X873">
            <v>0</v>
          </cell>
          <cell r="Y873">
            <v>0</v>
          </cell>
        </row>
        <row r="874">
          <cell r="R874">
            <v>0</v>
          </cell>
          <cell r="X874">
            <v>0</v>
          </cell>
          <cell r="Y874">
            <v>0</v>
          </cell>
        </row>
        <row r="875">
          <cell r="R875">
            <v>0</v>
          </cell>
          <cell r="X875">
            <v>0</v>
          </cell>
          <cell r="Y875">
            <v>0</v>
          </cell>
        </row>
        <row r="876">
          <cell r="R876">
            <v>0</v>
          </cell>
          <cell r="X876">
            <v>0</v>
          </cell>
          <cell r="Y876">
            <v>0</v>
          </cell>
        </row>
        <row r="877">
          <cell r="R877">
            <v>0</v>
          </cell>
          <cell r="X877">
            <v>0</v>
          </cell>
          <cell r="Y877">
            <v>0</v>
          </cell>
        </row>
        <row r="878">
          <cell r="R878">
            <v>0</v>
          </cell>
          <cell r="X878">
            <v>0</v>
          </cell>
          <cell r="Y878">
            <v>0</v>
          </cell>
        </row>
        <row r="879">
          <cell r="R879">
            <v>0</v>
          </cell>
          <cell r="X879">
            <v>0</v>
          </cell>
          <cell r="Y879">
            <v>0</v>
          </cell>
        </row>
        <row r="880">
          <cell r="R880">
            <v>0</v>
          </cell>
          <cell r="X880">
            <v>0</v>
          </cell>
          <cell r="Y880">
            <v>0</v>
          </cell>
        </row>
        <row r="881">
          <cell r="R881">
            <v>0</v>
          </cell>
          <cell r="X881">
            <v>0</v>
          </cell>
          <cell r="Y881">
            <v>0</v>
          </cell>
        </row>
        <row r="886">
          <cell r="R886">
            <v>3.31</v>
          </cell>
          <cell r="X886">
            <v>237.02</v>
          </cell>
          <cell r="Y886">
            <v>159.44999999999999</v>
          </cell>
        </row>
        <row r="887">
          <cell r="R887">
            <v>77.290000000000006</v>
          </cell>
          <cell r="X887">
            <v>4427.47</v>
          </cell>
          <cell r="Y887">
            <v>2062.8000000000002</v>
          </cell>
        </row>
        <row r="888">
          <cell r="R888">
            <v>0</v>
          </cell>
          <cell r="X888">
            <v>0</v>
          </cell>
          <cell r="Y888">
            <v>0</v>
          </cell>
        </row>
        <row r="889">
          <cell r="R889">
            <v>0</v>
          </cell>
          <cell r="X889">
            <v>0</v>
          </cell>
          <cell r="Y889">
            <v>0</v>
          </cell>
        </row>
        <row r="890">
          <cell r="R890">
            <v>0</v>
          </cell>
          <cell r="X890">
            <v>0</v>
          </cell>
          <cell r="Y890">
            <v>0</v>
          </cell>
        </row>
        <row r="891">
          <cell r="R891">
            <v>0</v>
          </cell>
          <cell r="X891">
            <v>0</v>
          </cell>
          <cell r="Y891">
            <v>0</v>
          </cell>
        </row>
        <row r="892">
          <cell r="R892">
            <v>3.49</v>
          </cell>
          <cell r="X892">
            <v>314.7</v>
          </cell>
          <cell r="Y892">
            <v>211.71</v>
          </cell>
        </row>
        <row r="893">
          <cell r="R893">
            <v>81.489999999999995</v>
          </cell>
          <cell r="X893">
            <v>5878.58</v>
          </cell>
          <cell r="Y893">
            <v>2738.88</v>
          </cell>
        </row>
        <row r="894">
          <cell r="R894">
            <v>0</v>
          </cell>
          <cell r="X894">
            <v>0</v>
          </cell>
          <cell r="Y894">
            <v>0</v>
          </cell>
        </row>
        <row r="895">
          <cell r="R895">
            <v>0</v>
          </cell>
          <cell r="X895">
            <v>0</v>
          </cell>
          <cell r="Y895">
            <v>0</v>
          </cell>
        </row>
        <row r="896">
          <cell r="R896">
            <v>0</v>
          </cell>
          <cell r="X896">
            <v>0</v>
          </cell>
          <cell r="Y896">
            <v>0</v>
          </cell>
        </row>
        <row r="897">
          <cell r="R897">
            <v>0</v>
          </cell>
          <cell r="X897">
            <v>0</v>
          </cell>
          <cell r="Y897">
            <v>0</v>
          </cell>
        </row>
        <row r="898">
          <cell r="R898">
            <v>0</v>
          </cell>
          <cell r="X898">
            <v>0</v>
          </cell>
          <cell r="Y898">
            <v>0</v>
          </cell>
        </row>
        <row r="899">
          <cell r="R899">
            <v>0</v>
          </cell>
          <cell r="X899">
            <v>0</v>
          </cell>
          <cell r="Y899">
            <v>0</v>
          </cell>
        </row>
        <row r="900">
          <cell r="R900">
            <v>0</v>
          </cell>
          <cell r="X900">
            <v>0</v>
          </cell>
          <cell r="Y900">
            <v>0</v>
          </cell>
        </row>
        <row r="901">
          <cell r="R901">
            <v>0</v>
          </cell>
          <cell r="X901">
            <v>0</v>
          </cell>
          <cell r="Y901">
            <v>0</v>
          </cell>
        </row>
        <row r="902">
          <cell r="R902">
            <v>3.68</v>
          </cell>
          <cell r="X902">
            <v>502.39</v>
          </cell>
          <cell r="Y902">
            <v>337.97</v>
          </cell>
        </row>
        <row r="903">
          <cell r="R903">
            <v>85.93</v>
          </cell>
          <cell r="X903">
            <v>9384.68</v>
          </cell>
          <cell r="Y903">
            <v>4372.41</v>
          </cell>
        </row>
        <row r="904">
          <cell r="R904">
            <v>0</v>
          </cell>
          <cell r="X904">
            <v>0</v>
          </cell>
          <cell r="Y904">
            <v>0</v>
          </cell>
        </row>
        <row r="905">
          <cell r="R905">
            <v>0</v>
          </cell>
          <cell r="X905">
            <v>0</v>
          </cell>
          <cell r="Y905">
            <v>0</v>
          </cell>
        </row>
        <row r="906">
          <cell r="R906">
            <v>0</v>
          </cell>
          <cell r="X906">
            <v>0</v>
          </cell>
          <cell r="Y906">
            <v>0</v>
          </cell>
        </row>
        <row r="907">
          <cell r="R907">
            <v>0</v>
          </cell>
          <cell r="X907">
            <v>0</v>
          </cell>
          <cell r="Y907">
            <v>0</v>
          </cell>
        </row>
        <row r="908">
          <cell r="R908">
            <v>23.1</v>
          </cell>
          <cell r="X908">
            <v>841.97</v>
          </cell>
          <cell r="Y908">
            <v>566.41999999999996</v>
          </cell>
        </row>
        <row r="909">
          <cell r="R909">
            <v>539.39</v>
          </cell>
          <cell r="X909">
            <v>15728.06</v>
          </cell>
          <cell r="Y909">
            <v>7327.84</v>
          </cell>
        </row>
        <row r="910">
          <cell r="R910">
            <v>0</v>
          </cell>
          <cell r="X910">
            <v>0</v>
          </cell>
          <cell r="Y910">
            <v>0</v>
          </cell>
        </row>
        <row r="911">
          <cell r="R911">
            <v>0</v>
          </cell>
          <cell r="X911">
            <v>0</v>
          </cell>
          <cell r="Y911">
            <v>0</v>
          </cell>
        </row>
        <row r="912">
          <cell r="R912">
            <v>0</v>
          </cell>
          <cell r="X912">
            <v>0</v>
          </cell>
          <cell r="Y912">
            <v>0</v>
          </cell>
        </row>
        <row r="913">
          <cell r="R913">
            <v>0</v>
          </cell>
          <cell r="X913">
            <v>0</v>
          </cell>
          <cell r="Y913">
            <v>0</v>
          </cell>
        </row>
        <row r="914">
          <cell r="R914">
            <v>0</v>
          </cell>
          <cell r="X914">
            <v>0</v>
          </cell>
          <cell r="Y914">
            <v>0</v>
          </cell>
        </row>
        <row r="915">
          <cell r="R915">
            <v>0</v>
          </cell>
          <cell r="X915">
            <v>0</v>
          </cell>
          <cell r="Y915">
            <v>0</v>
          </cell>
        </row>
        <row r="916">
          <cell r="R916">
            <v>0</v>
          </cell>
          <cell r="X916">
            <v>0</v>
          </cell>
          <cell r="Y916">
            <v>0</v>
          </cell>
        </row>
        <row r="917">
          <cell r="R917">
            <v>0</v>
          </cell>
          <cell r="X917">
            <v>0</v>
          </cell>
          <cell r="Y917">
            <v>0</v>
          </cell>
        </row>
        <row r="918">
          <cell r="R918">
            <v>8.32</v>
          </cell>
          <cell r="X918">
            <v>215.31</v>
          </cell>
          <cell r="Y918">
            <v>144.85</v>
          </cell>
        </row>
        <row r="919">
          <cell r="R919">
            <v>194.27</v>
          </cell>
          <cell r="X919">
            <v>4022.07</v>
          </cell>
          <cell r="Y919">
            <v>1873.92</v>
          </cell>
        </row>
        <row r="920">
          <cell r="R920">
            <v>0</v>
          </cell>
          <cell r="X920">
            <v>0</v>
          </cell>
          <cell r="Y920">
            <v>0</v>
          </cell>
        </row>
        <row r="921">
          <cell r="R921">
            <v>0</v>
          </cell>
          <cell r="X921">
            <v>0</v>
          </cell>
          <cell r="Y921">
            <v>0</v>
          </cell>
        </row>
        <row r="922">
          <cell r="R922">
            <v>0</v>
          </cell>
          <cell r="X922">
            <v>0</v>
          </cell>
          <cell r="Y922">
            <v>0</v>
          </cell>
        </row>
        <row r="923">
          <cell r="R923">
            <v>0</v>
          </cell>
          <cell r="X923">
            <v>0</v>
          </cell>
          <cell r="Y923">
            <v>0</v>
          </cell>
        </row>
        <row r="924">
          <cell r="R924">
            <v>271.25</v>
          </cell>
          <cell r="X924">
            <v>2108.6999999999998</v>
          </cell>
          <cell r="Y924">
            <v>1622.08</v>
          </cell>
        </row>
        <row r="925">
          <cell r="R925">
            <v>6333.69</v>
          </cell>
          <cell r="X925">
            <v>39498.69</v>
          </cell>
          <cell r="Y925">
            <v>22184.19</v>
          </cell>
        </row>
        <row r="926">
          <cell r="R926">
            <v>0</v>
          </cell>
          <cell r="X926">
            <v>0</v>
          </cell>
          <cell r="Y926">
            <v>0</v>
          </cell>
        </row>
        <row r="927">
          <cell r="R927">
            <v>0</v>
          </cell>
          <cell r="X927">
            <v>0</v>
          </cell>
          <cell r="Y927">
            <v>0</v>
          </cell>
        </row>
        <row r="928">
          <cell r="R928">
            <v>0</v>
          </cell>
          <cell r="X928">
            <v>0</v>
          </cell>
          <cell r="Y928">
            <v>0</v>
          </cell>
        </row>
        <row r="929">
          <cell r="R929">
            <v>0</v>
          </cell>
          <cell r="X929">
            <v>0</v>
          </cell>
          <cell r="Y929">
            <v>0</v>
          </cell>
        </row>
        <row r="930">
          <cell r="R930">
            <v>0</v>
          </cell>
          <cell r="X930">
            <v>0</v>
          </cell>
          <cell r="Y930">
            <v>0</v>
          </cell>
        </row>
        <row r="931">
          <cell r="R931">
            <v>0</v>
          </cell>
          <cell r="X931">
            <v>0</v>
          </cell>
          <cell r="Y931">
            <v>0</v>
          </cell>
        </row>
        <row r="932">
          <cell r="R932">
            <v>0</v>
          </cell>
          <cell r="X932">
            <v>0</v>
          </cell>
          <cell r="Y932">
            <v>0</v>
          </cell>
        </row>
        <row r="933">
          <cell r="R933">
            <v>0</v>
          </cell>
          <cell r="X933">
            <v>0</v>
          </cell>
          <cell r="Y933">
            <v>0</v>
          </cell>
        </row>
        <row r="936">
          <cell r="R936">
            <v>0</v>
          </cell>
          <cell r="X936">
            <v>0</v>
          </cell>
          <cell r="Y936">
            <v>0</v>
          </cell>
        </row>
        <row r="937">
          <cell r="R937">
            <v>0</v>
          </cell>
          <cell r="X937">
            <v>0</v>
          </cell>
          <cell r="Y937">
            <v>0</v>
          </cell>
        </row>
        <row r="973">
          <cell r="R973">
            <v>0</v>
          </cell>
          <cell r="X973">
            <v>1491.92</v>
          </cell>
          <cell r="Y973">
            <v>1392.45</v>
          </cell>
        </row>
        <row r="974">
          <cell r="R974">
            <v>0</v>
          </cell>
          <cell r="X974">
            <v>31584.84</v>
          </cell>
          <cell r="Y974">
            <v>19043.8</v>
          </cell>
        </row>
        <row r="975">
          <cell r="R975">
            <v>0</v>
          </cell>
          <cell r="X975">
            <v>933.77</v>
          </cell>
          <cell r="Y975">
            <v>871.51</v>
          </cell>
        </row>
        <row r="976">
          <cell r="R976">
            <v>0</v>
          </cell>
          <cell r="X976">
            <v>19768.43</v>
          </cell>
          <cell r="Y976">
            <v>11919.2</v>
          </cell>
        </row>
        <row r="979">
          <cell r="R979">
            <v>0</v>
          </cell>
          <cell r="X979">
            <v>1614.14</v>
          </cell>
          <cell r="Y979">
            <v>1506.53</v>
          </cell>
        </row>
        <row r="980">
          <cell r="R980">
            <v>0</v>
          </cell>
          <cell r="X980">
            <v>34172.31</v>
          </cell>
          <cell r="Y980">
            <v>20603.89</v>
          </cell>
        </row>
        <row r="1016">
          <cell r="R1016">
            <v>6.98</v>
          </cell>
          <cell r="X1016">
            <v>305.02</v>
          </cell>
          <cell r="Y1016">
            <v>205.19</v>
          </cell>
        </row>
        <row r="1017">
          <cell r="R1017">
            <v>162.97999999999999</v>
          </cell>
          <cell r="X1017">
            <v>5697.75</v>
          </cell>
          <cell r="Y1017">
            <v>2654.64</v>
          </cell>
        </row>
        <row r="1018">
          <cell r="R1018">
            <v>0</v>
          </cell>
          <cell r="X1018">
            <v>0</v>
          </cell>
          <cell r="Y1018">
            <v>0</v>
          </cell>
        </row>
        <row r="1019">
          <cell r="R1019">
            <v>0</v>
          </cell>
          <cell r="X1019">
            <v>0</v>
          </cell>
          <cell r="Y1019">
            <v>0</v>
          </cell>
        </row>
        <row r="1020">
          <cell r="R1020">
            <v>0</v>
          </cell>
          <cell r="X1020">
            <v>0</v>
          </cell>
          <cell r="Y1020">
            <v>0</v>
          </cell>
        </row>
        <row r="1021">
          <cell r="R1021">
            <v>0</v>
          </cell>
          <cell r="X1021">
            <v>0</v>
          </cell>
          <cell r="Y1021">
            <v>0</v>
          </cell>
        </row>
        <row r="1022">
          <cell r="R1022">
            <v>1.83</v>
          </cell>
          <cell r="X1022">
            <v>79.77</v>
          </cell>
          <cell r="Y1022">
            <v>53.66</v>
          </cell>
        </row>
        <row r="1023">
          <cell r="R1023">
            <v>42.73</v>
          </cell>
          <cell r="X1023">
            <v>1490.14</v>
          </cell>
          <cell r="Y1023">
            <v>694.27</v>
          </cell>
        </row>
        <row r="1024">
          <cell r="R1024">
            <v>0</v>
          </cell>
          <cell r="X1024">
            <v>0</v>
          </cell>
          <cell r="Y1024">
            <v>0</v>
          </cell>
        </row>
        <row r="1025">
          <cell r="R1025">
            <v>0</v>
          </cell>
          <cell r="X1025">
            <v>0</v>
          </cell>
          <cell r="Y1025">
            <v>0</v>
          </cell>
        </row>
        <row r="1026">
          <cell r="R1026">
            <v>0</v>
          </cell>
          <cell r="X1026">
            <v>0</v>
          </cell>
          <cell r="Y1026">
            <v>0</v>
          </cell>
        </row>
        <row r="1027">
          <cell r="R1027">
            <v>0</v>
          </cell>
          <cell r="X1027">
            <v>0</v>
          </cell>
          <cell r="Y1027">
            <v>0</v>
          </cell>
        </row>
        <row r="1028">
          <cell r="R1028">
            <v>17.37</v>
          </cell>
          <cell r="X1028">
            <v>652.41</v>
          </cell>
          <cell r="Y1028">
            <v>438.89</v>
          </cell>
        </row>
        <row r="1029">
          <cell r="R1029">
            <v>405.59</v>
          </cell>
          <cell r="X1029">
            <v>12187.02</v>
          </cell>
          <cell r="Y1029">
            <v>5678.04</v>
          </cell>
        </row>
        <row r="1030">
          <cell r="R1030">
            <v>0</v>
          </cell>
          <cell r="X1030">
            <v>0</v>
          </cell>
          <cell r="Y1030">
            <v>0</v>
          </cell>
        </row>
        <row r="1031">
          <cell r="R1031">
            <v>0</v>
          </cell>
          <cell r="X1031">
            <v>0</v>
          </cell>
          <cell r="Y1031">
            <v>0</v>
          </cell>
        </row>
        <row r="1032">
          <cell r="R1032">
            <v>0</v>
          </cell>
          <cell r="X1032">
            <v>0</v>
          </cell>
          <cell r="Y1032">
            <v>0</v>
          </cell>
        </row>
        <row r="1033">
          <cell r="R1033">
            <v>0</v>
          </cell>
          <cell r="X1033">
            <v>0</v>
          </cell>
          <cell r="Y1033">
            <v>0</v>
          </cell>
        </row>
        <row r="1034">
          <cell r="R1034">
            <v>8.3800000000000008</v>
          </cell>
          <cell r="X1034">
            <v>320.95</v>
          </cell>
          <cell r="Y1034">
            <v>215.91</v>
          </cell>
        </row>
        <row r="1035">
          <cell r="R1035">
            <v>195.67</v>
          </cell>
          <cell r="X1035">
            <v>5995.29</v>
          </cell>
          <cell r="Y1035">
            <v>2793.26</v>
          </cell>
        </row>
        <row r="1036">
          <cell r="R1036">
            <v>0</v>
          </cell>
          <cell r="X1036">
            <v>0</v>
          </cell>
          <cell r="Y1036">
            <v>0</v>
          </cell>
        </row>
        <row r="1037">
          <cell r="R1037">
            <v>0</v>
          </cell>
          <cell r="X1037">
            <v>0</v>
          </cell>
          <cell r="Y1037">
            <v>0</v>
          </cell>
        </row>
        <row r="1038">
          <cell r="R1038">
            <v>0</v>
          </cell>
          <cell r="X1038">
            <v>0</v>
          </cell>
          <cell r="Y1038">
            <v>0</v>
          </cell>
        </row>
        <row r="1039">
          <cell r="R1039">
            <v>0</v>
          </cell>
          <cell r="X1039">
            <v>0</v>
          </cell>
          <cell r="Y1039">
            <v>0</v>
          </cell>
        </row>
        <row r="1040">
          <cell r="R1040">
            <v>7.94</v>
          </cell>
          <cell r="X1040">
            <v>304.05</v>
          </cell>
          <cell r="Y1040">
            <v>204.54</v>
          </cell>
        </row>
        <row r="1041">
          <cell r="R1041">
            <v>185.4</v>
          </cell>
          <cell r="X1041">
            <v>5679.67</v>
          </cell>
          <cell r="Y1041">
            <v>2646.21</v>
          </cell>
        </row>
        <row r="1042">
          <cell r="R1042">
            <v>0</v>
          </cell>
          <cell r="X1042">
            <v>0</v>
          </cell>
          <cell r="Y1042">
            <v>0</v>
          </cell>
        </row>
        <row r="1043">
          <cell r="R1043">
            <v>0</v>
          </cell>
          <cell r="X1043">
            <v>0</v>
          </cell>
          <cell r="Y1043">
            <v>0</v>
          </cell>
        </row>
        <row r="1044">
          <cell r="R1044">
            <v>0</v>
          </cell>
          <cell r="X1044">
            <v>0</v>
          </cell>
          <cell r="Y1044">
            <v>0</v>
          </cell>
        </row>
        <row r="1045">
          <cell r="R1045">
            <v>0</v>
          </cell>
          <cell r="X1045">
            <v>0</v>
          </cell>
          <cell r="Y1045">
            <v>0</v>
          </cell>
        </row>
        <row r="1052">
          <cell r="R1052">
            <v>0.23</v>
          </cell>
          <cell r="X1052">
            <v>873.66</v>
          </cell>
          <cell r="Y1052">
            <v>559.14</v>
          </cell>
        </row>
        <row r="1053">
          <cell r="R1053">
            <v>5.37</v>
          </cell>
          <cell r="X1053">
            <v>16523.97</v>
          </cell>
          <cell r="Y1053">
            <v>8363.98</v>
          </cell>
        </row>
        <row r="1054">
          <cell r="R1054">
            <v>0</v>
          </cell>
          <cell r="X1054">
            <v>0</v>
          </cell>
          <cell r="Y1054">
            <v>0</v>
          </cell>
        </row>
        <row r="1055">
          <cell r="R1055">
            <v>0</v>
          </cell>
          <cell r="X1055">
            <v>0</v>
          </cell>
          <cell r="Y1055">
            <v>0</v>
          </cell>
        </row>
        <row r="1056">
          <cell r="R1056">
            <v>0</v>
          </cell>
          <cell r="X1056">
            <v>0</v>
          </cell>
          <cell r="Y1056">
            <v>0</v>
          </cell>
        </row>
        <row r="1057">
          <cell r="R1057">
            <v>0</v>
          </cell>
          <cell r="X1057">
            <v>0</v>
          </cell>
          <cell r="Y1057">
            <v>0</v>
          </cell>
        </row>
        <row r="1058">
          <cell r="R1058">
            <v>88.11</v>
          </cell>
          <cell r="X1058">
            <v>799.13</v>
          </cell>
          <cell r="Y1058">
            <v>614.71</v>
          </cell>
        </row>
        <row r="1059">
          <cell r="R1059">
            <v>2057.37</v>
          </cell>
          <cell r="X1059">
            <v>14968.68</v>
          </cell>
          <cell r="Y1059">
            <v>8407.07</v>
          </cell>
        </row>
        <row r="1060">
          <cell r="R1060">
            <v>0</v>
          </cell>
          <cell r="X1060">
            <v>0</v>
          </cell>
          <cell r="Y1060">
            <v>0</v>
          </cell>
        </row>
        <row r="1061">
          <cell r="R1061">
            <v>0</v>
          </cell>
          <cell r="X1061">
            <v>0</v>
          </cell>
          <cell r="Y1061">
            <v>0</v>
          </cell>
        </row>
        <row r="1062">
          <cell r="R1062">
            <v>0</v>
          </cell>
          <cell r="X1062">
            <v>0</v>
          </cell>
          <cell r="Y1062">
            <v>0</v>
          </cell>
        </row>
        <row r="1063">
          <cell r="R1063">
            <v>0</v>
          </cell>
          <cell r="X1063">
            <v>0</v>
          </cell>
          <cell r="Y1063">
            <v>0</v>
          </cell>
        </row>
        <row r="1064">
          <cell r="R1064">
            <v>0</v>
          </cell>
          <cell r="X1064">
            <v>0</v>
          </cell>
          <cell r="Y1064">
            <v>0</v>
          </cell>
        </row>
        <row r="1065">
          <cell r="R1065">
            <v>0</v>
          </cell>
          <cell r="X1065">
            <v>0</v>
          </cell>
          <cell r="Y1065">
            <v>0</v>
          </cell>
        </row>
        <row r="1066">
          <cell r="R1066">
            <v>0</v>
          </cell>
          <cell r="X1066">
            <v>0</v>
          </cell>
          <cell r="Y1066">
            <v>0</v>
          </cell>
        </row>
        <row r="1067">
          <cell r="R1067">
            <v>0</v>
          </cell>
          <cell r="X1067">
            <v>0</v>
          </cell>
          <cell r="Y1067">
            <v>0</v>
          </cell>
        </row>
        <row r="1068">
          <cell r="R1068">
            <v>0</v>
          </cell>
          <cell r="X1068">
            <v>0</v>
          </cell>
          <cell r="Y1068">
            <v>0</v>
          </cell>
        </row>
        <row r="1069">
          <cell r="R1069">
            <v>0</v>
          </cell>
          <cell r="X1069">
            <v>0</v>
          </cell>
          <cell r="Y1069">
            <v>0</v>
          </cell>
        </row>
        <row r="1070">
          <cell r="R1070">
            <v>0</v>
          </cell>
          <cell r="X1070">
            <v>0</v>
          </cell>
          <cell r="Y1070">
            <v>0</v>
          </cell>
        </row>
        <row r="1071">
          <cell r="R1071">
            <v>0</v>
          </cell>
          <cell r="X1071">
            <v>0</v>
          </cell>
          <cell r="Y1071">
            <v>0</v>
          </cell>
        </row>
        <row r="1072">
          <cell r="R1072">
            <v>0</v>
          </cell>
          <cell r="X1072">
            <v>0</v>
          </cell>
          <cell r="Y1072">
            <v>0</v>
          </cell>
        </row>
        <row r="1073">
          <cell r="R1073">
            <v>0</v>
          </cell>
          <cell r="X1073">
            <v>0</v>
          </cell>
          <cell r="Y1073">
            <v>0</v>
          </cell>
        </row>
        <row r="1074">
          <cell r="R1074">
            <v>0</v>
          </cell>
          <cell r="X1074">
            <v>0</v>
          </cell>
          <cell r="Y1074">
            <v>0</v>
          </cell>
        </row>
        <row r="1075">
          <cell r="R1075">
            <v>0</v>
          </cell>
          <cell r="X1075">
            <v>0</v>
          </cell>
          <cell r="Y1075">
            <v>0</v>
          </cell>
        </row>
        <row r="1076">
          <cell r="R1076">
            <v>0</v>
          </cell>
          <cell r="X1076">
            <v>0</v>
          </cell>
          <cell r="Y1076">
            <v>0</v>
          </cell>
        </row>
        <row r="1077">
          <cell r="R1077">
            <v>0</v>
          </cell>
          <cell r="X1077">
            <v>0</v>
          </cell>
          <cell r="Y1077">
            <v>0</v>
          </cell>
        </row>
        <row r="1078">
          <cell r="R1078">
            <v>0</v>
          </cell>
          <cell r="X1078">
            <v>339.22</v>
          </cell>
          <cell r="Y1078">
            <v>228.2</v>
          </cell>
        </row>
        <row r="1079">
          <cell r="R1079">
            <v>0</v>
          </cell>
          <cell r="X1079">
            <v>6336.59</v>
          </cell>
          <cell r="Y1079">
            <v>2952.27</v>
          </cell>
        </row>
        <row r="1080">
          <cell r="R1080">
            <v>0</v>
          </cell>
          <cell r="X1080">
            <v>130.06</v>
          </cell>
          <cell r="Y1080">
            <v>87.5</v>
          </cell>
        </row>
        <row r="1081">
          <cell r="R1081">
            <v>0</v>
          </cell>
          <cell r="X1081">
            <v>2429.59</v>
          </cell>
          <cell r="Y1081">
            <v>1131.97</v>
          </cell>
        </row>
        <row r="1117">
          <cell r="R1117">
            <v>88.44</v>
          </cell>
          <cell r="X1117">
            <v>1343.76</v>
          </cell>
          <cell r="Y1117">
            <v>903.98</v>
          </cell>
        </row>
        <row r="1118">
          <cell r="R1118">
            <v>2065.0700000000002</v>
          </cell>
          <cell r="X1118">
            <v>25101.439999999999</v>
          </cell>
          <cell r="Y1118">
            <v>11694.99</v>
          </cell>
        </row>
        <row r="1119">
          <cell r="R1119">
            <v>0</v>
          </cell>
          <cell r="X1119">
            <v>0</v>
          </cell>
          <cell r="Y1119">
            <v>0</v>
          </cell>
        </row>
        <row r="1120">
          <cell r="R1120">
            <v>0</v>
          </cell>
          <cell r="X1120">
            <v>0</v>
          </cell>
          <cell r="Y1120">
            <v>0</v>
          </cell>
        </row>
        <row r="1121">
          <cell r="R1121">
            <v>0</v>
          </cell>
          <cell r="X1121">
            <v>0</v>
          </cell>
          <cell r="Y1121">
            <v>0</v>
          </cell>
        </row>
        <row r="1122">
          <cell r="R1122">
            <v>0</v>
          </cell>
          <cell r="X1122">
            <v>0</v>
          </cell>
          <cell r="Y1122">
            <v>0</v>
          </cell>
        </row>
        <row r="1123">
          <cell r="R1123">
            <v>2.44</v>
          </cell>
          <cell r="X1123">
            <v>4754.9799999999996</v>
          </cell>
          <cell r="Y1123">
            <v>3198.81</v>
          </cell>
        </row>
        <row r="1124">
          <cell r="R1124">
            <v>56.97</v>
          </cell>
          <cell r="X1124">
            <v>88823.05</v>
          </cell>
          <cell r="Y1124">
            <v>41383.46</v>
          </cell>
        </row>
        <row r="1125">
          <cell r="R1125">
            <v>2.21</v>
          </cell>
          <cell r="X1125">
            <v>4400.4399999999996</v>
          </cell>
          <cell r="Y1125">
            <v>2960.3</v>
          </cell>
        </row>
        <row r="1126">
          <cell r="R1126">
            <v>51.6</v>
          </cell>
          <cell r="X1126">
            <v>82200.22</v>
          </cell>
          <cell r="Y1126">
            <v>38297.83</v>
          </cell>
        </row>
        <row r="1127">
          <cell r="R1127">
            <v>0</v>
          </cell>
          <cell r="X1127">
            <v>0</v>
          </cell>
          <cell r="Y1127">
            <v>0</v>
          </cell>
        </row>
        <row r="1128">
          <cell r="R1128">
            <v>0</v>
          </cell>
          <cell r="X1128">
            <v>0</v>
          </cell>
          <cell r="Y1128">
            <v>0</v>
          </cell>
        </row>
        <row r="1129">
          <cell r="R1129">
            <v>0</v>
          </cell>
          <cell r="X1129">
            <v>0</v>
          </cell>
          <cell r="Y1129">
            <v>0</v>
          </cell>
        </row>
        <row r="1130">
          <cell r="R1130">
            <v>0</v>
          </cell>
          <cell r="X1130">
            <v>0</v>
          </cell>
          <cell r="Y1130">
            <v>0</v>
          </cell>
        </row>
        <row r="1131">
          <cell r="R1131">
            <v>0</v>
          </cell>
          <cell r="X1131">
            <v>0</v>
          </cell>
          <cell r="Y1131">
            <v>0</v>
          </cell>
        </row>
        <row r="1132">
          <cell r="R1132">
            <v>0</v>
          </cell>
          <cell r="X1132">
            <v>0</v>
          </cell>
          <cell r="Y1132">
            <v>0</v>
          </cell>
        </row>
        <row r="1133">
          <cell r="R1133">
            <v>0</v>
          </cell>
          <cell r="X1133">
            <v>0</v>
          </cell>
          <cell r="Y1133">
            <v>0</v>
          </cell>
        </row>
        <row r="1134">
          <cell r="R1134">
            <v>0</v>
          </cell>
          <cell r="X1134">
            <v>0</v>
          </cell>
          <cell r="Y1134">
            <v>0</v>
          </cell>
        </row>
        <row r="1135">
          <cell r="R1135">
            <v>0</v>
          </cell>
          <cell r="X1135">
            <v>0</v>
          </cell>
          <cell r="Y1135">
            <v>0</v>
          </cell>
        </row>
        <row r="1136">
          <cell r="R1136">
            <v>0</v>
          </cell>
          <cell r="X1136">
            <v>0</v>
          </cell>
          <cell r="Y1136">
            <v>0</v>
          </cell>
        </row>
        <row r="1137">
          <cell r="R1137">
            <v>0</v>
          </cell>
          <cell r="X1137">
            <v>0</v>
          </cell>
          <cell r="Y1137">
            <v>0</v>
          </cell>
        </row>
        <row r="1138">
          <cell r="R1138">
            <v>0</v>
          </cell>
          <cell r="X1138">
            <v>0</v>
          </cell>
          <cell r="Y1138">
            <v>0</v>
          </cell>
        </row>
        <row r="1139">
          <cell r="R1139">
            <v>0</v>
          </cell>
          <cell r="X1139">
            <v>0</v>
          </cell>
          <cell r="Y1139">
            <v>0</v>
          </cell>
        </row>
        <row r="1140">
          <cell r="R1140">
            <v>0</v>
          </cell>
          <cell r="X1140">
            <v>0</v>
          </cell>
          <cell r="Y1140">
            <v>0</v>
          </cell>
        </row>
        <row r="1151">
          <cell r="R1151">
            <v>0</v>
          </cell>
          <cell r="X1151">
            <v>408.44</v>
          </cell>
          <cell r="Y1151">
            <v>240.05</v>
          </cell>
        </row>
        <row r="1152">
          <cell r="R1152">
            <v>0</v>
          </cell>
          <cell r="X1152">
            <v>6441.7</v>
          </cell>
          <cell r="Y1152">
            <v>3429.99</v>
          </cell>
        </row>
        <row r="1153">
          <cell r="R1153">
            <v>0</v>
          </cell>
          <cell r="X1153">
            <v>0</v>
          </cell>
          <cell r="Y1153">
            <v>0</v>
          </cell>
        </row>
        <row r="1154">
          <cell r="R1154">
            <v>0</v>
          </cell>
          <cell r="X1154">
            <v>0</v>
          </cell>
          <cell r="Y1154">
            <v>0</v>
          </cell>
        </row>
        <row r="1155">
          <cell r="R1155">
            <v>0</v>
          </cell>
          <cell r="X1155">
            <v>0</v>
          </cell>
          <cell r="Y1155">
            <v>0</v>
          </cell>
        </row>
        <row r="1156">
          <cell r="R1156">
            <v>0</v>
          </cell>
          <cell r="X1156">
            <v>0</v>
          </cell>
          <cell r="Y1156">
            <v>0</v>
          </cell>
        </row>
        <row r="1157">
          <cell r="R1157">
            <v>0</v>
          </cell>
          <cell r="X1157">
            <v>0</v>
          </cell>
          <cell r="Y1157">
            <v>0</v>
          </cell>
        </row>
        <row r="1158">
          <cell r="R1158">
            <v>0</v>
          </cell>
          <cell r="X1158">
            <v>0</v>
          </cell>
          <cell r="Y1158">
            <v>0</v>
          </cell>
        </row>
        <row r="1159">
          <cell r="R1159">
            <v>0.63</v>
          </cell>
          <cell r="X1159">
            <v>1227.0899999999999</v>
          </cell>
          <cell r="Y1159">
            <v>825.5</v>
          </cell>
        </row>
        <row r="1160">
          <cell r="R1160">
            <v>14.71</v>
          </cell>
          <cell r="X1160">
            <v>22922.12</v>
          </cell>
          <cell r="Y1160">
            <v>10679.62</v>
          </cell>
        </row>
        <row r="1161">
          <cell r="R1161">
            <v>2.1</v>
          </cell>
          <cell r="X1161">
            <v>1868.26</v>
          </cell>
          <cell r="Y1161">
            <v>1256.83</v>
          </cell>
        </row>
        <row r="1162">
          <cell r="R1162">
            <v>49.04</v>
          </cell>
          <cell r="X1162">
            <v>34899.14</v>
          </cell>
          <cell r="Y1162">
            <v>16259.83</v>
          </cell>
        </row>
        <row r="1163">
          <cell r="R1163">
            <v>0</v>
          </cell>
          <cell r="X1163">
            <v>0</v>
          </cell>
          <cell r="Y1163">
            <v>0</v>
          </cell>
        </row>
        <row r="1164">
          <cell r="R1164">
            <v>0</v>
          </cell>
          <cell r="X1164">
            <v>0</v>
          </cell>
          <cell r="Y1164">
            <v>0</v>
          </cell>
        </row>
        <row r="1165">
          <cell r="R1165">
            <v>0</v>
          </cell>
          <cell r="X1165">
            <v>366.35</v>
          </cell>
          <cell r="Y1165">
            <v>215.31</v>
          </cell>
        </row>
        <row r="1166">
          <cell r="R1166">
            <v>0</v>
          </cell>
          <cell r="X1166">
            <v>5777.9</v>
          </cell>
          <cell r="Y1166">
            <v>3076.54</v>
          </cell>
        </row>
        <row r="1167">
          <cell r="R1167">
            <v>0</v>
          </cell>
          <cell r="X1167">
            <v>0</v>
          </cell>
          <cell r="Y1167">
            <v>0</v>
          </cell>
        </row>
        <row r="1168">
          <cell r="R1168">
            <v>0</v>
          </cell>
          <cell r="X1168">
            <v>0</v>
          </cell>
          <cell r="Y1168">
            <v>0</v>
          </cell>
        </row>
        <row r="1169">
          <cell r="R1169">
            <v>0</v>
          </cell>
          <cell r="X1169">
            <v>0</v>
          </cell>
          <cell r="Y1169">
            <v>0</v>
          </cell>
        </row>
        <row r="1170">
          <cell r="R1170">
            <v>0</v>
          </cell>
          <cell r="X1170">
            <v>0</v>
          </cell>
          <cell r="Y1170">
            <v>0</v>
          </cell>
        </row>
        <row r="1171">
          <cell r="R1171">
            <v>0</v>
          </cell>
          <cell r="X1171">
            <v>0</v>
          </cell>
          <cell r="Y1171">
            <v>0</v>
          </cell>
        </row>
        <row r="1172">
          <cell r="R1172">
            <v>0</v>
          </cell>
          <cell r="X1172">
            <v>0</v>
          </cell>
          <cell r="Y1172">
            <v>0</v>
          </cell>
        </row>
        <row r="1173">
          <cell r="R1173">
            <v>0</v>
          </cell>
          <cell r="X1173">
            <v>0</v>
          </cell>
          <cell r="Y1173">
            <v>0</v>
          </cell>
        </row>
        <row r="1174">
          <cell r="R1174">
            <v>0</v>
          </cell>
          <cell r="X1174">
            <v>0</v>
          </cell>
          <cell r="Y1174">
            <v>0</v>
          </cell>
        </row>
        <row r="1175">
          <cell r="R1175">
            <v>0</v>
          </cell>
          <cell r="X1175">
            <v>0</v>
          </cell>
          <cell r="Y1175">
            <v>0</v>
          </cell>
        </row>
        <row r="1176">
          <cell r="R1176">
            <v>0</v>
          </cell>
          <cell r="X1176">
            <v>0</v>
          </cell>
          <cell r="Y1176">
            <v>0</v>
          </cell>
        </row>
        <row r="1177">
          <cell r="R1177">
            <v>71.760000000000005</v>
          </cell>
          <cell r="X1177">
            <v>4330.6099999999997</v>
          </cell>
          <cell r="Y1177">
            <v>2913.32</v>
          </cell>
        </row>
        <row r="1178">
          <cell r="R1178">
            <v>1675.6</v>
          </cell>
          <cell r="X1178">
            <v>80895.83</v>
          </cell>
          <cell r="Y1178">
            <v>37690.1</v>
          </cell>
        </row>
        <row r="1179">
          <cell r="R1179">
            <v>0</v>
          </cell>
          <cell r="X1179">
            <v>0</v>
          </cell>
          <cell r="Y1179">
            <v>0</v>
          </cell>
        </row>
        <row r="1180">
          <cell r="R1180">
            <v>0</v>
          </cell>
          <cell r="X1180">
            <v>0</v>
          </cell>
          <cell r="Y1180">
            <v>0</v>
          </cell>
        </row>
        <row r="1183">
          <cell r="R1183">
            <v>464.1</v>
          </cell>
          <cell r="X1183">
            <v>6216.41</v>
          </cell>
          <cell r="Y1183">
            <v>6216.41</v>
          </cell>
        </row>
        <row r="1184">
          <cell r="R1184">
            <v>10836.74</v>
          </cell>
          <cell r="X1184">
            <v>147319.57999999999</v>
          </cell>
          <cell r="Y1184">
            <v>88825.04</v>
          </cell>
        </row>
        <row r="1185">
          <cell r="R1185">
            <v>0</v>
          </cell>
          <cell r="X1185">
            <v>0</v>
          </cell>
          <cell r="Y1185">
            <v>0</v>
          </cell>
        </row>
        <row r="1186">
          <cell r="R1186">
            <v>0</v>
          </cell>
          <cell r="X1186">
            <v>0</v>
          </cell>
          <cell r="Y1186">
            <v>0</v>
          </cell>
        </row>
        <row r="1187">
          <cell r="R1187">
            <v>0</v>
          </cell>
          <cell r="X1187">
            <v>0</v>
          </cell>
          <cell r="Y1187">
            <v>0</v>
          </cell>
        </row>
        <row r="1188">
          <cell r="R1188">
            <v>0</v>
          </cell>
          <cell r="X1188">
            <v>0</v>
          </cell>
          <cell r="Y1188">
            <v>0</v>
          </cell>
        </row>
        <row r="1189">
          <cell r="R1189">
            <v>0</v>
          </cell>
          <cell r="X1189">
            <v>0</v>
          </cell>
          <cell r="Y1189">
            <v>0</v>
          </cell>
        </row>
        <row r="1190">
          <cell r="R1190">
            <v>0</v>
          </cell>
          <cell r="X1190">
            <v>0</v>
          </cell>
          <cell r="Y1190">
            <v>0</v>
          </cell>
        </row>
        <row r="1191">
          <cell r="R1191">
            <v>0</v>
          </cell>
          <cell r="X1191">
            <v>0</v>
          </cell>
          <cell r="Y1191">
            <v>0</v>
          </cell>
        </row>
        <row r="1192">
          <cell r="R1192">
            <v>0</v>
          </cell>
          <cell r="X1192">
            <v>0</v>
          </cell>
          <cell r="Y1192">
            <v>0</v>
          </cell>
        </row>
        <row r="1193">
          <cell r="R1193">
            <v>0</v>
          </cell>
          <cell r="X1193">
            <v>0</v>
          </cell>
          <cell r="Y1193">
            <v>0</v>
          </cell>
        </row>
        <row r="1194">
          <cell r="R1194">
            <v>0</v>
          </cell>
          <cell r="X1194">
            <v>0</v>
          </cell>
          <cell r="Y1194">
            <v>0</v>
          </cell>
        </row>
        <row r="1195">
          <cell r="R1195">
            <v>0</v>
          </cell>
          <cell r="X1195">
            <v>0</v>
          </cell>
          <cell r="Y1195">
            <v>0</v>
          </cell>
        </row>
        <row r="1196">
          <cell r="R1196">
            <v>0</v>
          </cell>
          <cell r="X1196">
            <v>0</v>
          </cell>
          <cell r="Y1196">
            <v>0</v>
          </cell>
        </row>
        <row r="1197">
          <cell r="R1197">
            <v>67.2</v>
          </cell>
          <cell r="X1197">
            <v>2367.5100000000002</v>
          </cell>
          <cell r="Y1197">
            <v>2367.5100000000002</v>
          </cell>
        </row>
        <row r="1198">
          <cell r="R1198">
            <v>1569.12</v>
          </cell>
          <cell r="X1198">
            <v>56106.5</v>
          </cell>
          <cell r="Y1198">
            <v>33828.92</v>
          </cell>
        </row>
        <row r="1199">
          <cell r="R1199">
            <v>0</v>
          </cell>
          <cell r="X1199">
            <v>0</v>
          </cell>
          <cell r="Y1199">
            <v>0</v>
          </cell>
        </row>
        <row r="1200">
          <cell r="R1200">
            <v>0</v>
          </cell>
          <cell r="X1200">
            <v>0</v>
          </cell>
          <cell r="Y1200">
            <v>0</v>
          </cell>
        </row>
        <row r="1201">
          <cell r="R1201">
            <v>0</v>
          </cell>
          <cell r="X1201">
            <v>0</v>
          </cell>
          <cell r="Y1201">
            <v>0</v>
          </cell>
        </row>
        <row r="1202">
          <cell r="R1202">
            <v>0</v>
          </cell>
          <cell r="X1202">
            <v>0</v>
          </cell>
          <cell r="Y1202">
            <v>0</v>
          </cell>
        </row>
        <row r="1203">
          <cell r="R1203">
            <v>0</v>
          </cell>
          <cell r="X1203">
            <v>0</v>
          </cell>
          <cell r="Y1203">
            <v>0</v>
          </cell>
        </row>
        <row r="1204">
          <cell r="R1204">
            <v>0</v>
          </cell>
          <cell r="X1204">
            <v>0</v>
          </cell>
          <cell r="Y1204">
            <v>0</v>
          </cell>
        </row>
        <row r="1205">
          <cell r="R1205">
            <v>23.33</v>
          </cell>
          <cell r="X1205">
            <v>608.79</v>
          </cell>
          <cell r="Y1205">
            <v>608.79</v>
          </cell>
        </row>
        <row r="1206">
          <cell r="R1206">
            <v>544.76</v>
          </cell>
          <cell r="X1206">
            <v>14427.38</v>
          </cell>
          <cell r="Y1206">
            <v>8698.86</v>
          </cell>
        </row>
        <row r="1207">
          <cell r="R1207">
            <v>0</v>
          </cell>
          <cell r="X1207">
            <v>0</v>
          </cell>
          <cell r="Y1207">
            <v>0</v>
          </cell>
        </row>
        <row r="1208">
          <cell r="R1208">
            <v>0</v>
          </cell>
          <cell r="X1208">
            <v>0</v>
          </cell>
          <cell r="Y1208">
            <v>0</v>
          </cell>
        </row>
        <row r="1209">
          <cell r="R1209">
            <v>72.56</v>
          </cell>
          <cell r="X1209">
            <v>735.62</v>
          </cell>
          <cell r="Y1209">
            <v>735.62</v>
          </cell>
        </row>
        <row r="1210">
          <cell r="R1210">
            <v>1694.28</v>
          </cell>
          <cell r="X1210">
            <v>17433.09</v>
          </cell>
          <cell r="Y1210">
            <v>10511.13</v>
          </cell>
        </row>
        <row r="1211">
          <cell r="R1211">
            <v>0</v>
          </cell>
          <cell r="X1211">
            <v>0</v>
          </cell>
          <cell r="Y1211">
            <v>0</v>
          </cell>
        </row>
        <row r="1212">
          <cell r="R1212">
            <v>0</v>
          </cell>
          <cell r="X1212">
            <v>0</v>
          </cell>
          <cell r="Y1212">
            <v>0</v>
          </cell>
        </row>
        <row r="1213">
          <cell r="R1213">
            <v>448.14</v>
          </cell>
          <cell r="X1213">
            <v>4064.48</v>
          </cell>
          <cell r="Y1213">
            <v>3126.52</v>
          </cell>
        </row>
        <row r="1214">
          <cell r="R1214">
            <v>10464.07</v>
          </cell>
          <cell r="X1214">
            <v>76133.039999999994</v>
          </cell>
          <cell r="Y1214">
            <v>42759.65</v>
          </cell>
        </row>
        <row r="1215">
          <cell r="R1215">
            <v>0</v>
          </cell>
          <cell r="X1215">
            <v>0</v>
          </cell>
          <cell r="Y1215">
            <v>0</v>
          </cell>
        </row>
        <row r="1216">
          <cell r="R1216">
            <v>0</v>
          </cell>
          <cell r="X1216">
            <v>0</v>
          </cell>
          <cell r="Y1216">
            <v>0</v>
          </cell>
        </row>
        <row r="1217">
          <cell r="R1217">
            <v>0</v>
          </cell>
          <cell r="X1217">
            <v>0</v>
          </cell>
          <cell r="Y1217">
            <v>0</v>
          </cell>
        </row>
        <row r="1218">
          <cell r="R1218">
            <v>0</v>
          </cell>
          <cell r="X1218">
            <v>0</v>
          </cell>
          <cell r="Y1218">
            <v>0</v>
          </cell>
        </row>
        <row r="1219">
          <cell r="R1219">
            <v>0</v>
          </cell>
          <cell r="X1219">
            <v>0</v>
          </cell>
          <cell r="Y1219">
            <v>0</v>
          </cell>
        </row>
        <row r="1220">
          <cell r="R1220">
            <v>0</v>
          </cell>
          <cell r="X1220">
            <v>0</v>
          </cell>
          <cell r="Y1220">
            <v>0</v>
          </cell>
        </row>
        <row r="1221">
          <cell r="R1221">
            <v>0</v>
          </cell>
          <cell r="X1221">
            <v>0</v>
          </cell>
          <cell r="Y1221">
            <v>0</v>
          </cell>
        </row>
        <row r="1222">
          <cell r="R1222">
            <v>0</v>
          </cell>
          <cell r="X1222">
            <v>0</v>
          </cell>
          <cell r="Y1222">
            <v>0</v>
          </cell>
        </row>
        <row r="1223">
          <cell r="R1223">
            <v>0</v>
          </cell>
          <cell r="X1223">
            <v>0</v>
          </cell>
          <cell r="Y1223">
            <v>0</v>
          </cell>
        </row>
        <row r="1224">
          <cell r="R1224">
            <v>0</v>
          </cell>
          <cell r="X1224">
            <v>0</v>
          </cell>
          <cell r="Y1224">
            <v>0</v>
          </cell>
        </row>
        <row r="1225">
          <cell r="R1225">
            <v>0</v>
          </cell>
          <cell r="X1225">
            <v>0</v>
          </cell>
          <cell r="Y1225">
            <v>0</v>
          </cell>
        </row>
        <row r="1226">
          <cell r="R1226">
            <v>0</v>
          </cell>
          <cell r="X1226">
            <v>0</v>
          </cell>
          <cell r="Y1226">
            <v>0</v>
          </cell>
        </row>
        <row r="1227">
          <cell r="R1227">
            <v>0</v>
          </cell>
          <cell r="X1227">
            <v>0</v>
          </cell>
          <cell r="Y1227">
            <v>0</v>
          </cell>
        </row>
        <row r="1228">
          <cell r="R1228">
            <v>0</v>
          </cell>
          <cell r="X1228">
            <v>0</v>
          </cell>
          <cell r="Y1228">
            <v>0</v>
          </cell>
        </row>
        <row r="1229">
          <cell r="R1229">
            <v>5.81</v>
          </cell>
          <cell r="X1229">
            <v>707.09</v>
          </cell>
          <cell r="Y1229">
            <v>475.68</v>
          </cell>
        </row>
        <row r="1230">
          <cell r="R1230">
            <v>135.66</v>
          </cell>
          <cell r="X1230">
            <v>13208.46</v>
          </cell>
          <cell r="Y1230">
            <v>6153.94</v>
          </cell>
        </row>
        <row r="1231">
          <cell r="R1231">
            <v>0</v>
          </cell>
          <cell r="X1231">
            <v>0</v>
          </cell>
          <cell r="Y1231">
            <v>0</v>
          </cell>
        </row>
        <row r="1232">
          <cell r="R1232">
            <v>0</v>
          </cell>
          <cell r="X1232">
            <v>0</v>
          </cell>
          <cell r="Y1232">
            <v>0</v>
          </cell>
        </row>
        <row r="1233">
          <cell r="R1233">
            <v>0</v>
          </cell>
          <cell r="X1233">
            <v>0</v>
          </cell>
          <cell r="Y1233">
            <v>0</v>
          </cell>
        </row>
        <row r="1234">
          <cell r="R1234">
            <v>0</v>
          </cell>
          <cell r="X1234">
            <v>0</v>
          </cell>
          <cell r="Y1234">
            <v>0</v>
          </cell>
        </row>
        <row r="1235">
          <cell r="R1235">
            <v>0</v>
          </cell>
          <cell r="X1235">
            <v>0</v>
          </cell>
          <cell r="Y1235">
            <v>0</v>
          </cell>
        </row>
        <row r="1236">
          <cell r="R1236">
            <v>0</v>
          </cell>
          <cell r="X1236">
            <v>0</v>
          </cell>
          <cell r="Y1236">
            <v>0</v>
          </cell>
        </row>
        <row r="1237">
          <cell r="R1237">
            <v>4.38</v>
          </cell>
          <cell r="X1237">
            <v>440.4</v>
          </cell>
          <cell r="Y1237">
            <v>296.27</v>
          </cell>
        </row>
        <row r="1238">
          <cell r="R1238">
            <v>102.27</v>
          </cell>
          <cell r="X1238">
            <v>8226.6</v>
          </cell>
          <cell r="Y1238">
            <v>3832.85</v>
          </cell>
        </row>
        <row r="1241">
          <cell r="R1241">
            <v>0</v>
          </cell>
          <cell r="X1241">
            <v>0</v>
          </cell>
          <cell r="Y1241">
            <v>0</v>
          </cell>
        </row>
        <row r="1242">
          <cell r="R1242">
            <v>0</v>
          </cell>
          <cell r="X1242">
            <v>0</v>
          </cell>
          <cell r="Y1242">
            <v>0</v>
          </cell>
        </row>
        <row r="1243">
          <cell r="R1243">
            <v>0</v>
          </cell>
          <cell r="X1243">
            <v>0</v>
          </cell>
          <cell r="Y1243">
            <v>0</v>
          </cell>
        </row>
        <row r="1244">
          <cell r="R1244">
            <v>0</v>
          </cell>
          <cell r="X1244">
            <v>0</v>
          </cell>
          <cell r="Y1244">
            <v>0</v>
          </cell>
        </row>
        <row r="1245">
          <cell r="R1245">
            <v>1.26</v>
          </cell>
          <cell r="X1245">
            <v>107.24</v>
          </cell>
          <cell r="Y1245">
            <v>72.14</v>
          </cell>
        </row>
        <row r="1246">
          <cell r="R1246">
            <v>29.42</v>
          </cell>
          <cell r="X1246">
            <v>2003.22</v>
          </cell>
          <cell r="Y1246">
            <v>933.32</v>
          </cell>
        </row>
        <row r="1247">
          <cell r="R1247">
            <v>0</v>
          </cell>
          <cell r="X1247">
            <v>0</v>
          </cell>
          <cell r="Y1247">
            <v>0</v>
          </cell>
        </row>
        <row r="1248">
          <cell r="R1248">
            <v>0</v>
          </cell>
          <cell r="X1248">
            <v>0</v>
          </cell>
          <cell r="Y1248">
            <v>0</v>
          </cell>
        </row>
        <row r="1249">
          <cell r="R1249">
            <v>0</v>
          </cell>
          <cell r="X1249">
            <v>0</v>
          </cell>
          <cell r="Y1249">
            <v>0</v>
          </cell>
        </row>
        <row r="1250">
          <cell r="R1250">
            <v>0</v>
          </cell>
          <cell r="X1250">
            <v>0</v>
          </cell>
          <cell r="Y1250">
            <v>0</v>
          </cell>
        </row>
        <row r="1251">
          <cell r="R1251">
            <v>0</v>
          </cell>
          <cell r="X1251">
            <v>0</v>
          </cell>
          <cell r="Y1251">
            <v>0</v>
          </cell>
        </row>
        <row r="1252">
          <cell r="R1252">
            <v>0</v>
          </cell>
          <cell r="X1252">
            <v>0</v>
          </cell>
          <cell r="Y1252">
            <v>0</v>
          </cell>
        </row>
        <row r="1253">
          <cell r="R1253">
            <v>0</v>
          </cell>
          <cell r="X1253">
            <v>0</v>
          </cell>
          <cell r="Y1253">
            <v>0</v>
          </cell>
        </row>
        <row r="1254">
          <cell r="R1254">
            <v>0</v>
          </cell>
          <cell r="X1254">
            <v>0</v>
          </cell>
          <cell r="Y1254">
            <v>0</v>
          </cell>
        </row>
        <row r="1259">
          <cell r="R1259">
            <v>0</v>
          </cell>
          <cell r="X1259">
            <v>0</v>
          </cell>
          <cell r="Y1259">
            <v>0</v>
          </cell>
        </row>
        <row r="1260">
          <cell r="R1260">
            <v>0</v>
          </cell>
          <cell r="X1260">
            <v>0</v>
          </cell>
          <cell r="Y1260">
            <v>0</v>
          </cell>
        </row>
        <row r="1261">
          <cell r="R1261">
            <v>0</v>
          </cell>
          <cell r="X1261">
            <v>0</v>
          </cell>
          <cell r="Y1261">
            <v>0</v>
          </cell>
        </row>
        <row r="1262">
          <cell r="R1262">
            <v>0</v>
          </cell>
          <cell r="X1262">
            <v>0</v>
          </cell>
          <cell r="Y1262">
            <v>0</v>
          </cell>
        </row>
        <row r="1263">
          <cell r="R1263">
            <v>159.5</v>
          </cell>
          <cell r="X1263">
            <v>1844.78</v>
          </cell>
          <cell r="Y1263">
            <v>1241.03</v>
          </cell>
        </row>
        <row r="1264">
          <cell r="R1264">
            <v>3724.33</v>
          </cell>
          <cell r="X1264">
            <v>34460.43</v>
          </cell>
          <cell r="Y1264">
            <v>16055.43</v>
          </cell>
        </row>
        <row r="1265">
          <cell r="R1265">
            <v>0</v>
          </cell>
          <cell r="X1265">
            <v>0</v>
          </cell>
          <cell r="Y1265">
            <v>0</v>
          </cell>
        </row>
        <row r="1266">
          <cell r="R1266">
            <v>0</v>
          </cell>
          <cell r="X1266">
            <v>0</v>
          </cell>
          <cell r="Y1266">
            <v>0</v>
          </cell>
        </row>
        <row r="1302">
          <cell r="R1302">
            <v>0</v>
          </cell>
          <cell r="X1302">
            <v>6367.68</v>
          </cell>
          <cell r="Y1302">
            <v>5943.17</v>
          </cell>
        </row>
        <row r="1303">
          <cell r="R1303">
            <v>0</v>
          </cell>
          <cell r="X1303">
            <v>134808.03</v>
          </cell>
          <cell r="Y1303">
            <v>81281.31</v>
          </cell>
        </row>
        <row r="1304">
          <cell r="R1304">
            <v>0</v>
          </cell>
          <cell r="X1304">
            <v>186.76</v>
          </cell>
          <cell r="Y1304">
            <v>174.31</v>
          </cell>
        </row>
        <row r="1305">
          <cell r="R1305">
            <v>0</v>
          </cell>
          <cell r="X1305">
            <v>3953.78</v>
          </cell>
          <cell r="Y1305">
            <v>2383.9</v>
          </cell>
        </row>
        <row r="1341">
          <cell r="R1341">
            <v>6.98</v>
          </cell>
          <cell r="X1341">
            <v>305.02</v>
          </cell>
          <cell r="Y1341">
            <v>205.19</v>
          </cell>
        </row>
        <row r="1342">
          <cell r="R1342">
            <v>162.97999999999999</v>
          </cell>
          <cell r="X1342">
            <v>5697.75</v>
          </cell>
          <cell r="Y1342">
            <v>2654.64</v>
          </cell>
        </row>
        <row r="1343">
          <cell r="R1343">
            <v>0</v>
          </cell>
          <cell r="X1343">
            <v>0</v>
          </cell>
          <cell r="Y1343">
            <v>0</v>
          </cell>
        </row>
        <row r="1344">
          <cell r="R1344">
            <v>0</v>
          </cell>
          <cell r="X1344">
            <v>0</v>
          </cell>
          <cell r="Y1344">
            <v>0</v>
          </cell>
        </row>
        <row r="1345">
          <cell r="R1345">
            <v>0</v>
          </cell>
          <cell r="X1345">
            <v>0</v>
          </cell>
          <cell r="Y1345">
            <v>0</v>
          </cell>
        </row>
        <row r="1346">
          <cell r="R1346">
            <v>0</v>
          </cell>
          <cell r="X1346">
            <v>0</v>
          </cell>
          <cell r="Y1346">
            <v>0</v>
          </cell>
        </row>
        <row r="1347">
          <cell r="R1347">
            <v>1.83</v>
          </cell>
          <cell r="X1347">
            <v>79.77</v>
          </cell>
          <cell r="Y1347">
            <v>53.66</v>
          </cell>
        </row>
        <row r="1348">
          <cell r="R1348">
            <v>42.73</v>
          </cell>
          <cell r="X1348">
            <v>1490.14</v>
          </cell>
          <cell r="Y1348">
            <v>694.27</v>
          </cell>
        </row>
        <row r="1349">
          <cell r="R1349">
            <v>0</v>
          </cell>
          <cell r="X1349">
            <v>0</v>
          </cell>
          <cell r="Y1349">
            <v>0</v>
          </cell>
        </row>
        <row r="1350">
          <cell r="R1350">
            <v>0</v>
          </cell>
          <cell r="X1350">
            <v>0</v>
          </cell>
          <cell r="Y1350">
            <v>0</v>
          </cell>
        </row>
        <row r="1351">
          <cell r="R1351">
            <v>0</v>
          </cell>
          <cell r="X1351">
            <v>0</v>
          </cell>
          <cell r="Y1351">
            <v>0</v>
          </cell>
        </row>
        <row r="1352">
          <cell r="R1352">
            <v>0</v>
          </cell>
          <cell r="X1352">
            <v>0</v>
          </cell>
          <cell r="Y1352">
            <v>0</v>
          </cell>
        </row>
        <row r="1353">
          <cell r="R1353">
            <v>17.37</v>
          </cell>
          <cell r="X1353">
            <v>652.41</v>
          </cell>
          <cell r="Y1353">
            <v>438.89</v>
          </cell>
        </row>
        <row r="1354">
          <cell r="R1354">
            <v>405.59</v>
          </cell>
          <cell r="X1354">
            <v>12187.02</v>
          </cell>
          <cell r="Y1354">
            <v>5678.04</v>
          </cell>
        </row>
        <row r="1355">
          <cell r="R1355">
            <v>0</v>
          </cell>
          <cell r="X1355">
            <v>0</v>
          </cell>
          <cell r="Y1355">
            <v>0</v>
          </cell>
        </row>
        <row r="1356">
          <cell r="R1356">
            <v>0</v>
          </cell>
          <cell r="X1356">
            <v>0</v>
          </cell>
          <cell r="Y1356">
            <v>0</v>
          </cell>
        </row>
        <row r="1357">
          <cell r="R1357">
            <v>0</v>
          </cell>
          <cell r="X1357">
            <v>0</v>
          </cell>
          <cell r="Y1357">
            <v>0</v>
          </cell>
        </row>
        <row r="1358">
          <cell r="R1358">
            <v>0</v>
          </cell>
          <cell r="X1358">
            <v>0</v>
          </cell>
          <cell r="Y1358">
            <v>0</v>
          </cell>
        </row>
        <row r="1359">
          <cell r="R1359">
            <v>8.3800000000000008</v>
          </cell>
          <cell r="X1359">
            <v>320.95</v>
          </cell>
          <cell r="Y1359">
            <v>215.91</v>
          </cell>
        </row>
        <row r="1360">
          <cell r="R1360">
            <v>195.67</v>
          </cell>
          <cell r="X1360">
            <v>5995.29</v>
          </cell>
          <cell r="Y1360">
            <v>2793.26</v>
          </cell>
        </row>
        <row r="1361">
          <cell r="R1361">
            <v>0</v>
          </cell>
          <cell r="X1361">
            <v>0</v>
          </cell>
          <cell r="Y1361">
            <v>0</v>
          </cell>
        </row>
        <row r="1362">
          <cell r="R1362">
            <v>0</v>
          </cell>
          <cell r="X1362">
            <v>0</v>
          </cell>
          <cell r="Y1362">
            <v>0</v>
          </cell>
        </row>
        <row r="1363">
          <cell r="R1363">
            <v>0</v>
          </cell>
          <cell r="X1363">
            <v>0</v>
          </cell>
          <cell r="Y1363">
            <v>0</v>
          </cell>
        </row>
        <row r="1364">
          <cell r="R1364">
            <v>0</v>
          </cell>
          <cell r="X1364">
            <v>0</v>
          </cell>
          <cell r="Y1364">
            <v>0</v>
          </cell>
        </row>
        <row r="1365">
          <cell r="R1365">
            <v>7.94</v>
          </cell>
          <cell r="X1365">
            <v>304.05</v>
          </cell>
          <cell r="Y1365">
            <v>204.54</v>
          </cell>
        </row>
        <row r="1366">
          <cell r="R1366">
            <v>185.4</v>
          </cell>
          <cell r="X1366">
            <v>5679.67</v>
          </cell>
          <cell r="Y1366">
            <v>2646.21</v>
          </cell>
        </row>
        <row r="1367">
          <cell r="R1367">
            <v>0</v>
          </cell>
          <cell r="X1367">
            <v>0</v>
          </cell>
          <cell r="Y1367">
            <v>0</v>
          </cell>
        </row>
        <row r="1368">
          <cell r="R1368">
            <v>0</v>
          </cell>
          <cell r="X1368">
            <v>0</v>
          </cell>
          <cell r="Y1368">
            <v>0</v>
          </cell>
        </row>
        <row r="1369">
          <cell r="R1369">
            <v>0</v>
          </cell>
          <cell r="X1369">
            <v>0</v>
          </cell>
          <cell r="Y1369">
            <v>0</v>
          </cell>
        </row>
        <row r="1370">
          <cell r="R1370">
            <v>0</v>
          </cell>
          <cell r="X1370">
            <v>0</v>
          </cell>
          <cell r="Y1370">
            <v>0</v>
          </cell>
        </row>
        <row r="1377">
          <cell r="R1377">
            <v>0.23</v>
          </cell>
          <cell r="X1377">
            <v>873.66</v>
          </cell>
          <cell r="Y1377">
            <v>559.14</v>
          </cell>
        </row>
        <row r="1378">
          <cell r="R1378">
            <v>5.37</v>
          </cell>
          <cell r="X1378">
            <v>16523.97</v>
          </cell>
          <cell r="Y1378">
            <v>8363.98</v>
          </cell>
        </row>
        <row r="1379">
          <cell r="R1379">
            <v>0</v>
          </cell>
          <cell r="X1379">
            <v>0</v>
          </cell>
          <cell r="Y1379">
            <v>0</v>
          </cell>
        </row>
        <row r="1380">
          <cell r="R1380">
            <v>0</v>
          </cell>
          <cell r="X1380">
            <v>0</v>
          </cell>
          <cell r="Y1380">
            <v>0</v>
          </cell>
        </row>
        <row r="1381">
          <cell r="R1381">
            <v>0</v>
          </cell>
          <cell r="X1381">
            <v>0</v>
          </cell>
          <cell r="Y1381">
            <v>0</v>
          </cell>
        </row>
        <row r="1382">
          <cell r="R1382">
            <v>0</v>
          </cell>
          <cell r="X1382">
            <v>0</v>
          </cell>
          <cell r="Y1382">
            <v>0</v>
          </cell>
        </row>
        <row r="1383">
          <cell r="R1383">
            <v>88.11</v>
          </cell>
          <cell r="X1383">
            <v>799.13</v>
          </cell>
          <cell r="Y1383">
            <v>614.71</v>
          </cell>
        </row>
        <row r="1384">
          <cell r="R1384">
            <v>2057.37</v>
          </cell>
          <cell r="X1384">
            <v>14968.68</v>
          </cell>
          <cell r="Y1384">
            <v>8407.07</v>
          </cell>
        </row>
        <row r="1385">
          <cell r="R1385">
            <v>0</v>
          </cell>
          <cell r="X1385">
            <v>0</v>
          </cell>
          <cell r="Y1385">
            <v>0</v>
          </cell>
        </row>
        <row r="1386">
          <cell r="R1386">
            <v>0</v>
          </cell>
          <cell r="X1386">
            <v>0</v>
          </cell>
          <cell r="Y1386">
            <v>0</v>
          </cell>
        </row>
        <row r="1387">
          <cell r="R1387">
            <v>0</v>
          </cell>
          <cell r="X1387">
            <v>0</v>
          </cell>
          <cell r="Y1387">
            <v>0</v>
          </cell>
        </row>
        <row r="1388">
          <cell r="R1388">
            <v>0</v>
          </cell>
          <cell r="X1388">
            <v>0</v>
          </cell>
          <cell r="Y1388">
            <v>0</v>
          </cell>
        </row>
        <row r="1389">
          <cell r="R1389">
            <v>0</v>
          </cell>
          <cell r="X1389">
            <v>0</v>
          </cell>
          <cell r="Y1389">
            <v>0</v>
          </cell>
        </row>
        <row r="1390">
          <cell r="R1390">
            <v>0</v>
          </cell>
          <cell r="X1390">
            <v>0</v>
          </cell>
          <cell r="Y1390">
            <v>0</v>
          </cell>
        </row>
        <row r="1391">
          <cell r="R1391">
            <v>0</v>
          </cell>
          <cell r="X1391">
            <v>0</v>
          </cell>
          <cell r="Y1391">
            <v>0</v>
          </cell>
        </row>
        <row r="1392">
          <cell r="R1392">
            <v>0</v>
          </cell>
          <cell r="X1392">
            <v>0</v>
          </cell>
          <cell r="Y1392">
            <v>0</v>
          </cell>
        </row>
        <row r="1393">
          <cell r="R1393">
            <v>0</v>
          </cell>
          <cell r="X1393">
            <v>0</v>
          </cell>
          <cell r="Y1393">
            <v>0</v>
          </cell>
        </row>
        <row r="1394">
          <cell r="R1394">
            <v>0</v>
          </cell>
          <cell r="X1394">
            <v>0</v>
          </cell>
          <cell r="Y1394">
            <v>0</v>
          </cell>
        </row>
        <row r="1395">
          <cell r="R1395">
            <v>0</v>
          </cell>
          <cell r="X1395">
            <v>0</v>
          </cell>
          <cell r="Y1395">
            <v>0</v>
          </cell>
        </row>
        <row r="1396">
          <cell r="R1396">
            <v>0</v>
          </cell>
          <cell r="X1396">
            <v>0</v>
          </cell>
          <cell r="Y1396">
            <v>0</v>
          </cell>
        </row>
        <row r="1397">
          <cell r="R1397">
            <v>0</v>
          </cell>
          <cell r="X1397">
            <v>0</v>
          </cell>
          <cell r="Y1397">
            <v>0</v>
          </cell>
        </row>
        <row r="1398">
          <cell r="R1398">
            <v>0</v>
          </cell>
          <cell r="X1398">
            <v>0</v>
          </cell>
          <cell r="Y1398">
            <v>0</v>
          </cell>
        </row>
        <row r="1399">
          <cell r="R1399">
            <v>0</v>
          </cell>
          <cell r="X1399">
            <v>0</v>
          </cell>
          <cell r="Y1399">
            <v>0</v>
          </cell>
        </row>
        <row r="1400">
          <cell r="R1400">
            <v>0</v>
          </cell>
          <cell r="X1400">
            <v>0</v>
          </cell>
          <cell r="Y1400">
            <v>0</v>
          </cell>
        </row>
        <row r="1401">
          <cell r="R1401">
            <v>0</v>
          </cell>
          <cell r="X1401">
            <v>0</v>
          </cell>
          <cell r="Y1401">
            <v>0</v>
          </cell>
        </row>
        <row r="1402">
          <cell r="R1402">
            <v>0</v>
          </cell>
          <cell r="X1402">
            <v>0</v>
          </cell>
          <cell r="Y1402">
            <v>0</v>
          </cell>
        </row>
        <row r="1403">
          <cell r="R1403">
            <v>0</v>
          </cell>
          <cell r="X1403">
            <v>339.22</v>
          </cell>
          <cell r="Y1403">
            <v>228.2</v>
          </cell>
        </row>
        <row r="1404">
          <cell r="R1404">
            <v>0</v>
          </cell>
          <cell r="X1404">
            <v>6336.59</v>
          </cell>
          <cell r="Y1404">
            <v>2952.27</v>
          </cell>
        </row>
        <row r="1405">
          <cell r="R1405">
            <v>0</v>
          </cell>
          <cell r="X1405">
            <v>130.06</v>
          </cell>
          <cell r="Y1405">
            <v>87.5</v>
          </cell>
        </row>
        <row r="1406">
          <cell r="R1406">
            <v>0</v>
          </cell>
          <cell r="X1406">
            <v>2429.59</v>
          </cell>
          <cell r="Y1406">
            <v>1131.97</v>
          </cell>
        </row>
      </sheetData>
      <sheetData sheetId="4"/>
      <sheetData sheetId="5"/>
      <sheetData sheetId="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Смета по ТСН-2001_1"/>
      <sheetName val="Смета по ТСН-2001_2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28">
          <cell r="R28">
            <v>9.31</v>
          </cell>
          <cell r="X28">
            <v>197.2</v>
          </cell>
          <cell r="Y28">
            <v>132.66</v>
          </cell>
        </row>
        <row r="29">
          <cell r="R29">
            <v>217.39</v>
          </cell>
          <cell r="X29">
            <v>3683.64</v>
          </cell>
          <cell r="Y29">
            <v>1716.24</v>
          </cell>
        </row>
        <row r="30">
          <cell r="R30">
            <v>0</v>
          </cell>
          <cell r="X30">
            <v>0</v>
          </cell>
          <cell r="Y30">
            <v>0</v>
          </cell>
        </row>
        <row r="31">
          <cell r="R31">
            <v>0</v>
          </cell>
          <cell r="X31">
            <v>0</v>
          </cell>
          <cell r="Y31">
            <v>0</v>
          </cell>
        </row>
        <row r="32">
          <cell r="R32">
            <v>0</v>
          </cell>
          <cell r="X32">
            <v>0</v>
          </cell>
          <cell r="Y32">
            <v>0</v>
          </cell>
        </row>
        <row r="33">
          <cell r="R33">
            <v>0</v>
          </cell>
          <cell r="X33">
            <v>0</v>
          </cell>
          <cell r="Y33">
            <v>0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36">
          <cell r="R36">
            <v>0</v>
          </cell>
          <cell r="X36">
            <v>0</v>
          </cell>
          <cell r="Y36">
            <v>0</v>
          </cell>
        </row>
        <row r="37">
          <cell r="R37">
            <v>0</v>
          </cell>
          <cell r="X37">
            <v>0</v>
          </cell>
          <cell r="Y37">
            <v>0</v>
          </cell>
        </row>
        <row r="38">
          <cell r="R38">
            <v>0</v>
          </cell>
          <cell r="X38">
            <v>0</v>
          </cell>
          <cell r="Y38">
            <v>0</v>
          </cell>
        </row>
        <row r="39">
          <cell r="R39">
            <v>0</v>
          </cell>
          <cell r="X39">
            <v>0</v>
          </cell>
          <cell r="Y39">
            <v>0</v>
          </cell>
        </row>
        <row r="40">
          <cell r="R40">
            <v>0</v>
          </cell>
          <cell r="X40">
            <v>0</v>
          </cell>
          <cell r="Y40">
            <v>0</v>
          </cell>
        </row>
        <row r="41">
          <cell r="R41">
            <v>0</v>
          </cell>
          <cell r="X41">
            <v>0</v>
          </cell>
          <cell r="Y41">
            <v>0</v>
          </cell>
        </row>
        <row r="42">
          <cell r="R42">
            <v>0</v>
          </cell>
          <cell r="X42">
            <v>0</v>
          </cell>
          <cell r="Y42">
            <v>0</v>
          </cell>
        </row>
        <row r="43">
          <cell r="R43">
            <v>0</v>
          </cell>
          <cell r="X43">
            <v>0</v>
          </cell>
          <cell r="Y43">
            <v>0</v>
          </cell>
        </row>
        <row r="44">
          <cell r="R44">
            <v>0</v>
          </cell>
          <cell r="X44">
            <v>0</v>
          </cell>
          <cell r="Y44">
            <v>0</v>
          </cell>
        </row>
        <row r="45">
          <cell r="R45">
            <v>0</v>
          </cell>
          <cell r="X45">
            <v>0</v>
          </cell>
          <cell r="Y45">
            <v>0</v>
          </cell>
        </row>
        <row r="46">
          <cell r="R46">
            <v>1.89</v>
          </cell>
          <cell r="X46">
            <v>40.08</v>
          </cell>
          <cell r="Y46">
            <v>26.97</v>
          </cell>
        </row>
        <row r="47">
          <cell r="R47">
            <v>44.13</v>
          </cell>
          <cell r="X47">
            <v>748.77</v>
          </cell>
          <cell r="Y47">
            <v>348.86</v>
          </cell>
        </row>
        <row r="48">
          <cell r="R48">
            <v>0</v>
          </cell>
          <cell r="X48">
            <v>0</v>
          </cell>
          <cell r="Y48">
            <v>0</v>
          </cell>
        </row>
        <row r="49">
          <cell r="R49">
            <v>0</v>
          </cell>
          <cell r="X49">
            <v>0</v>
          </cell>
          <cell r="Y49">
            <v>0</v>
          </cell>
        </row>
        <row r="50">
          <cell r="R50">
            <v>0</v>
          </cell>
          <cell r="X50">
            <v>0</v>
          </cell>
          <cell r="Y50">
            <v>0</v>
          </cell>
        </row>
        <row r="51">
          <cell r="R51">
            <v>0</v>
          </cell>
          <cell r="X51">
            <v>0</v>
          </cell>
          <cell r="Y51">
            <v>0</v>
          </cell>
        </row>
        <row r="52">
          <cell r="R52">
            <v>0</v>
          </cell>
          <cell r="X52">
            <v>4.83</v>
          </cell>
          <cell r="Y52">
            <v>3.25</v>
          </cell>
        </row>
        <row r="53">
          <cell r="R53">
            <v>0</v>
          </cell>
          <cell r="X53">
            <v>90.21</v>
          </cell>
          <cell r="Y53">
            <v>42.03</v>
          </cell>
        </row>
        <row r="54">
          <cell r="R54">
            <v>0</v>
          </cell>
          <cell r="X54">
            <v>0</v>
          </cell>
          <cell r="Y54">
            <v>0</v>
          </cell>
        </row>
        <row r="55">
          <cell r="R55">
            <v>0</v>
          </cell>
          <cell r="X55">
            <v>0</v>
          </cell>
          <cell r="Y55">
            <v>0</v>
          </cell>
        </row>
        <row r="56">
          <cell r="R56">
            <v>0.98</v>
          </cell>
          <cell r="X56">
            <v>13.85</v>
          </cell>
          <cell r="Y56">
            <v>9.32</v>
          </cell>
        </row>
        <row r="57">
          <cell r="R57">
            <v>22.88</v>
          </cell>
          <cell r="X57">
            <v>258.7</v>
          </cell>
          <cell r="Y57">
            <v>120.53</v>
          </cell>
        </row>
        <row r="58">
          <cell r="R58">
            <v>0</v>
          </cell>
          <cell r="X58">
            <v>0</v>
          </cell>
          <cell r="Y58">
            <v>0</v>
          </cell>
        </row>
        <row r="59">
          <cell r="R59">
            <v>0</v>
          </cell>
          <cell r="X59">
            <v>0</v>
          </cell>
          <cell r="Y59">
            <v>0</v>
          </cell>
        </row>
        <row r="60">
          <cell r="R60">
            <v>0.55000000000000004</v>
          </cell>
          <cell r="X60">
            <v>22.67</v>
          </cell>
          <cell r="Y60">
            <v>15.25</v>
          </cell>
        </row>
        <row r="61">
          <cell r="R61">
            <v>12.84</v>
          </cell>
          <cell r="X61">
            <v>423.49</v>
          </cell>
          <cell r="Y61">
            <v>197.31</v>
          </cell>
        </row>
        <row r="62">
          <cell r="R62">
            <v>0</v>
          </cell>
          <cell r="X62">
            <v>0</v>
          </cell>
          <cell r="Y62">
            <v>0</v>
          </cell>
        </row>
        <row r="63">
          <cell r="R63">
            <v>0</v>
          </cell>
          <cell r="X63">
            <v>0</v>
          </cell>
          <cell r="Y63">
            <v>0</v>
          </cell>
        </row>
        <row r="99">
          <cell r="R99">
            <v>26.48</v>
          </cell>
          <cell r="X99">
            <v>1282.3699999999999</v>
          </cell>
          <cell r="Y99">
            <v>753.68</v>
          </cell>
        </row>
        <row r="100">
          <cell r="R100">
            <v>483.35</v>
          </cell>
          <cell r="X100">
            <v>23114.240000000002</v>
          </cell>
          <cell r="Y100">
            <v>10769.13</v>
          </cell>
        </row>
        <row r="101">
          <cell r="R101">
            <v>0</v>
          </cell>
          <cell r="X101">
            <v>0</v>
          </cell>
          <cell r="Y101">
            <v>0</v>
          </cell>
        </row>
        <row r="102">
          <cell r="R102">
            <v>0</v>
          </cell>
          <cell r="X102">
            <v>0</v>
          </cell>
          <cell r="Y102">
            <v>0</v>
          </cell>
        </row>
        <row r="103">
          <cell r="R103">
            <v>0</v>
          </cell>
          <cell r="X103">
            <v>0</v>
          </cell>
          <cell r="Y103">
            <v>0</v>
          </cell>
        </row>
        <row r="104">
          <cell r="R104">
            <v>0</v>
          </cell>
          <cell r="X104">
            <v>0</v>
          </cell>
          <cell r="Y104">
            <v>0</v>
          </cell>
        </row>
        <row r="105">
          <cell r="R105">
            <v>0</v>
          </cell>
          <cell r="X105">
            <v>0</v>
          </cell>
          <cell r="Y105">
            <v>0</v>
          </cell>
        </row>
        <row r="106">
          <cell r="R106">
            <v>0</v>
          </cell>
          <cell r="X106">
            <v>0</v>
          </cell>
          <cell r="Y106">
            <v>0</v>
          </cell>
        </row>
        <row r="107">
          <cell r="R107">
            <v>0</v>
          </cell>
          <cell r="X107">
            <v>0</v>
          </cell>
          <cell r="Y107">
            <v>0</v>
          </cell>
        </row>
        <row r="108">
          <cell r="R108">
            <v>0</v>
          </cell>
          <cell r="X108">
            <v>0</v>
          </cell>
          <cell r="Y108">
            <v>0</v>
          </cell>
        </row>
        <row r="109">
          <cell r="R109">
            <v>5.76</v>
          </cell>
          <cell r="X109">
            <v>278.77999999999997</v>
          </cell>
          <cell r="Y109">
            <v>163.84</v>
          </cell>
        </row>
        <row r="110">
          <cell r="R110">
            <v>105.08</v>
          </cell>
          <cell r="X110">
            <v>5024.8100000000004</v>
          </cell>
          <cell r="Y110">
            <v>2341.1</v>
          </cell>
        </row>
        <row r="111">
          <cell r="R111">
            <v>0</v>
          </cell>
          <cell r="X111">
            <v>0</v>
          </cell>
          <cell r="Y111">
            <v>0</v>
          </cell>
        </row>
        <row r="112">
          <cell r="R112">
            <v>0</v>
          </cell>
          <cell r="X112">
            <v>0</v>
          </cell>
          <cell r="Y112">
            <v>0</v>
          </cell>
        </row>
        <row r="113">
          <cell r="R113">
            <v>0</v>
          </cell>
          <cell r="X113">
            <v>0</v>
          </cell>
          <cell r="Y113">
            <v>0</v>
          </cell>
        </row>
        <row r="114">
          <cell r="R114">
            <v>0</v>
          </cell>
          <cell r="X114">
            <v>0</v>
          </cell>
          <cell r="Y114">
            <v>0</v>
          </cell>
        </row>
        <row r="115">
          <cell r="R115">
            <v>0</v>
          </cell>
          <cell r="X115">
            <v>0</v>
          </cell>
          <cell r="Y115">
            <v>0</v>
          </cell>
        </row>
        <row r="116">
          <cell r="R116">
            <v>0</v>
          </cell>
          <cell r="X116">
            <v>0</v>
          </cell>
          <cell r="Y116">
            <v>0</v>
          </cell>
        </row>
        <row r="117">
          <cell r="R117">
            <v>4.03</v>
          </cell>
          <cell r="X117">
            <v>195.15</v>
          </cell>
          <cell r="Y117">
            <v>114.69</v>
          </cell>
        </row>
        <row r="118">
          <cell r="R118">
            <v>73.55</v>
          </cell>
          <cell r="X118">
            <v>3517.4</v>
          </cell>
          <cell r="Y118">
            <v>1638.79</v>
          </cell>
        </row>
        <row r="119">
          <cell r="R119">
            <v>0</v>
          </cell>
          <cell r="X119">
            <v>0</v>
          </cell>
          <cell r="Y119">
            <v>0</v>
          </cell>
        </row>
        <row r="120">
          <cell r="R120">
            <v>0</v>
          </cell>
          <cell r="X120">
            <v>0</v>
          </cell>
          <cell r="Y120">
            <v>0</v>
          </cell>
        </row>
        <row r="121">
          <cell r="R121">
            <v>0</v>
          </cell>
          <cell r="X121">
            <v>0</v>
          </cell>
          <cell r="Y121">
            <v>0</v>
          </cell>
        </row>
        <row r="122">
          <cell r="R122">
            <v>0</v>
          </cell>
          <cell r="X122">
            <v>0</v>
          </cell>
          <cell r="Y122">
            <v>0</v>
          </cell>
        </row>
        <row r="125">
          <cell r="R125">
            <v>0</v>
          </cell>
          <cell r="X125">
            <v>0</v>
          </cell>
          <cell r="Y125">
            <v>0</v>
          </cell>
        </row>
        <row r="126">
          <cell r="R126">
            <v>0</v>
          </cell>
          <cell r="X126">
            <v>0</v>
          </cell>
          <cell r="Y126">
            <v>0</v>
          </cell>
        </row>
        <row r="127">
          <cell r="R127">
            <v>27.37</v>
          </cell>
          <cell r="X127">
            <v>967.13</v>
          </cell>
          <cell r="Y127">
            <v>568.4</v>
          </cell>
        </row>
        <row r="128">
          <cell r="R128">
            <v>510.66</v>
          </cell>
          <cell r="X128">
            <v>17432.099999999999</v>
          </cell>
          <cell r="Y128">
            <v>8121.78</v>
          </cell>
        </row>
        <row r="129">
          <cell r="R129">
            <v>0</v>
          </cell>
          <cell r="X129">
            <v>0</v>
          </cell>
          <cell r="Y129">
            <v>0</v>
          </cell>
        </row>
        <row r="130">
          <cell r="R130">
            <v>0</v>
          </cell>
          <cell r="X130">
            <v>0</v>
          </cell>
          <cell r="Y130">
            <v>0</v>
          </cell>
        </row>
        <row r="131">
          <cell r="R131">
            <v>0</v>
          </cell>
          <cell r="X131">
            <v>0</v>
          </cell>
          <cell r="Y131">
            <v>0</v>
          </cell>
        </row>
        <row r="132">
          <cell r="R132">
            <v>0</v>
          </cell>
          <cell r="X132">
            <v>0</v>
          </cell>
          <cell r="Y132">
            <v>0</v>
          </cell>
        </row>
        <row r="133">
          <cell r="R133">
            <v>0</v>
          </cell>
          <cell r="X133">
            <v>0</v>
          </cell>
          <cell r="Y133">
            <v>0</v>
          </cell>
        </row>
        <row r="134">
          <cell r="R134">
            <v>0</v>
          </cell>
          <cell r="X134">
            <v>0</v>
          </cell>
          <cell r="Y134">
            <v>0</v>
          </cell>
        </row>
        <row r="135">
          <cell r="R135">
            <v>1.68</v>
          </cell>
          <cell r="X135">
            <v>54.41</v>
          </cell>
          <cell r="Y135">
            <v>31.98</v>
          </cell>
        </row>
        <row r="136">
          <cell r="R136">
            <v>37.36</v>
          </cell>
          <cell r="X136">
            <v>980.76</v>
          </cell>
          <cell r="Y136">
            <v>456.95</v>
          </cell>
        </row>
        <row r="137">
          <cell r="R137">
            <v>0</v>
          </cell>
          <cell r="X137">
            <v>0</v>
          </cell>
          <cell r="Y137">
            <v>0</v>
          </cell>
        </row>
        <row r="138">
          <cell r="R138">
            <v>0</v>
          </cell>
          <cell r="X138">
            <v>0</v>
          </cell>
          <cell r="Y138">
            <v>0</v>
          </cell>
        </row>
        <row r="139">
          <cell r="R139">
            <v>0</v>
          </cell>
          <cell r="X139">
            <v>0</v>
          </cell>
          <cell r="Y139">
            <v>0</v>
          </cell>
        </row>
        <row r="140">
          <cell r="R140">
            <v>0</v>
          </cell>
          <cell r="X140">
            <v>0</v>
          </cell>
          <cell r="Y140">
            <v>0</v>
          </cell>
        </row>
        <row r="141">
          <cell r="R141">
            <v>0</v>
          </cell>
          <cell r="X141">
            <v>790.91</v>
          </cell>
          <cell r="Y141">
            <v>532.07000000000005</v>
          </cell>
        </row>
        <row r="142">
          <cell r="R142">
            <v>0</v>
          </cell>
          <cell r="X142">
            <v>14774.21</v>
          </cell>
          <cell r="Y142">
            <v>6883.44</v>
          </cell>
        </row>
        <row r="143">
          <cell r="R143">
            <v>0</v>
          </cell>
          <cell r="X143">
            <v>8.7899999999999991</v>
          </cell>
          <cell r="Y143">
            <v>5.91</v>
          </cell>
        </row>
        <row r="144">
          <cell r="R144">
            <v>0</v>
          </cell>
          <cell r="X144">
            <v>164.18</v>
          </cell>
          <cell r="Y144">
            <v>76.489999999999995</v>
          </cell>
        </row>
        <row r="145">
          <cell r="R145">
            <v>74.25</v>
          </cell>
          <cell r="X145">
            <v>673.43</v>
          </cell>
          <cell r="Y145">
            <v>518.02</v>
          </cell>
        </row>
        <row r="146">
          <cell r="R146">
            <v>1733.74</v>
          </cell>
          <cell r="X146">
            <v>12614.18</v>
          </cell>
          <cell r="Y146">
            <v>7084.68</v>
          </cell>
        </row>
        <row r="147">
          <cell r="R147">
            <v>0</v>
          </cell>
          <cell r="X147">
            <v>0</v>
          </cell>
          <cell r="Y147">
            <v>0</v>
          </cell>
        </row>
        <row r="148">
          <cell r="R148">
            <v>0</v>
          </cell>
          <cell r="X148">
            <v>0</v>
          </cell>
          <cell r="Y148">
            <v>0</v>
          </cell>
        </row>
        <row r="149">
          <cell r="R149">
            <v>0</v>
          </cell>
          <cell r="X149">
            <v>0</v>
          </cell>
          <cell r="Y149">
            <v>0</v>
          </cell>
        </row>
        <row r="150">
          <cell r="R150">
            <v>0</v>
          </cell>
          <cell r="X150">
            <v>0</v>
          </cell>
          <cell r="Y150">
            <v>0</v>
          </cell>
        </row>
        <row r="151">
          <cell r="R151">
            <v>0</v>
          </cell>
          <cell r="X151">
            <v>0</v>
          </cell>
          <cell r="Y151">
            <v>0</v>
          </cell>
        </row>
        <row r="152">
          <cell r="R152">
            <v>0</v>
          </cell>
          <cell r="X152">
            <v>0</v>
          </cell>
          <cell r="Y152">
            <v>0</v>
          </cell>
        </row>
        <row r="153">
          <cell r="R153">
            <v>0</v>
          </cell>
          <cell r="X153">
            <v>0</v>
          </cell>
          <cell r="Y153">
            <v>0</v>
          </cell>
        </row>
        <row r="154">
          <cell r="R154">
            <v>0</v>
          </cell>
          <cell r="X154">
            <v>0</v>
          </cell>
          <cell r="Y154">
            <v>0</v>
          </cell>
        </row>
        <row r="155">
          <cell r="R155">
            <v>0</v>
          </cell>
          <cell r="X155">
            <v>0</v>
          </cell>
          <cell r="Y155">
            <v>0</v>
          </cell>
        </row>
        <row r="156">
          <cell r="R156">
            <v>0</v>
          </cell>
          <cell r="X156">
            <v>0</v>
          </cell>
          <cell r="Y156">
            <v>0</v>
          </cell>
        </row>
        <row r="157">
          <cell r="R157">
            <v>0</v>
          </cell>
          <cell r="X157">
            <v>0</v>
          </cell>
          <cell r="Y157">
            <v>0</v>
          </cell>
        </row>
        <row r="158">
          <cell r="R158">
            <v>0</v>
          </cell>
          <cell r="X158">
            <v>0</v>
          </cell>
          <cell r="Y158">
            <v>0</v>
          </cell>
        </row>
        <row r="159">
          <cell r="R159">
            <v>0</v>
          </cell>
          <cell r="X159">
            <v>0</v>
          </cell>
          <cell r="Y159">
            <v>0</v>
          </cell>
        </row>
        <row r="160">
          <cell r="R160">
            <v>0</v>
          </cell>
          <cell r="X160">
            <v>0</v>
          </cell>
          <cell r="Y160">
            <v>0</v>
          </cell>
        </row>
        <row r="161">
          <cell r="R161">
            <v>0.28000000000000003</v>
          </cell>
          <cell r="X161">
            <v>9.49</v>
          </cell>
          <cell r="Y161">
            <v>6.39</v>
          </cell>
        </row>
        <row r="162">
          <cell r="R162">
            <v>6.54</v>
          </cell>
          <cell r="X162">
            <v>177.33</v>
          </cell>
          <cell r="Y162">
            <v>82.62</v>
          </cell>
        </row>
        <row r="163">
          <cell r="R163">
            <v>0</v>
          </cell>
          <cell r="X163">
            <v>0</v>
          </cell>
          <cell r="Y163">
            <v>0</v>
          </cell>
        </row>
        <row r="164">
          <cell r="R164">
            <v>0</v>
          </cell>
          <cell r="X164">
            <v>0</v>
          </cell>
          <cell r="Y164">
            <v>0</v>
          </cell>
        </row>
        <row r="165">
          <cell r="R165">
            <v>0</v>
          </cell>
          <cell r="X165">
            <v>0</v>
          </cell>
          <cell r="Y165">
            <v>0</v>
          </cell>
        </row>
        <row r="166">
          <cell r="R166">
            <v>0</v>
          </cell>
          <cell r="X166">
            <v>0</v>
          </cell>
          <cell r="Y166">
            <v>0</v>
          </cell>
        </row>
        <row r="167">
          <cell r="R167">
            <v>2.48</v>
          </cell>
          <cell r="X167">
            <v>106.33</v>
          </cell>
          <cell r="Y167">
            <v>71.53</v>
          </cell>
        </row>
        <row r="168">
          <cell r="R168">
            <v>57.91</v>
          </cell>
          <cell r="X168">
            <v>1986.17</v>
          </cell>
          <cell r="Y168">
            <v>925.37</v>
          </cell>
        </row>
        <row r="169">
          <cell r="R169">
            <v>0</v>
          </cell>
          <cell r="X169">
            <v>0</v>
          </cell>
          <cell r="Y169">
            <v>0</v>
          </cell>
        </row>
        <row r="170">
          <cell r="R170">
            <v>0</v>
          </cell>
          <cell r="X170">
            <v>0</v>
          </cell>
          <cell r="Y170">
            <v>0</v>
          </cell>
        </row>
        <row r="206">
          <cell r="R206">
            <v>5.96</v>
          </cell>
          <cell r="X206">
            <v>127.96</v>
          </cell>
          <cell r="Y206">
            <v>86.08</v>
          </cell>
        </row>
        <row r="207">
          <cell r="R207">
            <v>139.16999999999999</v>
          </cell>
          <cell r="X207">
            <v>2390.35</v>
          </cell>
          <cell r="Y207">
            <v>1113.69</v>
          </cell>
        </row>
        <row r="208">
          <cell r="R208">
            <v>0</v>
          </cell>
          <cell r="X208">
            <v>0</v>
          </cell>
          <cell r="Y208">
            <v>0</v>
          </cell>
        </row>
        <row r="209">
          <cell r="R209">
            <v>0</v>
          </cell>
          <cell r="X209">
            <v>0</v>
          </cell>
          <cell r="Y209">
            <v>0</v>
          </cell>
        </row>
        <row r="210">
          <cell r="R210">
            <v>0</v>
          </cell>
          <cell r="X210">
            <v>0</v>
          </cell>
          <cell r="Y210">
            <v>0</v>
          </cell>
        </row>
        <row r="211">
          <cell r="R211">
            <v>0</v>
          </cell>
          <cell r="X211">
            <v>0</v>
          </cell>
          <cell r="Y211">
            <v>0</v>
          </cell>
        </row>
        <row r="218">
          <cell r="R218">
            <v>5.51</v>
          </cell>
          <cell r="X218">
            <v>242.62</v>
          </cell>
          <cell r="Y218">
            <v>163.21</v>
          </cell>
        </row>
        <row r="219">
          <cell r="R219">
            <v>89.43</v>
          </cell>
          <cell r="X219">
            <v>4532.07</v>
          </cell>
          <cell r="Y219">
            <v>2111.5300000000002</v>
          </cell>
        </row>
        <row r="220">
          <cell r="R220">
            <v>0</v>
          </cell>
          <cell r="X220">
            <v>0</v>
          </cell>
          <cell r="Y220">
            <v>0</v>
          </cell>
        </row>
        <row r="221">
          <cell r="R221">
            <v>0</v>
          </cell>
          <cell r="X221">
            <v>0</v>
          </cell>
          <cell r="Y221">
            <v>0</v>
          </cell>
        </row>
        <row r="222">
          <cell r="R222">
            <v>0</v>
          </cell>
          <cell r="X222">
            <v>0</v>
          </cell>
          <cell r="Y222">
            <v>0</v>
          </cell>
        </row>
        <row r="223">
          <cell r="R223">
            <v>0</v>
          </cell>
          <cell r="X223">
            <v>0</v>
          </cell>
          <cell r="Y223">
            <v>0</v>
          </cell>
        </row>
        <row r="259">
          <cell r="R259">
            <v>27.4</v>
          </cell>
          <cell r="X259">
            <v>1326.98</v>
          </cell>
          <cell r="Y259">
            <v>779.89</v>
          </cell>
        </row>
        <row r="260">
          <cell r="R260">
            <v>500.16</v>
          </cell>
          <cell r="X260">
            <v>23918.29</v>
          </cell>
          <cell r="Y260">
            <v>11143.75</v>
          </cell>
        </row>
        <row r="261">
          <cell r="R261">
            <v>0</v>
          </cell>
          <cell r="X261">
            <v>0</v>
          </cell>
          <cell r="Y261">
            <v>0</v>
          </cell>
        </row>
        <row r="262">
          <cell r="R262">
            <v>0</v>
          </cell>
          <cell r="X262">
            <v>0</v>
          </cell>
          <cell r="Y262">
            <v>0</v>
          </cell>
        </row>
        <row r="263">
          <cell r="R263">
            <v>0</v>
          </cell>
          <cell r="X263">
            <v>0</v>
          </cell>
          <cell r="Y263">
            <v>0</v>
          </cell>
        </row>
        <row r="264">
          <cell r="R264">
            <v>0</v>
          </cell>
          <cell r="X264">
            <v>0</v>
          </cell>
          <cell r="Y264">
            <v>0</v>
          </cell>
        </row>
        <row r="265">
          <cell r="R265">
            <v>0</v>
          </cell>
          <cell r="X265">
            <v>0</v>
          </cell>
          <cell r="Y265">
            <v>0</v>
          </cell>
        </row>
        <row r="266">
          <cell r="R266">
            <v>0</v>
          </cell>
          <cell r="X266">
            <v>0</v>
          </cell>
          <cell r="Y266">
            <v>0</v>
          </cell>
        </row>
        <row r="267">
          <cell r="R267">
            <v>0</v>
          </cell>
          <cell r="X267">
            <v>0</v>
          </cell>
          <cell r="Y267">
            <v>0</v>
          </cell>
        </row>
        <row r="268">
          <cell r="R268">
            <v>0</v>
          </cell>
          <cell r="X268">
            <v>0</v>
          </cell>
          <cell r="Y268">
            <v>0</v>
          </cell>
        </row>
        <row r="269">
          <cell r="R269">
            <v>7.48</v>
          </cell>
          <cell r="X269">
            <v>362.41</v>
          </cell>
          <cell r="Y269">
            <v>212.99</v>
          </cell>
        </row>
        <row r="270">
          <cell r="R270">
            <v>136.6</v>
          </cell>
          <cell r="X270">
            <v>6532.21</v>
          </cell>
          <cell r="Y270">
            <v>3043.42</v>
          </cell>
        </row>
        <row r="271">
          <cell r="R271">
            <v>0</v>
          </cell>
          <cell r="X271">
            <v>0</v>
          </cell>
          <cell r="Y271">
            <v>0</v>
          </cell>
        </row>
        <row r="272">
          <cell r="R272">
            <v>0</v>
          </cell>
          <cell r="X272">
            <v>0</v>
          </cell>
          <cell r="Y272">
            <v>0</v>
          </cell>
        </row>
        <row r="273">
          <cell r="R273">
            <v>0</v>
          </cell>
          <cell r="X273">
            <v>0</v>
          </cell>
          <cell r="Y273">
            <v>0</v>
          </cell>
        </row>
        <row r="274">
          <cell r="R274">
            <v>0</v>
          </cell>
          <cell r="X274">
            <v>0</v>
          </cell>
          <cell r="Y274">
            <v>0</v>
          </cell>
        </row>
        <row r="275">
          <cell r="R275">
            <v>0</v>
          </cell>
          <cell r="X275">
            <v>0</v>
          </cell>
          <cell r="Y275">
            <v>0</v>
          </cell>
        </row>
        <row r="276">
          <cell r="R276">
            <v>0</v>
          </cell>
          <cell r="X276">
            <v>0</v>
          </cell>
          <cell r="Y276">
            <v>0</v>
          </cell>
        </row>
        <row r="277">
          <cell r="R277">
            <v>0</v>
          </cell>
          <cell r="X277">
            <v>0</v>
          </cell>
          <cell r="Y277">
            <v>0</v>
          </cell>
        </row>
        <row r="278">
          <cell r="R278">
            <v>0</v>
          </cell>
          <cell r="X278">
            <v>0</v>
          </cell>
          <cell r="Y278">
            <v>0</v>
          </cell>
        </row>
        <row r="279">
          <cell r="R279">
            <v>15.54</v>
          </cell>
          <cell r="X279">
            <v>752.7</v>
          </cell>
          <cell r="Y279">
            <v>442.37</v>
          </cell>
        </row>
        <row r="280">
          <cell r="R280">
            <v>283.7</v>
          </cell>
          <cell r="X280">
            <v>13567.02</v>
          </cell>
          <cell r="Y280">
            <v>6321</v>
          </cell>
        </row>
        <row r="281">
          <cell r="R281">
            <v>0</v>
          </cell>
          <cell r="X281">
            <v>0</v>
          </cell>
          <cell r="Y281">
            <v>0</v>
          </cell>
        </row>
        <row r="282">
          <cell r="R282">
            <v>0</v>
          </cell>
          <cell r="X282">
            <v>0</v>
          </cell>
          <cell r="Y282">
            <v>0</v>
          </cell>
        </row>
        <row r="283">
          <cell r="R283">
            <v>0</v>
          </cell>
          <cell r="X283">
            <v>0</v>
          </cell>
          <cell r="Y283">
            <v>0</v>
          </cell>
        </row>
        <row r="284">
          <cell r="R284">
            <v>0</v>
          </cell>
          <cell r="X284">
            <v>0</v>
          </cell>
          <cell r="Y284">
            <v>0</v>
          </cell>
        </row>
        <row r="285">
          <cell r="R285">
            <v>0</v>
          </cell>
          <cell r="X285">
            <v>0</v>
          </cell>
          <cell r="Y285">
            <v>0</v>
          </cell>
        </row>
        <row r="286">
          <cell r="R286">
            <v>0</v>
          </cell>
          <cell r="X286">
            <v>0</v>
          </cell>
          <cell r="Y286">
            <v>0</v>
          </cell>
        </row>
        <row r="287">
          <cell r="R287">
            <v>8.2899999999999991</v>
          </cell>
          <cell r="X287">
            <v>401.44</v>
          </cell>
          <cell r="Y287">
            <v>235.93</v>
          </cell>
        </row>
        <row r="288">
          <cell r="R288">
            <v>151.31</v>
          </cell>
          <cell r="X288">
            <v>7235.77</v>
          </cell>
          <cell r="Y288">
            <v>3371.21</v>
          </cell>
        </row>
        <row r="289">
          <cell r="R289">
            <v>0</v>
          </cell>
          <cell r="X289">
            <v>0</v>
          </cell>
          <cell r="Y289">
            <v>0</v>
          </cell>
        </row>
        <row r="290">
          <cell r="R290">
            <v>0</v>
          </cell>
          <cell r="X290">
            <v>0</v>
          </cell>
          <cell r="Y290">
            <v>0</v>
          </cell>
        </row>
        <row r="291">
          <cell r="R291">
            <v>0</v>
          </cell>
          <cell r="X291">
            <v>0</v>
          </cell>
          <cell r="Y291">
            <v>0</v>
          </cell>
        </row>
        <row r="292">
          <cell r="R292">
            <v>0</v>
          </cell>
          <cell r="X292">
            <v>0</v>
          </cell>
          <cell r="Y292">
            <v>0</v>
          </cell>
        </row>
        <row r="293">
          <cell r="R293">
            <v>0</v>
          </cell>
          <cell r="X293">
            <v>0</v>
          </cell>
          <cell r="Y293">
            <v>0</v>
          </cell>
        </row>
        <row r="294">
          <cell r="R294">
            <v>0</v>
          </cell>
          <cell r="X294">
            <v>0</v>
          </cell>
          <cell r="Y294">
            <v>0</v>
          </cell>
        </row>
        <row r="295">
          <cell r="R295">
            <v>0</v>
          </cell>
          <cell r="X295">
            <v>0</v>
          </cell>
          <cell r="Y295">
            <v>0</v>
          </cell>
        </row>
        <row r="296">
          <cell r="R296">
            <v>0</v>
          </cell>
          <cell r="X296">
            <v>0</v>
          </cell>
          <cell r="Y296">
            <v>0</v>
          </cell>
        </row>
        <row r="297">
          <cell r="R297">
            <v>0.46</v>
          </cell>
          <cell r="X297">
            <v>22.3</v>
          </cell>
          <cell r="Y297">
            <v>13.11</v>
          </cell>
        </row>
        <row r="298">
          <cell r="R298">
            <v>8.41</v>
          </cell>
          <cell r="X298">
            <v>401.92</v>
          </cell>
          <cell r="Y298">
            <v>187.26</v>
          </cell>
        </row>
        <row r="299">
          <cell r="R299">
            <v>0</v>
          </cell>
          <cell r="X299">
            <v>0</v>
          </cell>
          <cell r="Y299">
            <v>0</v>
          </cell>
        </row>
        <row r="300">
          <cell r="R300">
            <v>0</v>
          </cell>
          <cell r="X300">
            <v>0</v>
          </cell>
          <cell r="Y300">
            <v>0</v>
          </cell>
        </row>
        <row r="301">
          <cell r="R301">
            <v>0</v>
          </cell>
          <cell r="X301">
            <v>0</v>
          </cell>
          <cell r="Y301">
            <v>0</v>
          </cell>
        </row>
        <row r="302">
          <cell r="R302">
            <v>0</v>
          </cell>
          <cell r="X302">
            <v>0</v>
          </cell>
          <cell r="Y302">
            <v>0</v>
          </cell>
        </row>
        <row r="303">
          <cell r="R303">
            <v>0</v>
          </cell>
          <cell r="X303">
            <v>0</v>
          </cell>
          <cell r="Y303">
            <v>0</v>
          </cell>
        </row>
        <row r="304">
          <cell r="R304">
            <v>0</v>
          </cell>
          <cell r="X304">
            <v>0</v>
          </cell>
          <cell r="Y304">
            <v>0</v>
          </cell>
        </row>
        <row r="305">
          <cell r="R305">
            <v>2.4300000000000002</v>
          </cell>
          <cell r="X305">
            <v>85.97</v>
          </cell>
          <cell r="Y305">
            <v>50.52</v>
          </cell>
        </row>
        <row r="306">
          <cell r="R306">
            <v>45.3</v>
          </cell>
          <cell r="X306">
            <v>1549.52</v>
          </cell>
          <cell r="Y306">
            <v>721.94</v>
          </cell>
        </row>
        <row r="307">
          <cell r="R307">
            <v>0</v>
          </cell>
          <cell r="X307">
            <v>0</v>
          </cell>
          <cell r="Y307">
            <v>0</v>
          </cell>
        </row>
        <row r="308">
          <cell r="R308">
            <v>0</v>
          </cell>
          <cell r="X308">
            <v>0</v>
          </cell>
          <cell r="Y308">
            <v>0</v>
          </cell>
        </row>
        <row r="309">
          <cell r="R309">
            <v>0</v>
          </cell>
          <cell r="X309">
            <v>0</v>
          </cell>
          <cell r="Y309">
            <v>0</v>
          </cell>
        </row>
        <row r="310">
          <cell r="R310">
            <v>0</v>
          </cell>
          <cell r="X310">
            <v>0</v>
          </cell>
          <cell r="Y310">
            <v>0</v>
          </cell>
        </row>
        <row r="311">
          <cell r="R311">
            <v>0</v>
          </cell>
          <cell r="X311">
            <v>0</v>
          </cell>
          <cell r="Y311">
            <v>0</v>
          </cell>
        </row>
        <row r="312">
          <cell r="R312">
            <v>0</v>
          </cell>
          <cell r="X312">
            <v>0</v>
          </cell>
          <cell r="Y312">
            <v>0</v>
          </cell>
        </row>
        <row r="313">
          <cell r="R313">
            <v>2.81</v>
          </cell>
          <cell r="X313">
            <v>105.04</v>
          </cell>
          <cell r="Y313">
            <v>61.73</v>
          </cell>
        </row>
        <row r="314">
          <cell r="R314">
            <v>61.88</v>
          </cell>
          <cell r="X314">
            <v>1893.29</v>
          </cell>
          <cell r="Y314">
            <v>882.1</v>
          </cell>
        </row>
        <row r="315">
          <cell r="R315">
            <v>0</v>
          </cell>
          <cell r="X315">
            <v>0</v>
          </cell>
          <cell r="Y315">
            <v>0</v>
          </cell>
        </row>
        <row r="316">
          <cell r="R316">
            <v>0</v>
          </cell>
          <cell r="X316">
            <v>0</v>
          </cell>
          <cell r="Y316">
            <v>0</v>
          </cell>
        </row>
        <row r="317">
          <cell r="R317">
            <v>0</v>
          </cell>
          <cell r="X317">
            <v>0</v>
          </cell>
          <cell r="Y317">
            <v>0</v>
          </cell>
        </row>
        <row r="318">
          <cell r="R318">
            <v>0</v>
          </cell>
          <cell r="X318">
            <v>0</v>
          </cell>
          <cell r="Y318">
            <v>0</v>
          </cell>
        </row>
        <row r="319">
          <cell r="R319">
            <v>0</v>
          </cell>
          <cell r="X319">
            <v>924.5</v>
          </cell>
          <cell r="Y319">
            <v>621.92999999999995</v>
          </cell>
        </row>
        <row r="320">
          <cell r="R320">
            <v>0</v>
          </cell>
          <cell r="X320">
            <v>17269.57</v>
          </cell>
          <cell r="Y320">
            <v>8046.05</v>
          </cell>
        </row>
        <row r="321">
          <cell r="R321">
            <v>0</v>
          </cell>
          <cell r="X321">
            <v>21.09</v>
          </cell>
          <cell r="Y321">
            <v>14.19</v>
          </cell>
        </row>
        <row r="322">
          <cell r="R322">
            <v>0</v>
          </cell>
          <cell r="X322">
            <v>393.91</v>
          </cell>
          <cell r="Y322">
            <v>183.52</v>
          </cell>
        </row>
        <row r="323">
          <cell r="R323">
            <v>134.97</v>
          </cell>
          <cell r="X323">
            <v>1224.1300000000001</v>
          </cell>
          <cell r="Y323">
            <v>941.64</v>
          </cell>
        </row>
        <row r="324">
          <cell r="R324">
            <v>3151.55</v>
          </cell>
          <cell r="X324">
            <v>22929.61</v>
          </cell>
          <cell r="Y324">
            <v>12878.27</v>
          </cell>
        </row>
        <row r="325">
          <cell r="R325">
            <v>0</v>
          </cell>
          <cell r="X325">
            <v>0</v>
          </cell>
          <cell r="Y325">
            <v>0</v>
          </cell>
        </row>
        <row r="326">
          <cell r="R326">
            <v>0</v>
          </cell>
          <cell r="X326">
            <v>0</v>
          </cell>
          <cell r="Y326">
            <v>0</v>
          </cell>
        </row>
        <row r="327">
          <cell r="R327">
            <v>0</v>
          </cell>
          <cell r="X327">
            <v>0</v>
          </cell>
          <cell r="Y327">
            <v>0</v>
          </cell>
        </row>
        <row r="328">
          <cell r="R328">
            <v>0</v>
          </cell>
          <cell r="X328">
            <v>0</v>
          </cell>
          <cell r="Y328">
            <v>0</v>
          </cell>
        </row>
        <row r="329">
          <cell r="R329">
            <v>0</v>
          </cell>
          <cell r="X329">
            <v>0</v>
          </cell>
          <cell r="Y329">
            <v>0</v>
          </cell>
        </row>
        <row r="330">
          <cell r="R330">
            <v>0</v>
          </cell>
          <cell r="X330">
            <v>0</v>
          </cell>
          <cell r="Y330">
            <v>0</v>
          </cell>
        </row>
        <row r="331">
          <cell r="R331">
            <v>0</v>
          </cell>
          <cell r="X331">
            <v>0</v>
          </cell>
          <cell r="Y331">
            <v>0</v>
          </cell>
        </row>
        <row r="332">
          <cell r="R332">
            <v>0</v>
          </cell>
          <cell r="X332">
            <v>0</v>
          </cell>
          <cell r="Y332">
            <v>0</v>
          </cell>
        </row>
        <row r="333">
          <cell r="R333">
            <v>0</v>
          </cell>
          <cell r="X333">
            <v>0</v>
          </cell>
          <cell r="Y333">
            <v>0</v>
          </cell>
        </row>
        <row r="334">
          <cell r="R334">
            <v>0</v>
          </cell>
          <cell r="X334">
            <v>0</v>
          </cell>
          <cell r="Y334">
            <v>0</v>
          </cell>
        </row>
        <row r="335">
          <cell r="R335">
            <v>0</v>
          </cell>
          <cell r="X335">
            <v>0</v>
          </cell>
          <cell r="Y335">
            <v>0</v>
          </cell>
        </row>
        <row r="336">
          <cell r="R336">
            <v>0</v>
          </cell>
          <cell r="X336">
            <v>0</v>
          </cell>
          <cell r="Y336">
            <v>0</v>
          </cell>
        </row>
        <row r="337">
          <cell r="R337">
            <v>0</v>
          </cell>
          <cell r="X337">
            <v>0</v>
          </cell>
          <cell r="Y337">
            <v>0</v>
          </cell>
        </row>
        <row r="338">
          <cell r="R338">
            <v>0</v>
          </cell>
          <cell r="X338">
            <v>0</v>
          </cell>
          <cell r="Y338">
            <v>0</v>
          </cell>
        </row>
        <row r="339">
          <cell r="R339">
            <v>0.09</v>
          </cell>
          <cell r="X339">
            <v>186.85</v>
          </cell>
          <cell r="Y339">
            <v>125.7</v>
          </cell>
        </row>
        <row r="340">
          <cell r="R340">
            <v>2.1</v>
          </cell>
          <cell r="X340">
            <v>3054</v>
          </cell>
          <cell r="Y340">
            <v>1626.15</v>
          </cell>
        </row>
        <row r="341">
          <cell r="R341">
            <v>0</v>
          </cell>
          <cell r="X341">
            <v>0</v>
          </cell>
          <cell r="Y341">
            <v>0</v>
          </cell>
        </row>
        <row r="342">
          <cell r="R342">
            <v>0</v>
          </cell>
          <cell r="X342">
            <v>0</v>
          </cell>
          <cell r="Y342">
            <v>0</v>
          </cell>
        </row>
        <row r="343">
          <cell r="R343">
            <v>0</v>
          </cell>
          <cell r="X343">
            <v>0</v>
          </cell>
          <cell r="Y343">
            <v>0</v>
          </cell>
        </row>
        <row r="344">
          <cell r="R344">
            <v>0</v>
          </cell>
          <cell r="X344">
            <v>0</v>
          </cell>
          <cell r="Y344">
            <v>0</v>
          </cell>
        </row>
        <row r="345">
          <cell r="R345">
            <v>0</v>
          </cell>
          <cell r="X345">
            <v>0</v>
          </cell>
          <cell r="Y345">
            <v>0</v>
          </cell>
        </row>
        <row r="346">
          <cell r="R346">
            <v>0</v>
          </cell>
          <cell r="X346">
            <v>0</v>
          </cell>
          <cell r="Y346">
            <v>0</v>
          </cell>
        </row>
        <row r="347">
          <cell r="R347">
            <v>0</v>
          </cell>
          <cell r="X347">
            <v>34</v>
          </cell>
          <cell r="Y347">
            <v>22.87</v>
          </cell>
        </row>
        <row r="348">
          <cell r="R348">
            <v>0</v>
          </cell>
          <cell r="X348">
            <v>635.14</v>
          </cell>
          <cell r="Y348">
            <v>295.92</v>
          </cell>
        </row>
        <row r="349">
          <cell r="R349">
            <v>0</v>
          </cell>
          <cell r="X349">
            <v>0</v>
          </cell>
          <cell r="Y349">
            <v>0</v>
          </cell>
        </row>
        <row r="350">
          <cell r="R350">
            <v>0</v>
          </cell>
          <cell r="X350">
            <v>0</v>
          </cell>
          <cell r="Y350">
            <v>0</v>
          </cell>
        </row>
        <row r="351">
          <cell r="R351">
            <v>0.53</v>
          </cell>
          <cell r="X351">
            <v>72.22</v>
          </cell>
          <cell r="Y351">
            <v>48.58</v>
          </cell>
        </row>
        <row r="352">
          <cell r="R352">
            <v>12.38</v>
          </cell>
          <cell r="X352">
            <v>1348.98</v>
          </cell>
          <cell r="Y352">
            <v>628.5</v>
          </cell>
        </row>
        <row r="353">
          <cell r="R353">
            <v>0</v>
          </cell>
          <cell r="X353">
            <v>0</v>
          </cell>
          <cell r="Y353">
            <v>0</v>
          </cell>
        </row>
        <row r="354">
          <cell r="R354">
            <v>0</v>
          </cell>
          <cell r="X354">
            <v>0</v>
          </cell>
          <cell r="Y354">
            <v>0</v>
          </cell>
        </row>
        <row r="355">
          <cell r="R355">
            <v>0.53</v>
          </cell>
          <cell r="X355">
            <v>72.22</v>
          </cell>
          <cell r="Y355">
            <v>48.58</v>
          </cell>
        </row>
        <row r="356">
          <cell r="R356">
            <v>12.38</v>
          </cell>
          <cell r="X356">
            <v>1348.98</v>
          </cell>
          <cell r="Y356">
            <v>628.5</v>
          </cell>
        </row>
        <row r="357">
          <cell r="R357">
            <v>0</v>
          </cell>
          <cell r="X357">
            <v>0</v>
          </cell>
          <cell r="Y357">
            <v>0</v>
          </cell>
        </row>
        <row r="358">
          <cell r="R358">
            <v>0</v>
          </cell>
          <cell r="X358">
            <v>0</v>
          </cell>
          <cell r="Y358">
            <v>0</v>
          </cell>
        </row>
        <row r="394">
          <cell r="R394">
            <v>66.569999999999993</v>
          </cell>
          <cell r="X394">
            <v>1711.96</v>
          </cell>
          <cell r="Y394">
            <v>1176.97</v>
          </cell>
        </row>
        <row r="395">
          <cell r="R395">
            <v>1554.41</v>
          </cell>
          <cell r="X395">
            <v>33978.120000000003</v>
          </cell>
          <cell r="Y395">
            <v>20486.810000000001</v>
          </cell>
        </row>
        <row r="396">
          <cell r="R396">
            <v>0</v>
          </cell>
          <cell r="X396">
            <v>0</v>
          </cell>
          <cell r="Y396">
            <v>0</v>
          </cell>
        </row>
        <row r="397">
          <cell r="R397">
            <v>0</v>
          </cell>
          <cell r="X397">
            <v>0</v>
          </cell>
          <cell r="Y397">
            <v>0</v>
          </cell>
        </row>
        <row r="398">
          <cell r="R398">
            <v>11.61</v>
          </cell>
          <cell r="X398">
            <v>301.39</v>
          </cell>
          <cell r="Y398">
            <v>207.21</v>
          </cell>
        </row>
        <row r="399">
          <cell r="R399">
            <v>271.08999999999997</v>
          </cell>
          <cell r="X399">
            <v>5981.88</v>
          </cell>
          <cell r="Y399">
            <v>3606.72</v>
          </cell>
        </row>
        <row r="400">
          <cell r="R400">
            <v>0</v>
          </cell>
          <cell r="X400">
            <v>0</v>
          </cell>
          <cell r="Y400">
            <v>0</v>
          </cell>
        </row>
        <row r="401">
          <cell r="R401">
            <v>0</v>
          </cell>
          <cell r="X401">
            <v>0</v>
          </cell>
          <cell r="Y401">
            <v>0</v>
          </cell>
        </row>
        <row r="402">
          <cell r="R402">
            <v>25.61</v>
          </cell>
          <cell r="X402">
            <v>772.49</v>
          </cell>
          <cell r="Y402">
            <v>531.09</v>
          </cell>
        </row>
        <row r="403">
          <cell r="R403">
            <v>597.99</v>
          </cell>
          <cell r="X403">
            <v>15331.95</v>
          </cell>
          <cell r="Y403">
            <v>9244.27</v>
          </cell>
        </row>
        <row r="404">
          <cell r="R404">
            <v>0</v>
          </cell>
          <cell r="X404">
            <v>0</v>
          </cell>
          <cell r="Y404">
            <v>0</v>
          </cell>
        </row>
        <row r="405">
          <cell r="R405">
            <v>0</v>
          </cell>
          <cell r="X405">
            <v>0</v>
          </cell>
          <cell r="Y405">
            <v>0</v>
          </cell>
        </row>
        <row r="406">
          <cell r="R406">
            <v>0.18</v>
          </cell>
          <cell r="X406">
            <v>111.39</v>
          </cell>
          <cell r="Y406">
            <v>76.58</v>
          </cell>
        </row>
        <row r="407">
          <cell r="R407">
            <v>4.2</v>
          </cell>
          <cell r="X407">
            <v>2210.85</v>
          </cell>
          <cell r="Y407">
            <v>1333.01</v>
          </cell>
        </row>
        <row r="408">
          <cell r="R408">
            <v>0</v>
          </cell>
          <cell r="X408">
            <v>0</v>
          </cell>
          <cell r="Y408">
            <v>0</v>
          </cell>
        </row>
        <row r="409">
          <cell r="R409">
            <v>0</v>
          </cell>
          <cell r="X409">
            <v>0</v>
          </cell>
          <cell r="Y409">
            <v>0</v>
          </cell>
        </row>
        <row r="479">
          <cell r="R479">
            <v>4.99</v>
          </cell>
          <cell r="X479">
            <v>615.29</v>
          </cell>
          <cell r="Y479">
            <v>413.92</v>
          </cell>
        </row>
        <row r="480">
          <cell r="R480">
            <v>116.52</v>
          </cell>
          <cell r="X480">
            <v>11493.52</v>
          </cell>
          <cell r="Y480">
            <v>5354.94</v>
          </cell>
        </row>
        <row r="481">
          <cell r="R481">
            <v>0</v>
          </cell>
          <cell r="X481">
            <v>0</v>
          </cell>
          <cell r="Y481">
            <v>0</v>
          </cell>
        </row>
        <row r="482">
          <cell r="R482">
            <v>0</v>
          </cell>
          <cell r="X482">
            <v>0</v>
          </cell>
          <cell r="Y482">
            <v>0</v>
          </cell>
        </row>
        <row r="483">
          <cell r="R483">
            <v>2.92</v>
          </cell>
          <cell r="X483">
            <v>124.43</v>
          </cell>
          <cell r="Y483">
            <v>83.71</v>
          </cell>
        </row>
        <row r="484">
          <cell r="R484">
            <v>68.180000000000007</v>
          </cell>
          <cell r="X484">
            <v>2324.39</v>
          </cell>
          <cell r="Y484">
            <v>1082.95</v>
          </cell>
        </row>
        <row r="485">
          <cell r="R485">
            <v>0</v>
          </cell>
          <cell r="X485">
            <v>0</v>
          </cell>
          <cell r="Y485">
            <v>0</v>
          </cell>
        </row>
        <row r="486">
          <cell r="R486">
            <v>0</v>
          </cell>
          <cell r="X486">
            <v>0</v>
          </cell>
          <cell r="Y486">
            <v>0</v>
          </cell>
        </row>
        <row r="487">
          <cell r="R487">
            <v>0</v>
          </cell>
          <cell r="X487">
            <v>0</v>
          </cell>
          <cell r="Y487">
            <v>0</v>
          </cell>
        </row>
        <row r="488">
          <cell r="R488">
            <v>0</v>
          </cell>
          <cell r="X488">
            <v>0</v>
          </cell>
          <cell r="Y488">
            <v>0</v>
          </cell>
        </row>
        <row r="489">
          <cell r="R489">
            <v>0</v>
          </cell>
          <cell r="X489">
            <v>0</v>
          </cell>
          <cell r="Y489">
            <v>0</v>
          </cell>
        </row>
        <row r="490">
          <cell r="R490">
            <v>0</v>
          </cell>
          <cell r="X490">
            <v>0</v>
          </cell>
          <cell r="Y490">
            <v>0</v>
          </cell>
        </row>
        <row r="491">
          <cell r="R491">
            <v>1.65</v>
          </cell>
          <cell r="X491">
            <v>68</v>
          </cell>
          <cell r="Y491">
            <v>45.75</v>
          </cell>
        </row>
        <row r="492">
          <cell r="R492">
            <v>38.53</v>
          </cell>
          <cell r="X492">
            <v>1270.28</v>
          </cell>
          <cell r="Y492">
            <v>591.84</v>
          </cell>
        </row>
        <row r="493">
          <cell r="R493">
            <v>0</v>
          </cell>
          <cell r="X493">
            <v>0</v>
          </cell>
          <cell r="Y493">
            <v>0</v>
          </cell>
        </row>
        <row r="494">
          <cell r="R494">
            <v>0</v>
          </cell>
          <cell r="X494">
            <v>0</v>
          </cell>
          <cell r="Y494">
            <v>0</v>
          </cell>
        </row>
        <row r="495">
          <cell r="R495">
            <v>0</v>
          </cell>
          <cell r="X495">
            <v>0</v>
          </cell>
          <cell r="Y495">
            <v>0</v>
          </cell>
        </row>
        <row r="496">
          <cell r="R496">
            <v>0</v>
          </cell>
          <cell r="X496">
            <v>0</v>
          </cell>
          <cell r="Y496">
            <v>0</v>
          </cell>
        </row>
        <row r="497">
          <cell r="R497">
            <v>0.85</v>
          </cell>
          <cell r="X497">
            <v>90.05</v>
          </cell>
          <cell r="Y497">
            <v>60.58</v>
          </cell>
        </row>
        <row r="498">
          <cell r="R498">
            <v>19.850000000000001</v>
          </cell>
          <cell r="X498">
            <v>1682.06</v>
          </cell>
          <cell r="Y498">
            <v>783.69</v>
          </cell>
        </row>
        <row r="499">
          <cell r="R499">
            <v>0</v>
          </cell>
          <cell r="X499">
            <v>0</v>
          </cell>
          <cell r="Y499">
            <v>0</v>
          </cell>
        </row>
        <row r="500">
          <cell r="R500">
            <v>0</v>
          </cell>
          <cell r="X500">
            <v>0</v>
          </cell>
          <cell r="Y500">
            <v>0</v>
          </cell>
        </row>
        <row r="536">
          <cell r="R536">
            <v>8.8000000000000007</v>
          </cell>
          <cell r="X536">
            <v>280.63</v>
          </cell>
          <cell r="Y536">
            <v>188.79</v>
          </cell>
        </row>
        <row r="537">
          <cell r="R537">
            <v>205.48</v>
          </cell>
          <cell r="X537">
            <v>5242.2</v>
          </cell>
          <cell r="Y537">
            <v>2442.39</v>
          </cell>
        </row>
        <row r="538">
          <cell r="R538">
            <v>0</v>
          </cell>
          <cell r="X538">
            <v>0</v>
          </cell>
          <cell r="Y538">
            <v>0</v>
          </cell>
        </row>
        <row r="539">
          <cell r="R539">
            <v>0</v>
          </cell>
          <cell r="X539">
            <v>0</v>
          </cell>
          <cell r="Y539">
            <v>0</v>
          </cell>
        </row>
        <row r="540">
          <cell r="R540">
            <v>0</v>
          </cell>
          <cell r="X540">
            <v>43.04</v>
          </cell>
          <cell r="Y540">
            <v>28.96</v>
          </cell>
        </row>
        <row r="541">
          <cell r="R541">
            <v>0</v>
          </cell>
          <cell r="X541">
            <v>804.05</v>
          </cell>
          <cell r="Y541">
            <v>374.61</v>
          </cell>
        </row>
        <row r="542">
          <cell r="R542">
            <v>0</v>
          </cell>
          <cell r="X542">
            <v>0</v>
          </cell>
          <cell r="Y542">
            <v>0</v>
          </cell>
        </row>
        <row r="543">
          <cell r="R543">
            <v>0</v>
          </cell>
          <cell r="X543">
            <v>0</v>
          </cell>
          <cell r="Y543">
            <v>0</v>
          </cell>
        </row>
        <row r="544">
          <cell r="R544">
            <v>20.13</v>
          </cell>
          <cell r="X544">
            <v>1432.06</v>
          </cell>
          <cell r="Y544">
            <v>963.38</v>
          </cell>
        </row>
        <row r="545">
          <cell r="R545">
            <v>389.48</v>
          </cell>
          <cell r="X545">
            <v>26750.82</v>
          </cell>
          <cell r="Y545">
            <v>12463.45</v>
          </cell>
        </row>
        <row r="546">
          <cell r="R546">
            <v>0</v>
          </cell>
          <cell r="X546">
            <v>0</v>
          </cell>
          <cell r="Y546">
            <v>0</v>
          </cell>
        </row>
        <row r="547">
          <cell r="R547">
            <v>0</v>
          </cell>
          <cell r="X547">
            <v>0</v>
          </cell>
          <cell r="Y547">
            <v>0</v>
          </cell>
        </row>
        <row r="548">
          <cell r="R548">
            <v>0</v>
          </cell>
          <cell r="X548">
            <v>0</v>
          </cell>
          <cell r="Y548">
            <v>0</v>
          </cell>
        </row>
        <row r="549">
          <cell r="R549">
            <v>0</v>
          </cell>
          <cell r="X549">
            <v>0</v>
          </cell>
          <cell r="Y549">
            <v>0</v>
          </cell>
        </row>
        <row r="550">
          <cell r="R550">
            <v>0</v>
          </cell>
          <cell r="X550">
            <v>0</v>
          </cell>
          <cell r="Y550">
            <v>0</v>
          </cell>
        </row>
        <row r="551">
          <cell r="R551">
            <v>0</v>
          </cell>
          <cell r="X551">
            <v>0</v>
          </cell>
          <cell r="Y551">
            <v>0</v>
          </cell>
        </row>
        <row r="552">
          <cell r="R552">
            <v>0</v>
          </cell>
          <cell r="X552">
            <v>0</v>
          </cell>
          <cell r="Y552">
            <v>0</v>
          </cell>
        </row>
        <row r="553">
          <cell r="R553">
            <v>0</v>
          </cell>
          <cell r="X553">
            <v>0</v>
          </cell>
          <cell r="Y553">
            <v>0</v>
          </cell>
        </row>
        <row r="554">
          <cell r="R554">
            <v>0</v>
          </cell>
          <cell r="X554">
            <v>0</v>
          </cell>
          <cell r="Y554">
            <v>0</v>
          </cell>
        </row>
        <row r="555">
          <cell r="R555">
            <v>0</v>
          </cell>
          <cell r="X555">
            <v>0</v>
          </cell>
          <cell r="Y555">
            <v>0</v>
          </cell>
        </row>
        <row r="560">
          <cell r="R560">
            <v>1.18</v>
          </cell>
          <cell r="X560">
            <v>49.82</v>
          </cell>
          <cell r="Y560">
            <v>33.51</v>
          </cell>
        </row>
        <row r="561">
          <cell r="R561">
            <v>27.55</v>
          </cell>
          <cell r="X561">
            <v>930.62</v>
          </cell>
          <cell r="Y561">
            <v>433.58</v>
          </cell>
        </row>
        <row r="562">
          <cell r="R562">
            <v>0</v>
          </cell>
          <cell r="X562">
            <v>0</v>
          </cell>
          <cell r="Y562">
            <v>0</v>
          </cell>
        </row>
        <row r="563">
          <cell r="R563">
            <v>0</v>
          </cell>
          <cell r="X563">
            <v>0</v>
          </cell>
          <cell r="Y563">
            <v>0</v>
          </cell>
        </row>
        <row r="564">
          <cell r="R564">
            <v>0</v>
          </cell>
          <cell r="X564">
            <v>0</v>
          </cell>
          <cell r="Y564">
            <v>0</v>
          </cell>
        </row>
        <row r="565">
          <cell r="R565">
            <v>0</v>
          </cell>
          <cell r="X565">
            <v>0</v>
          </cell>
          <cell r="Y565">
            <v>0</v>
          </cell>
        </row>
        <row r="570">
          <cell r="R570">
            <v>2.65</v>
          </cell>
          <cell r="X570">
            <v>29.8</v>
          </cell>
          <cell r="Y570">
            <v>20.05</v>
          </cell>
        </row>
        <row r="571">
          <cell r="R571">
            <v>50.2</v>
          </cell>
          <cell r="X571">
            <v>556.64</v>
          </cell>
          <cell r="Y571">
            <v>259.35000000000002</v>
          </cell>
        </row>
        <row r="572">
          <cell r="R572">
            <v>0</v>
          </cell>
          <cell r="X572">
            <v>0</v>
          </cell>
          <cell r="Y572">
            <v>0</v>
          </cell>
        </row>
        <row r="573">
          <cell r="R573">
            <v>0</v>
          </cell>
          <cell r="X573">
            <v>0</v>
          </cell>
          <cell r="Y573">
            <v>0</v>
          </cell>
        </row>
        <row r="574">
          <cell r="R574">
            <v>0</v>
          </cell>
          <cell r="X574">
            <v>0</v>
          </cell>
          <cell r="Y574">
            <v>0</v>
          </cell>
        </row>
        <row r="575">
          <cell r="R575">
            <v>0</v>
          </cell>
          <cell r="X575">
            <v>0</v>
          </cell>
          <cell r="Y575">
            <v>0</v>
          </cell>
        </row>
        <row r="576">
          <cell r="R576">
            <v>0</v>
          </cell>
          <cell r="X576">
            <v>0</v>
          </cell>
          <cell r="Y576">
            <v>0</v>
          </cell>
        </row>
        <row r="577">
          <cell r="R577">
            <v>0</v>
          </cell>
          <cell r="X577">
            <v>0</v>
          </cell>
          <cell r="Y577">
            <v>0</v>
          </cell>
        </row>
        <row r="582">
          <cell r="R582">
            <v>1.18</v>
          </cell>
          <cell r="X582">
            <v>49.82</v>
          </cell>
          <cell r="Y582">
            <v>33.51</v>
          </cell>
        </row>
        <row r="583">
          <cell r="R583">
            <v>27.55</v>
          </cell>
          <cell r="X583">
            <v>930.62</v>
          </cell>
          <cell r="Y583">
            <v>433.58</v>
          </cell>
        </row>
        <row r="584">
          <cell r="R584">
            <v>0</v>
          </cell>
          <cell r="X584">
            <v>0</v>
          </cell>
          <cell r="Y584">
            <v>0</v>
          </cell>
        </row>
        <row r="585">
          <cell r="R585">
            <v>0</v>
          </cell>
          <cell r="X585">
            <v>0</v>
          </cell>
          <cell r="Y585">
            <v>0</v>
          </cell>
        </row>
        <row r="586">
          <cell r="R586">
            <v>32.06</v>
          </cell>
          <cell r="X586">
            <v>541.16999999999996</v>
          </cell>
          <cell r="Y586">
            <v>364.06</v>
          </cell>
        </row>
        <row r="587">
          <cell r="R587">
            <v>748.6</v>
          </cell>
          <cell r="X587">
            <v>10109</v>
          </cell>
          <cell r="Y587">
            <v>4709.88</v>
          </cell>
        </row>
        <row r="588">
          <cell r="R588">
            <v>0</v>
          </cell>
          <cell r="X588">
            <v>0</v>
          </cell>
          <cell r="Y588">
            <v>0</v>
          </cell>
        </row>
        <row r="589">
          <cell r="R589">
            <v>0</v>
          </cell>
          <cell r="X589">
            <v>0</v>
          </cell>
          <cell r="Y589">
            <v>0</v>
          </cell>
        </row>
        <row r="594">
          <cell r="R594">
            <v>0</v>
          </cell>
          <cell r="X594">
            <v>170.02</v>
          </cell>
          <cell r="Y594">
            <v>114.37</v>
          </cell>
        </row>
        <row r="595">
          <cell r="R595">
            <v>0</v>
          </cell>
          <cell r="X595">
            <v>3175.9</v>
          </cell>
          <cell r="Y595">
            <v>1479.68</v>
          </cell>
        </row>
        <row r="596">
          <cell r="R596">
            <v>0</v>
          </cell>
          <cell r="X596">
            <v>0</v>
          </cell>
          <cell r="Y596">
            <v>0</v>
          </cell>
        </row>
        <row r="597">
          <cell r="R597">
            <v>0</v>
          </cell>
          <cell r="X597">
            <v>0</v>
          </cell>
          <cell r="Y597">
            <v>0</v>
          </cell>
        </row>
        <row r="600">
          <cell r="R600">
            <v>21.3</v>
          </cell>
          <cell r="X600">
            <v>883.78</v>
          </cell>
          <cell r="Y600">
            <v>594.54999999999995</v>
          </cell>
        </row>
        <row r="601">
          <cell r="R601">
            <v>497.36</v>
          </cell>
          <cell r="X601">
            <v>16509.080000000002</v>
          </cell>
          <cell r="Y601">
            <v>7691.73</v>
          </cell>
        </row>
        <row r="602">
          <cell r="R602">
            <v>0</v>
          </cell>
          <cell r="X602">
            <v>0</v>
          </cell>
          <cell r="Y602">
            <v>0</v>
          </cell>
        </row>
        <row r="603">
          <cell r="R603">
            <v>0</v>
          </cell>
          <cell r="X603">
            <v>0</v>
          </cell>
          <cell r="Y603">
            <v>0</v>
          </cell>
        </row>
        <row r="604">
          <cell r="R604">
            <v>0</v>
          </cell>
          <cell r="X604">
            <v>0</v>
          </cell>
          <cell r="Y604">
            <v>0</v>
          </cell>
        </row>
        <row r="605">
          <cell r="R605">
            <v>0</v>
          </cell>
          <cell r="X605">
            <v>0</v>
          </cell>
          <cell r="Y605">
            <v>0</v>
          </cell>
        </row>
        <row r="606">
          <cell r="R606">
            <v>0.88</v>
          </cell>
          <cell r="X606">
            <v>36.369999999999997</v>
          </cell>
          <cell r="Y606">
            <v>24.46</v>
          </cell>
        </row>
        <row r="607">
          <cell r="R607">
            <v>20.55</v>
          </cell>
          <cell r="X607">
            <v>679.32</v>
          </cell>
          <cell r="Y607">
            <v>316.5</v>
          </cell>
        </row>
        <row r="608">
          <cell r="R608">
            <v>0</v>
          </cell>
          <cell r="X608">
            <v>0</v>
          </cell>
          <cell r="Y608">
            <v>0</v>
          </cell>
        </row>
        <row r="609">
          <cell r="R609">
            <v>0</v>
          </cell>
          <cell r="X609">
            <v>0</v>
          </cell>
          <cell r="Y609">
            <v>0</v>
          </cell>
        </row>
        <row r="645">
          <cell r="R645">
            <v>0.6</v>
          </cell>
          <cell r="X645">
            <v>35.31</v>
          </cell>
          <cell r="Y645">
            <v>23.75</v>
          </cell>
        </row>
        <row r="646">
          <cell r="R646">
            <v>14.01</v>
          </cell>
          <cell r="X646">
            <v>659.6</v>
          </cell>
          <cell r="Y646">
            <v>307.31</v>
          </cell>
        </row>
        <row r="647">
          <cell r="R647">
            <v>0</v>
          </cell>
          <cell r="X647">
            <v>0</v>
          </cell>
          <cell r="Y647">
            <v>0</v>
          </cell>
        </row>
        <row r="648">
          <cell r="R648">
            <v>0</v>
          </cell>
          <cell r="X648">
            <v>0</v>
          </cell>
          <cell r="Y648">
            <v>0</v>
          </cell>
        </row>
        <row r="649">
          <cell r="R649">
            <v>0</v>
          </cell>
          <cell r="X649">
            <v>0</v>
          </cell>
          <cell r="Y649">
            <v>0</v>
          </cell>
        </row>
        <row r="650">
          <cell r="R650">
            <v>0</v>
          </cell>
          <cell r="X650">
            <v>0</v>
          </cell>
          <cell r="Y650">
            <v>0</v>
          </cell>
        </row>
        <row r="651">
          <cell r="R651">
            <v>0</v>
          </cell>
          <cell r="X651">
            <v>0</v>
          </cell>
          <cell r="Y651">
            <v>0</v>
          </cell>
        </row>
        <row r="652">
          <cell r="R652">
            <v>0</v>
          </cell>
          <cell r="X652">
            <v>0</v>
          </cell>
          <cell r="Y652">
            <v>0</v>
          </cell>
        </row>
        <row r="653">
          <cell r="R653">
            <v>10.97</v>
          </cell>
          <cell r="X653">
            <v>4028.31</v>
          </cell>
          <cell r="Y653">
            <v>2709.95</v>
          </cell>
        </row>
        <row r="654">
          <cell r="R654">
            <v>256.14999999999998</v>
          </cell>
          <cell r="X654">
            <v>75248.84</v>
          </cell>
          <cell r="Y654">
            <v>35059.120000000003</v>
          </cell>
        </row>
        <row r="655">
          <cell r="R655">
            <v>0</v>
          </cell>
          <cell r="X655">
            <v>0</v>
          </cell>
          <cell r="Y655">
            <v>0</v>
          </cell>
        </row>
        <row r="656">
          <cell r="R656">
            <v>0</v>
          </cell>
          <cell r="X656">
            <v>0</v>
          </cell>
          <cell r="Y656">
            <v>0</v>
          </cell>
        </row>
        <row r="657">
          <cell r="R657">
            <v>0</v>
          </cell>
          <cell r="X657">
            <v>0</v>
          </cell>
          <cell r="Y657">
            <v>0</v>
          </cell>
        </row>
        <row r="658">
          <cell r="R658">
            <v>0</v>
          </cell>
          <cell r="X658">
            <v>0</v>
          </cell>
          <cell r="Y658">
            <v>0</v>
          </cell>
        </row>
        <row r="659">
          <cell r="R659">
            <v>0</v>
          </cell>
          <cell r="X659">
            <v>0</v>
          </cell>
          <cell r="Y659">
            <v>0</v>
          </cell>
        </row>
        <row r="660">
          <cell r="R660">
            <v>0</v>
          </cell>
          <cell r="X660">
            <v>0</v>
          </cell>
          <cell r="Y660">
            <v>0</v>
          </cell>
        </row>
        <row r="661">
          <cell r="R661">
            <v>0</v>
          </cell>
          <cell r="X661">
            <v>0</v>
          </cell>
          <cell r="Y661">
            <v>0</v>
          </cell>
        </row>
        <row r="662">
          <cell r="R662">
            <v>0</v>
          </cell>
          <cell r="X662">
            <v>0</v>
          </cell>
          <cell r="Y662">
            <v>0</v>
          </cell>
        </row>
        <row r="663">
          <cell r="R663">
            <v>12.46</v>
          </cell>
          <cell r="X663">
            <v>2194.34</v>
          </cell>
          <cell r="Y663">
            <v>1476.19</v>
          </cell>
        </row>
        <row r="664">
          <cell r="R664">
            <v>290.94</v>
          </cell>
          <cell r="X664">
            <v>40990.18</v>
          </cell>
          <cell r="Y664">
            <v>19097.7</v>
          </cell>
        </row>
        <row r="665">
          <cell r="R665">
            <v>0</v>
          </cell>
          <cell r="X665">
            <v>0</v>
          </cell>
          <cell r="Y665">
            <v>0</v>
          </cell>
        </row>
        <row r="666">
          <cell r="R666">
            <v>0</v>
          </cell>
          <cell r="X666">
            <v>0</v>
          </cell>
          <cell r="Y666">
            <v>0</v>
          </cell>
        </row>
        <row r="667">
          <cell r="R667">
            <v>0</v>
          </cell>
          <cell r="X667">
            <v>0</v>
          </cell>
          <cell r="Y667">
            <v>0</v>
          </cell>
        </row>
        <row r="668">
          <cell r="R668">
            <v>0</v>
          </cell>
          <cell r="X668">
            <v>0</v>
          </cell>
          <cell r="Y668">
            <v>0</v>
          </cell>
        </row>
        <row r="669">
          <cell r="R669">
            <v>0</v>
          </cell>
          <cell r="X669">
            <v>0</v>
          </cell>
          <cell r="Y669">
            <v>0</v>
          </cell>
        </row>
        <row r="670">
          <cell r="R670">
            <v>0</v>
          </cell>
          <cell r="X670">
            <v>0</v>
          </cell>
          <cell r="Y670">
            <v>0</v>
          </cell>
        </row>
        <row r="671">
          <cell r="R671">
            <v>0</v>
          </cell>
          <cell r="X671">
            <v>0</v>
          </cell>
          <cell r="Y671">
            <v>0</v>
          </cell>
        </row>
        <row r="672">
          <cell r="R672">
            <v>0</v>
          </cell>
          <cell r="X672">
            <v>0</v>
          </cell>
          <cell r="Y672">
            <v>0</v>
          </cell>
        </row>
        <row r="673">
          <cell r="R673">
            <v>0</v>
          </cell>
          <cell r="X673">
            <v>0</v>
          </cell>
          <cell r="Y673">
            <v>0</v>
          </cell>
        </row>
        <row r="674">
          <cell r="R674">
            <v>0</v>
          </cell>
          <cell r="X674">
            <v>0</v>
          </cell>
          <cell r="Y674">
            <v>0</v>
          </cell>
        </row>
        <row r="675">
          <cell r="R675">
            <v>0.05</v>
          </cell>
          <cell r="X675">
            <v>200.55</v>
          </cell>
          <cell r="Y675">
            <v>134.91999999999999</v>
          </cell>
        </row>
        <row r="676">
          <cell r="R676">
            <v>1.17</v>
          </cell>
          <cell r="X676">
            <v>3746.31</v>
          </cell>
          <cell r="Y676">
            <v>1745.44</v>
          </cell>
        </row>
        <row r="677">
          <cell r="R677">
            <v>0</v>
          </cell>
          <cell r="X677">
            <v>0</v>
          </cell>
          <cell r="Y677">
            <v>0</v>
          </cell>
        </row>
        <row r="678">
          <cell r="R678">
            <v>0</v>
          </cell>
          <cell r="X678">
            <v>0</v>
          </cell>
          <cell r="Y678">
            <v>0</v>
          </cell>
        </row>
        <row r="683">
          <cell r="R683">
            <v>0.45</v>
          </cell>
          <cell r="X683">
            <v>252.88</v>
          </cell>
          <cell r="Y683">
            <v>170.12</v>
          </cell>
        </row>
        <row r="684">
          <cell r="R684">
            <v>10.51</v>
          </cell>
          <cell r="X684">
            <v>4723.78</v>
          </cell>
          <cell r="Y684">
            <v>2200.85</v>
          </cell>
        </row>
        <row r="685">
          <cell r="R685">
            <v>0</v>
          </cell>
          <cell r="X685">
            <v>0</v>
          </cell>
          <cell r="Y685">
            <v>0</v>
          </cell>
        </row>
        <row r="686">
          <cell r="R686">
            <v>0</v>
          </cell>
          <cell r="X686">
            <v>0</v>
          </cell>
          <cell r="Y686">
            <v>0</v>
          </cell>
        </row>
        <row r="687">
          <cell r="R687">
            <v>0.35</v>
          </cell>
          <cell r="X687">
            <v>460.92</v>
          </cell>
          <cell r="Y687">
            <v>310.07</v>
          </cell>
        </row>
        <row r="688">
          <cell r="R688">
            <v>8.17</v>
          </cell>
          <cell r="X688">
            <v>8610.0300000000007</v>
          </cell>
          <cell r="Y688">
            <v>4011.49</v>
          </cell>
        </row>
        <row r="689">
          <cell r="R689">
            <v>0</v>
          </cell>
          <cell r="X689">
            <v>0</v>
          </cell>
          <cell r="Y689">
            <v>0</v>
          </cell>
        </row>
        <row r="690">
          <cell r="R690">
            <v>0</v>
          </cell>
          <cell r="X690">
            <v>0</v>
          </cell>
          <cell r="Y690">
            <v>0</v>
          </cell>
        </row>
        <row r="691">
          <cell r="R691">
            <v>38.28</v>
          </cell>
          <cell r="X691">
            <v>347.18</v>
          </cell>
          <cell r="Y691">
            <v>267.06</v>
          </cell>
        </row>
        <row r="692">
          <cell r="R692">
            <v>893.84</v>
          </cell>
          <cell r="X692">
            <v>6503.2</v>
          </cell>
          <cell r="Y692">
            <v>3652.48</v>
          </cell>
        </row>
        <row r="693">
          <cell r="R693">
            <v>0</v>
          </cell>
          <cell r="X693">
            <v>0</v>
          </cell>
          <cell r="Y693">
            <v>0</v>
          </cell>
        </row>
        <row r="694">
          <cell r="R694">
            <v>0</v>
          </cell>
          <cell r="X694">
            <v>0</v>
          </cell>
          <cell r="Y694">
            <v>0</v>
          </cell>
        </row>
        <row r="695">
          <cell r="R695">
            <v>0</v>
          </cell>
          <cell r="X695">
            <v>0</v>
          </cell>
          <cell r="Y695">
            <v>0</v>
          </cell>
        </row>
        <row r="696">
          <cell r="R696">
            <v>0</v>
          </cell>
          <cell r="X696">
            <v>0</v>
          </cell>
          <cell r="Y696">
            <v>0</v>
          </cell>
        </row>
        <row r="697">
          <cell r="R697">
            <v>0</v>
          </cell>
          <cell r="X697">
            <v>0</v>
          </cell>
          <cell r="Y697">
            <v>0</v>
          </cell>
        </row>
        <row r="698">
          <cell r="R698">
            <v>0</v>
          </cell>
          <cell r="X698">
            <v>0</v>
          </cell>
          <cell r="Y698">
            <v>0</v>
          </cell>
        </row>
        <row r="699">
          <cell r="R699">
            <v>0</v>
          </cell>
          <cell r="X699">
            <v>0</v>
          </cell>
          <cell r="Y699">
            <v>0</v>
          </cell>
        </row>
        <row r="700">
          <cell r="R700">
            <v>0</v>
          </cell>
          <cell r="X700">
            <v>0</v>
          </cell>
          <cell r="Y700">
            <v>0</v>
          </cell>
        </row>
        <row r="701">
          <cell r="R701">
            <v>0</v>
          </cell>
          <cell r="X701">
            <v>0</v>
          </cell>
          <cell r="Y701">
            <v>0</v>
          </cell>
        </row>
        <row r="702">
          <cell r="R702">
            <v>0</v>
          </cell>
          <cell r="X702">
            <v>0</v>
          </cell>
          <cell r="Y702">
            <v>0</v>
          </cell>
        </row>
        <row r="738">
          <cell r="R738">
            <v>0</v>
          </cell>
          <cell r="X738">
            <v>2820.66</v>
          </cell>
          <cell r="Y738">
            <v>1939.21</v>
          </cell>
        </row>
        <row r="739">
          <cell r="R739">
            <v>0</v>
          </cell>
          <cell r="X739">
            <v>55983.13</v>
          </cell>
          <cell r="Y739">
            <v>33754.53</v>
          </cell>
        </row>
        <row r="740">
          <cell r="R740">
            <v>0</v>
          </cell>
          <cell r="X740">
            <v>0</v>
          </cell>
          <cell r="Y740">
            <v>0</v>
          </cell>
        </row>
        <row r="741">
          <cell r="R741">
            <v>0</v>
          </cell>
          <cell r="X741">
            <v>0</v>
          </cell>
          <cell r="Y741">
            <v>0</v>
          </cell>
        </row>
        <row r="742">
          <cell r="R742">
            <v>0</v>
          </cell>
          <cell r="X742">
            <v>1958.11</v>
          </cell>
          <cell r="Y742">
            <v>1346.2</v>
          </cell>
        </row>
        <row r="743">
          <cell r="R743">
            <v>0</v>
          </cell>
          <cell r="X743">
            <v>38863.629999999997</v>
          </cell>
          <cell r="Y743">
            <v>23432.48</v>
          </cell>
        </row>
        <row r="744">
          <cell r="R744">
            <v>0</v>
          </cell>
          <cell r="X744">
            <v>0</v>
          </cell>
          <cell r="Y744">
            <v>0</v>
          </cell>
        </row>
        <row r="745">
          <cell r="R745">
            <v>0</v>
          </cell>
          <cell r="X745">
            <v>0</v>
          </cell>
          <cell r="Y745">
            <v>0</v>
          </cell>
        </row>
        <row r="746">
          <cell r="R746">
            <v>0</v>
          </cell>
          <cell r="X746">
            <v>107.62</v>
          </cell>
          <cell r="Y746">
            <v>73.989999999999995</v>
          </cell>
        </row>
        <row r="747">
          <cell r="R747">
            <v>0</v>
          </cell>
          <cell r="X747">
            <v>2136.0700000000002</v>
          </cell>
          <cell r="Y747">
            <v>1287.92</v>
          </cell>
        </row>
        <row r="748">
          <cell r="R748">
            <v>0</v>
          </cell>
          <cell r="X748">
            <v>0</v>
          </cell>
          <cell r="Y748">
            <v>0</v>
          </cell>
        </row>
        <row r="749">
          <cell r="R749">
            <v>0</v>
          </cell>
          <cell r="X749">
            <v>0</v>
          </cell>
          <cell r="Y749">
            <v>0</v>
          </cell>
        </row>
        <row r="750">
          <cell r="R750">
            <v>0</v>
          </cell>
          <cell r="X750">
            <v>362.64</v>
          </cell>
          <cell r="Y750">
            <v>249.32</v>
          </cell>
        </row>
        <row r="751">
          <cell r="R751">
            <v>0</v>
          </cell>
          <cell r="X751">
            <v>7197.5</v>
          </cell>
          <cell r="Y751">
            <v>4339.67</v>
          </cell>
        </row>
        <row r="752">
          <cell r="R752">
            <v>0</v>
          </cell>
          <cell r="X752">
            <v>0</v>
          </cell>
          <cell r="Y752">
            <v>0</v>
          </cell>
        </row>
        <row r="753">
          <cell r="R753">
            <v>0</v>
          </cell>
          <cell r="X753">
            <v>0</v>
          </cell>
          <cell r="Y753">
            <v>0</v>
          </cell>
        </row>
        <row r="754">
          <cell r="R754">
            <v>0</v>
          </cell>
          <cell r="X754">
            <v>151.9</v>
          </cell>
          <cell r="Y754">
            <v>104.43</v>
          </cell>
        </row>
        <row r="755">
          <cell r="R755">
            <v>0</v>
          </cell>
          <cell r="X755">
            <v>3014.92</v>
          </cell>
          <cell r="Y755">
            <v>1817.82</v>
          </cell>
        </row>
        <row r="756">
          <cell r="R756">
            <v>0</v>
          </cell>
          <cell r="X756">
            <v>0</v>
          </cell>
          <cell r="Y756">
            <v>0</v>
          </cell>
        </row>
        <row r="757">
          <cell r="R757">
            <v>0</v>
          </cell>
          <cell r="X757">
            <v>0</v>
          </cell>
          <cell r="Y757">
            <v>0</v>
          </cell>
        </row>
        <row r="758">
          <cell r="R758">
            <v>0</v>
          </cell>
          <cell r="X758">
            <v>1244.01</v>
          </cell>
          <cell r="Y758">
            <v>855.26</v>
          </cell>
        </row>
        <row r="759">
          <cell r="R759">
            <v>0</v>
          </cell>
          <cell r="X759">
            <v>24690.45</v>
          </cell>
          <cell r="Y759">
            <v>14886.89</v>
          </cell>
        </row>
        <row r="760">
          <cell r="R760">
            <v>0</v>
          </cell>
          <cell r="X760">
            <v>0</v>
          </cell>
          <cell r="Y760">
            <v>0</v>
          </cell>
        </row>
        <row r="761">
          <cell r="R761">
            <v>0</v>
          </cell>
          <cell r="X761">
            <v>0</v>
          </cell>
          <cell r="Y761">
            <v>0</v>
          </cell>
        </row>
        <row r="797">
          <cell r="R797">
            <v>2.21</v>
          </cell>
          <cell r="X797">
            <v>0</v>
          </cell>
          <cell r="Y797">
            <v>0</v>
          </cell>
        </row>
        <row r="798">
          <cell r="R798">
            <v>51.6</v>
          </cell>
          <cell r="X798">
            <v>0</v>
          </cell>
          <cell r="Y798">
            <v>0</v>
          </cell>
        </row>
        <row r="834">
          <cell r="R834">
            <v>0</v>
          </cell>
          <cell r="X834">
            <v>0</v>
          </cell>
          <cell r="Y834">
            <v>0</v>
          </cell>
        </row>
        <row r="835">
          <cell r="R835">
            <v>0</v>
          </cell>
          <cell r="X835">
            <v>0</v>
          </cell>
          <cell r="Y835">
            <v>0</v>
          </cell>
        </row>
        <row r="836">
          <cell r="R836">
            <v>0</v>
          </cell>
          <cell r="X836">
            <v>0</v>
          </cell>
          <cell r="Y836">
            <v>0</v>
          </cell>
        </row>
        <row r="837">
          <cell r="R837">
            <v>0</v>
          </cell>
          <cell r="X837">
            <v>0</v>
          </cell>
          <cell r="Y837">
            <v>0</v>
          </cell>
        </row>
        <row r="903">
          <cell r="R903">
            <v>0</v>
          </cell>
          <cell r="X903">
            <v>0</v>
          </cell>
          <cell r="Y903">
            <v>0</v>
          </cell>
        </row>
        <row r="904">
          <cell r="R904">
            <v>0</v>
          </cell>
          <cell r="X904">
            <v>0</v>
          </cell>
          <cell r="Y904">
            <v>0</v>
          </cell>
        </row>
        <row r="905">
          <cell r="R905">
            <v>0</v>
          </cell>
          <cell r="X905">
            <v>0</v>
          </cell>
          <cell r="Y905">
            <v>0</v>
          </cell>
        </row>
        <row r="906">
          <cell r="R906">
            <v>0</v>
          </cell>
          <cell r="X906">
            <v>0</v>
          </cell>
          <cell r="Y906">
            <v>0</v>
          </cell>
        </row>
        <row r="907">
          <cell r="R907">
            <v>0</v>
          </cell>
          <cell r="X907">
            <v>0</v>
          </cell>
          <cell r="Y907">
            <v>0</v>
          </cell>
        </row>
        <row r="908">
          <cell r="R908">
            <v>0</v>
          </cell>
          <cell r="X908">
            <v>0</v>
          </cell>
          <cell r="Y908">
            <v>0</v>
          </cell>
        </row>
        <row r="909">
          <cell r="R909">
            <v>0</v>
          </cell>
          <cell r="X909">
            <v>0</v>
          </cell>
          <cell r="Y909">
            <v>0</v>
          </cell>
        </row>
        <row r="910">
          <cell r="R910">
            <v>0</v>
          </cell>
          <cell r="X910">
            <v>0</v>
          </cell>
          <cell r="Y910">
            <v>0</v>
          </cell>
        </row>
      </sheetData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28">
          <cell r="R28">
            <v>77.36</v>
          </cell>
          <cell r="X28">
            <v>934.2</v>
          </cell>
          <cell r="Y28">
            <v>549.04</v>
          </cell>
        </row>
        <row r="29">
          <cell r="R29">
            <v>1806.36</v>
          </cell>
          <cell r="X29">
            <v>14733.66</v>
          </cell>
          <cell r="Y29">
            <v>7845.19</v>
          </cell>
        </row>
        <row r="30">
          <cell r="R30">
            <v>0</v>
          </cell>
          <cell r="X30">
            <v>0</v>
          </cell>
          <cell r="Y30">
            <v>0</v>
          </cell>
        </row>
        <row r="31">
          <cell r="R31">
            <v>0</v>
          </cell>
          <cell r="X31">
            <v>0</v>
          </cell>
          <cell r="Y31">
            <v>0</v>
          </cell>
        </row>
        <row r="32">
          <cell r="R32">
            <v>0</v>
          </cell>
          <cell r="X32">
            <v>0</v>
          </cell>
          <cell r="Y32">
            <v>0</v>
          </cell>
        </row>
        <row r="33">
          <cell r="R33">
            <v>0</v>
          </cell>
          <cell r="X33">
            <v>0</v>
          </cell>
          <cell r="Y33">
            <v>0</v>
          </cell>
        </row>
        <row r="34">
          <cell r="R34">
            <v>17.329999999999998</v>
          </cell>
          <cell r="X34">
            <v>30.53</v>
          </cell>
          <cell r="Y34">
            <v>17.940000000000001</v>
          </cell>
        </row>
        <row r="35">
          <cell r="R35">
            <v>404.66</v>
          </cell>
          <cell r="X35">
            <v>481.49</v>
          </cell>
          <cell r="Y35">
            <v>256.38</v>
          </cell>
        </row>
        <row r="36">
          <cell r="R36">
            <v>0</v>
          </cell>
          <cell r="X36">
            <v>0</v>
          </cell>
          <cell r="Y36">
            <v>0</v>
          </cell>
        </row>
        <row r="37">
          <cell r="R37">
            <v>0</v>
          </cell>
          <cell r="X37">
            <v>0</v>
          </cell>
          <cell r="Y37">
            <v>0</v>
          </cell>
        </row>
        <row r="38">
          <cell r="R38">
            <v>0</v>
          </cell>
          <cell r="X38">
            <v>0</v>
          </cell>
          <cell r="Y38">
            <v>0</v>
          </cell>
        </row>
        <row r="39">
          <cell r="R39">
            <v>0</v>
          </cell>
          <cell r="X39">
            <v>0</v>
          </cell>
          <cell r="Y39">
            <v>0</v>
          </cell>
        </row>
        <row r="40">
          <cell r="R40">
            <v>1.28</v>
          </cell>
          <cell r="X40">
            <v>72.91</v>
          </cell>
          <cell r="Y40">
            <v>42.85</v>
          </cell>
        </row>
        <row r="41">
          <cell r="R41">
            <v>29.89</v>
          </cell>
          <cell r="X41">
            <v>1149.97</v>
          </cell>
          <cell r="Y41">
            <v>612.32000000000005</v>
          </cell>
        </row>
        <row r="42">
          <cell r="R42">
            <v>0</v>
          </cell>
          <cell r="X42">
            <v>0</v>
          </cell>
          <cell r="Y42">
            <v>0</v>
          </cell>
        </row>
        <row r="43">
          <cell r="R43">
            <v>0</v>
          </cell>
          <cell r="X43">
            <v>0</v>
          </cell>
          <cell r="Y43">
            <v>0</v>
          </cell>
        </row>
        <row r="81">
          <cell r="R81">
            <v>13.68</v>
          </cell>
          <cell r="X81">
            <v>922.25</v>
          </cell>
          <cell r="Y81">
            <v>542.02</v>
          </cell>
        </row>
        <row r="82">
          <cell r="R82">
            <v>319.43</v>
          </cell>
          <cell r="X82">
            <v>14545.24</v>
          </cell>
          <cell r="Y82">
            <v>7744.87</v>
          </cell>
        </row>
        <row r="83">
          <cell r="R83">
            <v>0</v>
          </cell>
          <cell r="X83">
            <v>0</v>
          </cell>
          <cell r="Y83">
            <v>0</v>
          </cell>
        </row>
        <row r="84">
          <cell r="R84">
            <v>0</v>
          </cell>
          <cell r="X84">
            <v>0</v>
          </cell>
          <cell r="Y84">
            <v>0</v>
          </cell>
        </row>
        <row r="85">
          <cell r="R85">
            <v>0</v>
          </cell>
          <cell r="X85">
            <v>0</v>
          </cell>
          <cell r="Y85">
            <v>0</v>
          </cell>
        </row>
        <row r="86">
          <cell r="R86">
            <v>0</v>
          </cell>
          <cell r="X86">
            <v>0</v>
          </cell>
          <cell r="Y86">
            <v>0</v>
          </cell>
        </row>
        <row r="87">
          <cell r="R87">
            <v>7.74</v>
          </cell>
          <cell r="X87">
            <v>313</v>
          </cell>
          <cell r="Y87">
            <v>183.96</v>
          </cell>
        </row>
        <row r="88">
          <cell r="R88">
            <v>180.73</v>
          </cell>
          <cell r="X88">
            <v>4936.45</v>
          </cell>
          <cell r="Y88">
            <v>2628.5</v>
          </cell>
        </row>
        <row r="89">
          <cell r="R89">
            <v>0</v>
          </cell>
          <cell r="X89">
            <v>0</v>
          </cell>
          <cell r="Y89">
            <v>0</v>
          </cell>
        </row>
        <row r="90">
          <cell r="R90">
            <v>0</v>
          </cell>
          <cell r="X90">
            <v>0</v>
          </cell>
          <cell r="Y90">
            <v>0</v>
          </cell>
        </row>
        <row r="91">
          <cell r="R91">
            <v>28.56</v>
          </cell>
          <cell r="X91">
            <v>3543.41</v>
          </cell>
          <cell r="Y91">
            <v>2082.5300000000002</v>
          </cell>
        </row>
        <row r="92">
          <cell r="R92">
            <v>666.88</v>
          </cell>
          <cell r="X92">
            <v>55884.78</v>
          </cell>
          <cell r="Y92">
            <v>29756.83</v>
          </cell>
        </row>
        <row r="93">
          <cell r="R93">
            <v>0</v>
          </cell>
          <cell r="X93">
            <v>0</v>
          </cell>
          <cell r="Y93">
            <v>0</v>
          </cell>
        </row>
        <row r="94">
          <cell r="R94">
            <v>0</v>
          </cell>
          <cell r="X94">
            <v>0</v>
          </cell>
          <cell r="Y94">
            <v>0</v>
          </cell>
        </row>
        <row r="95">
          <cell r="R95">
            <v>0</v>
          </cell>
          <cell r="X95">
            <v>0</v>
          </cell>
          <cell r="Y95">
            <v>0</v>
          </cell>
        </row>
        <row r="96">
          <cell r="R96">
            <v>0</v>
          </cell>
          <cell r="X96">
            <v>0</v>
          </cell>
          <cell r="Y96">
            <v>0</v>
          </cell>
        </row>
        <row r="97">
          <cell r="R97">
            <v>0</v>
          </cell>
          <cell r="X97">
            <v>0</v>
          </cell>
          <cell r="Y97">
            <v>0</v>
          </cell>
        </row>
        <row r="98">
          <cell r="R98">
            <v>0</v>
          </cell>
          <cell r="X98">
            <v>0</v>
          </cell>
          <cell r="Y98">
            <v>0</v>
          </cell>
        </row>
        <row r="99">
          <cell r="R99">
            <v>0</v>
          </cell>
          <cell r="X99">
            <v>0</v>
          </cell>
          <cell r="Y99">
            <v>0</v>
          </cell>
        </row>
        <row r="100">
          <cell r="R100">
            <v>0</v>
          </cell>
          <cell r="X100">
            <v>0</v>
          </cell>
          <cell r="Y100">
            <v>0</v>
          </cell>
        </row>
        <row r="101">
          <cell r="R101">
            <v>0</v>
          </cell>
          <cell r="X101">
            <v>0</v>
          </cell>
          <cell r="Y101">
            <v>0</v>
          </cell>
        </row>
        <row r="102">
          <cell r="R102">
            <v>0</v>
          </cell>
          <cell r="X102">
            <v>0</v>
          </cell>
          <cell r="Y102">
            <v>0</v>
          </cell>
        </row>
        <row r="103">
          <cell r="R103">
            <v>0.45</v>
          </cell>
          <cell r="X103">
            <v>25.09</v>
          </cell>
          <cell r="Y103">
            <v>14.75</v>
          </cell>
        </row>
        <row r="104">
          <cell r="R104">
            <v>10.51</v>
          </cell>
          <cell r="X104">
            <v>395.73</v>
          </cell>
          <cell r="Y104">
            <v>210.71</v>
          </cell>
        </row>
        <row r="105">
          <cell r="R105">
            <v>0</v>
          </cell>
          <cell r="X105">
            <v>0</v>
          </cell>
          <cell r="Y105">
            <v>0</v>
          </cell>
        </row>
        <row r="106">
          <cell r="R106">
            <v>0</v>
          </cell>
          <cell r="X106">
            <v>0</v>
          </cell>
          <cell r="Y106">
            <v>0</v>
          </cell>
        </row>
        <row r="107">
          <cell r="R107">
            <v>0</v>
          </cell>
          <cell r="X107">
            <v>0</v>
          </cell>
          <cell r="Y107">
            <v>0</v>
          </cell>
        </row>
        <row r="108">
          <cell r="R108">
            <v>0</v>
          </cell>
          <cell r="X108">
            <v>0</v>
          </cell>
          <cell r="Y108">
            <v>0</v>
          </cell>
        </row>
        <row r="109">
          <cell r="R109">
            <v>0.72</v>
          </cell>
          <cell r="X109">
            <v>506.84</v>
          </cell>
          <cell r="Y109">
            <v>297.88</v>
          </cell>
        </row>
        <row r="110">
          <cell r="R110">
            <v>16.809999999999999</v>
          </cell>
          <cell r="X110">
            <v>7993.69</v>
          </cell>
          <cell r="Y110">
            <v>4256.38</v>
          </cell>
        </row>
        <row r="111">
          <cell r="R111">
            <v>0</v>
          </cell>
          <cell r="X111">
            <v>0</v>
          </cell>
          <cell r="Y111">
            <v>0</v>
          </cell>
        </row>
        <row r="112">
          <cell r="R112">
            <v>0</v>
          </cell>
          <cell r="X112">
            <v>0</v>
          </cell>
          <cell r="Y112">
            <v>0</v>
          </cell>
        </row>
        <row r="113">
          <cell r="R113">
            <v>0.36</v>
          </cell>
          <cell r="X113">
            <v>254.36</v>
          </cell>
          <cell r="Y113">
            <v>149.49</v>
          </cell>
        </row>
        <row r="114">
          <cell r="R114">
            <v>8.41</v>
          </cell>
          <cell r="X114">
            <v>4011.58</v>
          </cell>
          <cell r="Y114">
            <v>2136.04</v>
          </cell>
        </row>
        <row r="115">
          <cell r="R115">
            <v>0</v>
          </cell>
          <cell r="X115">
            <v>0</v>
          </cell>
          <cell r="Y115">
            <v>0</v>
          </cell>
        </row>
        <row r="116">
          <cell r="R116">
            <v>0</v>
          </cell>
          <cell r="X116">
            <v>0</v>
          </cell>
          <cell r="Y116">
            <v>0</v>
          </cell>
        </row>
        <row r="117">
          <cell r="R117">
            <v>0.19</v>
          </cell>
          <cell r="X117">
            <v>85.91</v>
          </cell>
          <cell r="Y117">
            <v>50.49</v>
          </cell>
        </row>
        <row r="118">
          <cell r="R118">
            <v>4.4400000000000004</v>
          </cell>
          <cell r="X118">
            <v>1354.94</v>
          </cell>
          <cell r="Y118">
            <v>721.46</v>
          </cell>
        </row>
        <row r="119">
          <cell r="R119">
            <v>0</v>
          </cell>
          <cell r="X119">
            <v>0</v>
          </cell>
          <cell r="Y119">
            <v>0</v>
          </cell>
        </row>
        <row r="120">
          <cell r="R120">
            <v>0</v>
          </cell>
          <cell r="X120">
            <v>0</v>
          </cell>
          <cell r="Y120">
            <v>0</v>
          </cell>
        </row>
        <row r="121">
          <cell r="R121">
            <v>0.03</v>
          </cell>
          <cell r="X121">
            <v>17.89</v>
          </cell>
          <cell r="Y121">
            <v>10.51</v>
          </cell>
        </row>
        <row r="122">
          <cell r="R122">
            <v>0.7</v>
          </cell>
          <cell r="X122">
            <v>282.10000000000002</v>
          </cell>
          <cell r="Y122">
            <v>150.21</v>
          </cell>
        </row>
        <row r="123">
          <cell r="R123">
            <v>0</v>
          </cell>
          <cell r="X123">
            <v>0</v>
          </cell>
          <cell r="Y123">
            <v>0</v>
          </cell>
        </row>
        <row r="124">
          <cell r="R124">
            <v>0</v>
          </cell>
          <cell r="X124">
            <v>0</v>
          </cell>
          <cell r="Y124">
            <v>0</v>
          </cell>
        </row>
        <row r="125">
          <cell r="R125">
            <v>1.66</v>
          </cell>
          <cell r="X125">
            <v>1369.37</v>
          </cell>
          <cell r="Y125">
            <v>804.8</v>
          </cell>
        </row>
        <row r="126">
          <cell r="R126">
            <v>38.76</v>
          </cell>
          <cell r="X126">
            <v>21596.98</v>
          </cell>
          <cell r="Y126">
            <v>11499.69</v>
          </cell>
        </row>
        <row r="127">
          <cell r="R127">
            <v>0</v>
          </cell>
          <cell r="X127">
            <v>0</v>
          </cell>
          <cell r="Y127">
            <v>0</v>
          </cell>
        </row>
        <row r="128">
          <cell r="R128">
            <v>0</v>
          </cell>
          <cell r="X128">
            <v>0</v>
          </cell>
          <cell r="Y128">
            <v>0</v>
          </cell>
        </row>
        <row r="131">
          <cell r="R131">
            <v>0.19</v>
          </cell>
          <cell r="X131">
            <v>155.61000000000001</v>
          </cell>
          <cell r="Y131">
            <v>91.46</v>
          </cell>
        </row>
        <row r="132">
          <cell r="R132">
            <v>4.4400000000000004</v>
          </cell>
          <cell r="X132">
            <v>2454.21</v>
          </cell>
          <cell r="Y132">
            <v>1306.78</v>
          </cell>
        </row>
        <row r="133">
          <cell r="R133">
            <v>0</v>
          </cell>
          <cell r="X133">
            <v>0</v>
          </cell>
          <cell r="Y133">
            <v>0</v>
          </cell>
        </row>
        <row r="134">
          <cell r="R134">
            <v>0</v>
          </cell>
          <cell r="X134">
            <v>0</v>
          </cell>
          <cell r="Y134">
            <v>0</v>
          </cell>
        </row>
        <row r="135">
          <cell r="R135">
            <v>0</v>
          </cell>
          <cell r="X135">
            <v>0</v>
          </cell>
          <cell r="Y135">
            <v>0</v>
          </cell>
        </row>
        <row r="136">
          <cell r="R136">
            <v>0</v>
          </cell>
          <cell r="X136">
            <v>0</v>
          </cell>
          <cell r="Y136">
            <v>0</v>
          </cell>
        </row>
        <row r="137">
          <cell r="R137">
            <v>0.06</v>
          </cell>
          <cell r="X137">
            <v>51.87</v>
          </cell>
          <cell r="Y137">
            <v>30.49</v>
          </cell>
        </row>
        <row r="138">
          <cell r="R138">
            <v>1.4</v>
          </cell>
          <cell r="X138">
            <v>818.07</v>
          </cell>
          <cell r="Y138">
            <v>435.6</v>
          </cell>
        </row>
        <row r="141">
          <cell r="R141">
            <v>0</v>
          </cell>
          <cell r="X141">
            <v>0</v>
          </cell>
          <cell r="Y141">
            <v>0</v>
          </cell>
        </row>
        <row r="142">
          <cell r="R142">
            <v>0</v>
          </cell>
          <cell r="X142">
            <v>0</v>
          </cell>
          <cell r="Y142">
            <v>0</v>
          </cell>
        </row>
        <row r="143">
          <cell r="R143">
            <v>0</v>
          </cell>
          <cell r="X143">
            <v>0</v>
          </cell>
          <cell r="Y143">
            <v>0</v>
          </cell>
        </row>
        <row r="144">
          <cell r="R144">
            <v>0</v>
          </cell>
          <cell r="X144">
            <v>0</v>
          </cell>
          <cell r="Y144">
            <v>0</v>
          </cell>
        </row>
        <row r="180">
          <cell r="R180">
            <v>29.94</v>
          </cell>
          <cell r="X180">
            <v>4257.0600000000004</v>
          </cell>
          <cell r="Y180">
            <v>2501.9499999999998</v>
          </cell>
        </row>
        <row r="181">
          <cell r="R181">
            <v>699.1</v>
          </cell>
          <cell r="X181">
            <v>67140.13</v>
          </cell>
          <cell r="Y181">
            <v>35749.94</v>
          </cell>
        </row>
        <row r="182">
          <cell r="R182">
            <v>0</v>
          </cell>
          <cell r="X182">
            <v>0</v>
          </cell>
          <cell r="Y182">
            <v>0</v>
          </cell>
        </row>
        <row r="183">
          <cell r="R183">
            <v>0</v>
          </cell>
          <cell r="X183">
            <v>0</v>
          </cell>
          <cell r="Y183">
            <v>0</v>
          </cell>
        </row>
        <row r="192">
          <cell r="R192">
            <v>3.47</v>
          </cell>
          <cell r="X192">
            <v>49.09</v>
          </cell>
          <cell r="Y192">
            <v>28.85</v>
          </cell>
        </row>
        <row r="193">
          <cell r="R193">
            <v>81.02</v>
          </cell>
          <cell r="X193">
            <v>774.2</v>
          </cell>
          <cell r="Y193">
            <v>412.23</v>
          </cell>
        </row>
        <row r="194">
          <cell r="R194">
            <v>0</v>
          </cell>
          <cell r="X194">
            <v>0</v>
          </cell>
          <cell r="Y194">
            <v>0</v>
          </cell>
        </row>
        <row r="195">
          <cell r="R195">
            <v>0</v>
          </cell>
          <cell r="X195">
            <v>0</v>
          </cell>
          <cell r="Y195">
            <v>0</v>
          </cell>
        </row>
        <row r="196">
          <cell r="R196">
            <v>43.97</v>
          </cell>
          <cell r="X196">
            <v>1687.66</v>
          </cell>
          <cell r="Y196">
            <v>991.87</v>
          </cell>
        </row>
        <row r="197">
          <cell r="R197">
            <v>1026.7</v>
          </cell>
          <cell r="X197">
            <v>26616.85</v>
          </cell>
          <cell r="Y197">
            <v>14172.61</v>
          </cell>
        </row>
        <row r="198">
          <cell r="R198">
            <v>0</v>
          </cell>
          <cell r="X198">
            <v>0</v>
          </cell>
          <cell r="Y198">
            <v>0</v>
          </cell>
        </row>
        <row r="199">
          <cell r="R199">
            <v>0</v>
          </cell>
          <cell r="X199">
            <v>0</v>
          </cell>
          <cell r="Y199">
            <v>0</v>
          </cell>
        </row>
        <row r="200">
          <cell r="R200">
            <v>0</v>
          </cell>
          <cell r="X200">
            <v>0</v>
          </cell>
          <cell r="Y200">
            <v>0</v>
          </cell>
        </row>
        <row r="201">
          <cell r="R201">
            <v>0</v>
          </cell>
          <cell r="X201">
            <v>0</v>
          </cell>
          <cell r="Y201">
            <v>0</v>
          </cell>
        </row>
        <row r="202">
          <cell r="R202">
            <v>13.8</v>
          </cell>
          <cell r="X202">
            <v>21.72</v>
          </cell>
          <cell r="Y202">
            <v>12.76</v>
          </cell>
        </row>
        <row r="203">
          <cell r="R203">
            <v>322.23</v>
          </cell>
          <cell r="X203">
            <v>342.51</v>
          </cell>
          <cell r="Y203">
            <v>182.38</v>
          </cell>
        </row>
        <row r="204">
          <cell r="R204">
            <v>1.52</v>
          </cell>
          <cell r="X204">
            <v>330.1</v>
          </cell>
          <cell r="Y204">
            <v>194.01</v>
          </cell>
        </row>
        <row r="205">
          <cell r="R205">
            <v>35.49</v>
          </cell>
          <cell r="X205">
            <v>5206.1499999999996</v>
          </cell>
          <cell r="Y205">
            <v>2772.1</v>
          </cell>
        </row>
        <row r="206">
          <cell r="R206">
            <v>3</v>
          </cell>
          <cell r="X206">
            <v>668.88</v>
          </cell>
          <cell r="Y206">
            <v>393.12</v>
          </cell>
        </row>
        <row r="207">
          <cell r="R207">
            <v>70.05</v>
          </cell>
          <cell r="X207">
            <v>10549.29</v>
          </cell>
          <cell r="Y207">
            <v>5617.16</v>
          </cell>
        </row>
        <row r="208">
          <cell r="R208">
            <v>5.89</v>
          </cell>
          <cell r="X208">
            <v>868.91</v>
          </cell>
          <cell r="Y208">
            <v>510.67</v>
          </cell>
        </row>
        <row r="209">
          <cell r="R209">
            <v>137.53</v>
          </cell>
          <cell r="X209">
            <v>13703.97</v>
          </cell>
          <cell r="Y209">
            <v>7296.92</v>
          </cell>
        </row>
        <row r="210">
          <cell r="R210">
            <v>51.61</v>
          </cell>
          <cell r="X210">
            <v>2707.39</v>
          </cell>
          <cell r="Y210">
            <v>1591.18</v>
          </cell>
        </row>
        <row r="211">
          <cell r="R211">
            <v>1205.0899999999999</v>
          </cell>
          <cell r="X211">
            <v>42699.519999999997</v>
          </cell>
          <cell r="Y211">
            <v>22736.11</v>
          </cell>
        </row>
        <row r="212">
          <cell r="R212">
            <v>1.28</v>
          </cell>
          <cell r="X212">
            <v>64.95</v>
          </cell>
          <cell r="Y212">
            <v>38.17</v>
          </cell>
        </row>
        <row r="213">
          <cell r="R213">
            <v>29.89</v>
          </cell>
          <cell r="X213">
            <v>1024.29</v>
          </cell>
          <cell r="Y213">
            <v>545.4</v>
          </cell>
        </row>
        <row r="214">
          <cell r="R214">
            <v>4.5199999999999996</v>
          </cell>
          <cell r="X214">
            <v>144.78</v>
          </cell>
          <cell r="Y214">
            <v>85.09</v>
          </cell>
        </row>
        <row r="215">
          <cell r="R215">
            <v>105.54</v>
          </cell>
          <cell r="X215">
            <v>2283.4</v>
          </cell>
          <cell r="Y215">
            <v>1215.83</v>
          </cell>
        </row>
        <row r="216">
          <cell r="R216">
            <v>70.45</v>
          </cell>
          <cell r="X216">
            <v>926.31</v>
          </cell>
          <cell r="Y216">
            <v>544.41</v>
          </cell>
        </row>
        <row r="217">
          <cell r="R217">
            <v>1645.01</v>
          </cell>
          <cell r="X217">
            <v>14609.24</v>
          </cell>
          <cell r="Y217">
            <v>7778.95</v>
          </cell>
        </row>
        <row r="218">
          <cell r="R218">
            <v>4.5599999999999996</v>
          </cell>
          <cell r="X218">
            <v>1525.67</v>
          </cell>
          <cell r="Y218">
            <v>896.67</v>
          </cell>
        </row>
        <row r="219">
          <cell r="R219">
            <v>106.48</v>
          </cell>
          <cell r="X219">
            <v>24062.15</v>
          </cell>
          <cell r="Y219">
            <v>12812.31</v>
          </cell>
        </row>
        <row r="220">
          <cell r="R220">
            <v>0</v>
          </cell>
          <cell r="X220">
            <v>0</v>
          </cell>
          <cell r="Y220">
            <v>0</v>
          </cell>
        </row>
        <row r="221">
          <cell r="R221">
            <v>0</v>
          </cell>
          <cell r="X221">
            <v>0</v>
          </cell>
          <cell r="Y221">
            <v>0</v>
          </cell>
        </row>
        <row r="222">
          <cell r="R222">
            <v>0</v>
          </cell>
          <cell r="X222">
            <v>0</v>
          </cell>
          <cell r="Y222">
            <v>0</v>
          </cell>
        </row>
        <row r="223">
          <cell r="R223">
            <v>0</v>
          </cell>
          <cell r="X223">
            <v>0</v>
          </cell>
          <cell r="Y223">
            <v>0</v>
          </cell>
        </row>
        <row r="224">
          <cell r="R224">
            <v>0</v>
          </cell>
          <cell r="X224">
            <v>0</v>
          </cell>
          <cell r="Y224">
            <v>0</v>
          </cell>
        </row>
        <row r="225">
          <cell r="R225">
            <v>0</v>
          </cell>
          <cell r="X225">
            <v>0</v>
          </cell>
          <cell r="Y225">
            <v>0</v>
          </cell>
        </row>
        <row r="226">
          <cell r="R226">
            <v>0</v>
          </cell>
          <cell r="X226">
            <v>0</v>
          </cell>
          <cell r="Y226">
            <v>0</v>
          </cell>
        </row>
        <row r="227">
          <cell r="R227">
            <v>0</v>
          </cell>
          <cell r="X227">
            <v>0</v>
          </cell>
          <cell r="Y227">
            <v>0</v>
          </cell>
        </row>
        <row r="228">
          <cell r="R228">
            <v>0</v>
          </cell>
          <cell r="X228">
            <v>0</v>
          </cell>
          <cell r="Y228">
            <v>0</v>
          </cell>
        </row>
        <row r="229">
          <cell r="R229">
            <v>0</v>
          </cell>
          <cell r="X229">
            <v>0</v>
          </cell>
          <cell r="Y229">
            <v>0</v>
          </cell>
        </row>
        <row r="230">
          <cell r="R230">
            <v>0</v>
          </cell>
          <cell r="X230">
            <v>0</v>
          </cell>
          <cell r="Y230">
            <v>0</v>
          </cell>
        </row>
        <row r="231">
          <cell r="R231">
            <v>0</v>
          </cell>
          <cell r="X231">
            <v>0</v>
          </cell>
          <cell r="Y231">
            <v>0</v>
          </cell>
        </row>
        <row r="232">
          <cell r="R232">
            <v>0</v>
          </cell>
          <cell r="X232">
            <v>0</v>
          </cell>
          <cell r="Y232">
            <v>0</v>
          </cell>
        </row>
        <row r="233">
          <cell r="R233">
            <v>0</v>
          </cell>
          <cell r="X233">
            <v>0</v>
          </cell>
          <cell r="Y233">
            <v>0</v>
          </cell>
        </row>
        <row r="234">
          <cell r="R234">
            <v>0</v>
          </cell>
          <cell r="X234">
            <v>0</v>
          </cell>
          <cell r="Y234">
            <v>0</v>
          </cell>
        </row>
        <row r="235">
          <cell r="R235">
            <v>0</v>
          </cell>
          <cell r="X235">
            <v>0</v>
          </cell>
          <cell r="Y235">
            <v>0</v>
          </cell>
        </row>
        <row r="236">
          <cell r="R236">
            <v>0</v>
          </cell>
          <cell r="X236">
            <v>0</v>
          </cell>
          <cell r="Y236">
            <v>0</v>
          </cell>
        </row>
        <row r="237">
          <cell r="R237">
            <v>0</v>
          </cell>
          <cell r="X237">
            <v>0</v>
          </cell>
          <cell r="Y237">
            <v>0</v>
          </cell>
        </row>
        <row r="238">
          <cell r="R238">
            <v>0</v>
          </cell>
          <cell r="X238">
            <v>0</v>
          </cell>
          <cell r="Y238">
            <v>0</v>
          </cell>
        </row>
        <row r="239">
          <cell r="R239">
            <v>0</v>
          </cell>
          <cell r="X239">
            <v>0</v>
          </cell>
          <cell r="Y239">
            <v>0</v>
          </cell>
        </row>
        <row r="240">
          <cell r="R240">
            <v>0</v>
          </cell>
          <cell r="X240">
            <v>0</v>
          </cell>
          <cell r="Y240">
            <v>0</v>
          </cell>
        </row>
        <row r="241">
          <cell r="R241">
            <v>0</v>
          </cell>
          <cell r="X241">
            <v>0</v>
          </cell>
          <cell r="Y241">
            <v>0</v>
          </cell>
        </row>
        <row r="242">
          <cell r="R242">
            <v>0</v>
          </cell>
          <cell r="X242">
            <v>0</v>
          </cell>
          <cell r="Y242">
            <v>0</v>
          </cell>
        </row>
        <row r="243">
          <cell r="R243">
            <v>0</v>
          </cell>
          <cell r="X243">
            <v>0</v>
          </cell>
          <cell r="Y243">
            <v>0</v>
          </cell>
        </row>
        <row r="244">
          <cell r="R244">
            <v>0</v>
          </cell>
          <cell r="X244">
            <v>0</v>
          </cell>
          <cell r="Y244">
            <v>0</v>
          </cell>
        </row>
        <row r="245">
          <cell r="R245">
            <v>0</v>
          </cell>
          <cell r="X245">
            <v>0</v>
          </cell>
          <cell r="Y245">
            <v>0</v>
          </cell>
        </row>
        <row r="281">
          <cell r="R281">
            <v>168.3</v>
          </cell>
          <cell r="X281">
            <v>519</v>
          </cell>
          <cell r="Y281">
            <v>305.02</v>
          </cell>
        </row>
        <row r="282">
          <cell r="R282">
            <v>3929.81</v>
          </cell>
          <cell r="X282">
            <v>8185.35</v>
          </cell>
          <cell r="Y282">
            <v>4358.43</v>
          </cell>
        </row>
        <row r="283">
          <cell r="R283">
            <v>0</v>
          </cell>
          <cell r="X283">
            <v>0</v>
          </cell>
          <cell r="Y283">
            <v>0</v>
          </cell>
        </row>
        <row r="284">
          <cell r="R284">
            <v>0</v>
          </cell>
          <cell r="X284">
            <v>0</v>
          </cell>
          <cell r="Y284">
            <v>0</v>
          </cell>
        </row>
        <row r="285">
          <cell r="R285">
            <v>0</v>
          </cell>
          <cell r="X285">
            <v>0</v>
          </cell>
          <cell r="Y285">
            <v>0</v>
          </cell>
        </row>
        <row r="286">
          <cell r="R286">
            <v>0</v>
          </cell>
          <cell r="X286">
            <v>0</v>
          </cell>
          <cell r="Y286">
            <v>0</v>
          </cell>
        </row>
        <row r="287">
          <cell r="R287">
            <v>45.14</v>
          </cell>
          <cell r="X287">
            <v>2610.63</v>
          </cell>
          <cell r="Y287">
            <v>1534.32</v>
          </cell>
        </row>
        <row r="288">
          <cell r="R288">
            <v>1054.02</v>
          </cell>
          <cell r="X288">
            <v>41173.589999999997</v>
          </cell>
          <cell r="Y288">
            <v>21923.599999999999</v>
          </cell>
        </row>
        <row r="289">
          <cell r="R289">
            <v>1.25</v>
          </cell>
          <cell r="X289">
            <v>91.13</v>
          </cell>
          <cell r="Y289">
            <v>53.56</v>
          </cell>
        </row>
        <row r="290">
          <cell r="R290">
            <v>29.19</v>
          </cell>
          <cell r="X290">
            <v>1437.28</v>
          </cell>
          <cell r="Y290">
            <v>765.31</v>
          </cell>
        </row>
        <row r="291">
          <cell r="R291">
            <v>0.98</v>
          </cell>
          <cell r="X291">
            <v>88.37</v>
          </cell>
          <cell r="Y291">
            <v>51.94</v>
          </cell>
        </row>
        <row r="292">
          <cell r="R292">
            <v>22.88</v>
          </cell>
          <cell r="X292">
            <v>1393.77</v>
          </cell>
          <cell r="Y292">
            <v>742.14</v>
          </cell>
        </row>
        <row r="293">
          <cell r="R293">
            <v>0</v>
          </cell>
          <cell r="X293">
            <v>0</v>
          </cell>
          <cell r="Y293">
            <v>0</v>
          </cell>
        </row>
        <row r="294">
          <cell r="R294">
            <v>0</v>
          </cell>
          <cell r="X294">
            <v>0</v>
          </cell>
          <cell r="Y294">
            <v>0</v>
          </cell>
        </row>
        <row r="295">
          <cell r="R295">
            <v>0</v>
          </cell>
          <cell r="X295">
            <v>0</v>
          </cell>
          <cell r="Y295">
            <v>0</v>
          </cell>
        </row>
        <row r="296">
          <cell r="R296">
            <v>0</v>
          </cell>
          <cell r="X296">
            <v>0</v>
          </cell>
          <cell r="Y296">
            <v>0</v>
          </cell>
        </row>
        <row r="297">
          <cell r="R297">
            <v>0</v>
          </cell>
          <cell r="X297">
            <v>0</v>
          </cell>
          <cell r="Y297">
            <v>0</v>
          </cell>
        </row>
        <row r="298">
          <cell r="R298">
            <v>0</v>
          </cell>
          <cell r="X298">
            <v>0</v>
          </cell>
          <cell r="Y298">
            <v>0</v>
          </cell>
        </row>
        <row r="299">
          <cell r="R299">
            <v>0</v>
          </cell>
          <cell r="X299">
            <v>0</v>
          </cell>
          <cell r="Y299">
            <v>0</v>
          </cell>
        </row>
        <row r="300">
          <cell r="R300">
            <v>0</v>
          </cell>
          <cell r="X300">
            <v>0</v>
          </cell>
          <cell r="Y300">
            <v>0</v>
          </cell>
        </row>
        <row r="301">
          <cell r="R301">
            <v>0</v>
          </cell>
          <cell r="X301">
            <v>0</v>
          </cell>
          <cell r="Y301">
            <v>0</v>
          </cell>
        </row>
        <row r="302">
          <cell r="R302">
            <v>0</v>
          </cell>
          <cell r="X302">
            <v>0</v>
          </cell>
          <cell r="Y302">
            <v>0</v>
          </cell>
        </row>
        <row r="303">
          <cell r="R303">
            <v>0</v>
          </cell>
          <cell r="X303">
            <v>0</v>
          </cell>
          <cell r="Y303">
            <v>0</v>
          </cell>
        </row>
        <row r="304">
          <cell r="R304">
            <v>0</v>
          </cell>
          <cell r="X304">
            <v>0</v>
          </cell>
          <cell r="Y304">
            <v>0</v>
          </cell>
        </row>
        <row r="305">
          <cell r="R305">
            <v>0</v>
          </cell>
          <cell r="X305">
            <v>21.59</v>
          </cell>
          <cell r="Y305">
            <v>12.69</v>
          </cell>
        </row>
        <row r="306">
          <cell r="R306">
            <v>0</v>
          </cell>
          <cell r="X306">
            <v>340.53</v>
          </cell>
          <cell r="Y306">
            <v>181.32</v>
          </cell>
        </row>
        <row r="307">
          <cell r="R307">
            <v>0</v>
          </cell>
          <cell r="X307">
            <v>0</v>
          </cell>
          <cell r="Y307">
            <v>0</v>
          </cell>
        </row>
        <row r="308">
          <cell r="R308">
            <v>0</v>
          </cell>
          <cell r="X308">
            <v>0</v>
          </cell>
          <cell r="Y308">
            <v>0</v>
          </cell>
        </row>
        <row r="309">
          <cell r="R309">
            <v>0</v>
          </cell>
          <cell r="X309">
            <v>0</v>
          </cell>
          <cell r="Y309">
            <v>0</v>
          </cell>
        </row>
        <row r="310">
          <cell r="R310">
            <v>0</v>
          </cell>
          <cell r="X310">
            <v>0</v>
          </cell>
          <cell r="Y310">
            <v>0</v>
          </cell>
        </row>
        <row r="311">
          <cell r="R311">
            <v>59.38</v>
          </cell>
          <cell r="X311">
            <v>941.75</v>
          </cell>
          <cell r="Y311">
            <v>553.49</v>
          </cell>
        </row>
        <row r="312">
          <cell r="R312">
            <v>1386.52</v>
          </cell>
          <cell r="X312">
            <v>14852.87</v>
          </cell>
          <cell r="Y312">
            <v>7908.67</v>
          </cell>
        </row>
        <row r="313">
          <cell r="R313">
            <v>0</v>
          </cell>
          <cell r="X313">
            <v>0</v>
          </cell>
          <cell r="Y313">
            <v>0</v>
          </cell>
        </row>
        <row r="314">
          <cell r="R314">
            <v>0</v>
          </cell>
          <cell r="X314">
            <v>0</v>
          </cell>
          <cell r="Y314">
            <v>0</v>
          </cell>
        </row>
        <row r="315">
          <cell r="R315">
            <v>15.57</v>
          </cell>
          <cell r="X315">
            <v>289.56</v>
          </cell>
          <cell r="Y315">
            <v>170.18</v>
          </cell>
        </row>
        <row r="316">
          <cell r="R316">
            <v>363.56</v>
          </cell>
          <cell r="X316">
            <v>4566.79</v>
          </cell>
          <cell r="Y316">
            <v>2431.67</v>
          </cell>
        </row>
        <row r="317">
          <cell r="R317">
            <v>0</v>
          </cell>
          <cell r="X317">
            <v>0</v>
          </cell>
          <cell r="Y317">
            <v>0</v>
          </cell>
        </row>
        <row r="318">
          <cell r="R318">
            <v>0</v>
          </cell>
          <cell r="X318">
            <v>0</v>
          </cell>
          <cell r="Y318">
            <v>0</v>
          </cell>
        </row>
        <row r="319">
          <cell r="R319">
            <v>10.71</v>
          </cell>
          <cell r="X319">
            <v>270.58</v>
          </cell>
          <cell r="Y319">
            <v>159.02000000000001</v>
          </cell>
        </row>
        <row r="320">
          <cell r="R320">
            <v>250.08</v>
          </cell>
          <cell r="X320">
            <v>4267.43</v>
          </cell>
          <cell r="Y320">
            <v>2272.27</v>
          </cell>
        </row>
        <row r="321">
          <cell r="R321">
            <v>0</v>
          </cell>
          <cell r="X321">
            <v>0</v>
          </cell>
          <cell r="Y321">
            <v>0</v>
          </cell>
        </row>
        <row r="322">
          <cell r="R322">
            <v>0</v>
          </cell>
          <cell r="X322">
            <v>0</v>
          </cell>
          <cell r="Y322">
            <v>0</v>
          </cell>
        </row>
        <row r="323">
          <cell r="R323">
            <v>0</v>
          </cell>
          <cell r="X323">
            <v>0</v>
          </cell>
          <cell r="Y323">
            <v>0</v>
          </cell>
        </row>
        <row r="324">
          <cell r="R324">
            <v>0</v>
          </cell>
          <cell r="X324">
            <v>0</v>
          </cell>
          <cell r="Y324">
            <v>0</v>
          </cell>
        </row>
        <row r="325">
          <cell r="R325">
            <v>0</v>
          </cell>
          <cell r="X325">
            <v>0</v>
          </cell>
          <cell r="Y325">
            <v>0</v>
          </cell>
        </row>
        <row r="326">
          <cell r="R326">
            <v>0</v>
          </cell>
          <cell r="X326">
            <v>0</v>
          </cell>
          <cell r="Y326">
            <v>0</v>
          </cell>
        </row>
        <row r="327">
          <cell r="R327">
            <v>19.7</v>
          </cell>
          <cell r="X327">
            <v>107.89</v>
          </cell>
          <cell r="Y327">
            <v>63.41</v>
          </cell>
        </row>
        <row r="328">
          <cell r="R328">
            <v>460</v>
          </cell>
          <cell r="X328">
            <v>1701.58</v>
          </cell>
          <cell r="Y328">
            <v>906.03</v>
          </cell>
        </row>
        <row r="329">
          <cell r="R329">
            <v>0</v>
          </cell>
          <cell r="X329">
            <v>0</v>
          </cell>
          <cell r="Y329">
            <v>0</v>
          </cell>
        </row>
        <row r="330">
          <cell r="R330">
            <v>0</v>
          </cell>
          <cell r="X330">
            <v>0</v>
          </cell>
          <cell r="Y330">
            <v>0</v>
          </cell>
        </row>
        <row r="331">
          <cell r="R331">
            <v>0.02</v>
          </cell>
          <cell r="X331">
            <v>216.69</v>
          </cell>
          <cell r="Y331">
            <v>127.35</v>
          </cell>
        </row>
        <row r="332">
          <cell r="R332">
            <v>0.47</v>
          </cell>
          <cell r="X332">
            <v>3417.54</v>
          </cell>
          <cell r="Y332">
            <v>1819.73</v>
          </cell>
        </row>
        <row r="333">
          <cell r="R333">
            <v>0</v>
          </cell>
          <cell r="X333">
            <v>0</v>
          </cell>
          <cell r="Y333">
            <v>0</v>
          </cell>
        </row>
        <row r="334">
          <cell r="R334">
            <v>0</v>
          </cell>
          <cell r="X334">
            <v>0</v>
          </cell>
          <cell r="Y334">
            <v>0</v>
          </cell>
        </row>
        <row r="335">
          <cell r="R335">
            <v>3.52</v>
          </cell>
          <cell r="X335">
            <v>251.35</v>
          </cell>
          <cell r="Y335">
            <v>147.72</v>
          </cell>
        </row>
        <row r="336">
          <cell r="R336">
            <v>82.19</v>
          </cell>
          <cell r="X336">
            <v>3964.12</v>
          </cell>
          <cell r="Y336">
            <v>2110.77</v>
          </cell>
        </row>
        <row r="337">
          <cell r="R337">
            <v>0</v>
          </cell>
          <cell r="X337">
            <v>0</v>
          </cell>
          <cell r="Y337">
            <v>0</v>
          </cell>
        </row>
        <row r="338">
          <cell r="R338">
            <v>0</v>
          </cell>
          <cell r="X338">
            <v>0</v>
          </cell>
          <cell r="Y338">
            <v>0</v>
          </cell>
        </row>
        <row r="339">
          <cell r="R339">
            <v>0.16</v>
          </cell>
          <cell r="X339">
            <v>195.66</v>
          </cell>
          <cell r="Y339">
            <v>114.99</v>
          </cell>
        </row>
        <row r="340">
          <cell r="R340">
            <v>3.74</v>
          </cell>
          <cell r="X340">
            <v>3085.82</v>
          </cell>
          <cell r="Y340">
            <v>1643.1</v>
          </cell>
        </row>
        <row r="341">
          <cell r="R341">
            <v>0</v>
          </cell>
          <cell r="X341">
            <v>0</v>
          </cell>
          <cell r="Y341">
            <v>0</v>
          </cell>
        </row>
        <row r="342">
          <cell r="R342">
            <v>0</v>
          </cell>
          <cell r="X342">
            <v>0</v>
          </cell>
          <cell r="Y342">
            <v>0</v>
          </cell>
        </row>
        <row r="343">
          <cell r="R343">
            <v>0.16</v>
          </cell>
          <cell r="X343">
            <v>34.75</v>
          </cell>
          <cell r="Y343">
            <v>20.420000000000002</v>
          </cell>
        </row>
        <row r="344">
          <cell r="R344">
            <v>3.74</v>
          </cell>
          <cell r="X344">
            <v>548.02</v>
          </cell>
          <cell r="Y344">
            <v>291.8</v>
          </cell>
        </row>
        <row r="345">
          <cell r="R345">
            <v>0</v>
          </cell>
          <cell r="X345">
            <v>0</v>
          </cell>
          <cell r="Y345">
            <v>0</v>
          </cell>
        </row>
        <row r="346">
          <cell r="R346">
            <v>0</v>
          </cell>
          <cell r="X346">
            <v>0</v>
          </cell>
          <cell r="Y346">
            <v>0</v>
          </cell>
        </row>
        <row r="382">
          <cell r="R382">
            <v>0</v>
          </cell>
          <cell r="X382">
            <v>608.76</v>
          </cell>
          <cell r="Y382">
            <v>568.17999999999995</v>
          </cell>
        </row>
        <row r="383">
          <cell r="R383">
            <v>0</v>
          </cell>
          <cell r="X383">
            <v>12887.86</v>
          </cell>
          <cell r="Y383">
            <v>7770.62</v>
          </cell>
        </row>
        <row r="384">
          <cell r="R384">
            <v>0</v>
          </cell>
          <cell r="X384">
            <v>1690.64</v>
          </cell>
          <cell r="Y384">
            <v>1577.93</v>
          </cell>
        </row>
        <row r="385">
          <cell r="R385">
            <v>0</v>
          </cell>
          <cell r="X385">
            <v>35792.03</v>
          </cell>
          <cell r="Y385">
            <v>21580.49</v>
          </cell>
        </row>
        <row r="386">
          <cell r="R386">
            <v>0</v>
          </cell>
          <cell r="X386">
            <v>270.18</v>
          </cell>
          <cell r="Y386">
            <v>252.17</v>
          </cell>
        </row>
        <row r="387">
          <cell r="R387">
            <v>0</v>
          </cell>
          <cell r="X387">
            <v>5719.89</v>
          </cell>
          <cell r="Y387">
            <v>3448.76</v>
          </cell>
        </row>
        <row r="388">
          <cell r="R388">
            <v>0</v>
          </cell>
          <cell r="X388">
            <v>132.94999999999999</v>
          </cell>
          <cell r="Y388">
            <v>124.08</v>
          </cell>
        </row>
        <row r="389">
          <cell r="R389">
            <v>0</v>
          </cell>
          <cell r="X389">
            <v>2814.53</v>
          </cell>
          <cell r="Y389">
            <v>1697</v>
          </cell>
        </row>
      </sheetData>
      <sheetData sheetId="4"/>
      <sheetData sheetId="5"/>
      <sheetData sheetId="6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28">
          <cell r="R28">
            <v>12.94</v>
          </cell>
          <cell r="X28">
            <v>209.03</v>
          </cell>
          <cell r="Y28">
            <v>122.85</v>
          </cell>
        </row>
        <row r="29">
          <cell r="R29">
            <v>302.14999999999998</v>
          </cell>
          <cell r="X29">
            <v>3296.72</v>
          </cell>
          <cell r="Y29">
            <v>1755.4</v>
          </cell>
        </row>
        <row r="30">
          <cell r="R30">
            <v>0</v>
          </cell>
          <cell r="X30">
            <v>0</v>
          </cell>
          <cell r="Y30">
            <v>0</v>
          </cell>
        </row>
        <row r="31">
          <cell r="R31">
            <v>0</v>
          </cell>
          <cell r="X31">
            <v>0</v>
          </cell>
          <cell r="Y31">
            <v>0</v>
          </cell>
        </row>
        <row r="32">
          <cell r="R32">
            <v>0</v>
          </cell>
          <cell r="X32">
            <v>0</v>
          </cell>
          <cell r="Y32">
            <v>0</v>
          </cell>
        </row>
        <row r="33">
          <cell r="R33">
            <v>0</v>
          </cell>
          <cell r="X33">
            <v>0</v>
          </cell>
          <cell r="Y33">
            <v>0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36">
          <cell r="R36">
            <v>0</v>
          </cell>
          <cell r="X36">
            <v>0</v>
          </cell>
          <cell r="Y36">
            <v>0</v>
          </cell>
        </row>
        <row r="37">
          <cell r="R37">
            <v>0</v>
          </cell>
          <cell r="X37">
            <v>0</v>
          </cell>
          <cell r="Y37">
            <v>0</v>
          </cell>
        </row>
        <row r="38">
          <cell r="R38">
            <v>0</v>
          </cell>
          <cell r="X38">
            <v>0</v>
          </cell>
          <cell r="Y38">
            <v>0</v>
          </cell>
        </row>
        <row r="39">
          <cell r="R39">
            <v>0</v>
          </cell>
          <cell r="X39">
            <v>0</v>
          </cell>
          <cell r="Y39">
            <v>0</v>
          </cell>
        </row>
        <row r="40">
          <cell r="R40">
            <v>0</v>
          </cell>
          <cell r="X40">
            <v>0</v>
          </cell>
          <cell r="Y40">
            <v>0</v>
          </cell>
        </row>
        <row r="41">
          <cell r="R41">
            <v>0</v>
          </cell>
          <cell r="X41">
            <v>0</v>
          </cell>
          <cell r="Y41">
            <v>0</v>
          </cell>
        </row>
        <row r="56">
          <cell r="R56">
            <v>2.7</v>
          </cell>
          <cell r="X56">
            <v>53.53</v>
          </cell>
          <cell r="Y56">
            <v>31.46</v>
          </cell>
        </row>
        <row r="57">
          <cell r="R57">
            <v>63.05</v>
          </cell>
          <cell r="X57">
            <v>844.32</v>
          </cell>
          <cell r="Y57">
            <v>449.57</v>
          </cell>
        </row>
        <row r="58">
          <cell r="R58">
            <v>0</v>
          </cell>
          <cell r="X58">
            <v>0</v>
          </cell>
          <cell r="Y58">
            <v>0</v>
          </cell>
        </row>
        <row r="59">
          <cell r="R59">
            <v>0</v>
          </cell>
          <cell r="X59">
            <v>0</v>
          </cell>
          <cell r="Y59">
            <v>0</v>
          </cell>
        </row>
        <row r="60">
          <cell r="R60">
            <v>49.95</v>
          </cell>
          <cell r="X60">
            <v>990.39</v>
          </cell>
          <cell r="Y60">
            <v>582.07000000000005</v>
          </cell>
        </row>
        <row r="61">
          <cell r="R61">
            <v>1166.33</v>
          </cell>
          <cell r="X61">
            <v>15619.87</v>
          </cell>
          <cell r="Y61">
            <v>8317.08</v>
          </cell>
        </row>
        <row r="62">
          <cell r="R62">
            <v>0</v>
          </cell>
          <cell r="X62">
            <v>0</v>
          </cell>
          <cell r="Y62">
            <v>0</v>
          </cell>
        </row>
        <row r="63">
          <cell r="R63">
            <v>0</v>
          </cell>
          <cell r="X63">
            <v>0</v>
          </cell>
          <cell r="Y63">
            <v>0</v>
          </cell>
        </row>
        <row r="64">
          <cell r="R64">
            <v>0</v>
          </cell>
          <cell r="X64">
            <v>215.92</v>
          </cell>
          <cell r="Y64">
            <v>126.9</v>
          </cell>
        </row>
        <row r="65">
          <cell r="R65">
            <v>0</v>
          </cell>
          <cell r="X65">
            <v>3405.32</v>
          </cell>
          <cell r="Y65">
            <v>1813.22</v>
          </cell>
        </row>
        <row r="66">
          <cell r="R66">
            <v>0</v>
          </cell>
          <cell r="X66">
            <v>0</v>
          </cell>
          <cell r="Y66">
            <v>0</v>
          </cell>
        </row>
        <row r="67">
          <cell r="R67">
            <v>0</v>
          </cell>
          <cell r="X67">
            <v>0</v>
          </cell>
          <cell r="Y67">
            <v>0</v>
          </cell>
        </row>
        <row r="68">
          <cell r="R68">
            <v>0</v>
          </cell>
          <cell r="X68">
            <v>0</v>
          </cell>
          <cell r="Y68">
            <v>0</v>
          </cell>
        </row>
        <row r="69">
          <cell r="R69">
            <v>0</v>
          </cell>
          <cell r="X69">
            <v>0</v>
          </cell>
          <cell r="Y69">
            <v>0</v>
          </cell>
        </row>
        <row r="70">
          <cell r="R70">
            <v>0</v>
          </cell>
          <cell r="X70">
            <v>0</v>
          </cell>
          <cell r="Y70">
            <v>0</v>
          </cell>
        </row>
        <row r="71">
          <cell r="R71">
            <v>0</v>
          </cell>
          <cell r="X71">
            <v>0</v>
          </cell>
          <cell r="Y71">
            <v>0</v>
          </cell>
        </row>
        <row r="72">
          <cell r="R72">
            <v>0</v>
          </cell>
          <cell r="X72">
            <v>0</v>
          </cell>
          <cell r="Y72">
            <v>0</v>
          </cell>
        </row>
        <row r="73">
          <cell r="R73">
            <v>0</v>
          </cell>
          <cell r="X73">
            <v>0</v>
          </cell>
          <cell r="Y73">
            <v>0</v>
          </cell>
        </row>
        <row r="74">
          <cell r="R74">
            <v>0</v>
          </cell>
          <cell r="X74">
            <v>0</v>
          </cell>
          <cell r="Y74">
            <v>0</v>
          </cell>
        </row>
        <row r="75">
          <cell r="R75">
            <v>0</v>
          </cell>
          <cell r="X75">
            <v>0</v>
          </cell>
          <cell r="Y75">
            <v>0</v>
          </cell>
        </row>
        <row r="85">
          <cell r="R85">
            <v>0</v>
          </cell>
          <cell r="X85">
            <v>0</v>
          </cell>
          <cell r="Y85">
            <v>0</v>
          </cell>
        </row>
        <row r="86">
          <cell r="R86">
            <v>0</v>
          </cell>
          <cell r="X86">
            <v>0</v>
          </cell>
          <cell r="Y86">
            <v>0</v>
          </cell>
        </row>
        <row r="87">
          <cell r="R87">
            <v>0</v>
          </cell>
          <cell r="X87">
            <v>0</v>
          </cell>
          <cell r="Y87">
            <v>0</v>
          </cell>
        </row>
        <row r="88">
          <cell r="R88">
            <v>0</v>
          </cell>
          <cell r="X88">
            <v>0</v>
          </cell>
          <cell r="Y88">
            <v>0</v>
          </cell>
        </row>
        <row r="89">
          <cell r="R89">
            <v>0</v>
          </cell>
          <cell r="X89">
            <v>0</v>
          </cell>
          <cell r="Y89">
            <v>0</v>
          </cell>
        </row>
        <row r="90">
          <cell r="R90">
            <v>0</v>
          </cell>
          <cell r="X90">
            <v>0</v>
          </cell>
          <cell r="Y90">
            <v>0</v>
          </cell>
        </row>
        <row r="91">
          <cell r="R91">
            <v>0</v>
          </cell>
          <cell r="X91">
            <v>0</v>
          </cell>
          <cell r="Y91">
            <v>0</v>
          </cell>
        </row>
        <row r="92">
          <cell r="R92">
            <v>0</v>
          </cell>
          <cell r="X92">
            <v>0</v>
          </cell>
          <cell r="Y92">
            <v>0</v>
          </cell>
        </row>
        <row r="93">
          <cell r="R93">
            <v>0</v>
          </cell>
          <cell r="X93">
            <v>0</v>
          </cell>
          <cell r="Y93">
            <v>0</v>
          </cell>
        </row>
        <row r="94">
          <cell r="R94">
            <v>0</v>
          </cell>
          <cell r="X94">
            <v>0</v>
          </cell>
          <cell r="Y94">
            <v>0</v>
          </cell>
        </row>
        <row r="95">
          <cell r="R95">
            <v>0</v>
          </cell>
          <cell r="X95">
            <v>0</v>
          </cell>
          <cell r="Y95">
            <v>0</v>
          </cell>
        </row>
        <row r="96">
          <cell r="R96">
            <v>0</v>
          </cell>
          <cell r="X96">
            <v>0</v>
          </cell>
          <cell r="Y96">
            <v>0</v>
          </cell>
        </row>
        <row r="162">
          <cell r="R162">
            <v>0</v>
          </cell>
          <cell r="X162">
            <v>0</v>
          </cell>
          <cell r="Y162">
            <v>0</v>
          </cell>
        </row>
        <row r="163">
          <cell r="R163">
            <v>0</v>
          </cell>
          <cell r="X163">
            <v>0</v>
          </cell>
          <cell r="Y163">
            <v>0</v>
          </cell>
        </row>
        <row r="164">
          <cell r="R164">
            <v>0</v>
          </cell>
          <cell r="X164">
            <v>0</v>
          </cell>
          <cell r="Y164">
            <v>0</v>
          </cell>
        </row>
        <row r="165">
          <cell r="R165">
            <v>0</v>
          </cell>
          <cell r="X165">
            <v>0</v>
          </cell>
          <cell r="Y165">
            <v>0</v>
          </cell>
        </row>
        <row r="201">
          <cell r="R201">
            <v>57.1</v>
          </cell>
          <cell r="X201">
            <v>2191.7600000000002</v>
          </cell>
          <cell r="Y201">
            <v>1288.1400000000001</v>
          </cell>
        </row>
        <row r="202">
          <cell r="R202">
            <v>1333.29</v>
          </cell>
          <cell r="X202">
            <v>34567.39</v>
          </cell>
          <cell r="Y202">
            <v>18406.009999999998</v>
          </cell>
        </row>
        <row r="203">
          <cell r="R203">
            <v>0</v>
          </cell>
          <cell r="X203">
            <v>0</v>
          </cell>
          <cell r="Y203">
            <v>0</v>
          </cell>
        </row>
        <row r="204">
          <cell r="R204">
            <v>0</v>
          </cell>
          <cell r="X204">
            <v>0</v>
          </cell>
          <cell r="Y204">
            <v>0</v>
          </cell>
        </row>
        <row r="205">
          <cell r="R205">
            <v>0</v>
          </cell>
          <cell r="X205">
            <v>0</v>
          </cell>
          <cell r="Y205">
            <v>0</v>
          </cell>
        </row>
        <row r="206">
          <cell r="R206">
            <v>0</v>
          </cell>
          <cell r="X206">
            <v>0</v>
          </cell>
          <cell r="Y206">
            <v>0</v>
          </cell>
        </row>
        <row r="207">
          <cell r="R207">
            <v>2</v>
          </cell>
          <cell r="X207">
            <v>723.9</v>
          </cell>
          <cell r="Y207">
            <v>425.45</v>
          </cell>
        </row>
        <row r="208">
          <cell r="R208">
            <v>46.7</v>
          </cell>
          <cell r="X208">
            <v>11416.98</v>
          </cell>
          <cell r="Y208">
            <v>6079.17</v>
          </cell>
        </row>
        <row r="209">
          <cell r="R209">
            <v>0</v>
          </cell>
          <cell r="X209">
            <v>0</v>
          </cell>
          <cell r="Y209">
            <v>0</v>
          </cell>
        </row>
        <row r="210">
          <cell r="R210">
            <v>0</v>
          </cell>
          <cell r="X210">
            <v>0</v>
          </cell>
          <cell r="Y210">
            <v>0</v>
          </cell>
        </row>
        <row r="211">
          <cell r="R211">
            <v>6.4</v>
          </cell>
          <cell r="X211">
            <v>944.47</v>
          </cell>
          <cell r="Y211">
            <v>555.08000000000004</v>
          </cell>
        </row>
        <row r="212">
          <cell r="R212">
            <v>149.44</v>
          </cell>
          <cell r="X212">
            <v>14895.66</v>
          </cell>
          <cell r="Y212">
            <v>7931.45</v>
          </cell>
        </row>
        <row r="213">
          <cell r="R213">
            <v>0</v>
          </cell>
          <cell r="X213">
            <v>0</v>
          </cell>
          <cell r="Y213">
            <v>0</v>
          </cell>
        </row>
        <row r="214">
          <cell r="R214">
            <v>0</v>
          </cell>
          <cell r="X214">
            <v>0</v>
          </cell>
          <cell r="Y214">
            <v>0</v>
          </cell>
        </row>
        <row r="215">
          <cell r="R215">
            <v>5.46</v>
          </cell>
          <cell r="X215">
            <v>2554.59</v>
          </cell>
          <cell r="Y215">
            <v>1501.38</v>
          </cell>
        </row>
        <row r="216">
          <cell r="R216">
            <v>127.49</v>
          </cell>
          <cell r="X216">
            <v>40289.72</v>
          </cell>
          <cell r="Y216">
            <v>21452.97</v>
          </cell>
        </row>
        <row r="217">
          <cell r="R217">
            <v>0</v>
          </cell>
          <cell r="X217">
            <v>0</v>
          </cell>
          <cell r="Y217">
            <v>0</v>
          </cell>
        </row>
        <row r="218">
          <cell r="R218">
            <v>0</v>
          </cell>
          <cell r="X218">
            <v>0</v>
          </cell>
          <cell r="Y218">
            <v>0</v>
          </cell>
        </row>
        <row r="219">
          <cell r="R219">
            <v>0</v>
          </cell>
          <cell r="X219">
            <v>0</v>
          </cell>
          <cell r="Y219">
            <v>0</v>
          </cell>
        </row>
        <row r="220">
          <cell r="R220">
            <v>0</v>
          </cell>
          <cell r="X220">
            <v>0</v>
          </cell>
          <cell r="Y220">
            <v>0</v>
          </cell>
        </row>
        <row r="221">
          <cell r="R221">
            <v>0</v>
          </cell>
          <cell r="X221">
            <v>0</v>
          </cell>
          <cell r="Y221">
            <v>0</v>
          </cell>
        </row>
        <row r="222">
          <cell r="R222">
            <v>0</v>
          </cell>
          <cell r="X222">
            <v>0</v>
          </cell>
          <cell r="Y222">
            <v>0</v>
          </cell>
        </row>
        <row r="223">
          <cell r="R223">
            <v>11.68</v>
          </cell>
          <cell r="X223">
            <v>165.02</v>
          </cell>
          <cell r="Y223">
            <v>96.98</v>
          </cell>
        </row>
        <row r="224">
          <cell r="R224">
            <v>272.73</v>
          </cell>
          <cell r="X224">
            <v>2602.5300000000002</v>
          </cell>
          <cell r="Y224">
            <v>1385.76</v>
          </cell>
        </row>
        <row r="225">
          <cell r="R225">
            <v>0</v>
          </cell>
          <cell r="X225">
            <v>0</v>
          </cell>
          <cell r="Y225">
            <v>0</v>
          </cell>
        </row>
        <row r="226">
          <cell r="R226">
            <v>0</v>
          </cell>
          <cell r="X226">
            <v>0</v>
          </cell>
          <cell r="Y226">
            <v>0</v>
          </cell>
        </row>
        <row r="227">
          <cell r="R227">
            <v>0</v>
          </cell>
          <cell r="X227">
            <v>0</v>
          </cell>
          <cell r="Y227">
            <v>0</v>
          </cell>
        </row>
        <row r="228">
          <cell r="R228">
            <v>0</v>
          </cell>
          <cell r="X228">
            <v>0</v>
          </cell>
          <cell r="Y228">
            <v>0</v>
          </cell>
        </row>
        <row r="229">
          <cell r="R229">
            <v>0</v>
          </cell>
          <cell r="X229">
            <v>0</v>
          </cell>
          <cell r="Y229">
            <v>0</v>
          </cell>
        </row>
        <row r="230">
          <cell r="R230">
            <v>0</v>
          </cell>
          <cell r="X230">
            <v>0</v>
          </cell>
          <cell r="Y230">
            <v>0</v>
          </cell>
        </row>
        <row r="268">
          <cell r="R268">
            <v>0</v>
          </cell>
          <cell r="X268">
            <v>21.59</v>
          </cell>
          <cell r="Y268">
            <v>12.69</v>
          </cell>
        </row>
        <row r="269">
          <cell r="R269">
            <v>0</v>
          </cell>
          <cell r="X269">
            <v>340.53</v>
          </cell>
          <cell r="Y269">
            <v>181.32</v>
          </cell>
        </row>
        <row r="270">
          <cell r="R270">
            <v>0</v>
          </cell>
          <cell r="X270">
            <v>0</v>
          </cell>
          <cell r="Y270">
            <v>0</v>
          </cell>
        </row>
        <row r="271">
          <cell r="R271">
            <v>0</v>
          </cell>
          <cell r="X271">
            <v>0</v>
          </cell>
          <cell r="Y271">
            <v>0</v>
          </cell>
        </row>
        <row r="274">
          <cell r="R274">
            <v>0</v>
          </cell>
          <cell r="X274">
            <v>0</v>
          </cell>
          <cell r="Y274">
            <v>0</v>
          </cell>
        </row>
        <row r="275">
          <cell r="R275">
            <v>0</v>
          </cell>
          <cell r="X275">
            <v>0</v>
          </cell>
          <cell r="Y275">
            <v>0</v>
          </cell>
        </row>
        <row r="276">
          <cell r="R276">
            <v>0</v>
          </cell>
          <cell r="X276">
            <v>76.319999999999993</v>
          </cell>
          <cell r="Y276">
            <v>44.86</v>
          </cell>
        </row>
        <row r="277">
          <cell r="R277">
            <v>0</v>
          </cell>
          <cell r="X277">
            <v>1203.73</v>
          </cell>
          <cell r="Y277">
            <v>640.94000000000005</v>
          </cell>
        </row>
        <row r="278">
          <cell r="R278">
            <v>0</v>
          </cell>
          <cell r="X278">
            <v>0</v>
          </cell>
          <cell r="Y278">
            <v>0</v>
          </cell>
        </row>
        <row r="279">
          <cell r="R279">
            <v>0</v>
          </cell>
          <cell r="X279">
            <v>0</v>
          </cell>
          <cell r="Y279">
            <v>0</v>
          </cell>
        </row>
        <row r="280">
          <cell r="R280">
            <v>0.12</v>
          </cell>
          <cell r="X280">
            <v>25.94</v>
          </cell>
          <cell r="Y280">
            <v>15.24</v>
          </cell>
        </row>
        <row r="281">
          <cell r="R281">
            <v>2.8</v>
          </cell>
          <cell r="X281">
            <v>409.03</v>
          </cell>
          <cell r="Y281">
            <v>217.8</v>
          </cell>
        </row>
        <row r="282">
          <cell r="R282">
            <v>0</v>
          </cell>
          <cell r="X282">
            <v>0</v>
          </cell>
          <cell r="Y282">
            <v>0</v>
          </cell>
        </row>
        <row r="283">
          <cell r="R283">
            <v>0</v>
          </cell>
          <cell r="X283">
            <v>0</v>
          </cell>
          <cell r="Y283">
            <v>0</v>
          </cell>
        </row>
        <row r="284">
          <cell r="R284">
            <v>0</v>
          </cell>
          <cell r="X284">
            <v>27.13</v>
          </cell>
          <cell r="Y284">
            <v>15.95</v>
          </cell>
        </row>
        <row r="285">
          <cell r="R285">
            <v>0</v>
          </cell>
          <cell r="X285">
            <v>427.91</v>
          </cell>
          <cell r="Y285">
            <v>227.85</v>
          </cell>
        </row>
        <row r="286">
          <cell r="R286">
            <v>0</v>
          </cell>
          <cell r="X286">
            <v>0</v>
          </cell>
          <cell r="Y286">
            <v>0</v>
          </cell>
        </row>
        <row r="287">
          <cell r="R287">
            <v>0</v>
          </cell>
          <cell r="X287">
            <v>0</v>
          </cell>
          <cell r="Y287">
            <v>0</v>
          </cell>
        </row>
        <row r="288">
          <cell r="R288">
            <v>0</v>
          </cell>
          <cell r="X288">
            <v>0</v>
          </cell>
          <cell r="Y288">
            <v>0</v>
          </cell>
        </row>
        <row r="289">
          <cell r="R289">
            <v>0</v>
          </cell>
          <cell r="X289">
            <v>0</v>
          </cell>
          <cell r="Y289">
            <v>0</v>
          </cell>
        </row>
        <row r="290">
          <cell r="R290">
            <v>0.22</v>
          </cell>
          <cell r="X290">
            <v>12.55</v>
          </cell>
          <cell r="Y290">
            <v>7.38</v>
          </cell>
        </row>
        <row r="291">
          <cell r="R291">
            <v>5.14</v>
          </cell>
          <cell r="X291">
            <v>197.95</v>
          </cell>
          <cell r="Y291">
            <v>105.4</v>
          </cell>
        </row>
        <row r="292">
          <cell r="R292">
            <v>0</v>
          </cell>
          <cell r="X292">
            <v>0</v>
          </cell>
          <cell r="Y292">
            <v>0</v>
          </cell>
        </row>
        <row r="293">
          <cell r="R293">
            <v>0</v>
          </cell>
          <cell r="X293">
            <v>0</v>
          </cell>
          <cell r="Y293">
            <v>0</v>
          </cell>
        </row>
        <row r="294">
          <cell r="R294">
            <v>2.86</v>
          </cell>
          <cell r="X294">
            <v>109.59</v>
          </cell>
          <cell r="Y294">
            <v>64.41</v>
          </cell>
        </row>
        <row r="295">
          <cell r="R295">
            <v>66.78</v>
          </cell>
          <cell r="X295">
            <v>1728.37</v>
          </cell>
          <cell r="Y295">
            <v>920.3</v>
          </cell>
        </row>
        <row r="296">
          <cell r="R296">
            <v>0</v>
          </cell>
          <cell r="X296">
            <v>0</v>
          </cell>
          <cell r="Y296">
            <v>0</v>
          </cell>
        </row>
        <row r="297">
          <cell r="R297">
            <v>0</v>
          </cell>
          <cell r="X297">
            <v>0</v>
          </cell>
          <cell r="Y297">
            <v>0</v>
          </cell>
        </row>
        <row r="300">
          <cell r="R300">
            <v>0.1</v>
          </cell>
          <cell r="X300">
            <v>36.200000000000003</v>
          </cell>
          <cell r="Y300">
            <v>21.27</v>
          </cell>
        </row>
        <row r="301">
          <cell r="R301">
            <v>2.34</v>
          </cell>
          <cell r="X301">
            <v>570.85</v>
          </cell>
          <cell r="Y301">
            <v>303.95999999999998</v>
          </cell>
        </row>
        <row r="302">
          <cell r="R302">
            <v>0</v>
          </cell>
          <cell r="X302">
            <v>0</v>
          </cell>
          <cell r="Y302">
            <v>0</v>
          </cell>
        </row>
        <row r="303">
          <cell r="R303">
            <v>0</v>
          </cell>
          <cell r="X303">
            <v>0</v>
          </cell>
          <cell r="Y303">
            <v>0</v>
          </cell>
        </row>
        <row r="304">
          <cell r="R304">
            <v>0.12</v>
          </cell>
          <cell r="X304">
            <v>25.94</v>
          </cell>
          <cell r="Y304">
            <v>15.24</v>
          </cell>
        </row>
        <row r="305">
          <cell r="R305">
            <v>2.8</v>
          </cell>
          <cell r="X305">
            <v>409.03</v>
          </cell>
          <cell r="Y305">
            <v>217.8</v>
          </cell>
        </row>
        <row r="306">
          <cell r="R306">
            <v>0</v>
          </cell>
          <cell r="X306">
            <v>0</v>
          </cell>
          <cell r="Y306">
            <v>0</v>
          </cell>
        </row>
        <row r="307">
          <cell r="R307">
            <v>0</v>
          </cell>
          <cell r="X307">
            <v>0</v>
          </cell>
          <cell r="Y307">
            <v>0</v>
          </cell>
        </row>
        <row r="343">
          <cell r="R343">
            <v>4.72</v>
          </cell>
          <cell r="X343">
            <v>1037.3499999999999</v>
          </cell>
          <cell r="Y343">
            <v>609.66999999999996</v>
          </cell>
        </row>
        <row r="344">
          <cell r="R344">
            <v>110.21</v>
          </cell>
          <cell r="X344">
            <v>16360.63</v>
          </cell>
          <cell r="Y344">
            <v>8711.5</v>
          </cell>
        </row>
        <row r="345">
          <cell r="R345">
            <v>0</v>
          </cell>
          <cell r="X345">
            <v>0</v>
          </cell>
          <cell r="Y345">
            <v>0</v>
          </cell>
        </row>
        <row r="346">
          <cell r="R346">
            <v>0</v>
          </cell>
          <cell r="X346">
            <v>0</v>
          </cell>
          <cell r="Y346">
            <v>0</v>
          </cell>
        </row>
        <row r="347">
          <cell r="R347">
            <v>27.3</v>
          </cell>
          <cell r="X347">
            <v>1055.01</v>
          </cell>
          <cell r="Y347">
            <v>620.04999999999995</v>
          </cell>
        </row>
        <row r="348">
          <cell r="R348">
            <v>637.46</v>
          </cell>
          <cell r="X348">
            <v>16639.13</v>
          </cell>
          <cell r="Y348">
            <v>8859.7999999999993</v>
          </cell>
        </row>
        <row r="349">
          <cell r="R349">
            <v>0</v>
          </cell>
          <cell r="X349">
            <v>0</v>
          </cell>
          <cell r="Y349">
            <v>0</v>
          </cell>
        </row>
        <row r="350">
          <cell r="R350">
            <v>0</v>
          </cell>
          <cell r="X350">
            <v>0</v>
          </cell>
          <cell r="Y350">
            <v>0</v>
          </cell>
        </row>
        <row r="351">
          <cell r="R351">
            <v>1</v>
          </cell>
          <cell r="X351">
            <v>361.95</v>
          </cell>
          <cell r="Y351">
            <v>212.73</v>
          </cell>
        </row>
        <row r="352">
          <cell r="R352">
            <v>23.35</v>
          </cell>
          <cell r="X352">
            <v>5708.5</v>
          </cell>
          <cell r="Y352">
            <v>3039.59</v>
          </cell>
        </row>
        <row r="353">
          <cell r="R353">
            <v>0</v>
          </cell>
          <cell r="X353">
            <v>0</v>
          </cell>
          <cell r="Y353">
            <v>0</v>
          </cell>
        </row>
        <row r="354">
          <cell r="R354">
            <v>0</v>
          </cell>
          <cell r="X354">
            <v>0</v>
          </cell>
          <cell r="Y354">
            <v>0</v>
          </cell>
        </row>
        <row r="386">
          <cell r="G386" t="str">
            <v>СКС,ЛВС,ТФ Локальная вычислительная сеть.Структурированная кабельная сеть. Система Телефонизации.</v>
          </cell>
        </row>
      </sheetData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28">
          <cell r="R28">
            <v>6.47</v>
          </cell>
          <cell r="X28">
            <v>102.68</v>
          </cell>
          <cell r="Y28">
            <v>64.180000000000007</v>
          </cell>
        </row>
        <row r="29">
          <cell r="R29">
            <v>151.07</v>
          </cell>
          <cell r="X29">
            <v>1926.66</v>
          </cell>
          <cell r="Y29">
            <v>920.51</v>
          </cell>
        </row>
        <row r="30">
          <cell r="R30">
            <v>0</v>
          </cell>
          <cell r="X30">
            <v>488.34</v>
          </cell>
          <cell r="Y30">
            <v>305.20999999999998</v>
          </cell>
        </row>
        <row r="31">
          <cell r="R31">
            <v>0</v>
          </cell>
          <cell r="X31">
            <v>9162.9599999999991</v>
          </cell>
          <cell r="Y31">
            <v>4377.8599999999997</v>
          </cell>
        </row>
        <row r="32">
          <cell r="R32">
            <v>0</v>
          </cell>
          <cell r="X32">
            <v>70.67</v>
          </cell>
          <cell r="Y32">
            <v>44.17</v>
          </cell>
        </row>
        <row r="33">
          <cell r="R33">
            <v>0</v>
          </cell>
          <cell r="X33">
            <v>1326.05</v>
          </cell>
          <cell r="Y33">
            <v>633.55999999999995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38">
          <cell r="R38">
            <v>0</v>
          </cell>
          <cell r="X38">
            <v>183.75</v>
          </cell>
          <cell r="Y38">
            <v>114.84</v>
          </cell>
        </row>
        <row r="39">
          <cell r="R39">
            <v>0</v>
          </cell>
          <cell r="X39">
            <v>3447.72</v>
          </cell>
          <cell r="Y39">
            <v>1647.24</v>
          </cell>
        </row>
        <row r="40">
          <cell r="R40">
            <v>0</v>
          </cell>
          <cell r="X40">
            <v>86.44</v>
          </cell>
          <cell r="Y40">
            <v>54.03</v>
          </cell>
        </row>
        <row r="41">
          <cell r="R41">
            <v>0</v>
          </cell>
          <cell r="X41">
            <v>1621.94</v>
          </cell>
          <cell r="Y41">
            <v>774.92</v>
          </cell>
        </row>
        <row r="42">
          <cell r="R42">
            <v>0</v>
          </cell>
          <cell r="X42">
            <v>28.87</v>
          </cell>
          <cell r="Y42">
            <v>18.05</v>
          </cell>
        </row>
        <row r="43">
          <cell r="R43">
            <v>0</v>
          </cell>
          <cell r="X43">
            <v>541.76</v>
          </cell>
          <cell r="Y43">
            <v>258.83999999999997</v>
          </cell>
        </row>
        <row r="44">
          <cell r="R44">
            <v>0</v>
          </cell>
          <cell r="X44">
            <v>0</v>
          </cell>
          <cell r="Y44">
            <v>0</v>
          </cell>
        </row>
        <row r="45">
          <cell r="R45">
            <v>0</v>
          </cell>
          <cell r="X45">
            <v>0</v>
          </cell>
          <cell r="Y45">
            <v>0</v>
          </cell>
        </row>
        <row r="46">
          <cell r="R46">
            <v>0</v>
          </cell>
          <cell r="X46">
            <v>0</v>
          </cell>
          <cell r="Y46">
            <v>0</v>
          </cell>
        </row>
        <row r="47">
          <cell r="R47">
            <v>0</v>
          </cell>
          <cell r="X47">
            <v>0</v>
          </cell>
          <cell r="Y47">
            <v>0</v>
          </cell>
        </row>
        <row r="48">
          <cell r="R48">
            <v>0</v>
          </cell>
          <cell r="X48">
            <v>0</v>
          </cell>
          <cell r="Y48">
            <v>0</v>
          </cell>
        </row>
        <row r="49">
          <cell r="R49">
            <v>0</v>
          </cell>
          <cell r="X49">
            <v>0</v>
          </cell>
          <cell r="Y49">
            <v>0</v>
          </cell>
        </row>
        <row r="50">
          <cell r="R50">
            <v>0</v>
          </cell>
          <cell r="X50">
            <v>0</v>
          </cell>
          <cell r="Y50">
            <v>0</v>
          </cell>
        </row>
        <row r="51">
          <cell r="R51">
            <v>0</v>
          </cell>
          <cell r="X51">
            <v>0</v>
          </cell>
          <cell r="Y51">
            <v>0</v>
          </cell>
        </row>
        <row r="52">
          <cell r="R52">
            <v>0</v>
          </cell>
          <cell r="X52">
            <v>0</v>
          </cell>
          <cell r="Y52">
            <v>0</v>
          </cell>
        </row>
        <row r="53">
          <cell r="R53">
            <v>0</v>
          </cell>
          <cell r="X53">
            <v>0</v>
          </cell>
          <cell r="Y53">
            <v>0</v>
          </cell>
        </row>
        <row r="54">
          <cell r="R54">
            <v>0</v>
          </cell>
          <cell r="X54">
            <v>85.29</v>
          </cell>
          <cell r="Y54">
            <v>53.31</v>
          </cell>
        </row>
        <row r="55">
          <cell r="R55">
            <v>0</v>
          </cell>
          <cell r="X55">
            <v>1600.29</v>
          </cell>
          <cell r="Y55">
            <v>764.58</v>
          </cell>
        </row>
        <row r="56">
          <cell r="R56">
            <v>0</v>
          </cell>
          <cell r="X56">
            <v>0</v>
          </cell>
          <cell r="Y56">
            <v>0</v>
          </cell>
        </row>
        <row r="57">
          <cell r="R57">
            <v>0</v>
          </cell>
          <cell r="X57">
            <v>0</v>
          </cell>
          <cell r="Y57">
            <v>0</v>
          </cell>
        </row>
        <row r="58">
          <cell r="R58">
            <v>0</v>
          </cell>
          <cell r="X58">
            <v>44.63</v>
          </cell>
          <cell r="Y58">
            <v>27.9</v>
          </cell>
        </row>
        <row r="59">
          <cell r="R59">
            <v>0</v>
          </cell>
          <cell r="X59">
            <v>837.45</v>
          </cell>
          <cell r="Y59">
            <v>400.12</v>
          </cell>
        </row>
        <row r="60">
          <cell r="R60">
            <v>0</v>
          </cell>
          <cell r="X60">
            <v>0</v>
          </cell>
          <cell r="Y60">
            <v>0</v>
          </cell>
        </row>
        <row r="61">
          <cell r="R61">
            <v>0</v>
          </cell>
          <cell r="X61">
            <v>0</v>
          </cell>
          <cell r="Y61">
            <v>0</v>
          </cell>
        </row>
        <row r="62">
          <cell r="R62">
            <v>0</v>
          </cell>
          <cell r="X62">
            <v>24.68</v>
          </cell>
          <cell r="Y62">
            <v>15.43</v>
          </cell>
        </row>
        <row r="63">
          <cell r="R63">
            <v>0</v>
          </cell>
          <cell r="X63">
            <v>463.17</v>
          </cell>
          <cell r="Y63">
            <v>221.29</v>
          </cell>
        </row>
        <row r="64">
          <cell r="R64">
            <v>0</v>
          </cell>
          <cell r="X64">
            <v>0</v>
          </cell>
          <cell r="Y64">
            <v>0</v>
          </cell>
        </row>
        <row r="65">
          <cell r="R65">
            <v>0</v>
          </cell>
          <cell r="X65">
            <v>0</v>
          </cell>
          <cell r="Y65">
            <v>0</v>
          </cell>
        </row>
        <row r="66">
          <cell r="R66">
            <v>0</v>
          </cell>
          <cell r="X66">
            <v>0</v>
          </cell>
          <cell r="Y66">
            <v>0</v>
          </cell>
        </row>
        <row r="67">
          <cell r="R67">
            <v>0</v>
          </cell>
          <cell r="X67">
            <v>0</v>
          </cell>
          <cell r="Y67">
            <v>0</v>
          </cell>
        </row>
        <row r="76">
          <cell r="R76">
            <v>0</v>
          </cell>
          <cell r="X76">
            <v>162.78</v>
          </cell>
          <cell r="Y76">
            <v>101.74</v>
          </cell>
        </row>
        <row r="77">
          <cell r="R77">
            <v>0</v>
          </cell>
          <cell r="X77">
            <v>3054.32</v>
          </cell>
          <cell r="Y77">
            <v>1459.29</v>
          </cell>
        </row>
        <row r="78">
          <cell r="R78">
            <v>0</v>
          </cell>
          <cell r="X78">
            <v>0</v>
          </cell>
          <cell r="Y78">
            <v>0</v>
          </cell>
        </row>
        <row r="79">
          <cell r="R79">
            <v>0</v>
          </cell>
          <cell r="X79">
            <v>0</v>
          </cell>
          <cell r="Y79">
            <v>0</v>
          </cell>
        </row>
        <row r="80">
          <cell r="R80">
            <v>32.76</v>
          </cell>
          <cell r="X80">
            <v>1243.8</v>
          </cell>
          <cell r="Y80">
            <v>777.38</v>
          </cell>
        </row>
        <row r="81">
          <cell r="R81">
            <v>764.95</v>
          </cell>
          <cell r="X81">
            <v>23338</v>
          </cell>
          <cell r="Y81">
            <v>11150.38</v>
          </cell>
        </row>
        <row r="82">
          <cell r="R82">
            <v>0</v>
          </cell>
          <cell r="X82">
            <v>0</v>
          </cell>
          <cell r="Y82">
            <v>0</v>
          </cell>
        </row>
        <row r="83">
          <cell r="R83">
            <v>0</v>
          </cell>
          <cell r="X83">
            <v>0</v>
          </cell>
          <cell r="Y83">
            <v>0</v>
          </cell>
        </row>
        <row r="86">
          <cell r="R86">
            <v>0</v>
          </cell>
          <cell r="X86">
            <v>0</v>
          </cell>
          <cell r="Y86">
            <v>0</v>
          </cell>
        </row>
        <row r="87">
          <cell r="R87">
            <v>0</v>
          </cell>
          <cell r="X87">
            <v>0</v>
          </cell>
          <cell r="Y87">
            <v>0</v>
          </cell>
        </row>
        <row r="88">
          <cell r="R88">
            <v>0</v>
          </cell>
          <cell r="X88">
            <v>0</v>
          </cell>
          <cell r="Y88">
            <v>0</v>
          </cell>
        </row>
        <row r="89">
          <cell r="R89">
            <v>0</v>
          </cell>
          <cell r="X89">
            <v>0</v>
          </cell>
          <cell r="Y89">
            <v>0</v>
          </cell>
        </row>
        <row r="90">
          <cell r="R90">
            <v>0</v>
          </cell>
          <cell r="X90">
            <v>0</v>
          </cell>
          <cell r="Y90">
            <v>0</v>
          </cell>
        </row>
        <row r="91">
          <cell r="R91">
            <v>0</v>
          </cell>
          <cell r="X91">
            <v>0</v>
          </cell>
          <cell r="Y91">
            <v>0</v>
          </cell>
        </row>
        <row r="92">
          <cell r="R92">
            <v>0.43</v>
          </cell>
          <cell r="X92">
            <v>93.88</v>
          </cell>
          <cell r="Y92">
            <v>58.67</v>
          </cell>
        </row>
        <row r="93">
          <cell r="R93">
            <v>10.039999999999999</v>
          </cell>
          <cell r="X93">
            <v>1761.48</v>
          </cell>
          <cell r="Y93">
            <v>841.6</v>
          </cell>
        </row>
        <row r="94">
          <cell r="R94">
            <v>0</v>
          </cell>
          <cell r="X94">
            <v>0</v>
          </cell>
          <cell r="Y94">
            <v>0</v>
          </cell>
        </row>
        <row r="95">
          <cell r="R95">
            <v>0</v>
          </cell>
          <cell r="X95">
            <v>0</v>
          </cell>
          <cell r="Y95">
            <v>0</v>
          </cell>
        </row>
        <row r="96">
          <cell r="R96">
            <v>0.12</v>
          </cell>
          <cell r="X96">
            <v>25.6</v>
          </cell>
          <cell r="Y96">
            <v>16</v>
          </cell>
        </row>
        <row r="97">
          <cell r="R97">
            <v>2.8</v>
          </cell>
          <cell r="X97">
            <v>480.4</v>
          </cell>
          <cell r="Y97">
            <v>229.53</v>
          </cell>
        </row>
        <row r="98">
          <cell r="R98">
            <v>0</v>
          </cell>
          <cell r="X98">
            <v>0</v>
          </cell>
          <cell r="Y98">
            <v>0</v>
          </cell>
        </row>
        <row r="99">
          <cell r="R99">
            <v>0</v>
          </cell>
          <cell r="X99">
            <v>0</v>
          </cell>
          <cell r="Y99">
            <v>0</v>
          </cell>
        </row>
        <row r="102">
          <cell r="R102">
            <v>0.12</v>
          </cell>
          <cell r="X102">
            <v>25.6</v>
          </cell>
          <cell r="Y102">
            <v>16</v>
          </cell>
        </row>
        <row r="103">
          <cell r="R103">
            <v>2.8</v>
          </cell>
          <cell r="X103">
            <v>480.4</v>
          </cell>
          <cell r="Y103">
            <v>229.53</v>
          </cell>
        </row>
        <row r="104">
          <cell r="R104">
            <v>0</v>
          </cell>
          <cell r="X104">
            <v>0</v>
          </cell>
          <cell r="Y104">
            <v>0</v>
          </cell>
        </row>
        <row r="105">
          <cell r="R105">
            <v>0</v>
          </cell>
          <cell r="X105">
            <v>0</v>
          </cell>
          <cell r="Y105">
            <v>0</v>
          </cell>
        </row>
        <row r="108">
          <cell r="R108">
            <v>0.48</v>
          </cell>
          <cell r="X108">
            <v>170.69</v>
          </cell>
          <cell r="Y108">
            <v>106.68</v>
          </cell>
        </row>
        <row r="109">
          <cell r="R109">
            <v>11.21</v>
          </cell>
          <cell r="X109">
            <v>3202.69</v>
          </cell>
          <cell r="Y109">
            <v>1530.17</v>
          </cell>
        </row>
        <row r="110">
          <cell r="R110">
            <v>0</v>
          </cell>
          <cell r="X110">
            <v>0</v>
          </cell>
          <cell r="Y110">
            <v>0</v>
          </cell>
        </row>
        <row r="111">
          <cell r="R111">
            <v>0</v>
          </cell>
          <cell r="X111">
            <v>0</v>
          </cell>
          <cell r="Y111">
            <v>0</v>
          </cell>
        </row>
        <row r="112">
          <cell r="R112">
            <v>0</v>
          </cell>
          <cell r="X112">
            <v>0</v>
          </cell>
          <cell r="Y112">
            <v>0</v>
          </cell>
        </row>
        <row r="113">
          <cell r="R113">
            <v>0</v>
          </cell>
          <cell r="X113">
            <v>0</v>
          </cell>
          <cell r="Y113">
            <v>0</v>
          </cell>
        </row>
        <row r="114">
          <cell r="R114">
            <v>0</v>
          </cell>
          <cell r="X114">
            <v>0</v>
          </cell>
          <cell r="Y114">
            <v>0</v>
          </cell>
        </row>
        <row r="115">
          <cell r="R115">
            <v>0</v>
          </cell>
          <cell r="X115">
            <v>0</v>
          </cell>
          <cell r="Y115">
            <v>0</v>
          </cell>
        </row>
        <row r="118">
          <cell r="R118">
            <v>0.51</v>
          </cell>
          <cell r="X118">
            <v>110.95</v>
          </cell>
          <cell r="Y118">
            <v>69.34</v>
          </cell>
        </row>
        <row r="119">
          <cell r="R119">
            <v>11.91</v>
          </cell>
          <cell r="X119">
            <v>2081.75</v>
          </cell>
          <cell r="Y119">
            <v>994.61</v>
          </cell>
        </row>
        <row r="120">
          <cell r="R120">
            <v>0</v>
          </cell>
          <cell r="X120">
            <v>0</v>
          </cell>
          <cell r="Y120">
            <v>0</v>
          </cell>
        </row>
        <row r="121">
          <cell r="R121">
            <v>0</v>
          </cell>
          <cell r="X121">
            <v>0</v>
          </cell>
          <cell r="Y121">
            <v>0</v>
          </cell>
        </row>
        <row r="122">
          <cell r="R122">
            <v>0.23</v>
          </cell>
          <cell r="X122">
            <v>51.21</v>
          </cell>
          <cell r="Y122">
            <v>32</v>
          </cell>
        </row>
        <row r="123">
          <cell r="R123">
            <v>5.37</v>
          </cell>
          <cell r="X123">
            <v>960.8</v>
          </cell>
          <cell r="Y123">
            <v>459.05</v>
          </cell>
        </row>
        <row r="124">
          <cell r="R124">
            <v>0</v>
          </cell>
          <cell r="X124">
            <v>0</v>
          </cell>
          <cell r="Y124">
            <v>0</v>
          </cell>
        </row>
        <row r="125">
          <cell r="R125">
            <v>0</v>
          </cell>
          <cell r="X125">
            <v>0</v>
          </cell>
          <cell r="Y125">
            <v>0</v>
          </cell>
        </row>
        <row r="131">
          <cell r="R131">
            <v>0</v>
          </cell>
          <cell r="X131">
            <v>0</v>
          </cell>
          <cell r="Y131">
            <v>0</v>
          </cell>
        </row>
        <row r="132">
          <cell r="R132">
            <v>0</v>
          </cell>
          <cell r="X132">
            <v>0</v>
          </cell>
          <cell r="Y132">
            <v>0</v>
          </cell>
        </row>
        <row r="133">
          <cell r="R133">
            <v>0</v>
          </cell>
          <cell r="X133">
            <v>0</v>
          </cell>
          <cell r="Y133">
            <v>0</v>
          </cell>
        </row>
        <row r="134">
          <cell r="R134">
            <v>0</v>
          </cell>
          <cell r="X134">
            <v>0</v>
          </cell>
          <cell r="Y134">
            <v>0</v>
          </cell>
        </row>
        <row r="135">
          <cell r="R135">
            <v>0</v>
          </cell>
          <cell r="X135">
            <v>0</v>
          </cell>
          <cell r="Y135">
            <v>0</v>
          </cell>
        </row>
        <row r="136">
          <cell r="R136">
            <v>0</v>
          </cell>
          <cell r="X136">
            <v>0</v>
          </cell>
          <cell r="Y136">
            <v>0</v>
          </cell>
        </row>
        <row r="137">
          <cell r="R137">
            <v>0</v>
          </cell>
          <cell r="X137">
            <v>0</v>
          </cell>
          <cell r="Y137">
            <v>0</v>
          </cell>
        </row>
        <row r="138">
          <cell r="R138">
            <v>0</v>
          </cell>
          <cell r="X138">
            <v>0</v>
          </cell>
          <cell r="Y138">
            <v>0</v>
          </cell>
        </row>
      </sheetData>
      <sheetData sheetId="4"/>
      <sheetData sheetId="5"/>
      <sheetData sheetId="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30">
          <cell r="R30">
            <v>0</v>
          </cell>
          <cell r="X30">
            <v>125.08</v>
          </cell>
          <cell r="Y30">
            <v>78.180000000000007</v>
          </cell>
        </row>
        <row r="31">
          <cell r="R31">
            <v>0</v>
          </cell>
          <cell r="X31">
            <v>2346.96</v>
          </cell>
          <cell r="Y31">
            <v>1121.32</v>
          </cell>
        </row>
        <row r="32">
          <cell r="R32">
            <v>0.96</v>
          </cell>
          <cell r="X32">
            <v>218.4</v>
          </cell>
          <cell r="Y32">
            <v>136.5</v>
          </cell>
        </row>
        <row r="33">
          <cell r="R33">
            <v>22.42</v>
          </cell>
          <cell r="X33">
            <v>4097.93</v>
          </cell>
          <cell r="Y33">
            <v>1957.9</v>
          </cell>
        </row>
        <row r="34">
          <cell r="R34">
            <v>0</v>
          </cell>
          <cell r="X34">
            <v>1865.92</v>
          </cell>
          <cell r="Y34">
            <v>1166.2</v>
          </cell>
        </row>
        <row r="35">
          <cell r="R35">
            <v>0</v>
          </cell>
          <cell r="X35">
            <v>35010.99</v>
          </cell>
          <cell r="Y35">
            <v>16727.47</v>
          </cell>
        </row>
        <row r="36">
          <cell r="R36">
            <v>0</v>
          </cell>
          <cell r="X36">
            <v>0</v>
          </cell>
          <cell r="Y36">
            <v>0</v>
          </cell>
        </row>
        <row r="37">
          <cell r="R37">
            <v>0</v>
          </cell>
          <cell r="X37">
            <v>0</v>
          </cell>
          <cell r="Y37">
            <v>0</v>
          </cell>
        </row>
        <row r="38">
          <cell r="R38">
            <v>0</v>
          </cell>
          <cell r="X38">
            <v>21.21</v>
          </cell>
          <cell r="Y38">
            <v>13.26</v>
          </cell>
        </row>
        <row r="39">
          <cell r="R39">
            <v>0</v>
          </cell>
          <cell r="X39">
            <v>398.03</v>
          </cell>
          <cell r="Y39">
            <v>190.17</v>
          </cell>
        </row>
        <row r="40">
          <cell r="R40">
            <v>0.2</v>
          </cell>
          <cell r="X40">
            <v>42.67</v>
          </cell>
          <cell r="Y40">
            <v>26.67</v>
          </cell>
        </row>
        <row r="41">
          <cell r="R41">
            <v>4.67</v>
          </cell>
          <cell r="X41">
            <v>800.68</v>
          </cell>
          <cell r="Y41">
            <v>382.55</v>
          </cell>
        </row>
        <row r="42">
          <cell r="R42">
            <v>0</v>
          </cell>
          <cell r="X42">
            <v>0</v>
          </cell>
          <cell r="Y42">
            <v>0</v>
          </cell>
        </row>
        <row r="43">
          <cell r="R43">
            <v>0</v>
          </cell>
          <cell r="X43">
            <v>0</v>
          </cell>
          <cell r="Y43">
            <v>0</v>
          </cell>
        </row>
        <row r="44">
          <cell r="R44">
            <v>4.68</v>
          </cell>
          <cell r="X44">
            <v>1024.1300000000001</v>
          </cell>
          <cell r="Y44">
            <v>640.08000000000004</v>
          </cell>
        </row>
        <row r="45">
          <cell r="R45">
            <v>109.28</v>
          </cell>
          <cell r="X45">
            <v>19216.12</v>
          </cell>
          <cell r="Y45">
            <v>9181.0300000000007</v>
          </cell>
        </row>
        <row r="46">
          <cell r="R46">
            <v>0</v>
          </cell>
          <cell r="X46">
            <v>0</v>
          </cell>
          <cell r="Y46">
            <v>0</v>
          </cell>
        </row>
        <row r="47">
          <cell r="R47">
            <v>0</v>
          </cell>
          <cell r="X47">
            <v>0</v>
          </cell>
          <cell r="Y47">
            <v>0</v>
          </cell>
        </row>
        <row r="54">
          <cell r="R54">
            <v>68.52</v>
          </cell>
          <cell r="X54">
            <v>2583.9699999999998</v>
          </cell>
          <cell r="Y54">
            <v>1614.98</v>
          </cell>
        </row>
        <row r="55">
          <cell r="R55">
            <v>1599.94</v>
          </cell>
          <cell r="X55">
            <v>48484.13</v>
          </cell>
          <cell r="Y55">
            <v>23164.639999999999</v>
          </cell>
        </row>
        <row r="56">
          <cell r="R56">
            <v>0</v>
          </cell>
          <cell r="X56">
            <v>0</v>
          </cell>
          <cell r="Y56">
            <v>0</v>
          </cell>
        </row>
        <row r="57">
          <cell r="R57">
            <v>0</v>
          </cell>
          <cell r="X57">
            <v>0</v>
          </cell>
          <cell r="Y57">
            <v>0</v>
          </cell>
        </row>
        <row r="58">
          <cell r="R58">
            <v>0</v>
          </cell>
          <cell r="X58">
            <v>0</v>
          </cell>
          <cell r="Y58">
            <v>0</v>
          </cell>
        </row>
        <row r="59">
          <cell r="R59">
            <v>0</v>
          </cell>
          <cell r="X59">
            <v>0</v>
          </cell>
          <cell r="Y59">
            <v>0</v>
          </cell>
        </row>
        <row r="60">
          <cell r="R60">
            <v>0</v>
          </cell>
          <cell r="X60">
            <v>0</v>
          </cell>
          <cell r="Y60">
            <v>0</v>
          </cell>
        </row>
        <row r="61">
          <cell r="R61">
            <v>0</v>
          </cell>
          <cell r="X61">
            <v>0</v>
          </cell>
          <cell r="Y61">
            <v>0</v>
          </cell>
        </row>
        <row r="67">
          <cell r="R67">
            <v>0</v>
          </cell>
          <cell r="X67">
            <v>0</v>
          </cell>
          <cell r="Y67">
            <v>0</v>
          </cell>
        </row>
        <row r="68">
          <cell r="R68">
            <v>0</v>
          </cell>
          <cell r="X68">
            <v>0</v>
          </cell>
          <cell r="Y68">
            <v>0</v>
          </cell>
        </row>
        <row r="69">
          <cell r="R69">
            <v>0</v>
          </cell>
          <cell r="X69">
            <v>0</v>
          </cell>
          <cell r="Y69">
            <v>0</v>
          </cell>
        </row>
        <row r="70">
          <cell r="R70">
            <v>0</v>
          </cell>
          <cell r="X70">
            <v>0</v>
          </cell>
          <cell r="Y70">
            <v>0</v>
          </cell>
        </row>
        <row r="71">
          <cell r="R71">
            <v>0</v>
          </cell>
          <cell r="X71">
            <v>0</v>
          </cell>
          <cell r="Y71">
            <v>0</v>
          </cell>
        </row>
        <row r="72">
          <cell r="R72">
            <v>0</v>
          </cell>
          <cell r="X72">
            <v>0</v>
          </cell>
          <cell r="Y72">
            <v>0</v>
          </cell>
        </row>
        <row r="75">
          <cell r="R75">
            <v>0</v>
          </cell>
          <cell r="X75">
            <v>0</v>
          </cell>
          <cell r="Y75">
            <v>0</v>
          </cell>
        </row>
        <row r="76">
          <cell r="R76">
            <v>0</v>
          </cell>
          <cell r="X76">
            <v>0</v>
          </cell>
          <cell r="Y76">
            <v>0</v>
          </cell>
        </row>
      </sheetData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32">
          <cell r="R32">
            <v>6.47</v>
          </cell>
          <cell r="X32">
            <v>102.68</v>
          </cell>
          <cell r="Y32">
            <v>64.180000000000007</v>
          </cell>
        </row>
        <row r="33">
          <cell r="R33">
            <v>151.07</v>
          </cell>
          <cell r="X33">
            <v>1926.66</v>
          </cell>
          <cell r="Y33">
            <v>920.51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36">
          <cell r="R36">
            <v>0</v>
          </cell>
          <cell r="X36">
            <v>0</v>
          </cell>
          <cell r="Y36">
            <v>0</v>
          </cell>
        </row>
        <row r="37">
          <cell r="R37">
            <v>0</v>
          </cell>
          <cell r="X37">
            <v>0</v>
          </cell>
          <cell r="Y37">
            <v>0</v>
          </cell>
        </row>
        <row r="38">
          <cell r="R38">
            <v>0</v>
          </cell>
          <cell r="X38">
            <v>0</v>
          </cell>
          <cell r="Y38">
            <v>0</v>
          </cell>
        </row>
        <row r="39">
          <cell r="R39">
            <v>0</v>
          </cell>
          <cell r="X39">
            <v>0</v>
          </cell>
          <cell r="Y39">
            <v>0</v>
          </cell>
        </row>
        <row r="40">
          <cell r="R40">
            <v>0</v>
          </cell>
          <cell r="X40">
            <v>0</v>
          </cell>
          <cell r="Y40">
            <v>0</v>
          </cell>
        </row>
        <row r="41">
          <cell r="R41">
            <v>0</v>
          </cell>
          <cell r="X41">
            <v>0</v>
          </cell>
          <cell r="Y41">
            <v>0</v>
          </cell>
        </row>
        <row r="42">
          <cell r="R42">
            <v>0</v>
          </cell>
          <cell r="X42">
            <v>0</v>
          </cell>
          <cell r="Y42">
            <v>0</v>
          </cell>
        </row>
        <row r="43">
          <cell r="R43">
            <v>0</v>
          </cell>
          <cell r="X43">
            <v>0</v>
          </cell>
          <cell r="Y43">
            <v>0</v>
          </cell>
        </row>
        <row r="46">
          <cell r="R46">
            <v>0</v>
          </cell>
          <cell r="X46">
            <v>0</v>
          </cell>
          <cell r="Y46">
            <v>0</v>
          </cell>
        </row>
        <row r="47">
          <cell r="R47">
            <v>0</v>
          </cell>
          <cell r="X47">
            <v>0</v>
          </cell>
          <cell r="Y47">
            <v>0</v>
          </cell>
        </row>
        <row r="48">
          <cell r="R48">
            <v>10.8</v>
          </cell>
          <cell r="X48">
            <v>210.38</v>
          </cell>
          <cell r="Y48">
            <v>131.49</v>
          </cell>
        </row>
        <row r="49">
          <cell r="R49">
            <v>252.18</v>
          </cell>
          <cell r="X49">
            <v>3947.45</v>
          </cell>
          <cell r="Y49">
            <v>1886.01</v>
          </cell>
        </row>
        <row r="50">
          <cell r="R50">
            <v>0</v>
          </cell>
          <cell r="X50">
            <v>0</v>
          </cell>
          <cell r="Y50">
            <v>0</v>
          </cell>
        </row>
        <row r="51">
          <cell r="R51">
            <v>0</v>
          </cell>
          <cell r="X51">
            <v>0</v>
          </cell>
          <cell r="Y51">
            <v>0</v>
          </cell>
        </row>
        <row r="52">
          <cell r="R52">
            <v>8.44</v>
          </cell>
          <cell r="X52">
            <v>175.26</v>
          </cell>
          <cell r="Y52">
            <v>109.54</v>
          </cell>
        </row>
        <row r="53">
          <cell r="R53">
            <v>197.07</v>
          </cell>
          <cell r="X53">
            <v>3288.43</v>
          </cell>
          <cell r="Y53">
            <v>1571.14</v>
          </cell>
        </row>
        <row r="54">
          <cell r="R54">
            <v>4.05</v>
          </cell>
          <cell r="X54">
            <v>78.89</v>
          </cell>
          <cell r="Y54">
            <v>49.31</v>
          </cell>
        </row>
        <row r="55">
          <cell r="R55">
            <v>94.57</v>
          </cell>
          <cell r="X55">
            <v>1480.29</v>
          </cell>
          <cell r="Y55">
            <v>707.25</v>
          </cell>
        </row>
        <row r="56">
          <cell r="R56">
            <v>0</v>
          </cell>
          <cell r="X56">
            <v>0</v>
          </cell>
          <cell r="Y56">
            <v>0</v>
          </cell>
        </row>
        <row r="57">
          <cell r="R57">
            <v>0</v>
          </cell>
          <cell r="X57">
            <v>0</v>
          </cell>
          <cell r="Y57">
            <v>0</v>
          </cell>
        </row>
        <row r="58">
          <cell r="R58">
            <v>6.76</v>
          </cell>
          <cell r="X58">
            <v>151.44999999999999</v>
          </cell>
          <cell r="Y58">
            <v>94.65</v>
          </cell>
        </row>
        <row r="59">
          <cell r="R59">
            <v>157.85</v>
          </cell>
          <cell r="X59">
            <v>2841.65</v>
          </cell>
          <cell r="Y59">
            <v>1357.68</v>
          </cell>
        </row>
        <row r="60">
          <cell r="R60">
            <v>5.4</v>
          </cell>
          <cell r="X60">
            <v>105.19</v>
          </cell>
          <cell r="Y60">
            <v>65.739999999999995</v>
          </cell>
        </row>
        <row r="61">
          <cell r="R61">
            <v>126.09</v>
          </cell>
          <cell r="X61">
            <v>1973.73</v>
          </cell>
          <cell r="Y61">
            <v>943</v>
          </cell>
        </row>
        <row r="62">
          <cell r="R62">
            <v>6.75</v>
          </cell>
          <cell r="X62">
            <v>131.49</v>
          </cell>
          <cell r="Y62">
            <v>82.18</v>
          </cell>
        </row>
        <row r="63">
          <cell r="R63">
            <v>157.61000000000001</v>
          </cell>
          <cell r="X63">
            <v>2467.16</v>
          </cell>
          <cell r="Y63">
            <v>1178.75</v>
          </cell>
        </row>
        <row r="64">
          <cell r="R64">
            <v>0</v>
          </cell>
          <cell r="X64">
            <v>0</v>
          </cell>
          <cell r="Y64">
            <v>0</v>
          </cell>
        </row>
        <row r="65">
          <cell r="R65">
            <v>0</v>
          </cell>
          <cell r="X65">
            <v>0</v>
          </cell>
          <cell r="Y65">
            <v>0</v>
          </cell>
        </row>
        <row r="66">
          <cell r="R66">
            <v>1.35</v>
          </cell>
          <cell r="X66">
            <v>26.3</v>
          </cell>
          <cell r="Y66">
            <v>16.440000000000001</v>
          </cell>
        </row>
        <row r="67">
          <cell r="R67">
            <v>31.52</v>
          </cell>
          <cell r="X67">
            <v>493.43</v>
          </cell>
          <cell r="Y67">
            <v>235.75</v>
          </cell>
        </row>
        <row r="68">
          <cell r="R68">
            <v>1.35</v>
          </cell>
          <cell r="X68">
            <v>26.3</v>
          </cell>
          <cell r="Y68">
            <v>16.440000000000001</v>
          </cell>
        </row>
        <row r="69">
          <cell r="R69">
            <v>31.52</v>
          </cell>
          <cell r="X69">
            <v>493.43</v>
          </cell>
          <cell r="Y69">
            <v>235.75</v>
          </cell>
        </row>
        <row r="70">
          <cell r="R70">
            <v>1.35</v>
          </cell>
          <cell r="X70">
            <v>26.3</v>
          </cell>
          <cell r="Y70">
            <v>16.440000000000001</v>
          </cell>
        </row>
        <row r="71">
          <cell r="R71">
            <v>31.52</v>
          </cell>
          <cell r="X71">
            <v>493.43</v>
          </cell>
          <cell r="Y71">
            <v>235.75</v>
          </cell>
        </row>
        <row r="147">
          <cell r="R147">
            <v>0</v>
          </cell>
          <cell r="X147">
            <v>0</v>
          </cell>
          <cell r="Y147">
            <v>0</v>
          </cell>
        </row>
        <row r="148">
          <cell r="R148">
            <v>0</v>
          </cell>
          <cell r="X148">
            <v>0</v>
          </cell>
          <cell r="Y148">
            <v>0</v>
          </cell>
        </row>
        <row r="149">
          <cell r="R149">
            <v>0</v>
          </cell>
          <cell r="X149">
            <v>0</v>
          </cell>
          <cell r="Y149">
            <v>0</v>
          </cell>
        </row>
        <row r="150">
          <cell r="R150">
            <v>0</v>
          </cell>
          <cell r="X150">
            <v>0</v>
          </cell>
          <cell r="Y150">
            <v>0</v>
          </cell>
        </row>
        <row r="151">
          <cell r="R151">
            <v>0</v>
          </cell>
          <cell r="X151">
            <v>0</v>
          </cell>
          <cell r="Y151">
            <v>0</v>
          </cell>
        </row>
        <row r="152">
          <cell r="R152">
            <v>0</v>
          </cell>
          <cell r="X152">
            <v>0</v>
          </cell>
          <cell r="Y152">
            <v>0</v>
          </cell>
        </row>
        <row r="153">
          <cell r="R153">
            <v>0</v>
          </cell>
          <cell r="X153">
            <v>0</v>
          </cell>
          <cell r="Y153">
            <v>0</v>
          </cell>
        </row>
        <row r="154">
          <cell r="R154">
            <v>0</v>
          </cell>
          <cell r="X154">
            <v>0</v>
          </cell>
          <cell r="Y154">
            <v>0</v>
          </cell>
        </row>
        <row r="155">
          <cell r="R155">
            <v>0</v>
          </cell>
          <cell r="X155">
            <v>0</v>
          </cell>
          <cell r="Y155">
            <v>0</v>
          </cell>
        </row>
        <row r="156">
          <cell r="R156">
            <v>0</v>
          </cell>
          <cell r="X156">
            <v>0</v>
          </cell>
          <cell r="Y156">
            <v>0</v>
          </cell>
        </row>
        <row r="157">
          <cell r="R157">
            <v>0</v>
          </cell>
          <cell r="X157">
            <v>0</v>
          </cell>
          <cell r="Y157">
            <v>0</v>
          </cell>
        </row>
        <row r="158">
          <cell r="R158">
            <v>0</v>
          </cell>
          <cell r="X158">
            <v>0</v>
          </cell>
          <cell r="Y158">
            <v>0</v>
          </cell>
        </row>
        <row r="194">
          <cell r="R194">
            <v>0</v>
          </cell>
          <cell r="X194">
            <v>98.94</v>
          </cell>
          <cell r="Y194">
            <v>61.84</v>
          </cell>
        </row>
        <row r="195">
          <cell r="R195">
            <v>0</v>
          </cell>
          <cell r="X195">
            <v>1856.47</v>
          </cell>
          <cell r="Y195">
            <v>886.98</v>
          </cell>
        </row>
        <row r="196">
          <cell r="R196">
            <v>0</v>
          </cell>
          <cell r="X196">
            <v>21.21</v>
          </cell>
          <cell r="Y196">
            <v>13.26</v>
          </cell>
        </row>
        <row r="197">
          <cell r="R197">
            <v>0</v>
          </cell>
          <cell r="X197">
            <v>398.03</v>
          </cell>
          <cell r="Y197">
            <v>190.17</v>
          </cell>
        </row>
        <row r="233">
          <cell r="R233">
            <v>0</v>
          </cell>
          <cell r="X233">
            <v>0</v>
          </cell>
          <cell r="Y233">
            <v>0</v>
          </cell>
        </row>
        <row r="234">
          <cell r="R234">
            <v>0</v>
          </cell>
          <cell r="X234">
            <v>0</v>
          </cell>
          <cell r="Y234">
            <v>0</v>
          </cell>
        </row>
        <row r="235">
          <cell r="R235">
            <v>0</v>
          </cell>
          <cell r="X235">
            <v>0</v>
          </cell>
          <cell r="Y235">
            <v>0</v>
          </cell>
        </row>
        <row r="236">
          <cell r="R236">
            <v>0</v>
          </cell>
          <cell r="X236">
            <v>0</v>
          </cell>
          <cell r="Y236">
            <v>0</v>
          </cell>
        </row>
        <row r="237">
          <cell r="R237">
            <v>0</v>
          </cell>
          <cell r="X237">
            <v>0</v>
          </cell>
          <cell r="Y237">
            <v>0</v>
          </cell>
        </row>
        <row r="238">
          <cell r="R238">
            <v>0</v>
          </cell>
          <cell r="X238">
            <v>0</v>
          </cell>
          <cell r="Y238">
            <v>0</v>
          </cell>
        </row>
        <row r="239">
          <cell r="R239">
            <v>0</v>
          </cell>
          <cell r="X239">
            <v>0</v>
          </cell>
          <cell r="Y239">
            <v>0</v>
          </cell>
        </row>
        <row r="240">
          <cell r="R240">
            <v>0</v>
          </cell>
          <cell r="X240">
            <v>0</v>
          </cell>
          <cell r="Y240">
            <v>0</v>
          </cell>
        </row>
        <row r="241">
          <cell r="R241">
            <v>0</v>
          </cell>
          <cell r="X241">
            <v>0</v>
          </cell>
          <cell r="Y241">
            <v>0</v>
          </cell>
        </row>
        <row r="242">
          <cell r="R242">
            <v>0</v>
          </cell>
          <cell r="X242">
            <v>0</v>
          </cell>
          <cell r="Y242">
            <v>0</v>
          </cell>
        </row>
        <row r="243">
          <cell r="R243">
            <v>0</v>
          </cell>
          <cell r="X243">
            <v>0</v>
          </cell>
          <cell r="Y243">
            <v>0</v>
          </cell>
        </row>
        <row r="244">
          <cell r="R244">
            <v>0</v>
          </cell>
          <cell r="X244">
            <v>0</v>
          </cell>
          <cell r="Y244">
            <v>0</v>
          </cell>
        </row>
        <row r="280">
          <cell r="R280">
            <v>0.35</v>
          </cell>
          <cell r="X280">
            <v>76.44</v>
          </cell>
          <cell r="Y280">
            <v>47.78</v>
          </cell>
        </row>
        <row r="281">
          <cell r="R281">
            <v>8.17</v>
          </cell>
          <cell r="X281">
            <v>1434.28</v>
          </cell>
          <cell r="Y281">
            <v>685.27</v>
          </cell>
        </row>
        <row r="282">
          <cell r="R282">
            <v>0.7</v>
          </cell>
          <cell r="X282">
            <v>907.4</v>
          </cell>
          <cell r="Y282">
            <v>567.13</v>
          </cell>
        </row>
        <row r="283">
          <cell r="R283">
            <v>16.350000000000001</v>
          </cell>
          <cell r="X283">
            <v>17025.93</v>
          </cell>
          <cell r="Y283">
            <v>8134.61</v>
          </cell>
        </row>
        <row r="284">
          <cell r="R284">
            <v>0</v>
          </cell>
          <cell r="X284">
            <v>0</v>
          </cell>
          <cell r="Y284">
            <v>0</v>
          </cell>
        </row>
        <row r="285">
          <cell r="R285">
            <v>0</v>
          </cell>
          <cell r="X285">
            <v>0</v>
          </cell>
          <cell r="Y285">
            <v>0</v>
          </cell>
        </row>
        <row r="286">
          <cell r="R286">
            <v>0.84</v>
          </cell>
          <cell r="X286">
            <v>675.52</v>
          </cell>
          <cell r="Y286">
            <v>422.2</v>
          </cell>
        </row>
        <row r="287">
          <cell r="R287">
            <v>19.61</v>
          </cell>
          <cell r="X287">
            <v>12674.99</v>
          </cell>
          <cell r="Y287">
            <v>6055.83</v>
          </cell>
        </row>
        <row r="323">
          <cell r="R323">
            <v>0</v>
          </cell>
          <cell r="X323">
            <v>0</v>
          </cell>
          <cell r="Y323">
            <v>0</v>
          </cell>
        </row>
        <row r="324">
          <cell r="R324">
            <v>0</v>
          </cell>
          <cell r="X324">
            <v>0</v>
          </cell>
          <cell r="Y324">
            <v>0</v>
          </cell>
        </row>
        <row r="325">
          <cell r="R325">
            <v>0</v>
          </cell>
          <cell r="X325">
            <v>0</v>
          </cell>
          <cell r="Y325">
            <v>0</v>
          </cell>
        </row>
        <row r="326">
          <cell r="R326">
            <v>0</v>
          </cell>
          <cell r="X326">
            <v>0</v>
          </cell>
          <cell r="Y326">
            <v>0</v>
          </cell>
        </row>
        <row r="327">
          <cell r="R327">
            <v>0</v>
          </cell>
          <cell r="X327">
            <v>0</v>
          </cell>
          <cell r="Y327">
            <v>0</v>
          </cell>
        </row>
        <row r="328">
          <cell r="R328">
            <v>0</v>
          </cell>
          <cell r="X328">
            <v>0</v>
          </cell>
          <cell r="Y328">
            <v>0</v>
          </cell>
        </row>
        <row r="376">
          <cell r="R376">
            <v>152.88</v>
          </cell>
          <cell r="X376">
            <v>5804.42</v>
          </cell>
          <cell r="Y376">
            <v>3627.76</v>
          </cell>
        </row>
        <row r="377">
          <cell r="R377">
            <v>3569.75</v>
          </cell>
          <cell r="X377">
            <v>108910.66</v>
          </cell>
          <cell r="Y377">
            <v>52035.09</v>
          </cell>
        </row>
        <row r="378">
          <cell r="R378">
            <v>0</v>
          </cell>
          <cell r="X378">
            <v>0</v>
          </cell>
          <cell r="Y378">
            <v>0</v>
          </cell>
        </row>
        <row r="379">
          <cell r="R379">
            <v>0</v>
          </cell>
          <cell r="X379">
            <v>0</v>
          </cell>
          <cell r="Y379">
            <v>0</v>
          </cell>
        </row>
        <row r="380">
          <cell r="R380">
            <v>0</v>
          </cell>
          <cell r="X380">
            <v>0</v>
          </cell>
          <cell r="Y380">
            <v>0</v>
          </cell>
        </row>
        <row r="381">
          <cell r="R381">
            <v>0</v>
          </cell>
          <cell r="X381">
            <v>0</v>
          </cell>
          <cell r="Y381">
            <v>0</v>
          </cell>
        </row>
        <row r="382">
          <cell r="R382">
            <v>0</v>
          </cell>
          <cell r="X382">
            <v>0</v>
          </cell>
          <cell r="Y382">
            <v>0</v>
          </cell>
        </row>
        <row r="383">
          <cell r="R383">
            <v>0</v>
          </cell>
          <cell r="X383">
            <v>0</v>
          </cell>
          <cell r="Y383">
            <v>0</v>
          </cell>
        </row>
        <row r="384">
          <cell r="R384">
            <v>10.92</v>
          </cell>
          <cell r="X384">
            <v>2389.63</v>
          </cell>
          <cell r="Y384">
            <v>1493.52</v>
          </cell>
        </row>
        <row r="385">
          <cell r="R385">
            <v>254.98</v>
          </cell>
          <cell r="X385">
            <v>44837.599999999999</v>
          </cell>
          <cell r="Y385">
            <v>21422.41</v>
          </cell>
        </row>
        <row r="386">
          <cell r="R386">
            <v>0</v>
          </cell>
          <cell r="X386">
            <v>0</v>
          </cell>
          <cell r="Y386">
            <v>0</v>
          </cell>
        </row>
        <row r="387">
          <cell r="R387">
            <v>0</v>
          </cell>
          <cell r="X387">
            <v>0</v>
          </cell>
          <cell r="Y387">
            <v>0</v>
          </cell>
        </row>
        <row r="457">
          <cell r="R457">
            <v>0</v>
          </cell>
          <cell r="X457">
            <v>651.98</v>
          </cell>
          <cell r="Y457">
            <v>608.51</v>
          </cell>
        </row>
        <row r="458">
          <cell r="R458">
            <v>0</v>
          </cell>
          <cell r="X458">
            <v>13802.75</v>
          </cell>
          <cell r="Y458">
            <v>8322.25</v>
          </cell>
        </row>
      </sheetData>
      <sheetData sheetId="6"/>
      <sheetData sheetId="7"/>
      <sheetData sheetId="8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28">
          <cell r="R28">
            <v>0.06</v>
          </cell>
          <cell r="X28">
            <v>67.349999999999994</v>
          </cell>
          <cell r="Y28">
            <v>39.58</v>
          </cell>
        </row>
        <row r="29">
          <cell r="R29">
            <v>1.4</v>
          </cell>
          <cell r="X29">
            <v>1062.23</v>
          </cell>
          <cell r="Y29">
            <v>565.6</v>
          </cell>
        </row>
        <row r="30">
          <cell r="R30">
            <v>0</v>
          </cell>
          <cell r="X30">
            <v>0</v>
          </cell>
          <cell r="Y30">
            <v>0</v>
          </cell>
        </row>
        <row r="31">
          <cell r="R31">
            <v>0</v>
          </cell>
          <cell r="X31">
            <v>0</v>
          </cell>
          <cell r="Y31">
            <v>0</v>
          </cell>
        </row>
        <row r="32">
          <cell r="R32">
            <v>0.16</v>
          </cell>
          <cell r="X32">
            <v>429.53</v>
          </cell>
          <cell r="Y32">
            <v>252.44</v>
          </cell>
        </row>
        <row r="33">
          <cell r="R33">
            <v>3.74</v>
          </cell>
          <cell r="X33">
            <v>6774.31</v>
          </cell>
          <cell r="Y33">
            <v>3607.1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40">
          <cell r="R40">
            <v>0</v>
          </cell>
          <cell r="X40">
            <v>169.7</v>
          </cell>
          <cell r="Y40">
            <v>106.06</v>
          </cell>
        </row>
        <row r="41">
          <cell r="R41">
            <v>0</v>
          </cell>
          <cell r="X41">
            <v>2724.25</v>
          </cell>
          <cell r="Y41">
            <v>1450.58</v>
          </cell>
        </row>
        <row r="42">
          <cell r="R42">
            <v>0</v>
          </cell>
          <cell r="X42">
            <v>0</v>
          </cell>
          <cell r="Y42">
            <v>0</v>
          </cell>
        </row>
        <row r="43">
          <cell r="R43">
            <v>0</v>
          </cell>
          <cell r="X43">
            <v>0</v>
          </cell>
          <cell r="Y43">
            <v>0</v>
          </cell>
        </row>
        <row r="44">
          <cell r="R44">
            <v>0</v>
          </cell>
          <cell r="X44">
            <v>0</v>
          </cell>
          <cell r="Y44">
            <v>0</v>
          </cell>
        </row>
        <row r="45">
          <cell r="R45">
            <v>0</v>
          </cell>
          <cell r="X45">
            <v>0</v>
          </cell>
          <cell r="Y45">
            <v>0</v>
          </cell>
        </row>
        <row r="46">
          <cell r="R46">
            <v>0.48</v>
          </cell>
          <cell r="X46">
            <v>538.80999999999995</v>
          </cell>
          <cell r="Y46">
            <v>316.67</v>
          </cell>
        </row>
        <row r="47">
          <cell r="R47">
            <v>11.21</v>
          </cell>
          <cell r="X47">
            <v>8497.83</v>
          </cell>
          <cell r="Y47">
            <v>4524.82</v>
          </cell>
        </row>
        <row r="48">
          <cell r="R48">
            <v>0</v>
          </cell>
          <cell r="X48">
            <v>0</v>
          </cell>
          <cell r="Y48">
            <v>0</v>
          </cell>
        </row>
        <row r="49">
          <cell r="R49">
            <v>0</v>
          </cell>
          <cell r="X49">
            <v>0</v>
          </cell>
          <cell r="Y49">
            <v>0</v>
          </cell>
        </row>
        <row r="50">
          <cell r="R50">
            <v>0</v>
          </cell>
          <cell r="X50">
            <v>108.53</v>
          </cell>
          <cell r="Y50">
            <v>63.78</v>
          </cell>
        </row>
        <row r="51">
          <cell r="R51">
            <v>0</v>
          </cell>
          <cell r="X51">
            <v>1711.65</v>
          </cell>
          <cell r="Y51">
            <v>911.4</v>
          </cell>
        </row>
        <row r="52">
          <cell r="R52">
            <v>0</v>
          </cell>
          <cell r="X52">
            <v>0</v>
          </cell>
          <cell r="Y52">
            <v>0</v>
          </cell>
        </row>
        <row r="53">
          <cell r="R53">
            <v>0</v>
          </cell>
          <cell r="X53">
            <v>0</v>
          </cell>
          <cell r="Y53">
            <v>0</v>
          </cell>
        </row>
        <row r="54">
          <cell r="R54">
            <v>2.88</v>
          </cell>
          <cell r="X54">
            <v>329.14</v>
          </cell>
          <cell r="Y54">
            <v>193.44</v>
          </cell>
        </row>
        <row r="55">
          <cell r="R55">
            <v>67.25</v>
          </cell>
          <cell r="X55">
            <v>5191.04</v>
          </cell>
          <cell r="Y55">
            <v>2764.06</v>
          </cell>
        </row>
        <row r="56">
          <cell r="R56">
            <v>0</v>
          </cell>
          <cell r="X56">
            <v>0</v>
          </cell>
          <cell r="Y56">
            <v>0</v>
          </cell>
        </row>
        <row r="57">
          <cell r="R57">
            <v>0</v>
          </cell>
          <cell r="X57">
            <v>0</v>
          </cell>
          <cell r="Y57">
            <v>0</v>
          </cell>
        </row>
        <row r="58">
          <cell r="R58">
            <v>0</v>
          </cell>
          <cell r="X58">
            <v>0</v>
          </cell>
          <cell r="Y58">
            <v>0</v>
          </cell>
        </row>
        <row r="59">
          <cell r="R59">
            <v>0</v>
          </cell>
          <cell r="X59">
            <v>0</v>
          </cell>
          <cell r="Y59">
            <v>0</v>
          </cell>
        </row>
        <row r="60">
          <cell r="R60">
            <v>0</v>
          </cell>
          <cell r="X60">
            <v>61.65</v>
          </cell>
          <cell r="Y60">
            <v>36.229999999999997</v>
          </cell>
        </row>
        <row r="61">
          <cell r="R61">
            <v>0</v>
          </cell>
          <cell r="X61">
            <v>972.33</v>
          </cell>
          <cell r="Y61">
            <v>517.74</v>
          </cell>
        </row>
        <row r="62">
          <cell r="R62">
            <v>0</v>
          </cell>
          <cell r="X62">
            <v>0</v>
          </cell>
          <cell r="Y62">
            <v>0</v>
          </cell>
        </row>
        <row r="63">
          <cell r="R63">
            <v>0</v>
          </cell>
          <cell r="X63">
            <v>0</v>
          </cell>
          <cell r="Y63">
            <v>0</v>
          </cell>
        </row>
        <row r="64">
          <cell r="R64">
            <v>0.72</v>
          </cell>
          <cell r="X64">
            <v>124.99</v>
          </cell>
          <cell r="Y64">
            <v>91.66</v>
          </cell>
        </row>
        <row r="65">
          <cell r="R65">
            <v>16.809999999999999</v>
          </cell>
          <cell r="X65">
            <v>2029.09</v>
          </cell>
          <cell r="Y65">
            <v>1139.6300000000001</v>
          </cell>
        </row>
        <row r="66">
          <cell r="R66">
            <v>0</v>
          </cell>
          <cell r="X66">
            <v>0</v>
          </cell>
          <cell r="Y66">
            <v>0</v>
          </cell>
        </row>
        <row r="67">
          <cell r="R67">
            <v>0</v>
          </cell>
          <cell r="X67">
            <v>0</v>
          </cell>
          <cell r="Y67">
            <v>0</v>
          </cell>
        </row>
        <row r="68">
          <cell r="R68">
            <v>0.17</v>
          </cell>
          <cell r="X68">
            <v>33.15</v>
          </cell>
          <cell r="Y68">
            <v>19.48</v>
          </cell>
        </row>
        <row r="69">
          <cell r="R69">
            <v>3.97</v>
          </cell>
          <cell r="X69">
            <v>522.85</v>
          </cell>
          <cell r="Y69">
            <v>278.39999999999998</v>
          </cell>
        </row>
        <row r="70">
          <cell r="R70">
            <v>0</v>
          </cell>
          <cell r="X70">
            <v>0</v>
          </cell>
          <cell r="Y70">
            <v>0</v>
          </cell>
        </row>
        <row r="71">
          <cell r="R71">
            <v>0</v>
          </cell>
          <cell r="X71">
            <v>0</v>
          </cell>
          <cell r="Y71">
            <v>0</v>
          </cell>
        </row>
        <row r="72">
          <cell r="R72">
            <v>0.24</v>
          </cell>
          <cell r="X72">
            <v>51.87</v>
          </cell>
          <cell r="Y72">
            <v>30.49</v>
          </cell>
        </row>
        <row r="73">
          <cell r="R73">
            <v>5.6</v>
          </cell>
          <cell r="X73">
            <v>818.07</v>
          </cell>
          <cell r="Y73">
            <v>435.6</v>
          </cell>
        </row>
        <row r="74">
          <cell r="R74">
            <v>0</v>
          </cell>
          <cell r="X74">
            <v>0</v>
          </cell>
          <cell r="Y74">
            <v>0</v>
          </cell>
        </row>
        <row r="75">
          <cell r="R75">
            <v>0</v>
          </cell>
          <cell r="X75">
            <v>0</v>
          </cell>
          <cell r="Y75">
            <v>0</v>
          </cell>
        </row>
        <row r="76">
          <cell r="R76">
            <v>0</v>
          </cell>
          <cell r="X76">
            <v>0</v>
          </cell>
          <cell r="Y76">
            <v>0</v>
          </cell>
        </row>
        <row r="77">
          <cell r="R77">
            <v>0</v>
          </cell>
          <cell r="X77">
            <v>0</v>
          </cell>
          <cell r="Y77">
            <v>0</v>
          </cell>
        </row>
        <row r="78">
          <cell r="R78">
            <v>45.68</v>
          </cell>
          <cell r="X78">
            <v>1753.41</v>
          </cell>
          <cell r="Y78">
            <v>1030.51</v>
          </cell>
        </row>
        <row r="79">
          <cell r="R79">
            <v>1066.6300000000001</v>
          </cell>
          <cell r="X79">
            <v>27653.91</v>
          </cell>
          <cell r="Y79">
            <v>14724.81</v>
          </cell>
        </row>
        <row r="80">
          <cell r="R80">
            <v>0</v>
          </cell>
          <cell r="X80">
            <v>0</v>
          </cell>
          <cell r="Y80">
            <v>0</v>
          </cell>
        </row>
        <row r="81">
          <cell r="R81">
            <v>0</v>
          </cell>
          <cell r="X81">
            <v>0</v>
          </cell>
          <cell r="Y81">
            <v>0</v>
          </cell>
        </row>
        <row r="82">
          <cell r="R82">
            <v>0</v>
          </cell>
          <cell r="X82">
            <v>0</v>
          </cell>
          <cell r="Y82">
            <v>0</v>
          </cell>
        </row>
        <row r="83">
          <cell r="R83">
            <v>0</v>
          </cell>
          <cell r="X83">
            <v>0</v>
          </cell>
          <cell r="Y83">
            <v>0</v>
          </cell>
        </row>
        <row r="84">
          <cell r="R84">
            <v>1.95</v>
          </cell>
          <cell r="X84">
            <v>434.34</v>
          </cell>
          <cell r="Y84">
            <v>255.27</v>
          </cell>
        </row>
        <row r="85">
          <cell r="R85">
            <v>45.53</v>
          </cell>
          <cell r="X85">
            <v>6850.19</v>
          </cell>
          <cell r="Y85">
            <v>3647.5</v>
          </cell>
        </row>
        <row r="86">
          <cell r="R86">
            <v>0</v>
          </cell>
          <cell r="X86">
            <v>0</v>
          </cell>
          <cell r="Y86">
            <v>0</v>
          </cell>
        </row>
        <row r="87">
          <cell r="R87">
            <v>0</v>
          </cell>
          <cell r="X87">
            <v>0</v>
          </cell>
          <cell r="Y87">
            <v>0</v>
          </cell>
        </row>
        <row r="88">
          <cell r="R88">
            <v>1.17</v>
          </cell>
          <cell r="X88">
            <v>260.60000000000002</v>
          </cell>
          <cell r="Y88">
            <v>153.16</v>
          </cell>
        </row>
        <row r="89">
          <cell r="R89">
            <v>27.32</v>
          </cell>
          <cell r="X89">
            <v>4110.1099999999997</v>
          </cell>
          <cell r="Y89">
            <v>2188.5</v>
          </cell>
        </row>
        <row r="90">
          <cell r="R90">
            <v>0</v>
          </cell>
          <cell r="X90">
            <v>0</v>
          </cell>
          <cell r="Y90">
            <v>0</v>
          </cell>
        </row>
        <row r="91">
          <cell r="R91">
            <v>0</v>
          </cell>
          <cell r="X91">
            <v>0</v>
          </cell>
          <cell r="Y91">
            <v>0</v>
          </cell>
        </row>
        <row r="92">
          <cell r="R92">
            <v>0.6</v>
          </cell>
          <cell r="X92">
            <v>86.99</v>
          </cell>
          <cell r="Y92">
            <v>54.37</v>
          </cell>
        </row>
        <row r="93">
          <cell r="R93">
            <v>14.01</v>
          </cell>
          <cell r="X93">
            <v>1396.46</v>
          </cell>
          <cell r="Y93">
            <v>743.57</v>
          </cell>
        </row>
        <row r="94">
          <cell r="R94">
            <v>0</v>
          </cell>
          <cell r="X94">
            <v>0</v>
          </cell>
          <cell r="Y94">
            <v>0</v>
          </cell>
        </row>
        <row r="95">
          <cell r="R95">
            <v>0</v>
          </cell>
          <cell r="X95">
            <v>0</v>
          </cell>
          <cell r="Y95">
            <v>0</v>
          </cell>
        </row>
        <row r="96">
          <cell r="R96">
            <v>7.88</v>
          </cell>
          <cell r="X96">
            <v>1120.28</v>
          </cell>
          <cell r="Y96">
            <v>658.41</v>
          </cell>
        </row>
        <row r="97">
          <cell r="R97">
            <v>184</v>
          </cell>
          <cell r="X97">
            <v>17668.46</v>
          </cell>
          <cell r="Y97">
            <v>9407.8799999999992</v>
          </cell>
        </row>
        <row r="98">
          <cell r="R98">
            <v>0</v>
          </cell>
          <cell r="X98">
            <v>0</v>
          </cell>
          <cell r="Y98">
            <v>0</v>
          </cell>
        </row>
        <row r="99">
          <cell r="R99">
            <v>0</v>
          </cell>
          <cell r="X99">
            <v>0</v>
          </cell>
          <cell r="Y99">
            <v>0</v>
          </cell>
        </row>
        <row r="100">
          <cell r="R100">
            <v>0.39</v>
          </cell>
          <cell r="X100">
            <v>56.02</v>
          </cell>
          <cell r="Y100">
            <v>32.92</v>
          </cell>
        </row>
        <row r="101">
          <cell r="R101">
            <v>9.11</v>
          </cell>
          <cell r="X101">
            <v>883.51</v>
          </cell>
          <cell r="Y101">
            <v>470.44</v>
          </cell>
        </row>
        <row r="102">
          <cell r="R102">
            <v>0</v>
          </cell>
          <cell r="X102">
            <v>0</v>
          </cell>
          <cell r="Y102">
            <v>0</v>
          </cell>
        </row>
        <row r="103">
          <cell r="R103">
            <v>0</v>
          </cell>
          <cell r="X103">
            <v>0</v>
          </cell>
          <cell r="Y103">
            <v>0</v>
          </cell>
        </row>
        <row r="106">
          <cell r="R106">
            <v>0</v>
          </cell>
          <cell r="X106">
            <v>0</v>
          </cell>
          <cell r="Y106">
            <v>0</v>
          </cell>
        </row>
        <row r="107">
          <cell r="R107">
            <v>0</v>
          </cell>
          <cell r="X107">
            <v>0</v>
          </cell>
          <cell r="Y107">
            <v>0</v>
          </cell>
        </row>
        <row r="108">
          <cell r="R108">
            <v>2.6</v>
          </cell>
          <cell r="X108">
            <v>3.84</v>
          </cell>
          <cell r="Y108">
            <v>2.4</v>
          </cell>
        </row>
        <row r="109">
          <cell r="R109">
            <v>60.71</v>
          </cell>
          <cell r="X109">
            <v>61.67</v>
          </cell>
          <cell r="Y109">
            <v>32.840000000000003</v>
          </cell>
        </row>
        <row r="110">
          <cell r="R110">
            <v>0</v>
          </cell>
          <cell r="X110">
            <v>0</v>
          </cell>
          <cell r="Y110">
            <v>0</v>
          </cell>
        </row>
        <row r="111">
          <cell r="R111">
            <v>0</v>
          </cell>
          <cell r="X111">
            <v>0</v>
          </cell>
          <cell r="Y111">
            <v>0</v>
          </cell>
        </row>
        <row r="112">
          <cell r="R112">
            <v>0</v>
          </cell>
          <cell r="X112">
            <v>77.86</v>
          </cell>
          <cell r="Y112">
            <v>72.67</v>
          </cell>
        </row>
        <row r="113">
          <cell r="R113">
            <v>0</v>
          </cell>
          <cell r="X113">
            <v>1648.29</v>
          </cell>
          <cell r="Y113">
            <v>993.82</v>
          </cell>
        </row>
      </sheetData>
      <sheetData sheetId="4"/>
      <sheetData sheetId="5"/>
      <sheetData sheetId="6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28">
          <cell r="R28">
            <v>0.02</v>
          </cell>
          <cell r="X28">
            <v>52.75</v>
          </cell>
          <cell r="Y28">
            <v>32.97</v>
          </cell>
        </row>
        <row r="29">
          <cell r="R29">
            <v>0.47</v>
          </cell>
          <cell r="X29">
            <v>989.81</v>
          </cell>
          <cell r="Y29">
            <v>472.91</v>
          </cell>
        </row>
        <row r="30">
          <cell r="R30">
            <v>0</v>
          </cell>
          <cell r="X30">
            <v>599.24</v>
          </cell>
          <cell r="Y30">
            <v>374.53</v>
          </cell>
        </row>
        <row r="31">
          <cell r="R31">
            <v>0</v>
          </cell>
          <cell r="X31">
            <v>11243.86</v>
          </cell>
          <cell r="Y31">
            <v>5372.07</v>
          </cell>
        </row>
        <row r="32">
          <cell r="R32">
            <v>0</v>
          </cell>
          <cell r="X32">
            <v>42.43</v>
          </cell>
          <cell r="Y32">
            <v>26.52</v>
          </cell>
        </row>
        <row r="33">
          <cell r="R33">
            <v>0</v>
          </cell>
          <cell r="X33">
            <v>796.05</v>
          </cell>
          <cell r="Y33">
            <v>380.34</v>
          </cell>
        </row>
        <row r="34">
          <cell r="R34">
            <v>0</v>
          </cell>
          <cell r="X34">
            <v>66.75</v>
          </cell>
          <cell r="Y34">
            <v>41.72</v>
          </cell>
        </row>
        <row r="35">
          <cell r="R35">
            <v>0</v>
          </cell>
          <cell r="X35">
            <v>1252.49</v>
          </cell>
          <cell r="Y35">
            <v>598.41</v>
          </cell>
        </row>
        <row r="38">
          <cell r="R38">
            <v>0</v>
          </cell>
          <cell r="X38">
            <v>4808.16</v>
          </cell>
          <cell r="Y38">
            <v>3005.1</v>
          </cell>
        </row>
        <row r="39">
          <cell r="R39">
            <v>0</v>
          </cell>
          <cell r="X39">
            <v>90217.4</v>
          </cell>
          <cell r="Y39">
            <v>43103.87</v>
          </cell>
        </row>
        <row r="40">
          <cell r="R40">
            <v>0</v>
          </cell>
          <cell r="X40">
            <v>0</v>
          </cell>
          <cell r="Y40">
            <v>0</v>
          </cell>
        </row>
        <row r="41">
          <cell r="R41">
            <v>0</v>
          </cell>
          <cell r="X41">
            <v>0</v>
          </cell>
          <cell r="Y41">
            <v>0</v>
          </cell>
        </row>
        <row r="44">
          <cell r="R44">
            <v>0</v>
          </cell>
          <cell r="X44">
            <v>14.13</v>
          </cell>
          <cell r="Y44">
            <v>8.83</v>
          </cell>
        </row>
        <row r="45">
          <cell r="R45">
            <v>0</v>
          </cell>
          <cell r="X45">
            <v>265.20999999999998</v>
          </cell>
          <cell r="Y45">
            <v>126.71</v>
          </cell>
        </row>
        <row r="46">
          <cell r="R46">
            <v>0</v>
          </cell>
          <cell r="X46">
            <v>0</v>
          </cell>
          <cell r="Y46">
            <v>0</v>
          </cell>
        </row>
        <row r="47">
          <cell r="R47">
            <v>0</v>
          </cell>
          <cell r="X47">
            <v>0</v>
          </cell>
          <cell r="Y47">
            <v>0</v>
          </cell>
        </row>
        <row r="48">
          <cell r="R48">
            <v>0</v>
          </cell>
          <cell r="X48">
            <v>926.02</v>
          </cell>
          <cell r="Y48">
            <v>578.76</v>
          </cell>
        </row>
        <row r="49">
          <cell r="R49">
            <v>0</v>
          </cell>
          <cell r="X49">
            <v>17375.2</v>
          </cell>
          <cell r="Y49">
            <v>8301.49</v>
          </cell>
        </row>
        <row r="50">
          <cell r="R50">
            <v>0</v>
          </cell>
          <cell r="X50">
            <v>0</v>
          </cell>
          <cell r="Y50">
            <v>0</v>
          </cell>
        </row>
        <row r="51">
          <cell r="R51">
            <v>0</v>
          </cell>
          <cell r="X51">
            <v>0</v>
          </cell>
          <cell r="Y51">
            <v>0</v>
          </cell>
        </row>
        <row r="54">
          <cell r="R54">
            <v>456.8</v>
          </cell>
          <cell r="X54">
            <v>17226.5</v>
          </cell>
          <cell r="Y54">
            <v>10766.56</v>
          </cell>
        </row>
        <row r="55">
          <cell r="R55">
            <v>10666.28</v>
          </cell>
          <cell r="X55">
            <v>323227.51</v>
          </cell>
          <cell r="Y55">
            <v>154430.92000000001</v>
          </cell>
        </row>
        <row r="56">
          <cell r="R56">
            <v>0</v>
          </cell>
          <cell r="X56">
            <v>0</v>
          </cell>
          <cell r="Y56">
            <v>0</v>
          </cell>
        </row>
        <row r="57">
          <cell r="R57">
            <v>0</v>
          </cell>
          <cell r="X57">
            <v>0</v>
          </cell>
          <cell r="Y57">
            <v>0</v>
          </cell>
        </row>
        <row r="58">
          <cell r="R58">
            <v>0</v>
          </cell>
          <cell r="X58">
            <v>0</v>
          </cell>
          <cell r="Y58">
            <v>0</v>
          </cell>
        </row>
        <row r="59">
          <cell r="R59">
            <v>0</v>
          </cell>
          <cell r="X59">
            <v>0</v>
          </cell>
          <cell r="Y59">
            <v>0</v>
          </cell>
        </row>
        <row r="60">
          <cell r="R60">
            <v>31.52</v>
          </cell>
          <cell r="X60">
            <v>4402.5</v>
          </cell>
          <cell r="Y60">
            <v>2751.56</v>
          </cell>
        </row>
        <row r="61">
          <cell r="R61">
            <v>735.99</v>
          </cell>
          <cell r="X61">
            <v>82605.759999999995</v>
          </cell>
          <cell r="Y61">
            <v>39467.199999999997</v>
          </cell>
        </row>
        <row r="62">
          <cell r="R62">
            <v>0</v>
          </cell>
          <cell r="X62">
            <v>0</v>
          </cell>
          <cell r="Y62">
            <v>0</v>
          </cell>
        </row>
        <row r="63">
          <cell r="R63">
            <v>0</v>
          </cell>
          <cell r="X63">
            <v>0</v>
          </cell>
          <cell r="Y63">
            <v>0</v>
          </cell>
        </row>
        <row r="64">
          <cell r="R64">
            <v>0.39</v>
          </cell>
          <cell r="X64">
            <v>55.04</v>
          </cell>
          <cell r="Y64">
            <v>34.4</v>
          </cell>
        </row>
        <row r="65">
          <cell r="R65">
            <v>9.11</v>
          </cell>
          <cell r="X65">
            <v>1032.68</v>
          </cell>
          <cell r="Y65">
            <v>493.39</v>
          </cell>
        </row>
        <row r="66">
          <cell r="R66">
            <v>0</v>
          </cell>
          <cell r="X66">
            <v>0</v>
          </cell>
          <cell r="Y66">
            <v>0</v>
          </cell>
        </row>
        <row r="67">
          <cell r="R67">
            <v>0</v>
          </cell>
          <cell r="X67">
            <v>0</v>
          </cell>
          <cell r="Y67">
            <v>0</v>
          </cell>
        </row>
        <row r="68">
          <cell r="R68">
            <v>16</v>
          </cell>
          <cell r="X68">
            <v>5689.6</v>
          </cell>
          <cell r="Y68">
            <v>3556</v>
          </cell>
        </row>
        <row r="69">
          <cell r="R69">
            <v>373.6</v>
          </cell>
          <cell r="X69">
            <v>106756.2</v>
          </cell>
          <cell r="Y69">
            <v>51005.74</v>
          </cell>
        </row>
        <row r="70">
          <cell r="R70">
            <v>0</v>
          </cell>
          <cell r="X70">
            <v>0</v>
          </cell>
          <cell r="Y70">
            <v>0</v>
          </cell>
        </row>
        <row r="71">
          <cell r="R71">
            <v>0</v>
          </cell>
          <cell r="X71">
            <v>0</v>
          </cell>
          <cell r="Y71">
            <v>0</v>
          </cell>
        </row>
        <row r="72">
          <cell r="R72">
            <v>0.8</v>
          </cell>
          <cell r="X72">
            <v>170.69</v>
          </cell>
          <cell r="Y72">
            <v>106.68</v>
          </cell>
        </row>
        <row r="73">
          <cell r="R73">
            <v>18.68</v>
          </cell>
          <cell r="X73">
            <v>3202.69</v>
          </cell>
          <cell r="Y73">
            <v>1530.17</v>
          </cell>
        </row>
        <row r="74">
          <cell r="R74">
            <v>0</v>
          </cell>
          <cell r="X74">
            <v>0</v>
          </cell>
          <cell r="Y74">
            <v>0</v>
          </cell>
        </row>
        <row r="75">
          <cell r="R75">
            <v>0</v>
          </cell>
          <cell r="X75">
            <v>0</v>
          </cell>
          <cell r="Y75">
            <v>0</v>
          </cell>
        </row>
        <row r="76">
          <cell r="R76">
            <v>0.8</v>
          </cell>
          <cell r="X76">
            <v>170.69</v>
          </cell>
          <cell r="Y76">
            <v>106.68</v>
          </cell>
        </row>
        <row r="77">
          <cell r="R77">
            <v>18.68</v>
          </cell>
          <cell r="X77">
            <v>3202.69</v>
          </cell>
          <cell r="Y77">
            <v>1530.17</v>
          </cell>
        </row>
        <row r="78">
          <cell r="R78">
            <v>0</v>
          </cell>
          <cell r="X78">
            <v>0</v>
          </cell>
          <cell r="Y78">
            <v>0</v>
          </cell>
        </row>
        <row r="79">
          <cell r="R79">
            <v>0</v>
          </cell>
          <cell r="X79">
            <v>0</v>
          </cell>
          <cell r="Y79">
            <v>0</v>
          </cell>
        </row>
        <row r="87">
          <cell r="R87">
            <v>0</v>
          </cell>
          <cell r="X87">
            <v>0</v>
          </cell>
          <cell r="Y87">
            <v>0</v>
          </cell>
        </row>
        <row r="88">
          <cell r="R88">
            <v>0</v>
          </cell>
          <cell r="X88">
            <v>0</v>
          </cell>
          <cell r="Y88">
            <v>0</v>
          </cell>
        </row>
        <row r="89">
          <cell r="R89">
            <v>0</v>
          </cell>
          <cell r="X89">
            <v>0</v>
          </cell>
          <cell r="Y89">
            <v>0</v>
          </cell>
        </row>
        <row r="90">
          <cell r="R90">
            <v>0</v>
          </cell>
          <cell r="X90">
            <v>0</v>
          </cell>
          <cell r="Y90">
            <v>0</v>
          </cell>
        </row>
        <row r="93">
          <cell r="R93">
            <v>0</v>
          </cell>
          <cell r="X93">
            <v>0</v>
          </cell>
          <cell r="Y93">
            <v>0</v>
          </cell>
        </row>
        <row r="94">
          <cell r="R94">
            <v>0</v>
          </cell>
          <cell r="X94">
            <v>0</v>
          </cell>
          <cell r="Y94">
            <v>0</v>
          </cell>
        </row>
        <row r="97">
          <cell r="R97">
            <v>0</v>
          </cell>
          <cell r="X97">
            <v>0</v>
          </cell>
          <cell r="Y97">
            <v>0</v>
          </cell>
        </row>
        <row r="98">
          <cell r="R98">
            <v>0</v>
          </cell>
          <cell r="X98">
            <v>0</v>
          </cell>
          <cell r="Y98">
            <v>0</v>
          </cell>
        </row>
        <row r="99">
          <cell r="R99">
            <v>0</v>
          </cell>
          <cell r="X99">
            <v>0</v>
          </cell>
          <cell r="Y99">
            <v>0</v>
          </cell>
        </row>
        <row r="100">
          <cell r="R100">
            <v>0</v>
          </cell>
          <cell r="X100">
            <v>0</v>
          </cell>
          <cell r="Y100">
            <v>0</v>
          </cell>
        </row>
      </sheetData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30">
          <cell r="R30">
            <v>2.81</v>
          </cell>
          <cell r="X30">
            <v>12.9</v>
          </cell>
          <cell r="Y30">
            <v>8.06</v>
          </cell>
        </row>
        <row r="31">
          <cell r="R31">
            <v>65.61</v>
          </cell>
          <cell r="X31">
            <v>242.09</v>
          </cell>
          <cell r="Y31">
            <v>110.29</v>
          </cell>
        </row>
        <row r="32">
          <cell r="R32">
            <v>0</v>
          </cell>
          <cell r="X32">
            <v>21.21</v>
          </cell>
          <cell r="Y32">
            <v>13.26</v>
          </cell>
        </row>
        <row r="33">
          <cell r="R33">
            <v>0</v>
          </cell>
          <cell r="X33">
            <v>398.03</v>
          </cell>
          <cell r="Y33">
            <v>190.17</v>
          </cell>
        </row>
        <row r="34">
          <cell r="R34">
            <v>0</v>
          </cell>
          <cell r="X34">
            <v>29.99</v>
          </cell>
          <cell r="Y34">
            <v>18.75</v>
          </cell>
        </row>
        <row r="35">
          <cell r="R35">
            <v>0</v>
          </cell>
          <cell r="X35">
            <v>562.78</v>
          </cell>
          <cell r="Y35">
            <v>256.38</v>
          </cell>
        </row>
        <row r="36">
          <cell r="R36">
            <v>0.01</v>
          </cell>
          <cell r="X36">
            <v>53.98</v>
          </cell>
          <cell r="Y36">
            <v>33.74</v>
          </cell>
        </row>
        <row r="37">
          <cell r="R37">
            <v>0.23</v>
          </cell>
          <cell r="X37">
            <v>1012.92</v>
          </cell>
          <cell r="Y37">
            <v>483.95</v>
          </cell>
        </row>
        <row r="38">
          <cell r="R38">
            <v>0</v>
          </cell>
          <cell r="X38">
            <v>21.21</v>
          </cell>
          <cell r="Y38">
            <v>13.26</v>
          </cell>
        </row>
        <row r="39">
          <cell r="R39">
            <v>0</v>
          </cell>
          <cell r="X39">
            <v>398.03</v>
          </cell>
          <cell r="Y39">
            <v>190.17</v>
          </cell>
        </row>
        <row r="40">
          <cell r="R40">
            <v>0</v>
          </cell>
          <cell r="X40">
            <v>74.91</v>
          </cell>
          <cell r="Y40">
            <v>46.82</v>
          </cell>
        </row>
        <row r="41">
          <cell r="R41">
            <v>0</v>
          </cell>
          <cell r="X41">
            <v>1405.49</v>
          </cell>
          <cell r="Y41">
            <v>671.51</v>
          </cell>
        </row>
        <row r="42">
          <cell r="R42">
            <v>0.08</v>
          </cell>
          <cell r="X42">
            <v>693.06</v>
          </cell>
          <cell r="Y42">
            <v>433.16</v>
          </cell>
        </row>
        <row r="43">
          <cell r="R43">
            <v>1.87</v>
          </cell>
          <cell r="X43">
            <v>13004.08</v>
          </cell>
          <cell r="Y43">
            <v>6213.06</v>
          </cell>
        </row>
        <row r="44">
          <cell r="R44">
            <v>3.62</v>
          </cell>
          <cell r="X44">
            <v>8595.33</v>
          </cell>
          <cell r="Y44">
            <v>5372.08</v>
          </cell>
        </row>
        <row r="45">
          <cell r="R45">
            <v>84.53</v>
          </cell>
          <cell r="X45">
            <v>161277.51999999999</v>
          </cell>
          <cell r="Y45">
            <v>77054.81</v>
          </cell>
        </row>
        <row r="46">
          <cell r="R46">
            <v>0</v>
          </cell>
          <cell r="X46">
            <v>0</v>
          </cell>
          <cell r="Y46">
            <v>0</v>
          </cell>
        </row>
        <row r="47">
          <cell r="R47">
            <v>0</v>
          </cell>
          <cell r="X47">
            <v>0</v>
          </cell>
          <cell r="Y47">
            <v>0</v>
          </cell>
        </row>
        <row r="48">
          <cell r="R48">
            <v>1.82</v>
          </cell>
          <cell r="X48">
            <v>41.03</v>
          </cell>
          <cell r="Y48">
            <v>25.64</v>
          </cell>
        </row>
        <row r="49">
          <cell r="R49">
            <v>42.5</v>
          </cell>
          <cell r="X49">
            <v>769.78</v>
          </cell>
          <cell r="Y49">
            <v>367.78</v>
          </cell>
        </row>
        <row r="50">
          <cell r="R50">
            <v>0</v>
          </cell>
          <cell r="X50">
            <v>0</v>
          </cell>
          <cell r="Y50">
            <v>0</v>
          </cell>
        </row>
        <row r="51">
          <cell r="R51">
            <v>0</v>
          </cell>
          <cell r="X51">
            <v>0</v>
          </cell>
          <cell r="Y51">
            <v>0</v>
          </cell>
        </row>
        <row r="52">
          <cell r="R52">
            <v>0.12</v>
          </cell>
          <cell r="X52">
            <v>309.66000000000003</v>
          </cell>
          <cell r="Y52">
            <v>193.54</v>
          </cell>
        </row>
        <row r="53">
          <cell r="R53">
            <v>2.8</v>
          </cell>
          <cell r="X53">
            <v>5810.23</v>
          </cell>
          <cell r="Y53">
            <v>2776</v>
          </cell>
        </row>
        <row r="54">
          <cell r="R54">
            <v>0</v>
          </cell>
          <cell r="X54">
            <v>0</v>
          </cell>
          <cell r="Y54">
            <v>0</v>
          </cell>
        </row>
        <row r="55">
          <cell r="R55">
            <v>0</v>
          </cell>
          <cell r="X55">
            <v>0</v>
          </cell>
          <cell r="Y55">
            <v>0</v>
          </cell>
        </row>
        <row r="56">
          <cell r="R56">
            <v>5.15</v>
          </cell>
          <cell r="X56">
            <v>116.24</v>
          </cell>
          <cell r="Y56">
            <v>72.650000000000006</v>
          </cell>
        </row>
        <row r="57">
          <cell r="R57">
            <v>120.25</v>
          </cell>
          <cell r="X57">
            <v>2181.15</v>
          </cell>
          <cell r="Y57">
            <v>1042.1099999999999</v>
          </cell>
        </row>
        <row r="58">
          <cell r="R58">
            <v>0.81</v>
          </cell>
          <cell r="X58">
            <v>18.23</v>
          </cell>
          <cell r="Y58">
            <v>11.4</v>
          </cell>
        </row>
        <row r="59">
          <cell r="R59">
            <v>18.91</v>
          </cell>
          <cell r="X59">
            <v>342.13</v>
          </cell>
          <cell r="Y59">
            <v>163.46</v>
          </cell>
        </row>
        <row r="60">
          <cell r="R60">
            <v>0.2</v>
          </cell>
          <cell r="X60">
            <v>4.5599999999999996</v>
          </cell>
          <cell r="Y60">
            <v>2.85</v>
          </cell>
        </row>
        <row r="61">
          <cell r="R61">
            <v>4.67</v>
          </cell>
          <cell r="X61">
            <v>85.53</v>
          </cell>
          <cell r="Y61">
            <v>40.86</v>
          </cell>
        </row>
        <row r="62">
          <cell r="R62">
            <v>0.1</v>
          </cell>
          <cell r="X62">
            <v>2.2799999999999998</v>
          </cell>
          <cell r="Y62">
            <v>1.43</v>
          </cell>
        </row>
        <row r="63">
          <cell r="R63">
            <v>2.34</v>
          </cell>
          <cell r="X63">
            <v>42.87</v>
          </cell>
          <cell r="Y63">
            <v>20.48</v>
          </cell>
        </row>
        <row r="64">
          <cell r="R64">
            <v>0</v>
          </cell>
          <cell r="X64">
            <v>74.91</v>
          </cell>
          <cell r="Y64">
            <v>46.82</v>
          </cell>
        </row>
        <row r="65">
          <cell r="R65">
            <v>0</v>
          </cell>
          <cell r="X65">
            <v>1405.49</v>
          </cell>
          <cell r="Y65">
            <v>671.51</v>
          </cell>
        </row>
        <row r="66">
          <cell r="R66">
            <v>0</v>
          </cell>
          <cell r="X66">
            <v>0</v>
          </cell>
          <cell r="Y66">
            <v>0</v>
          </cell>
        </row>
        <row r="67">
          <cell r="R67">
            <v>0</v>
          </cell>
          <cell r="X67">
            <v>0</v>
          </cell>
          <cell r="Y67">
            <v>0</v>
          </cell>
        </row>
        <row r="74">
          <cell r="R74">
            <v>228.4</v>
          </cell>
          <cell r="X74">
            <v>8613.25</v>
          </cell>
          <cell r="Y74">
            <v>5383.28</v>
          </cell>
        </row>
        <row r="75">
          <cell r="R75">
            <v>5333.14</v>
          </cell>
          <cell r="X75">
            <v>161613.76000000001</v>
          </cell>
          <cell r="Y75">
            <v>77215.460000000006</v>
          </cell>
        </row>
        <row r="76">
          <cell r="R76">
            <v>0</v>
          </cell>
          <cell r="X76">
            <v>0</v>
          </cell>
          <cell r="Y76">
            <v>0</v>
          </cell>
        </row>
        <row r="77">
          <cell r="R77">
            <v>0</v>
          </cell>
          <cell r="X77">
            <v>0</v>
          </cell>
          <cell r="Y77">
            <v>0</v>
          </cell>
        </row>
        <row r="80">
          <cell r="R80">
            <v>0</v>
          </cell>
          <cell r="X80">
            <v>0</v>
          </cell>
          <cell r="Y80">
            <v>0</v>
          </cell>
        </row>
        <row r="81">
          <cell r="R81">
            <v>0</v>
          </cell>
          <cell r="X81">
            <v>0</v>
          </cell>
          <cell r="Y81">
            <v>0</v>
          </cell>
        </row>
        <row r="82">
          <cell r="R82">
            <v>3.66</v>
          </cell>
          <cell r="X82">
            <v>454.16</v>
          </cell>
          <cell r="Y82">
            <v>283.85000000000002</v>
          </cell>
        </row>
        <row r="83">
          <cell r="R83">
            <v>85.46</v>
          </cell>
          <cell r="X83">
            <v>8521.59</v>
          </cell>
          <cell r="Y83">
            <v>4071.42</v>
          </cell>
        </row>
        <row r="84">
          <cell r="R84">
            <v>0</v>
          </cell>
          <cell r="X84">
            <v>0</v>
          </cell>
          <cell r="Y84">
            <v>0</v>
          </cell>
        </row>
        <row r="85">
          <cell r="R85">
            <v>0</v>
          </cell>
          <cell r="X85">
            <v>0</v>
          </cell>
          <cell r="Y85">
            <v>0</v>
          </cell>
        </row>
        <row r="86">
          <cell r="R86">
            <v>0.37</v>
          </cell>
          <cell r="X86">
            <v>45.42</v>
          </cell>
          <cell r="Y86">
            <v>28.39</v>
          </cell>
        </row>
        <row r="87">
          <cell r="R87">
            <v>8.64</v>
          </cell>
          <cell r="X87">
            <v>852.16</v>
          </cell>
          <cell r="Y87">
            <v>407.14</v>
          </cell>
        </row>
        <row r="88">
          <cell r="R88">
            <v>0</v>
          </cell>
          <cell r="X88">
            <v>0</v>
          </cell>
          <cell r="Y88">
            <v>0</v>
          </cell>
        </row>
        <row r="89">
          <cell r="R89">
            <v>0</v>
          </cell>
          <cell r="X89">
            <v>0</v>
          </cell>
          <cell r="Y89">
            <v>0</v>
          </cell>
        </row>
        <row r="92">
          <cell r="R92">
            <v>0.22</v>
          </cell>
          <cell r="X92">
            <v>27.25</v>
          </cell>
          <cell r="Y92">
            <v>17.03</v>
          </cell>
        </row>
        <row r="93">
          <cell r="R93">
            <v>5.14</v>
          </cell>
          <cell r="X93">
            <v>511.3</v>
          </cell>
          <cell r="Y93">
            <v>244.29</v>
          </cell>
        </row>
        <row r="94">
          <cell r="R94">
            <v>0</v>
          </cell>
          <cell r="X94">
            <v>0</v>
          </cell>
          <cell r="Y94">
            <v>0</v>
          </cell>
        </row>
        <row r="95">
          <cell r="R95">
            <v>0</v>
          </cell>
          <cell r="X95">
            <v>0</v>
          </cell>
          <cell r="Y95">
            <v>0</v>
          </cell>
        </row>
        <row r="96">
          <cell r="R96">
            <v>8</v>
          </cell>
          <cell r="X96">
            <v>2844.8</v>
          </cell>
          <cell r="Y96">
            <v>1778</v>
          </cell>
        </row>
        <row r="97">
          <cell r="R97">
            <v>186.8</v>
          </cell>
          <cell r="X97">
            <v>53378.1</v>
          </cell>
          <cell r="Y97">
            <v>25502.87</v>
          </cell>
        </row>
        <row r="98">
          <cell r="R98">
            <v>0</v>
          </cell>
          <cell r="X98">
            <v>0</v>
          </cell>
          <cell r="Y98">
            <v>0</v>
          </cell>
        </row>
        <row r="99">
          <cell r="R99">
            <v>0</v>
          </cell>
          <cell r="X99">
            <v>0</v>
          </cell>
          <cell r="Y99">
            <v>0</v>
          </cell>
        </row>
        <row r="100">
          <cell r="R100">
            <v>0.6</v>
          </cell>
          <cell r="X100">
            <v>86.99</v>
          </cell>
          <cell r="Y100">
            <v>54.37</v>
          </cell>
        </row>
        <row r="101">
          <cell r="R101">
            <v>14.01</v>
          </cell>
          <cell r="X101">
            <v>1632.23</v>
          </cell>
          <cell r="Y101">
            <v>779.84</v>
          </cell>
        </row>
        <row r="102">
          <cell r="R102">
            <v>0</v>
          </cell>
          <cell r="X102">
            <v>0</v>
          </cell>
          <cell r="Y102">
            <v>0</v>
          </cell>
        </row>
        <row r="103">
          <cell r="R103">
            <v>0</v>
          </cell>
          <cell r="X103">
            <v>0</v>
          </cell>
          <cell r="Y103">
            <v>0</v>
          </cell>
        </row>
        <row r="112">
          <cell r="R112">
            <v>0.2</v>
          </cell>
          <cell r="X112">
            <v>42.67</v>
          </cell>
          <cell r="Y112">
            <v>26.67</v>
          </cell>
        </row>
        <row r="113">
          <cell r="R113">
            <v>4.67</v>
          </cell>
          <cell r="X113">
            <v>800.68</v>
          </cell>
          <cell r="Y113">
            <v>382.55</v>
          </cell>
        </row>
        <row r="114">
          <cell r="R114">
            <v>0</v>
          </cell>
          <cell r="X114">
            <v>0</v>
          </cell>
          <cell r="Y114">
            <v>0</v>
          </cell>
        </row>
        <row r="115">
          <cell r="R115">
            <v>0</v>
          </cell>
          <cell r="X115">
            <v>0</v>
          </cell>
          <cell r="Y115">
            <v>0</v>
          </cell>
        </row>
        <row r="116">
          <cell r="R116">
            <v>0.65</v>
          </cell>
          <cell r="X116">
            <v>66.959999999999994</v>
          </cell>
          <cell r="Y116">
            <v>41.85</v>
          </cell>
        </row>
        <row r="117">
          <cell r="R117">
            <v>15.18</v>
          </cell>
          <cell r="X117">
            <v>1256.49</v>
          </cell>
          <cell r="Y117">
            <v>572.4</v>
          </cell>
        </row>
        <row r="118">
          <cell r="R118">
            <v>0</v>
          </cell>
          <cell r="X118">
            <v>0</v>
          </cell>
          <cell r="Y118">
            <v>0</v>
          </cell>
        </row>
        <row r="119">
          <cell r="R119">
            <v>0</v>
          </cell>
          <cell r="X119">
            <v>0</v>
          </cell>
          <cell r="Y119">
            <v>0</v>
          </cell>
        </row>
        <row r="127">
          <cell r="R127">
            <v>0</v>
          </cell>
          <cell r="X127">
            <v>0</v>
          </cell>
          <cell r="Y127">
            <v>0</v>
          </cell>
        </row>
        <row r="128">
          <cell r="R128">
            <v>0</v>
          </cell>
          <cell r="X128">
            <v>0</v>
          </cell>
          <cell r="Y128">
            <v>0</v>
          </cell>
        </row>
        <row r="129">
          <cell r="R129">
            <v>0</v>
          </cell>
          <cell r="X129">
            <v>0</v>
          </cell>
          <cell r="Y129">
            <v>0</v>
          </cell>
        </row>
        <row r="130">
          <cell r="R130">
            <v>0</v>
          </cell>
          <cell r="X130">
            <v>0</v>
          </cell>
          <cell r="Y130">
            <v>0</v>
          </cell>
        </row>
        <row r="131">
          <cell r="R131">
            <v>0</v>
          </cell>
          <cell r="X131">
            <v>0</v>
          </cell>
          <cell r="Y131">
            <v>0</v>
          </cell>
        </row>
        <row r="132">
          <cell r="R132">
            <v>0</v>
          </cell>
          <cell r="X132">
            <v>0</v>
          </cell>
          <cell r="Y132">
            <v>0</v>
          </cell>
        </row>
        <row r="133">
          <cell r="R133">
            <v>0</v>
          </cell>
          <cell r="X133">
            <v>0</v>
          </cell>
          <cell r="Y133">
            <v>0</v>
          </cell>
        </row>
        <row r="134">
          <cell r="R134">
            <v>0</v>
          </cell>
          <cell r="X134">
            <v>0</v>
          </cell>
          <cell r="Y134">
            <v>0</v>
          </cell>
        </row>
        <row r="135">
          <cell r="R135">
            <v>0</v>
          </cell>
          <cell r="X135">
            <v>0</v>
          </cell>
          <cell r="Y135">
            <v>0</v>
          </cell>
        </row>
        <row r="136">
          <cell r="R136">
            <v>0</v>
          </cell>
          <cell r="X136">
            <v>0</v>
          </cell>
          <cell r="Y136">
            <v>0</v>
          </cell>
        </row>
        <row r="139">
          <cell r="R139">
            <v>0</v>
          </cell>
          <cell r="X139">
            <v>0</v>
          </cell>
          <cell r="Y139">
            <v>0</v>
          </cell>
        </row>
        <row r="140">
          <cell r="R140">
            <v>0</v>
          </cell>
          <cell r="X140">
            <v>0</v>
          </cell>
          <cell r="Y140">
            <v>0</v>
          </cell>
        </row>
        <row r="141">
          <cell r="R141">
            <v>0</v>
          </cell>
          <cell r="X141">
            <v>0</v>
          </cell>
          <cell r="Y141">
            <v>0</v>
          </cell>
        </row>
        <row r="142">
          <cell r="R142">
            <v>0</v>
          </cell>
          <cell r="X142">
            <v>0</v>
          </cell>
          <cell r="Y142">
            <v>0</v>
          </cell>
        </row>
        <row r="143">
          <cell r="R143">
            <v>0</v>
          </cell>
          <cell r="X143">
            <v>0</v>
          </cell>
          <cell r="Y143">
            <v>0</v>
          </cell>
        </row>
        <row r="144">
          <cell r="R144">
            <v>0</v>
          </cell>
          <cell r="X144">
            <v>0</v>
          </cell>
          <cell r="Y144">
            <v>0</v>
          </cell>
        </row>
        <row r="145">
          <cell r="R145">
            <v>0</v>
          </cell>
          <cell r="X145">
            <v>0</v>
          </cell>
          <cell r="Y145">
            <v>0</v>
          </cell>
        </row>
        <row r="146">
          <cell r="R146">
            <v>0</v>
          </cell>
          <cell r="X146">
            <v>0</v>
          </cell>
          <cell r="Y146">
            <v>0</v>
          </cell>
        </row>
        <row r="147">
          <cell r="R147">
            <v>0</v>
          </cell>
          <cell r="X147">
            <v>0</v>
          </cell>
          <cell r="Y147">
            <v>0</v>
          </cell>
        </row>
        <row r="148">
          <cell r="R148">
            <v>0</v>
          </cell>
          <cell r="X148">
            <v>0</v>
          </cell>
          <cell r="Y148">
            <v>0</v>
          </cell>
        </row>
        <row r="149">
          <cell r="R149">
            <v>0</v>
          </cell>
          <cell r="X149">
            <v>0</v>
          </cell>
          <cell r="Y149">
            <v>0</v>
          </cell>
        </row>
        <row r="150">
          <cell r="R150">
            <v>0</v>
          </cell>
          <cell r="X150">
            <v>0</v>
          </cell>
          <cell r="Y150">
            <v>0</v>
          </cell>
        </row>
        <row r="155">
          <cell r="R155">
            <v>0</v>
          </cell>
          <cell r="X155">
            <v>0</v>
          </cell>
          <cell r="Y155">
            <v>0</v>
          </cell>
        </row>
        <row r="156">
          <cell r="R156">
            <v>0</v>
          </cell>
          <cell r="X156">
            <v>0</v>
          </cell>
          <cell r="Y156">
            <v>0</v>
          </cell>
        </row>
        <row r="157">
          <cell r="R157">
            <v>0</v>
          </cell>
          <cell r="X157">
            <v>0</v>
          </cell>
          <cell r="Y157">
            <v>0</v>
          </cell>
        </row>
        <row r="158">
          <cell r="R158">
            <v>0</v>
          </cell>
          <cell r="X158">
            <v>0</v>
          </cell>
          <cell r="Y158">
            <v>0</v>
          </cell>
        </row>
        <row r="159">
          <cell r="R159">
            <v>0</v>
          </cell>
          <cell r="X159">
            <v>0</v>
          </cell>
          <cell r="Y159">
            <v>0</v>
          </cell>
        </row>
        <row r="160">
          <cell r="R160">
            <v>0</v>
          </cell>
          <cell r="X160">
            <v>0</v>
          </cell>
          <cell r="Y160">
            <v>0</v>
          </cell>
        </row>
        <row r="161">
          <cell r="R161">
            <v>0</v>
          </cell>
          <cell r="X161">
            <v>0</v>
          </cell>
          <cell r="Y161">
            <v>0</v>
          </cell>
        </row>
        <row r="162">
          <cell r="R162">
            <v>0</v>
          </cell>
          <cell r="X162">
            <v>0</v>
          </cell>
          <cell r="Y162">
            <v>0</v>
          </cell>
        </row>
      </sheetData>
      <sheetData sheetId="4"/>
      <sheetData sheetId="5"/>
      <sheetData sheetId="6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30">
          <cell r="R30">
            <v>1.35</v>
          </cell>
          <cell r="X30">
            <v>26.3</v>
          </cell>
          <cell r="Y30">
            <v>16.440000000000001</v>
          </cell>
        </row>
        <row r="31">
          <cell r="R31">
            <v>31.52</v>
          </cell>
          <cell r="X31">
            <v>422.16</v>
          </cell>
          <cell r="Y31">
            <v>224.79</v>
          </cell>
        </row>
        <row r="32">
          <cell r="R32">
            <v>7.71</v>
          </cell>
          <cell r="X32">
            <v>138.09</v>
          </cell>
          <cell r="Y32">
            <v>81.16</v>
          </cell>
        </row>
        <row r="33">
          <cell r="R33">
            <v>180.03</v>
          </cell>
          <cell r="X33">
            <v>2177.86</v>
          </cell>
          <cell r="Y33">
            <v>1159.6400000000001</v>
          </cell>
        </row>
        <row r="34">
          <cell r="R34">
            <v>7.71</v>
          </cell>
          <cell r="X34">
            <v>138.09</v>
          </cell>
          <cell r="Y34">
            <v>81.16</v>
          </cell>
        </row>
        <row r="35">
          <cell r="R35">
            <v>180.03</v>
          </cell>
          <cell r="X35">
            <v>2177.86</v>
          </cell>
          <cell r="Y35">
            <v>1159.6400000000001</v>
          </cell>
        </row>
        <row r="36">
          <cell r="R36">
            <v>0</v>
          </cell>
          <cell r="X36">
            <v>74.91</v>
          </cell>
          <cell r="Y36">
            <v>46.82</v>
          </cell>
        </row>
        <row r="37">
          <cell r="R37">
            <v>0</v>
          </cell>
          <cell r="X37">
            <v>1202.47</v>
          </cell>
          <cell r="Y37">
            <v>640.28</v>
          </cell>
        </row>
        <row r="38">
          <cell r="R38">
            <v>0</v>
          </cell>
          <cell r="X38">
            <v>121.27</v>
          </cell>
          <cell r="Y38">
            <v>75.8</v>
          </cell>
        </row>
        <row r="39">
          <cell r="R39">
            <v>0</v>
          </cell>
          <cell r="X39">
            <v>1946.82</v>
          </cell>
          <cell r="Y39">
            <v>1036.6199999999999</v>
          </cell>
        </row>
        <row r="40">
          <cell r="R40">
            <v>0.01</v>
          </cell>
          <cell r="X40">
            <v>9.44</v>
          </cell>
          <cell r="Y40">
            <v>5.55</v>
          </cell>
        </row>
        <row r="41">
          <cell r="R41">
            <v>0.23</v>
          </cell>
          <cell r="X41">
            <v>148.87</v>
          </cell>
          <cell r="Y41">
            <v>79.27</v>
          </cell>
        </row>
        <row r="44">
          <cell r="R44">
            <v>6.47</v>
          </cell>
          <cell r="X44">
            <v>102.68</v>
          </cell>
          <cell r="Y44">
            <v>64.180000000000007</v>
          </cell>
        </row>
        <row r="45">
          <cell r="R45">
            <v>151.07</v>
          </cell>
          <cell r="X45">
            <v>1648.36</v>
          </cell>
          <cell r="Y45">
            <v>877.7</v>
          </cell>
        </row>
        <row r="46">
          <cell r="R46">
            <v>0</v>
          </cell>
          <cell r="X46">
            <v>45.75</v>
          </cell>
          <cell r="Y46">
            <v>26.89</v>
          </cell>
        </row>
        <row r="47">
          <cell r="R47">
            <v>0</v>
          </cell>
          <cell r="X47">
            <v>721.52</v>
          </cell>
          <cell r="Y47">
            <v>384.19</v>
          </cell>
        </row>
        <row r="50">
          <cell r="R50">
            <v>2.81</v>
          </cell>
          <cell r="X50">
            <v>13.13</v>
          </cell>
          <cell r="Y50">
            <v>7.72</v>
          </cell>
        </row>
        <row r="51">
          <cell r="R51">
            <v>65.61</v>
          </cell>
          <cell r="X51">
            <v>207.12</v>
          </cell>
          <cell r="Y51">
            <v>110.29</v>
          </cell>
        </row>
        <row r="52">
          <cell r="R52">
            <v>1.3</v>
          </cell>
          <cell r="X52">
            <v>285.27</v>
          </cell>
          <cell r="Y52">
            <v>167.66</v>
          </cell>
        </row>
        <row r="53">
          <cell r="R53">
            <v>30.36</v>
          </cell>
          <cell r="X53">
            <v>4499.1899999999996</v>
          </cell>
          <cell r="Y53">
            <v>2395.67</v>
          </cell>
        </row>
        <row r="54">
          <cell r="R54">
            <v>0</v>
          </cell>
          <cell r="X54">
            <v>431.6</v>
          </cell>
          <cell r="Y54">
            <v>253.66</v>
          </cell>
        </row>
        <row r="55">
          <cell r="R55">
            <v>0</v>
          </cell>
          <cell r="X55">
            <v>6807.04</v>
          </cell>
          <cell r="Y55">
            <v>3624.53</v>
          </cell>
        </row>
        <row r="56">
          <cell r="R56">
            <v>0</v>
          </cell>
          <cell r="X56">
            <v>0</v>
          </cell>
          <cell r="Y56">
            <v>0</v>
          </cell>
        </row>
        <row r="57">
          <cell r="R57">
            <v>0</v>
          </cell>
          <cell r="X57">
            <v>0</v>
          </cell>
          <cell r="Y57">
            <v>0</v>
          </cell>
        </row>
        <row r="58">
          <cell r="R58">
            <v>0.19</v>
          </cell>
          <cell r="X58">
            <v>459.19</v>
          </cell>
          <cell r="Y58">
            <v>269.88</v>
          </cell>
        </row>
        <row r="59">
          <cell r="R59">
            <v>4.4400000000000004</v>
          </cell>
          <cell r="X59">
            <v>7242.14</v>
          </cell>
          <cell r="Y59">
            <v>3856.21</v>
          </cell>
        </row>
        <row r="60">
          <cell r="R60">
            <v>0</v>
          </cell>
          <cell r="X60">
            <v>0</v>
          </cell>
          <cell r="Y60">
            <v>0</v>
          </cell>
        </row>
        <row r="61">
          <cell r="R61">
            <v>0</v>
          </cell>
          <cell r="X61">
            <v>0</v>
          </cell>
          <cell r="Y61">
            <v>0</v>
          </cell>
        </row>
        <row r="64">
          <cell r="R64">
            <v>0</v>
          </cell>
          <cell r="X64">
            <v>172.64</v>
          </cell>
          <cell r="Y64">
            <v>101.46</v>
          </cell>
        </row>
        <row r="65">
          <cell r="R65">
            <v>0</v>
          </cell>
          <cell r="X65">
            <v>2722.81</v>
          </cell>
          <cell r="Y65">
            <v>1449.81</v>
          </cell>
        </row>
        <row r="66">
          <cell r="R66">
            <v>0</v>
          </cell>
          <cell r="X66">
            <v>0</v>
          </cell>
          <cell r="Y66">
            <v>0</v>
          </cell>
        </row>
        <row r="67">
          <cell r="R67">
            <v>0</v>
          </cell>
          <cell r="X67">
            <v>0</v>
          </cell>
          <cell r="Y67">
            <v>0</v>
          </cell>
        </row>
        <row r="68">
          <cell r="R68">
            <v>0</v>
          </cell>
          <cell r="X68">
            <v>2767.46</v>
          </cell>
          <cell r="Y68">
            <v>1626.49</v>
          </cell>
        </row>
        <row r="69">
          <cell r="R69">
            <v>0</v>
          </cell>
          <cell r="X69">
            <v>43647.03</v>
          </cell>
          <cell r="Y69">
            <v>23240.63</v>
          </cell>
        </row>
        <row r="70">
          <cell r="R70">
            <v>0</v>
          </cell>
          <cell r="X70">
            <v>0</v>
          </cell>
          <cell r="Y70">
            <v>0</v>
          </cell>
        </row>
        <row r="71">
          <cell r="R71">
            <v>0</v>
          </cell>
          <cell r="X71">
            <v>0</v>
          </cell>
          <cell r="Y71">
            <v>0</v>
          </cell>
        </row>
        <row r="72">
          <cell r="R72">
            <v>0</v>
          </cell>
          <cell r="X72">
            <v>1.1299999999999999</v>
          </cell>
          <cell r="Y72">
            <v>0.71</v>
          </cell>
        </row>
        <row r="73">
          <cell r="R73">
            <v>0</v>
          </cell>
          <cell r="X73">
            <v>18.16</v>
          </cell>
          <cell r="Y73">
            <v>9.67</v>
          </cell>
        </row>
        <row r="74">
          <cell r="R74">
            <v>0</v>
          </cell>
          <cell r="X74">
            <v>0</v>
          </cell>
          <cell r="Y74">
            <v>0</v>
          </cell>
        </row>
        <row r="75">
          <cell r="R75">
            <v>0</v>
          </cell>
          <cell r="X75">
            <v>0</v>
          </cell>
          <cell r="Y75">
            <v>0</v>
          </cell>
        </row>
        <row r="80">
          <cell r="R80">
            <v>0</v>
          </cell>
          <cell r="X80">
            <v>91.5</v>
          </cell>
          <cell r="Y80">
            <v>53.77</v>
          </cell>
        </row>
        <row r="81">
          <cell r="R81">
            <v>0</v>
          </cell>
          <cell r="X81">
            <v>1443.03</v>
          </cell>
          <cell r="Y81">
            <v>768.37</v>
          </cell>
        </row>
        <row r="82">
          <cell r="R82">
            <v>0</v>
          </cell>
          <cell r="X82">
            <v>0</v>
          </cell>
          <cell r="Y82">
            <v>0</v>
          </cell>
        </row>
        <row r="83">
          <cell r="R83">
            <v>0</v>
          </cell>
          <cell r="X83">
            <v>0</v>
          </cell>
          <cell r="Y83">
            <v>0</v>
          </cell>
        </row>
        <row r="84">
          <cell r="R84">
            <v>0</v>
          </cell>
          <cell r="X84">
            <v>0</v>
          </cell>
          <cell r="Y84">
            <v>0</v>
          </cell>
        </row>
        <row r="85">
          <cell r="R85">
            <v>0</v>
          </cell>
          <cell r="X85">
            <v>0</v>
          </cell>
          <cell r="Y85">
            <v>0</v>
          </cell>
        </row>
        <row r="86">
          <cell r="R86">
            <v>228.4</v>
          </cell>
          <cell r="X86">
            <v>8767.06</v>
          </cell>
          <cell r="Y86">
            <v>5152.57</v>
          </cell>
        </row>
        <row r="87">
          <cell r="R87">
            <v>5333.14</v>
          </cell>
          <cell r="X87">
            <v>138269.54999999999</v>
          </cell>
          <cell r="Y87">
            <v>73624.039999999994</v>
          </cell>
        </row>
        <row r="88">
          <cell r="R88">
            <v>0</v>
          </cell>
          <cell r="X88">
            <v>0</v>
          </cell>
          <cell r="Y88">
            <v>0</v>
          </cell>
        </row>
        <row r="89">
          <cell r="R89">
            <v>0</v>
          </cell>
          <cell r="X89">
            <v>0</v>
          </cell>
          <cell r="Y89">
            <v>0</v>
          </cell>
        </row>
        <row r="90">
          <cell r="R90">
            <v>0</v>
          </cell>
          <cell r="X90">
            <v>0</v>
          </cell>
          <cell r="Y90">
            <v>0</v>
          </cell>
        </row>
        <row r="91">
          <cell r="R91">
            <v>0</v>
          </cell>
          <cell r="X91">
            <v>0</v>
          </cell>
          <cell r="Y91">
            <v>0</v>
          </cell>
        </row>
        <row r="92">
          <cell r="R92">
            <v>31.52</v>
          </cell>
          <cell r="X92">
            <v>4481.1099999999997</v>
          </cell>
          <cell r="Y92">
            <v>2633.64</v>
          </cell>
        </row>
        <row r="93">
          <cell r="R93">
            <v>735.99</v>
          </cell>
          <cell r="X93">
            <v>70673.820000000007</v>
          </cell>
          <cell r="Y93">
            <v>37631.51</v>
          </cell>
        </row>
        <row r="94">
          <cell r="R94">
            <v>0</v>
          </cell>
          <cell r="X94">
            <v>0</v>
          </cell>
          <cell r="Y94">
            <v>0</v>
          </cell>
        </row>
        <row r="95">
          <cell r="R95">
            <v>0</v>
          </cell>
          <cell r="X95">
            <v>0</v>
          </cell>
          <cell r="Y95">
            <v>0</v>
          </cell>
        </row>
        <row r="110">
          <cell r="R110">
            <v>8</v>
          </cell>
          <cell r="X110">
            <v>2895.6</v>
          </cell>
          <cell r="Y110">
            <v>1701.8</v>
          </cell>
        </row>
        <row r="111">
          <cell r="R111">
            <v>186.8</v>
          </cell>
          <cell r="X111">
            <v>45667.93</v>
          </cell>
          <cell r="Y111">
            <v>24316.69</v>
          </cell>
        </row>
        <row r="112">
          <cell r="R112">
            <v>0</v>
          </cell>
          <cell r="X112">
            <v>0</v>
          </cell>
          <cell r="Y112">
            <v>0</v>
          </cell>
        </row>
        <row r="113">
          <cell r="R113">
            <v>0</v>
          </cell>
          <cell r="X113">
            <v>0</v>
          </cell>
          <cell r="Y113">
            <v>0</v>
          </cell>
        </row>
        <row r="114">
          <cell r="R114">
            <v>1.6</v>
          </cell>
          <cell r="X114">
            <v>341.38</v>
          </cell>
          <cell r="Y114">
            <v>213.36</v>
          </cell>
        </row>
        <row r="115">
          <cell r="R115">
            <v>37.36</v>
          </cell>
          <cell r="X115">
            <v>5480.15</v>
          </cell>
          <cell r="Y115">
            <v>2918</v>
          </cell>
        </row>
        <row r="116">
          <cell r="R116">
            <v>0</v>
          </cell>
          <cell r="X116">
            <v>0</v>
          </cell>
          <cell r="Y116">
            <v>0</v>
          </cell>
        </row>
        <row r="117">
          <cell r="R117">
            <v>0</v>
          </cell>
          <cell r="X117">
            <v>0</v>
          </cell>
          <cell r="Y117">
            <v>0</v>
          </cell>
        </row>
        <row r="122">
          <cell r="R122">
            <v>0.04</v>
          </cell>
          <cell r="X122">
            <v>5.8</v>
          </cell>
          <cell r="Y122">
            <v>3.63</v>
          </cell>
        </row>
        <row r="123">
          <cell r="R123">
            <v>0.93</v>
          </cell>
          <cell r="X123">
            <v>93.13</v>
          </cell>
          <cell r="Y123">
            <v>49.59</v>
          </cell>
        </row>
        <row r="124">
          <cell r="R124">
            <v>0</v>
          </cell>
          <cell r="X124">
            <v>0</v>
          </cell>
          <cell r="Y124">
            <v>0</v>
          </cell>
        </row>
        <row r="125">
          <cell r="R125">
            <v>0</v>
          </cell>
          <cell r="X125">
            <v>0</v>
          </cell>
          <cell r="Y125">
            <v>0</v>
          </cell>
        </row>
        <row r="126">
          <cell r="R126">
            <v>0.6</v>
          </cell>
          <cell r="X126">
            <v>86.99</v>
          </cell>
          <cell r="Y126">
            <v>54.37</v>
          </cell>
        </row>
        <row r="127">
          <cell r="R127">
            <v>14.01</v>
          </cell>
          <cell r="X127">
            <v>1396.46</v>
          </cell>
          <cell r="Y127">
            <v>743.57</v>
          </cell>
        </row>
        <row r="128">
          <cell r="R128">
            <v>0</v>
          </cell>
          <cell r="X128">
            <v>0</v>
          </cell>
          <cell r="Y128">
            <v>0</v>
          </cell>
        </row>
        <row r="129">
          <cell r="R129">
            <v>0</v>
          </cell>
          <cell r="X129">
            <v>0</v>
          </cell>
          <cell r="Y129">
            <v>0</v>
          </cell>
        </row>
        <row r="139">
          <cell r="R139">
            <v>0</v>
          </cell>
          <cell r="X139">
            <v>0</v>
          </cell>
          <cell r="Y139">
            <v>0</v>
          </cell>
        </row>
        <row r="140">
          <cell r="R140">
            <v>0</v>
          </cell>
          <cell r="X140">
            <v>0</v>
          </cell>
          <cell r="Y140">
            <v>0</v>
          </cell>
        </row>
        <row r="141">
          <cell r="R141">
            <v>0</v>
          </cell>
          <cell r="X141">
            <v>0</v>
          </cell>
          <cell r="Y141">
            <v>0</v>
          </cell>
        </row>
        <row r="142">
          <cell r="R142">
            <v>0</v>
          </cell>
          <cell r="X142">
            <v>0</v>
          </cell>
          <cell r="Y142">
            <v>0</v>
          </cell>
        </row>
        <row r="143">
          <cell r="R143">
            <v>0</v>
          </cell>
          <cell r="X143">
            <v>0</v>
          </cell>
          <cell r="Y143">
            <v>0</v>
          </cell>
        </row>
        <row r="144">
          <cell r="R144">
            <v>0</v>
          </cell>
          <cell r="X144">
            <v>0</v>
          </cell>
          <cell r="Y144">
            <v>0</v>
          </cell>
        </row>
        <row r="145">
          <cell r="R145">
            <v>0</v>
          </cell>
          <cell r="X145">
            <v>0</v>
          </cell>
          <cell r="Y145">
            <v>0</v>
          </cell>
        </row>
        <row r="146">
          <cell r="R146">
            <v>0</v>
          </cell>
          <cell r="X146">
            <v>0</v>
          </cell>
          <cell r="Y146">
            <v>0</v>
          </cell>
        </row>
        <row r="147">
          <cell r="R147">
            <v>0</v>
          </cell>
          <cell r="X147">
            <v>0</v>
          </cell>
          <cell r="Y147">
            <v>0</v>
          </cell>
        </row>
        <row r="148">
          <cell r="R148">
            <v>0</v>
          </cell>
          <cell r="X148">
            <v>0</v>
          </cell>
          <cell r="Y148">
            <v>0</v>
          </cell>
        </row>
        <row r="149">
          <cell r="R149">
            <v>0</v>
          </cell>
          <cell r="X149">
            <v>0</v>
          </cell>
          <cell r="Y149">
            <v>0</v>
          </cell>
        </row>
        <row r="150">
          <cell r="R150">
            <v>0</v>
          </cell>
          <cell r="X150">
            <v>0</v>
          </cell>
          <cell r="Y150">
            <v>0</v>
          </cell>
        </row>
        <row r="151">
          <cell r="R151">
            <v>0</v>
          </cell>
          <cell r="X151">
            <v>0</v>
          </cell>
          <cell r="Y151">
            <v>0</v>
          </cell>
        </row>
        <row r="152">
          <cell r="R152">
            <v>0</v>
          </cell>
          <cell r="X152">
            <v>0</v>
          </cell>
          <cell r="Y152">
            <v>0</v>
          </cell>
        </row>
        <row r="153">
          <cell r="R153">
            <v>0</v>
          </cell>
          <cell r="X153">
            <v>0</v>
          </cell>
          <cell r="Y153">
            <v>0</v>
          </cell>
        </row>
        <row r="154">
          <cell r="R154">
            <v>0</v>
          </cell>
          <cell r="X154">
            <v>0</v>
          </cell>
          <cell r="Y154">
            <v>0</v>
          </cell>
        </row>
        <row r="155">
          <cell r="R155">
            <v>0</v>
          </cell>
          <cell r="X155">
            <v>0</v>
          </cell>
          <cell r="Y155">
            <v>0</v>
          </cell>
        </row>
        <row r="156">
          <cell r="R156">
            <v>0</v>
          </cell>
          <cell r="X156">
            <v>0</v>
          </cell>
          <cell r="Y156">
            <v>0</v>
          </cell>
        </row>
        <row r="159">
          <cell r="R159">
            <v>0</v>
          </cell>
          <cell r="X159">
            <v>0</v>
          </cell>
          <cell r="Y159">
            <v>0</v>
          </cell>
        </row>
        <row r="160">
          <cell r="R160">
            <v>0</v>
          </cell>
          <cell r="X160">
            <v>0</v>
          </cell>
          <cell r="Y160">
            <v>0</v>
          </cell>
        </row>
        <row r="161">
          <cell r="R161">
            <v>0</v>
          </cell>
          <cell r="X161">
            <v>0</v>
          </cell>
          <cell r="Y161">
            <v>0</v>
          </cell>
        </row>
        <row r="162">
          <cell r="R162">
            <v>0</v>
          </cell>
          <cell r="X162">
            <v>0</v>
          </cell>
          <cell r="Y162">
            <v>0</v>
          </cell>
        </row>
        <row r="163">
          <cell r="R163">
            <v>0</v>
          </cell>
          <cell r="X163">
            <v>0</v>
          </cell>
          <cell r="Y163">
            <v>0</v>
          </cell>
        </row>
        <row r="164">
          <cell r="R164">
            <v>0</v>
          </cell>
          <cell r="X164">
            <v>0</v>
          </cell>
          <cell r="Y164">
            <v>0</v>
          </cell>
        </row>
        <row r="165">
          <cell r="R165">
            <v>0</v>
          </cell>
          <cell r="X165">
            <v>0</v>
          </cell>
          <cell r="Y165">
            <v>0</v>
          </cell>
        </row>
        <row r="166">
          <cell r="R166">
            <v>0</v>
          </cell>
          <cell r="X166">
            <v>0</v>
          </cell>
          <cell r="Y166">
            <v>0</v>
          </cell>
        </row>
      </sheetData>
      <sheetData sheetId="4"/>
      <sheetData sheetId="5"/>
      <sheetData sheetId="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28">
          <cell r="R28">
            <v>0</v>
          </cell>
          <cell r="X28">
            <v>21.59</v>
          </cell>
          <cell r="Y28">
            <v>12.69</v>
          </cell>
        </row>
        <row r="29">
          <cell r="R29">
            <v>0</v>
          </cell>
          <cell r="X29">
            <v>340.53</v>
          </cell>
          <cell r="Y29">
            <v>181.32</v>
          </cell>
        </row>
        <row r="30">
          <cell r="R30">
            <v>0</v>
          </cell>
          <cell r="X30">
            <v>0</v>
          </cell>
          <cell r="Y30">
            <v>0</v>
          </cell>
        </row>
        <row r="31">
          <cell r="R31">
            <v>0</v>
          </cell>
          <cell r="X31">
            <v>0</v>
          </cell>
          <cell r="Y31">
            <v>0</v>
          </cell>
        </row>
        <row r="32">
          <cell r="R32">
            <v>0</v>
          </cell>
          <cell r="X32">
            <v>0</v>
          </cell>
          <cell r="Y32">
            <v>0</v>
          </cell>
        </row>
        <row r="33">
          <cell r="R33">
            <v>0</v>
          </cell>
          <cell r="X33">
            <v>0</v>
          </cell>
          <cell r="Y33">
            <v>0</v>
          </cell>
        </row>
        <row r="34">
          <cell r="R34">
            <v>0.02</v>
          </cell>
          <cell r="X34">
            <v>97.81</v>
          </cell>
          <cell r="Y34">
            <v>57.49</v>
          </cell>
        </row>
        <row r="35">
          <cell r="R35">
            <v>0.47</v>
          </cell>
          <cell r="X35">
            <v>1542.64</v>
          </cell>
          <cell r="Y35">
            <v>821.41</v>
          </cell>
        </row>
        <row r="36">
          <cell r="R36">
            <v>0</v>
          </cell>
          <cell r="X36">
            <v>0</v>
          </cell>
          <cell r="Y36">
            <v>0</v>
          </cell>
        </row>
        <row r="37">
          <cell r="R37">
            <v>0</v>
          </cell>
          <cell r="X37">
            <v>0</v>
          </cell>
          <cell r="Y37">
            <v>0</v>
          </cell>
        </row>
        <row r="73">
          <cell r="R73">
            <v>0.01</v>
          </cell>
          <cell r="X73">
            <v>48.91</v>
          </cell>
          <cell r="Y73">
            <v>28.74</v>
          </cell>
        </row>
        <row r="74">
          <cell r="R74">
            <v>0.23</v>
          </cell>
          <cell r="X74">
            <v>771.32</v>
          </cell>
          <cell r="Y74">
            <v>410.71</v>
          </cell>
        </row>
        <row r="75">
          <cell r="R75">
            <v>0</v>
          </cell>
          <cell r="X75">
            <v>0</v>
          </cell>
          <cell r="Y75">
            <v>0</v>
          </cell>
        </row>
        <row r="76">
          <cell r="R76">
            <v>0</v>
          </cell>
          <cell r="X76">
            <v>0</v>
          </cell>
          <cell r="Y76">
            <v>0</v>
          </cell>
        </row>
        <row r="77">
          <cell r="R77">
            <v>0</v>
          </cell>
          <cell r="X77">
            <v>0</v>
          </cell>
          <cell r="Y77">
            <v>0</v>
          </cell>
        </row>
        <row r="78">
          <cell r="R78">
            <v>0</v>
          </cell>
          <cell r="X78">
            <v>0</v>
          </cell>
          <cell r="Y78">
            <v>0</v>
          </cell>
        </row>
        <row r="79">
          <cell r="R79">
            <v>0</v>
          </cell>
          <cell r="X79">
            <v>8</v>
          </cell>
          <cell r="Y79">
            <v>4.7</v>
          </cell>
        </row>
        <row r="80">
          <cell r="R80">
            <v>0</v>
          </cell>
          <cell r="X80">
            <v>126.22</v>
          </cell>
          <cell r="Y80">
            <v>67.209999999999994</v>
          </cell>
        </row>
        <row r="81">
          <cell r="R81">
            <v>0</v>
          </cell>
          <cell r="X81">
            <v>0</v>
          </cell>
          <cell r="Y81">
            <v>0</v>
          </cell>
        </row>
        <row r="82">
          <cell r="R82">
            <v>0</v>
          </cell>
          <cell r="X82">
            <v>0</v>
          </cell>
          <cell r="Y82">
            <v>0</v>
          </cell>
        </row>
        <row r="83">
          <cell r="R83">
            <v>0.31</v>
          </cell>
          <cell r="X83">
            <v>28.48</v>
          </cell>
          <cell r="Y83">
            <v>16.739999999999998</v>
          </cell>
        </row>
        <row r="84">
          <cell r="R84">
            <v>7.24</v>
          </cell>
          <cell r="X84">
            <v>449.13</v>
          </cell>
          <cell r="Y84">
            <v>239.14</v>
          </cell>
        </row>
        <row r="85">
          <cell r="R85">
            <v>0</v>
          </cell>
          <cell r="X85">
            <v>0</v>
          </cell>
          <cell r="Y85">
            <v>0</v>
          </cell>
        </row>
        <row r="86">
          <cell r="R86">
            <v>0</v>
          </cell>
          <cell r="X86">
            <v>0</v>
          </cell>
          <cell r="Y86">
            <v>0</v>
          </cell>
        </row>
        <row r="87">
          <cell r="R87">
            <v>0.03</v>
          </cell>
          <cell r="X87">
            <v>72.5</v>
          </cell>
          <cell r="Y87">
            <v>42.61</v>
          </cell>
        </row>
        <row r="88">
          <cell r="R88">
            <v>0.7</v>
          </cell>
          <cell r="X88">
            <v>1143.5</v>
          </cell>
          <cell r="Y88">
            <v>608.87</v>
          </cell>
        </row>
        <row r="89">
          <cell r="R89">
            <v>0</v>
          </cell>
          <cell r="X89">
            <v>0</v>
          </cell>
          <cell r="Y89">
            <v>0</v>
          </cell>
        </row>
        <row r="90">
          <cell r="R90">
            <v>0</v>
          </cell>
          <cell r="X90">
            <v>0</v>
          </cell>
          <cell r="Y90">
            <v>0</v>
          </cell>
        </row>
        <row r="91">
          <cell r="R91">
            <v>0.01</v>
          </cell>
          <cell r="X91">
            <v>24.17</v>
          </cell>
          <cell r="Y91">
            <v>14.2</v>
          </cell>
        </row>
        <row r="92">
          <cell r="R92">
            <v>0.23</v>
          </cell>
          <cell r="X92">
            <v>381.17</v>
          </cell>
          <cell r="Y92">
            <v>202.96</v>
          </cell>
        </row>
        <row r="93">
          <cell r="R93">
            <v>0</v>
          </cell>
          <cell r="X93">
            <v>0</v>
          </cell>
          <cell r="Y93">
            <v>0</v>
          </cell>
        </row>
        <row r="94">
          <cell r="R94">
            <v>0</v>
          </cell>
          <cell r="X94">
            <v>0</v>
          </cell>
          <cell r="Y94">
            <v>0</v>
          </cell>
        </row>
        <row r="95">
          <cell r="R95">
            <v>0.01</v>
          </cell>
          <cell r="X95">
            <v>18.32</v>
          </cell>
          <cell r="Y95">
            <v>10.77</v>
          </cell>
        </row>
        <row r="96">
          <cell r="R96">
            <v>0.23</v>
          </cell>
          <cell r="X96">
            <v>288.93</v>
          </cell>
          <cell r="Y96">
            <v>153.84</v>
          </cell>
        </row>
        <row r="97">
          <cell r="R97">
            <v>0</v>
          </cell>
          <cell r="X97">
            <v>0</v>
          </cell>
          <cell r="Y97">
            <v>0</v>
          </cell>
        </row>
        <row r="98">
          <cell r="R98">
            <v>0</v>
          </cell>
          <cell r="X98">
            <v>0</v>
          </cell>
          <cell r="Y98">
            <v>0</v>
          </cell>
        </row>
        <row r="134">
          <cell r="R134">
            <v>0.01</v>
          </cell>
          <cell r="X134">
            <v>48.91</v>
          </cell>
          <cell r="Y134">
            <v>28.74</v>
          </cell>
        </row>
        <row r="135">
          <cell r="R135">
            <v>0.23</v>
          </cell>
          <cell r="X135">
            <v>771.32</v>
          </cell>
          <cell r="Y135">
            <v>410.71</v>
          </cell>
        </row>
        <row r="136">
          <cell r="R136">
            <v>0</v>
          </cell>
          <cell r="X136">
            <v>0</v>
          </cell>
          <cell r="Y136">
            <v>0</v>
          </cell>
        </row>
        <row r="137">
          <cell r="R137">
            <v>0</v>
          </cell>
          <cell r="X137">
            <v>0</v>
          </cell>
          <cell r="Y137">
            <v>0</v>
          </cell>
        </row>
        <row r="138">
          <cell r="R138">
            <v>0</v>
          </cell>
          <cell r="X138">
            <v>0</v>
          </cell>
          <cell r="Y138">
            <v>0</v>
          </cell>
        </row>
        <row r="139">
          <cell r="R139">
            <v>0</v>
          </cell>
          <cell r="X139">
            <v>0</v>
          </cell>
          <cell r="Y139">
            <v>0</v>
          </cell>
        </row>
        <row r="140">
          <cell r="R140">
            <v>0.31</v>
          </cell>
          <cell r="X140">
            <v>28.48</v>
          </cell>
          <cell r="Y140">
            <v>16.739999999999998</v>
          </cell>
        </row>
        <row r="141">
          <cell r="R141">
            <v>7.24</v>
          </cell>
          <cell r="X141">
            <v>449.13</v>
          </cell>
          <cell r="Y141">
            <v>239.14</v>
          </cell>
        </row>
        <row r="142">
          <cell r="R142">
            <v>0</v>
          </cell>
          <cell r="X142">
            <v>0</v>
          </cell>
          <cell r="Y142">
            <v>0</v>
          </cell>
        </row>
        <row r="143">
          <cell r="R143">
            <v>0</v>
          </cell>
          <cell r="X143">
            <v>0</v>
          </cell>
          <cell r="Y143">
            <v>0</v>
          </cell>
        </row>
        <row r="144">
          <cell r="R144">
            <v>0.03</v>
          </cell>
          <cell r="X144">
            <v>72.5</v>
          </cell>
          <cell r="Y144">
            <v>42.61</v>
          </cell>
        </row>
        <row r="145">
          <cell r="R145">
            <v>0.7</v>
          </cell>
          <cell r="X145">
            <v>1143.5</v>
          </cell>
          <cell r="Y145">
            <v>608.87</v>
          </cell>
        </row>
        <row r="146">
          <cell r="R146">
            <v>0</v>
          </cell>
          <cell r="X146">
            <v>0</v>
          </cell>
          <cell r="Y146">
            <v>0</v>
          </cell>
        </row>
        <row r="147">
          <cell r="R147">
            <v>0</v>
          </cell>
          <cell r="X147">
            <v>0</v>
          </cell>
          <cell r="Y147">
            <v>0</v>
          </cell>
        </row>
        <row r="148">
          <cell r="R148">
            <v>0.01</v>
          </cell>
          <cell r="X148">
            <v>24.17</v>
          </cell>
          <cell r="Y148">
            <v>14.2</v>
          </cell>
        </row>
        <row r="149">
          <cell r="R149">
            <v>0.23</v>
          </cell>
          <cell r="X149">
            <v>381.17</v>
          </cell>
          <cell r="Y149">
            <v>202.96</v>
          </cell>
        </row>
        <row r="150">
          <cell r="R150">
            <v>0</v>
          </cell>
          <cell r="X150">
            <v>0</v>
          </cell>
          <cell r="Y150">
            <v>0</v>
          </cell>
        </row>
        <row r="151">
          <cell r="R151">
            <v>0</v>
          </cell>
          <cell r="X151">
            <v>0</v>
          </cell>
          <cell r="Y151">
            <v>0</v>
          </cell>
        </row>
        <row r="152">
          <cell r="R152">
            <v>0.01</v>
          </cell>
          <cell r="X152">
            <v>18.32</v>
          </cell>
          <cell r="Y152">
            <v>10.77</v>
          </cell>
        </row>
        <row r="153">
          <cell r="R153">
            <v>0.23</v>
          </cell>
          <cell r="X153">
            <v>288.93</v>
          </cell>
          <cell r="Y153">
            <v>153.84</v>
          </cell>
        </row>
        <row r="154">
          <cell r="R154">
            <v>0</v>
          </cell>
          <cell r="X154">
            <v>0</v>
          </cell>
          <cell r="Y154">
            <v>0</v>
          </cell>
        </row>
        <row r="155">
          <cell r="R155">
            <v>0</v>
          </cell>
          <cell r="X155">
            <v>0</v>
          </cell>
          <cell r="Y155">
            <v>0</v>
          </cell>
        </row>
        <row r="191">
          <cell r="R191">
            <v>0.01</v>
          </cell>
          <cell r="X191">
            <v>48.91</v>
          </cell>
          <cell r="Y191">
            <v>28.74</v>
          </cell>
        </row>
        <row r="192">
          <cell r="R192">
            <v>0.23</v>
          </cell>
          <cell r="X192">
            <v>771.32</v>
          </cell>
          <cell r="Y192">
            <v>410.71</v>
          </cell>
        </row>
        <row r="193">
          <cell r="R193">
            <v>0</v>
          </cell>
          <cell r="X193">
            <v>0</v>
          </cell>
          <cell r="Y193">
            <v>0</v>
          </cell>
        </row>
        <row r="194">
          <cell r="R194">
            <v>0</v>
          </cell>
          <cell r="X194">
            <v>0</v>
          </cell>
          <cell r="Y194">
            <v>0</v>
          </cell>
        </row>
        <row r="195">
          <cell r="R195">
            <v>0</v>
          </cell>
          <cell r="X195">
            <v>0</v>
          </cell>
          <cell r="Y195">
            <v>0</v>
          </cell>
        </row>
        <row r="196">
          <cell r="R196">
            <v>0</v>
          </cell>
          <cell r="X196">
            <v>0</v>
          </cell>
          <cell r="Y196">
            <v>0</v>
          </cell>
        </row>
        <row r="197">
          <cell r="R197">
            <v>0</v>
          </cell>
          <cell r="X197">
            <v>8</v>
          </cell>
          <cell r="Y197">
            <v>4.7</v>
          </cell>
        </row>
        <row r="198">
          <cell r="R198">
            <v>0</v>
          </cell>
          <cell r="X198">
            <v>126.22</v>
          </cell>
          <cell r="Y198">
            <v>67.209999999999994</v>
          </cell>
        </row>
        <row r="199">
          <cell r="R199">
            <v>0</v>
          </cell>
          <cell r="X199">
            <v>0</v>
          </cell>
          <cell r="Y199">
            <v>0</v>
          </cell>
        </row>
        <row r="200">
          <cell r="R200">
            <v>0</v>
          </cell>
          <cell r="X200">
            <v>0</v>
          </cell>
          <cell r="Y200">
            <v>0</v>
          </cell>
        </row>
        <row r="201">
          <cell r="R201">
            <v>0.31</v>
          </cell>
          <cell r="X201">
            <v>28.48</v>
          </cell>
          <cell r="Y201">
            <v>16.739999999999998</v>
          </cell>
        </row>
        <row r="202">
          <cell r="R202">
            <v>7.24</v>
          </cell>
          <cell r="X202">
            <v>449.13</v>
          </cell>
          <cell r="Y202">
            <v>239.14</v>
          </cell>
        </row>
        <row r="203">
          <cell r="R203">
            <v>0</v>
          </cell>
          <cell r="X203">
            <v>0</v>
          </cell>
          <cell r="Y203">
            <v>0</v>
          </cell>
        </row>
        <row r="204">
          <cell r="R204">
            <v>0</v>
          </cell>
          <cell r="X204">
            <v>0</v>
          </cell>
          <cell r="Y204">
            <v>0</v>
          </cell>
        </row>
        <row r="205">
          <cell r="R205">
            <v>0.03</v>
          </cell>
          <cell r="X205">
            <v>72.5</v>
          </cell>
          <cell r="Y205">
            <v>42.61</v>
          </cell>
        </row>
        <row r="206">
          <cell r="R206">
            <v>0.7</v>
          </cell>
          <cell r="X206">
            <v>1143.5</v>
          </cell>
          <cell r="Y206">
            <v>608.87</v>
          </cell>
        </row>
        <row r="207">
          <cell r="R207">
            <v>0</v>
          </cell>
          <cell r="X207">
            <v>0</v>
          </cell>
          <cell r="Y207">
            <v>0</v>
          </cell>
        </row>
        <row r="208">
          <cell r="R208">
            <v>0</v>
          </cell>
          <cell r="X208">
            <v>0</v>
          </cell>
          <cell r="Y208">
            <v>0</v>
          </cell>
        </row>
        <row r="209">
          <cell r="R209">
            <v>0.01</v>
          </cell>
          <cell r="X209">
            <v>24.17</v>
          </cell>
          <cell r="Y209">
            <v>14.2</v>
          </cell>
        </row>
        <row r="210">
          <cell r="R210">
            <v>0.23</v>
          </cell>
          <cell r="X210">
            <v>381.17</v>
          </cell>
          <cell r="Y210">
            <v>202.96</v>
          </cell>
        </row>
        <row r="211">
          <cell r="R211">
            <v>0</v>
          </cell>
          <cell r="X211">
            <v>0</v>
          </cell>
          <cell r="Y211">
            <v>0</v>
          </cell>
        </row>
        <row r="212">
          <cell r="R212">
            <v>0</v>
          </cell>
          <cell r="X212">
            <v>0</v>
          </cell>
          <cell r="Y212">
            <v>0</v>
          </cell>
        </row>
        <row r="213">
          <cell r="R213">
            <v>0.01</v>
          </cell>
          <cell r="X213">
            <v>18.32</v>
          </cell>
          <cell r="Y213">
            <v>10.77</v>
          </cell>
        </row>
        <row r="214">
          <cell r="R214">
            <v>0.23</v>
          </cell>
          <cell r="X214">
            <v>288.93</v>
          </cell>
          <cell r="Y214">
            <v>153.84</v>
          </cell>
        </row>
        <row r="215">
          <cell r="R215">
            <v>0</v>
          </cell>
          <cell r="X215">
            <v>0</v>
          </cell>
          <cell r="Y215">
            <v>0</v>
          </cell>
        </row>
        <row r="216">
          <cell r="R216">
            <v>0</v>
          </cell>
          <cell r="X216">
            <v>0</v>
          </cell>
          <cell r="Y216">
            <v>0</v>
          </cell>
        </row>
        <row r="252">
          <cell r="R252">
            <v>0.01</v>
          </cell>
          <cell r="X252">
            <v>48.91</v>
          </cell>
          <cell r="Y252">
            <v>28.74</v>
          </cell>
        </row>
        <row r="253">
          <cell r="R253">
            <v>0.23</v>
          </cell>
          <cell r="X253">
            <v>771.32</v>
          </cell>
          <cell r="Y253">
            <v>410.71</v>
          </cell>
        </row>
        <row r="254">
          <cell r="R254">
            <v>0</v>
          </cell>
          <cell r="X254">
            <v>0</v>
          </cell>
          <cell r="Y254">
            <v>0</v>
          </cell>
        </row>
        <row r="255">
          <cell r="R255">
            <v>0</v>
          </cell>
          <cell r="X255">
            <v>0</v>
          </cell>
          <cell r="Y255">
            <v>0</v>
          </cell>
        </row>
        <row r="256">
          <cell r="R256">
            <v>0</v>
          </cell>
          <cell r="X256">
            <v>0</v>
          </cell>
          <cell r="Y256">
            <v>0</v>
          </cell>
        </row>
        <row r="257">
          <cell r="R257">
            <v>0</v>
          </cell>
          <cell r="X257">
            <v>0</v>
          </cell>
          <cell r="Y257">
            <v>0</v>
          </cell>
        </row>
        <row r="258">
          <cell r="R258">
            <v>0</v>
          </cell>
          <cell r="X258">
            <v>8</v>
          </cell>
          <cell r="Y258">
            <v>4.7</v>
          </cell>
        </row>
        <row r="259">
          <cell r="R259">
            <v>0</v>
          </cell>
          <cell r="X259">
            <v>126.22</v>
          </cell>
          <cell r="Y259">
            <v>67.209999999999994</v>
          </cell>
        </row>
        <row r="260">
          <cell r="R260">
            <v>0</v>
          </cell>
          <cell r="X260">
            <v>0</v>
          </cell>
          <cell r="Y260">
            <v>0</v>
          </cell>
        </row>
        <row r="261">
          <cell r="R261">
            <v>0</v>
          </cell>
          <cell r="X261">
            <v>0</v>
          </cell>
          <cell r="Y261">
            <v>0</v>
          </cell>
        </row>
        <row r="262">
          <cell r="R262">
            <v>0.31</v>
          </cell>
          <cell r="X262">
            <v>28.48</v>
          </cell>
          <cell r="Y262">
            <v>16.739999999999998</v>
          </cell>
        </row>
        <row r="263">
          <cell r="R263">
            <v>7.24</v>
          </cell>
          <cell r="X263">
            <v>449.13</v>
          </cell>
          <cell r="Y263">
            <v>239.14</v>
          </cell>
        </row>
        <row r="264">
          <cell r="R264">
            <v>0</v>
          </cell>
          <cell r="X264">
            <v>0</v>
          </cell>
          <cell r="Y264">
            <v>0</v>
          </cell>
        </row>
        <row r="265">
          <cell r="R265">
            <v>0</v>
          </cell>
          <cell r="X265">
            <v>0</v>
          </cell>
          <cell r="Y265">
            <v>0</v>
          </cell>
        </row>
        <row r="266">
          <cell r="R266">
            <v>0.03</v>
          </cell>
          <cell r="X266">
            <v>72.5</v>
          </cell>
          <cell r="Y266">
            <v>42.61</v>
          </cell>
        </row>
        <row r="267">
          <cell r="R267">
            <v>0.7</v>
          </cell>
          <cell r="X267">
            <v>1143.5</v>
          </cell>
          <cell r="Y267">
            <v>608.87</v>
          </cell>
        </row>
        <row r="268">
          <cell r="R268">
            <v>0</v>
          </cell>
          <cell r="X268">
            <v>0</v>
          </cell>
          <cell r="Y268">
            <v>0</v>
          </cell>
        </row>
        <row r="269">
          <cell r="R269">
            <v>0</v>
          </cell>
          <cell r="X269">
            <v>0</v>
          </cell>
          <cell r="Y269">
            <v>0</v>
          </cell>
        </row>
        <row r="270">
          <cell r="R270">
            <v>0.01</v>
          </cell>
          <cell r="X270">
            <v>24.17</v>
          </cell>
          <cell r="Y270">
            <v>14.2</v>
          </cell>
        </row>
        <row r="271">
          <cell r="R271">
            <v>0.23</v>
          </cell>
          <cell r="X271">
            <v>381.17</v>
          </cell>
          <cell r="Y271">
            <v>202.96</v>
          </cell>
        </row>
        <row r="272">
          <cell r="R272">
            <v>0</v>
          </cell>
          <cell r="X272">
            <v>0</v>
          </cell>
          <cell r="Y272">
            <v>0</v>
          </cell>
        </row>
        <row r="273">
          <cell r="R273">
            <v>0</v>
          </cell>
          <cell r="X273">
            <v>0</v>
          </cell>
          <cell r="Y273">
            <v>0</v>
          </cell>
        </row>
        <row r="274">
          <cell r="R274">
            <v>0.01</v>
          </cell>
          <cell r="X274">
            <v>18.32</v>
          </cell>
          <cell r="Y274">
            <v>10.77</v>
          </cell>
        </row>
        <row r="275">
          <cell r="R275">
            <v>0.23</v>
          </cell>
          <cell r="X275">
            <v>288.93</v>
          </cell>
          <cell r="Y275">
            <v>153.84</v>
          </cell>
        </row>
        <row r="276">
          <cell r="R276">
            <v>0</v>
          </cell>
          <cell r="X276">
            <v>0</v>
          </cell>
          <cell r="Y276">
            <v>0</v>
          </cell>
        </row>
        <row r="277">
          <cell r="R277">
            <v>0</v>
          </cell>
          <cell r="X277">
            <v>0</v>
          </cell>
          <cell r="Y277">
            <v>0</v>
          </cell>
        </row>
        <row r="313">
          <cell r="R313">
            <v>0.01</v>
          </cell>
          <cell r="X313">
            <v>48.91</v>
          </cell>
          <cell r="Y313">
            <v>28.74</v>
          </cell>
        </row>
        <row r="314">
          <cell r="R314">
            <v>0.23</v>
          </cell>
          <cell r="X314">
            <v>771.32</v>
          </cell>
          <cell r="Y314">
            <v>410.71</v>
          </cell>
        </row>
        <row r="315">
          <cell r="R315">
            <v>0</v>
          </cell>
          <cell r="X315">
            <v>0</v>
          </cell>
          <cell r="Y315">
            <v>0</v>
          </cell>
        </row>
        <row r="316">
          <cell r="R316">
            <v>0</v>
          </cell>
          <cell r="X316">
            <v>0</v>
          </cell>
          <cell r="Y316">
            <v>0</v>
          </cell>
        </row>
        <row r="317">
          <cell r="R317">
            <v>0</v>
          </cell>
          <cell r="X317">
            <v>0</v>
          </cell>
          <cell r="Y317">
            <v>0</v>
          </cell>
        </row>
        <row r="318">
          <cell r="R318">
            <v>0</v>
          </cell>
          <cell r="X318">
            <v>0</v>
          </cell>
          <cell r="Y318">
            <v>0</v>
          </cell>
        </row>
        <row r="319">
          <cell r="R319">
            <v>0</v>
          </cell>
          <cell r="X319">
            <v>16.010000000000002</v>
          </cell>
          <cell r="Y319">
            <v>9.41</v>
          </cell>
        </row>
        <row r="320">
          <cell r="R320">
            <v>0</v>
          </cell>
          <cell r="X320">
            <v>252.43</v>
          </cell>
          <cell r="Y320">
            <v>134.41</v>
          </cell>
        </row>
        <row r="321">
          <cell r="R321">
            <v>0</v>
          </cell>
          <cell r="X321">
            <v>0</v>
          </cell>
          <cell r="Y321">
            <v>0</v>
          </cell>
        </row>
        <row r="322">
          <cell r="R322">
            <v>0</v>
          </cell>
          <cell r="X322">
            <v>0</v>
          </cell>
          <cell r="Y322">
            <v>0</v>
          </cell>
        </row>
        <row r="323">
          <cell r="R323">
            <v>0.31</v>
          </cell>
          <cell r="X323">
            <v>28.48</v>
          </cell>
          <cell r="Y323">
            <v>16.739999999999998</v>
          </cell>
        </row>
        <row r="324">
          <cell r="R324">
            <v>7.24</v>
          </cell>
          <cell r="X324">
            <v>449.13</v>
          </cell>
          <cell r="Y324">
            <v>239.14</v>
          </cell>
        </row>
        <row r="325">
          <cell r="R325">
            <v>0</v>
          </cell>
          <cell r="X325">
            <v>0</v>
          </cell>
          <cell r="Y325">
            <v>0</v>
          </cell>
        </row>
        <row r="326">
          <cell r="R326">
            <v>0</v>
          </cell>
          <cell r="X326">
            <v>0</v>
          </cell>
          <cell r="Y326">
            <v>0</v>
          </cell>
        </row>
        <row r="327">
          <cell r="R327">
            <v>0.06</v>
          </cell>
          <cell r="X327">
            <v>145.01</v>
          </cell>
          <cell r="Y327">
            <v>85.22</v>
          </cell>
        </row>
        <row r="328">
          <cell r="R328">
            <v>1.4</v>
          </cell>
          <cell r="X328">
            <v>2286.9899999999998</v>
          </cell>
          <cell r="Y328">
            <v>1217.75</v>
          </cell>
        </row>
        <row r="329">
          <cell r="R329">
            <v>0</v>
          </cell>
          <cell r="X329">
            <v>0</v>
          </cell>
          <cell r="Y329">
            <v>0</v>
          </cell>
        </row>
        <row r="330">
          <cell r="R330">
            <v>0</v>
          </cell>
          <cell r="X330">
            <v>0</v>
          </cell>
          <cell r="Y330">
            <v>0</v>
          </cell>
        </row>
        <row r="331">
          <cell r="R331">
            <v>0.02</v>
          </cell>
          <cell r="X331">
            <v>48.34</v>
          </cell>
          <cell r="Y331">
            <v>28.41</v>
          </cell>
        </row>
        <row r="332">
          <cell r="R332">
            <v>0.47</v>
          </cell>
          <cell r="X332">
            <v>762.33</v>
          </cell>
          <cell r="Y332">
            <v>405.92</v>
          </cell>
        </row>
        <row r="333">
          <cell r="R333">
            <v>0</v>
          </cell>
          <cell r="X333">
            <v>0</v>
          </cell>
          <cell r="Y333">
            <v>0</v>
          </cell>
        </row>
        <row r="334">
          <cell r="R334">
            <v>0</v>
          </cell>
          <cell r="X334">
            <v>0</v>
          </cell>
          <cell r="Y334">
            <v>0</v>
          </cell>
        </row>
        <row r="335">
          <cell r="R335">
            <v>0.01</v>
          </cell>
          <cell r="X335">
            <v>18.32</v>
          </cell>
          <cell r="Y335">
            <v>10.77</v>
          </cell>
        </row>
        <row r="336">
          <cell r="R336">
            <v>0.23</v>
          </cell>
          <cell r="X336">
            <v>288.93</v>
          </cell>
          <cell r="Y336">
            <v>153.84</v>
          </cell>
        </row>
        <row r="337">
          <cell r="R337">
            <v>0</v>
          </cell>
          <cell r="X337">
            <v>0</v>
          </cell>
          <cell r="Y337">
            <v>0</v>
          </cell>
        </row>
        <row r="338">
          <cell r="R338">
            <v>0</v>
          </cell>
          <cell r="X338">
            <v>0</v>
          </cell>
          <cell r="Y338">
            <v>0</v>
          </cell>
        </row>
        <row r="374">
          <cell r="R374">
            <v>0.51</v>
          </cell>
          <cell r="X374">
            <v>169.52</v>
          </cell>
          <cell r="Y374">
            <v>99.63</v>
          </cell>
        </row>
        <row r="375">
          <cell r="R375">
            <v>11.91</v>
          </cell>
          <cell r="X375">
            <v>2673.56</v>
          </cell>
          <cell r="Y375">
            <v>1423.58</v>
          </cell>
        </row>
        <row r="376">
          <cell r="R376">
            <v>0</v>
          </cell>
          <cell r="X376">
            <v>0</v>
          </cell>
          <cell r="Y376">
            <v>0</v>
          </cell>
        </row>
        <row r="377">
          <cell r="R377">
            <v>0</v>
          </cell>
          <cell r="X377">
            <v>0</v>
          </cell>
          <cell r="Y377">
            <v>0</v>
          </cell>
        </row>
        <row r="378">
          <cell r="R378">
            <v>19.989999999999998</v>
          </cell>
          <cell r="X378">
            <v>767.12</v>
          </cell>
          <cell r="Y378">
            <v>450.85</v>
          </cell>
        </row>
        <row r="379">
          <cell r="R379">
            <v>466.77</v>
          </cell>
          <cell r="X379">
            <v>12098.59</v>
          </cell>
          <cell r="Y379">
            <v>6442.1</v>
          </cell>
        </row>
        <row r="380">
          <cell r="R380">
            <v>0</v>
          </cell>
          <cell r="X380">
            <v>0</v>
          </cell>
          <cell r="Y380">
            <v>0</v>
          </cell>
        </row>
        <row r="381">
          <cell r="R381">
            <v>0</v>
          </cell>
          <cell r="X381">
            <v>0</v>
          </cell>
          <cell r="Y381">
            <v>0</v>
          </cell>
        </row>
        <row r="382">
          <cell r="R382">
            <v>0</v>
          </cell>
          <cell r="X382">
            <v>0</v>
          </cell>
          <cell r="Y382">
            <v>0</v>
          </cell>
        </row>
        <row r="383">
          <cell r="R383">
            <v>0</v>
          </cell>
          <cell r="X383">
            <v>0</v>
          </cell>
          <cell r="Y383">
            <v>0</v>
          </cell>
        </row>
        <row r="384">
          <cell r="R384">
            <v>0</v>
          </cell>
          <cell r="X384">
            <v>0</v>
          </cell>
          <cell r="Y384">
            <v>0</v>
          </cell>
        </row>
        <row r="385">
          <cell r="R385">
            <v>0</v>
          </cell>
          <cell r="X385">
            <v>0</v>
          </cell>
          <cell r="Y385">
            <v>0</v>
          </cell>
        </row>
        <row r="386">
          <cell r="R386">
            <v>1.37</v>
          </cell>
          <cell r="X386">
            <v>304.04000000000002</v>
          </cell>
          <cell r="Y386">
            <v>178.69</v>
          </cell>
        </row>
        <row r="387">
          <cell r="R387">
            <v>31.99</v>
          </cell>
          <cell r="X387">
            <v>4795.1400000000003</v>
          </cell>
          <cell r="Y387">
            <v>2553.25</v>
          </cell>
        </row>
        <row r="388">
          <cell r="R388">
            <v>0</v>
          </cell>
          <cell r="X388">
            <v>0</v>
          </cell>
          <cell r="Y388">
            <v>0</v>
          </cell>
        </row>
        <row r="389">
          <cell r="R389">
            <v>0</v>
          </cell>
          <cell r="X389">
            <v>0</v>
          </cell>
          <cell r="Y389">
            <v>0</v>
          </cell>
        </row>
        <row r="390">
          <cell r="R390">
            <v>0</v>
          </cell>
          <cell r="X390">
            <v>0</v>
          </cell>
          <cell r="Y390">
            <v>0</v>
          </cell>
        </row>
        <row r="391">
          <cell r="R391">
            <v>0</v>
          </cell>
          <cell r="X391">
            <v>0</v>
          </cell>
          <cell r="Y391">
            <v>0</v>
          </cell>
        </row>
        <row r="392">
          <cell r="R392">
            <v>1.06</v>
          </cell>
          <cell r="X392">
            <v>61.07</v>
          </cell>
          <cell r="Y392">
            <v>35.89</v>
          </cell>
        </row>
        <row r="393">
          <cell r="R393">
            <v>24.75</v>
          </cell>
          <cell r="X393">
            <v>963.16</v>
          </cell>
          <cell r="Y393">
            <v>512.85</v>
          </cell>
        </row>
        <row r="394">
          <cell r="R394">
            <v>0</v>
          </cell>
          <cell r="X394">
            <v>0</v>
          </cell>
          <cell r="Y394">
            <v>0</v>
          </cell>
        </row>
        <row r="395">
          <cell r="R395">
            <v>0</v>
          </cell>
          <cell r="X395">
            <v>0</v>
          </cell>
          <cell r="Y395">
            <v>0</v>
          </cell>
        </row>
        <row r="396">
          <cell r="R396">
            <v>0</v>
          </cell>
          <cell r="X396">
            <v>0</v>
          </cell>
          <cell r="Y396">
            <v>0</v>
          </cell>
        </row>
        <row r="397">
          <cell r="R397">
            <v>0</v>
          </cell>
          <cell r="X397">
            <v>0</v>
          </cell>
          <cell r="Y397">
            <v>0</v>
          </cell>
        </row>
        <row r="437">
          <cell r="R437">
            <v>0</v>
          </cell>
          <cell r="X437">
            <v>21.91</v>
          </cell>
          <cell r="Y437">
            <v>21.91</v>
          </cell>
        </row>
        <row r="438">
          <cell r="R438">
            <v>0</v>
          </cell>
          <cell r="X438">
            <v>519.21</v>
          </cell>
          <cell r="Y438">
            <v>313.06</v>
          </cell>
        </row>
        <row r="439">
          <cell r="R439">
            <v>0</v>
          </cell>
          <cell r="X439">
            <v>0</v>
          </cell>
          <cell r="Y439">
            <v>0</v>
          </cell>
        </row>
        <row r="440">
          <cell r="R440">
            <v>0</v>
          </cell>
          <cell r="X440">
            <v>0</v>
          </cell>
          <cell r="Y440">
            <v>0</v>
          </cell>
        </row>
        <row r="441">
          <cell r="R441">
            <v>0</v>
          </cell>
          <cell r="X441">
            <v>0</v>
          </cell>
          <cell r="Y441">
            <v>0</v>
          </cell>
        </row>
        <row r="442">
          <cell r="R442">
            <v>0</v>
          </cell>
          <cell r="X442">
            <v>0</v>
          </cell>
          <cell r="Y442">
            <v>0</v>
          </cell>
        </row>
        <row r="443">
          <cell r="R443">
            <v>0</v>
          </cell>
          <cell r="X443">
            <v>0</v>
          </cell>
          <cell r="Y443">
            <v>0</v>
          </cell>
        </row>
        <row r="444">
          <cell r="R444">
            <v>0</v>
          </cell>
          <cell r="X444">
            <v>0</v>
          </cell>
          <cell r="Y444">
            <v>0</v>
          </cell>
        </row>
        <row r="480">
          <cell r="R480">
            <v>0</v>
          </cell>
          <cell r="X480">
            <v>4.38</v>
          </cell>
          <cell r="Y480">
            <v>4.38</v>
          </cell>
        </row>
        <row r="481">
          <cell r="R481">
            <v>0</v>
          </cell>
          <cell r="X481">
            <v>103.84</v>
          </cell>
          <cell r="Y481">
            <v>62.61</v>
          </cell>
        </row>
        <row r="482">
          <cell r="R482">
            <v>0</v>
          </cell>
          <cell r="X482">
            <v>0</v>
          </cell>
          <cell r="Y482">
            <v>0</v>
          </cell>
        </row>
        <row r="483">
          <cell r="R483">
            <v>0</v>
          </cell>
          <cell r="X483">
            <v>0</v>
          </cell>
          <cell r="Y483">
            <v>0</v>
          </cell>
        </row>
        <row r="484">
          <cell r="R484">
            <v>0</v>
          </cell>
          <cell r="X484">
            <v>0</v>
          </cell>
          <cell r="Y484">
            <v>0</v>
          </cell>
        </row>
        <row r="485">
          <cell r="R485">
            <v>0</v>
          </cell>
          <cell r="X485">
            <v>0</v>
          </cell>
          <cell r="Y485">
            <v>0</v>
          </cell>
        </row>
        <row r="486">
          <cell r="R486">
            <v>0</v>
          </cell>
          <cell r="X486">
            <v>0</v>
          </cell>
          <cell r="Y486">
            <v>0</v>
          </cell>
        </row>
        <row r="487">
          <cell r="R487">
            <v>0</v>
          </cell>
          <cell r="X487">
            <v>0</v>
          </cell>
          <cell r="Y487">
            <v>0</v>
          </cell>
        </row>
        <row r="523">
          <cell r="R523">
            <v>0</v>
          </cell>
          <cell r="X523">
            <v>8.76</v>
          </cell>
          <cell r="Y523">
            <v>8.76</v>
          </cell>
        </row>
        <row r="524">
          <cell r="R524">
            <v>0</v>
          </cell>
          <cell r="X524">
            <v>207.69</v>
          </cell>
          <cell r="Y524">
            <v>125.22</v>
          </cell>
        </row>
        <row r="525">
          <cell r="R525">
            <v>0</v>
          </cell>
          <cell r="X525">
            <v>0</v>
          </cell>
          <cell r="Y525">
            <v>0</v>
          </cell>
        </row>
        <row r="526">
          <cell r="R526">
            <v>0</v>
          </cell>
          <cell r="X526">
            <v>0</v>
          </cell>
          <cell r="Y526">
            <v>0</v>
          </cell>
        </row>
        <row r="527">
          <cell r="R527">
            <v>0</v>
          </cell>
          <cell r="X527">
            <v>0</v>
          </cell>
          <cell r="Y527">
            <v>0</v>
          </cell>
        </row>
        <row r="528">
          <cell r="R528">
            <v>0</v>
          </cell>
          <cell r="X528">
            <v>0</v>
          </cell>
          <cell r="Y528">
            <v>0</v>
          </cell>
        </row>
        <row r="529">
          <cell r="R529">
            <v>0</v>
          </cell>
          <cell r="X529">
            <v>0</v>
          </cell>
          <cell r="Y529">
            <v>0</v>
          </cell>
        </row>
        <row r="530">
          <cell r="R530">
            <v>0</v>
          </cell>
          <cell r="X530">
            <v>0</v>
          </cell>
          <cell r="Y530">
            <v>0</v>
          </cell>
        </row>
        <row r="566">
          <cell r="R566">
            <v>0</v>
          </cell>
          <cell r="X566">
            <v>8.76</v>
          </cell>
          <cell r="Y566">
            <v>8.76</v>
          </cell>
        </row>
        <row r="567">
          <cell r="R567">
            <v>0</v>
          </cell>
          <cell r="X567">
            <v>207.69</v>
          </cell>
          <cell r="Y567">
            <v>125.22</v>
          </cell>
        </row>
        <row r="568">
          <cell r="R568">
            <v>0</v>
          </cell>
          <cell r="X568">
            <v>0</v>
          </cell>
          <cell r="Y568">
            <v>0</v>
          </cell>
        </row>
        <row r="569">
          <cell r="R569">
            <v>0</v>
          </cell>
          <cell r="X569">
            <v>0</v>
          </cell>
          <cell r="Y569">
            <v>0</v>
          </cell>
        </row>
        <row r="570">
          <cell r="R570">
            <v>0</v>
          </cell>
          <cell r="X570">
            <v>0</v>
          </cell>
          <cell r="Y570">
            <v>0</v>
          </cell>
        </row>
        <row r="571">
          <cell r="R571">
            <v>0</v>
          </cell>
          <cell r="X571">
            <v>0</v>
          </cell>
          <cell r="Y571">
            <v>0</v>
          </cell>
        </row>
        <row r="572">
          <cell r="R572">
            <v>0</v>
          </cell>
          <cell r="X572">
            <v>0</v>
          </cell>
          <cell r="Y572">
            <v>0</v>
          </cell>
        </row>
        <row r="573">
          <cell r="R573">
            <v>0</v>
          </cell>
          <cell r="X573">
            <v>0</v>
          </cell>
          <cell r="Y573">
            <v>0</v>
          </cell>
        </row>
        <row r="609">
          <cell r="R609">
            <v>0</v>
          </cell>
          <cell r="X609">
            <v>17.53</v>
          </cell>
          <cell r="Y609">
            <v>17.53</v>
          </cell>
        </row>
        <row r="610">
          <cell r="R610">
            <v>0</v>
          </cell>
          <cell r="X610">
            <v>415.37</v>
          </cell>
          <cell r="Y610">
            <v>250.44</v>
          </cell>
        </row>
        <row r="611">
          <cell r="R611">
            <v>0</v>
          </cell>
          <cell r="X611">
            <v>0</v>
          </cell>
          <cell r="Y611">
            <v>0</v>
          </cell>
        </row>
        <row r="612">
          <cell r="R612">
            <v>0</v>
          </cell>
          <cell r="X612">
            <v>0</v>
          </cell>
          <cell r="Y612">
            <v>0</v>
          </cell>
        </row>
        <row r="613">
          <cell r="R613">
            <v>0</v>
          </cell>
          <cell r="X613">
            <v>0</v>
          </cell>
          <cell r="Y613">
            <v>0</v>
          </cell>
        </row>
        <row r="614">
          <cell r="R614">
            <v>0</v>
          </cell>
          <cell r="X614">
            <v>0</v>
          </cell>
          <cell r="Y614">
            <v>0</v>
          </cell>
        </row>
        <row r="615">
          <cell r="R615">
            <v>0</v>
          </cell>
          <cell r="X615">
            <v>0</v>
          </cell>
          <cell r="Y615">
            <v>0</v>
          </cell>
        </row>
        <row r="616">
          <cell r="R616">
            <v>0</v>
          </cell>
          <cell r="X616">
            <v>0</v>
          </cell>
          <cell r="Y616">
            <v>0</v>
          </cell>
        </row>
        <row r="652">
          <cell r="R652">
            <v>0</v>
          </cell>
          <cell r="X652">
            <v>26.29</v>
          </cell>
          <cell r="Y652">
            <v>26.29</v>
          </cell>
        </row>
        <row r="653">
          <cell r="R653">
            <v>0</v>
          </cell>
          <cell r="X653">
            <v>623.04999999999995</v>
          </cell>
          <cell r="Y653">
            <v>375.66</v>
          </cell>
        </row>
        <row r="654">
          <cell r="R654">
            <v>0</v>
          </cell>
          <cell r="X654">
            <v>0</v>
          </cell>
          <cell r="Y654">
            <v>0</v>
          </cell>
        </row>
        <row r="655">
          <cell r="R655">
            <v>0</v>
          </cell>
          <cell r="X655">
            <v>0</v>
          </cell>
          <cell r="Y655">
            <v>0</v>
          </cell>
        </row>
        <row r="656">
          <cell r="R656">
            <v>0</v>
          </cell>
          <cell r="X656">
            <v>0</v>
          </cell>
          <cell r="Y656">
            <v>0</v>
          </cell>
        </row>
        <row r="657">
          <cell r="R657">
            <v>0</v>
          </cell>
          <cell r="X657">
            <v>0</v>
          </cell>
          <cell r="Y657">
            <v>0</v>
          </cell>
        </row>
        <row r="658">
          <cell r="R658">
            <v>0</v>
          </cell>
          <cell r="X658">
            <v>0</v>
          </cell>
          <cell r="Y658">
            <v>0</v>
          </cell>
        </row>
        <row r="659">
          <cell r="R659">
            <v>0</v>
          </cell>
          <cell r="X659">
            <v>0</v>
          </cell>
          <cell r="Y659">
            <v>0</v>
          </cell>
        </row>
        <row r="695">
          <cell r="R695">
            <v>0</v>
          </cell>
          <cell r="X695">
            <v>0</v>
          </cell>
          <cell r="Y695">
            <v>0</v>
          </cell>
        </row>
        <row r="696">
          <cell r="R696">
            <v>0</v>
          </cell>
          <cell r="X696">
            <v>0</v>
          </cell>
          <cell r="Y696">
            <v>0</v>
          </cell>
        </row>
        <row r="697">
          <cell r="R697">
            <v>0</v>
          </cell>
          <cell r="X697">
            <v>0</v>
          </cell>
          <cell r="Y697">
            <v>0</v>
          </cell>
        </row>
        <row r="698">
          <cell r="R698">
            <v>0</v>
          </cell>
          <cell r="X698">
            <v>0</v>
          </cell>
          <cell r="Y698">
            <v>0</v>
          </cell>
        </row>
        <row r="764">
          <cell r="R764">
            <v>0</v>
          </cell>
          <cell r="X764">
            <v>18.47</v>
          </cell>
          <cell r="Y764">
            <v>17.23</v>
          </cell>
        </row>
        <row r="765">
          <cell r="R765">
            <v>0</v>
          </cell>
          <cell r="X765">
            <v>390.92</v>
          </cell>
          <cell r="Y765">
            <v>235.7</v>
          </cell>
        </row>
        <row r="766">
          <cell r="R766">
            <v>0</v>
          </cell>
          <cell r="X766">
            <v>677.47</v>
          </cell>
          <cell r="Y766">
            <v>632.29999999999995</v>
          </cell>
        </row>
        <row r="767">
          <cell r="R767">
            <v>0</v>
          </cell>
          <cell r="X767">
            <v>14342.44</v>
          </cell>
          <cell r="Y767">
            <v>8647.65</v>
          </cell>
        </row>
        <row r="799">
          <cell r="G799" t="str">
            <v>Автоматическая модульная установка токораспыленной водой.</v>
          </cell>
        </row>
      </sheetData>
      <sheetData sheetId="4"/>
      <sheetData sheetId="5"/>
      <sheetData sheetId="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28">
          <cell r="R28">
            <v>4.3899999999999997</v>
          </cell>
          <cell r="X28">
            <v>883.31</v>
          </cell>
          <cell r="Y28">
            <v>552.07000000000005</v>
          </cell>
        </row>
        <row r="29">
          <cell r="R29">
            <v>102.51</v>
          </cell>
          <cell r="X29">
            <v>16573.900000000001</v>
          </cell>
          <cell r="Y29">
            <v>7918.64</v>
          </cell>
        </row>
        <row r="30">
          <cell r="R30">
            <v>0</v>
          </cell>
          <cell r="X30">
            <v>0</v>
          </cell>
          <cell r="Y30">
            <v>0</v>
          </cell>
        </row>
        <row r="31">
          <cell r="R31">
            <v>0</v>
          </cell>
          <cell r="X31">
            <v>0</v>
          </cell>
          <cell r="Y31">
            <v>0</v>
          </cell>
        </row>
        <row r="32">
          <cell r="R32">
            <v>0</v>
          </cell>
          <cell r="X32">
            <v>0</v>
          </cell>
          <cell r="Y32">
            <v>0</v>
          </cell>
        </row>
        <row r="33">
          <cell r="R33">
            <v>0</v>
          </cell>
          <cell r="X33">
            <v>0</v>
          </cell>
          <cell r="Y33">
            <v>0</v>
          </cell>
        </row>
        <row r="34">
          <cell r="R34">
            <v>9.8800000000000008</v>
          </cell>
          <cell r="X34">
            <v>1145.03</v>
          </cell>
          <cell r="Y34">
            <v>715.65</v>
          </cell>
        </row>
        <row r="35">
          <cell r="R35">
            <v>230.7</v>
          </cell>
          <cell r="X35">
            <v>21484.68</v>
          </cell>
          <cell r="Y35">
            <v>10264.9</v>
          </cell>
        </row>
        <row r="36">
          <cell r="R36">
            <v>0</v>
          </cell>
          <cell r="X36">
            <v>0</v>
          </cell>
          <cell r="Y36">
            <v>0</v>
          </cell>
        </row>
        <row r="37">
          <cell r="R37">
            <v>0</v>
          </cell>
          <cell r="X37">
            <v>0</v>
          </cell>
          <cell r="Y37">
            <v>0</v>
          </cell>
        </row>
        <row r="38">
          <cell r="R38">
            <v>0</v>
          </cell>
          <cell r="X38">
            <v>0</v>
          </cell>
          <cell r="Y38">
            <v>0</v>
          </cell>
        </row>
        <row r="39">
          <cell r="R39">
            <v>0</v>
          </cell>
          <cell r="X39">
            <v>0</v>
          </cell>
          <cell r="Y39">
            <v>0</v>
          </cell>
        </row>
        <row r="44">
          <cell r="R44">
            <v>99.93</v>
          </cell>
          <cell r="X44">
            <v>3466.84</v>
          </cell>
          <cell r="Y44">
            <v>2166.77</v>
          </cell>
        </row>
        <row r="45">
          <cell r="R45">
            <v>2333.37</v>
          </cell>
          <cell r="X45">
            <v>65049.62</v>
          </cell>
          <cell r="Y45">
            <v>31079.26</v>
          </cell>
        </row>
        <row r="46">
          <cell r="R46">
            <v>0</v>
          </cell>
          <cell r="X46">
            <v>0</v>
          </cell>
          <cell r="Y46">
            <v>0</v>
          </cell>
        </row>
        <row r="47">
          <cell r="R47">
            <v>0</v>
          </cell>
          <cell r="X47">
            <v>0</v>
          </cell>
          <cell r="Y47">
            <v>0</v>
          </cell>
        </row>
        <row r="48">
          <cell r="R48">
            <v>0</v>
          </cell>
          <cell r="X48">
            <v>0</v>
          </cell>
          <cell r="Y48">
            <v>0</v>
          </cell>
        </row>
        <row r="49">
          <cell r="R49">
            <v>0</v>
          </cell>
          <cell r="X49">
            <v>0</v>
          </cell>
          <cell r="Y49">
            <v>0</v>
          </cell>
        </row>
        <row r="50">
          <cell r="R50">
            <v>0</v>
          </cell>
          <cell r="X50">
            <v>113.78</v>
          </cell>
          <cell r="Y50">
            <v>71.11</v>
          </cell>
        </row>
        <row r="51">
          <cell r="R51">
            <v>0</v>
          </cell>
          <cell r="X51">
            <v>2134.92</v>
          </cell>
          <cell r="Y51">
            <v>1020.02</v>
          </cell>
        </row>
        <row r="52">
          <cell r="R52">
            <v>0</v>
          </cell>
          <cell r="X52">
            <v>0</v>
          </cell>
          <cell r="Y52">
            <v>0</v>
          </cell>
        </row>
        <row r="53">
          <cell r="R53">
            <v>0</v>
          </cell>
          <cell r="X53">
            <v>0</v>
          </cell>
          <cell r="Y53">
            <v>0</v>
          </cell>
        </row>
        <row r="54">
          <cell r="R54">
            <v>0</v>
          </cell>
          <cell r="X54">
            <v>0</v>
          </cell>
          <cell r="Y54">
            <v>0</v>
          </cell>
        </row>
        <row r="55">
          <cell r="R55">
            <v>0</v>
          </cell>
          <cell r="X55">
            <v>0</v>
          </cell>
          <cell r="Y55">
            <v>0</v>
          </cell>
        </row>
        <row r="91">
          <cell r="R91">
            <v>0.81</v>
          </cell>
          <cell r="X91">
            <v>78.39</v>
          </cell>
          <cell r="Y91">
            <v>46.07</v>
          </cell>
        </row>
        <row r="92">
          <cell r="R92">
            <v>18.91</v>
          </cell>
          <cell r="X92">
            <v>1445</v>
          </cell>
          <cell r="Y92">
            <v>658.28</v>
          </cell>
        </row>
        <row r="93">
          <cell r="R93">
            <v>0</v>
          </cell>
          <cell r="X93">
            <v>53.17</v>
          </cell>
          <cell r="Y93">
            <v>31.25</v>
          </cell>
        </row>
        <row r="94">
          <cell r="R94">
            <v>0</v>
          </cell>
          <cell r="X94">
            <v>980.14</v>
          </cell>
          <cell r="Y94">
            <v>446.51</v>
          </cell>
        </row>
        <row r="95">
          <cell r="R95">
            <v>0</v>
          </cell>
          <cell r="X95">
            <v>35.11</v>
          </cell>
          <cell r="Y95">
            <v>20.64</v>
          </cell>
        </row>
        <row r="96">
          <cell r="R96">
            <v>0</v>
          </cell>
          <cell r="X96">
            <v>647.26</v>
          </cell>
          <cell r="Y96">
            <v>294.86</v>
          </cell>
        </row>
        <row r="97">
          <cell r="R97">
            <v>6.91</v>
          </cell>
          <cell r="X97">
            <v>7.62</v>
          </cell>
          <cell r="Y97">
            <v>4.4800000000000004</v>
          </cell>
        </row>
        <row r="98">
          <cell r="R98">
            <v>161.35</v>
          </cell>
          <cell r="X98">
            <v>140.38</v>
          </cell>
          <cell r="Y98">
            <v>63.95</v>
          </cell>
        </row>
        <row r="99">
          <cell r="R99">
            <v>0</v>
          </cell>
          <cell r="X99">
            <v>0</v>
          </cell>
          <cell r="Y99">
            <v>0</v>
          </cell>
        </row>
        <row r="100">
          <cell r="R100">
            <v>0</v>
          </cell>
          <cell r="X100">
            <v>0</v>
          </cell>
          <cell r="Y100">
            <v>0</v>
          </cell>
        </row>
        <row r="136">
          <cell r="R136">
            <v>0.81</v>
          </cell>
          <cell r="X136">
            <v>78.39</v>
          </cell>
          <cell r="Y136">
            <v>46.07</v>
          </cell>
        </row>
        <row r="137">
          <cell r="R137">
            <v>18.91</v>
          </cell>
          <cell r="X137">
            <v>1445</v>
          </cell>
          <cell r="Y137">
            <v>658.28</v>
          </cell>
        </row>
        <row r="138">
          <cell r="R138">
            <v>0</v>
          </cell>
          <cell r="X138">
            <v>88.62</v>
          </cell>
          <cell r="Y138">
            <v>52.09</v>
          </cell>
        </row>
        <row r="139">
          <cell r="R139">
            <v>0</v>
          </cell>
          <cell r="X139">
            <v>1633.71</v>
          </cell>
          <cell r="Y139">
            <v>744.24</v>
          </cell>
        </row>
        <row r="140">
          <cell r="R140">
            <v>0</v>
          </cell>
          <cell r="X140">
            <v>35.11</v>
          </cell>
          <cell r="Y140">
            <v>20.64</v>
          </cell>
        </row>
        <row r="141">
          <cell r="R141">
            <v>0</v>
          </cell>
          <cell r="X141">
            <v>647.26</v>
          </cell>
          <cell r="Y141">
            <v>294.86</v>
          </cell>
        </row>
        <row r="142">
          <cell r="R142">
            <v>6.91</v>
          </cell>
          <cell r="X142">
            <v>7.62</v>
          </cell>
          <cell r="Y142">
            <v>4.4800000000000004</v>
          </cell>
        </row>
        <row r="143">
          <cell r="R143">
            <v>161.35</v>
          </cell>
          <cell r="X143">
            <v>140.38</v>
          </cell>
          <cell r="Y143">
            <v>63.95</v>
          </cell>
        </row>
        <row r="144">
          <cell r="R144">
            <v>0</v>
          </cell>
          <cell r="X144">
            <v>0</v>
          </cell>
          <cell r="Y144">
            <v>0</v>
          </cell>
        </row>
        <row r="145">
          <cell r="R145">
            <v>0</v>
          </cell>
          <cell r="X145">
            <v>0</v>
          </cell>
          <cell r="Y145">
            <v>0</v>
          </cell>
        </row>
        <row r="181">
          <cell r="R181">
            <v>0.81</v>
          </cell>
          <cell r="X181">
            <v>78.39</v>
          </cell>
          <cell r="Y181">
            <v>46.07</v>
          </cell>
        </row>
        <row r="182">
          <cell r="R182">
            <v>18.91</v>
          </cell>
          <cell r="X182">
            <v>1445</v>
          </cell>
          <cell r="Y182">
            <v>658.28</v>
          </cell>
        </row>
        <row r="183">
          <cell r="R183">
            <v>0</v>
          </cell>
          <cell r="X183">
            <v>106.35</v>
          </cell>
          <cell r="Y183">
            <v>62.5</v>
          </cell>
        </row>
        <row r="184">
          <cell r="R184">
            <v>0</v>
          </cell>
          <cell r="X184">
            <v>1960.49</v>
          </cell>
          <cell r="Y184">
            <v>893.11</v>
          </cell>
        </row>
        <row r="185">
          <cell r="R185">
            <v>0</v>
          </cell>
          <cell r="X185">
            <v>35.11</v>
          </cell>
          <cell r="Y185">
            <v>20.64</v>
          </cell>
        </row>
        <row r="186">
          <cell r="R186">
            <v>0</v>
          </cell>
          <cell r="X186">
            <v>647.26</v>
          </cell>
          <cell r="Y186">
            <v>294.86</v>
          </cell>
        </row>
        <row r="187">
          <cell r="R187">
            <v>6.91</v>
          </cell>
          <cell r="X187">
            <v>7.62</v>
          </cell>
          <cell r="Y187">
            <v>4.4800000000000004</v>
          </cell>
        </row>
        <row r="188">
          <cell r="R188">
            <v>161.35</v>
          </cell>
          <cell r="X188">
            <v>140.38</v>
          </cell>
          <cell r="Y188">
            <v>63.95</v>
          </cell>
        </row>
        <row r="189">
          <cell r="R189">
            <v>0</v>
          </cell>
          <cell r="X189">
            <v>0</v>
          </cell>
          <cell r="Y189">
            <v>0</v>
          </cell>
        </row>
        <row r="190">
          <cell r="R190">
            <v>0</v>
          </cell>
          <cell r="X190">
            <v>0</v>
          </cell>
          <cell r="Y190">
            <v>0</v>
          </cell>
        </row>
        <row r="226">
          <cell r="R226">
            <v>0.81</v>
          </cell>
          <cell r="X226">
            <v>78.39</v>
          </cell>
          <cell r="Y226">
            <v>46.07</v>
          </cell>
        </row>
        <row r="227">
          <cell r="R227">
            <v>18.91</v>
          </cell>
          <cell r="X227">
            <v>1445</v>
          </cell>
          <cell r="Y227">
            <v>658.28</v>
          </cell>
        </row>
        <row r="228">
          <cell r="R228">
            <v>0</v>
          </cell>
          <cell r="X228">
            <v>97.48</v>
          </cell>
          <cell r="Y228">
            <v>57.29</v>
          </cell>
        </row>
        <row r="229">
          <cell r="R229">
            <v>0</v>
          </cell>
          <cell r="X229">
            <v>1796.99</v>
          </cell>
          <cell r="Y229">
            <v>818.63</v>
          </cell>
        </row>
        <row r="230">
          <cell r="R230">
            <v>0</v>
          </cell>
          <cell r="X230">
            <v>35.11</v>
          </cell>
          <cell r="Y230">
            <v>20.64</v>
          </cell>
        </row>
        <row r="231">
          <cell r="R231">
            <v>0</v>
          </cell>
          <cell r="X231">
            <v>647.26</v>
          </cell>
          <cell r="Y231">
            <v>294.86</v>
          </cell>
        </row>
        <row r="232">
          <cell r="R232">
            <v>6.91</v>
          </cell>
          <cell r="X232">
            <v>7.62</v>
          </cell>
          <cell r="Y232">
            <v>4.4800000000000004</v>
          </cell>
        </row>
        <row r="233">
          <cell r="R233">
            <v>161.35</v>
          </cell>
          <cell r="X233">
            <v>140.38</v>
          </cell>
          <cell r="Y233">
            <v>63.95</v>
          </cell>
        </row>
        <row r="234">
          <cell r="R234">
            <v>0</v>
          </cell>
          <cell r="X234">
            <v>0</v>
          </cell>
          <cell r="Y234">
            <v>0</v>
          </cell>
        </row>
        <row r="235">
          <cell r="R235">
            <v>0</v>
          </cell>
          <cell r="X235">
            <v>0</v>
          </cell>
          <cell r="Y235">
            <v>0</v>
          </cell>
        </row>
        <row r="237">
          <cell r="G237" t="str">
            <v>Автоматика системы П2резерв (L=4170 м3/ч, Pc=600 Па)</v>
          </cell>
        </row>
        <row r="271">
          <cell r="R271">
            <v>0.81</v>
          </cell>
          <cell r="X271">
            <v>78.39</v>
          </cell>
          <cell r="Y271">
            <v>46.07</v>
          </cell>
        </row>
        <row r="272">
          <cell r="R272">
            <v>18.91</v>
          </cell>
          <cell r="X272">
            <v>1445</v>
          </cell>
          <cell r="Y272">
            <v>658.28</v>
          </cell>
        </row>
        <row r="273">
          <cell r="R273">
            <v>0</v>
          </cell>
          <cell r="X273">
            <v>88.62</v>
          </cell>
          <cell r="Y273">
            <v>52.09</v>
          </cell>
        </row>
        <row r="274">
          <cell r="R274">
            <v>0</v>
          </cell>
          <cell r="X274">
            <v>1633.71</v>
          </cell>
          <cell r="Y274">
            <v>744.24</v>
          </cell>
        </row>
        <row r="275">
          <cell r="R275">
            <v>0</v>
          </cell>
          <cell r="X275">
            <v>35.11</v>
          </cell>
          <cell r="Y275">
            <v>20.64</v>
          </cell>
        </row>
        <row r="276">
          <cell r="R276">
            <v>0</v>
          </cell>
          <cell r="X276">
            <v>647.26</v>
          </cell>
          <cell r="Y276">
            <v>294.86</v>
          </cell>
        </row>
        <row r="277">
          <cell r="R277">
            <v>6.91</v>
          </cell>
          <cell r="X277">
            <v>7.62</v>
          </cell>
          <cell r="Y277">
            <v>4.4800000000000004</v>
          </cell>
        </row>
        <row r="278">
          <cell r="R278">
            <v>161.35</v>
          </cell>
          <cell r="X278">
            <v>140.38</v>
          </cell>
          <cell r="Y278">
            <v>63.95</v>
          </cell>
        </row>
        <row r="279">
          <cell r="R279">
            <v>0</v>
          </cell>
          <cell r="X279">
            <v>0</v>
          </cell>
          <cell r="Y279">
            <v>0</v>
          </cell>
        </row>
        <row r="280">
          <cell r="R280">
            <v>0</v>
          </cell>
          <cell r="X280">
            <v>0</v>
          </cell>
          <cell r="Y280">
            <v>0</v>
          </cell>
        </row>
        <row r="316">
          <cell r="R316">
            <v>0.81</v>
          </cell>
          <cell r="X316">
            <v>78.39</v>
          </cell>
          <cell r="Y316">
            <v>46.07</v>
          </cell>
        </row>
        <row r="317">
          <cell r="R317">
            <v>18.91</v>
          </cell>
          <cell r="X317">
            <v>1445</v>
          </cell>
          <cell r="Y317">
            <v>658.28</v>
          </cell>
        </row>
        <row r="318">
          <cell r="R318">
            <v>0</v>
          </cell>
          <cell r="X318">
            <v>88.62</v>
          </cell>
          <cell r="Y318">
            <v>52.09</v>
          </cell>
        </row>
        <row r="319">
          <cell r="R319">
            <v>0</v>
          </cell>
          <cell r="X319">
            <v>1633.71</v>
          </cell>
          <cell r="Y319">
            <v>744.24</v>
          </cell>
        </row>
        <row r="320">
          <cell r="R320">
            <v>0</v>
          </cell>
          <cell r="X320">
            <v>35.11</v>
          </cell>
          <cell r="Y320">
            <v>20.64</v>
          </cell>
        </row>
        <row r="321">
          <cell r="R321">
            <v>0</v>
          </cell>
          <cell r="X321">
            <v>647.26</v>
          </cell>
          <cell r="Y321">
            <v>294.86</v>
          </cell>
        </row>
        <row r="322">
          <cell r="R322">
            <v>6.91</v>
          </cell>
          <cell r="X322">
            <v>7.62</v>
          </cell>
          <cell r="Y322">
            <v>4.4800000000000004</v>
          </cell>
        </row>
        <row r="323">
          <cell r="R323">
            <v>161.35</v>
          </cell>
          <cell r="X323">
            <v>140.38</v>
          </cell>
          <cell r="Y323">
            <v>63.95</v>
          </cell>
        </row>
        <row r="324">
          <cell r="R324">
            <v>0</v>
          </cell>
          <cell r="X324">
            <v>0</v>
          </cell>
          <cell r="Y324">
            <v>0</v>
          </cell>
        </row>
        <row r="325">
          <cell r="R325">
            <v>0</v>
          </cell>
          <cell r="X325">
            <v>0</v>
          </cell>
          <cell r="Y325">
            <v>0</v>
          </cell>
        </row>
        <row r="361">
          <cell r="R361">
            <v>0.81</v>
          </cell>
          <cell r="X361">
            <v>78.39</v>
          </cell>
          <cell r="Y361">
            <v>46.07</v>
          </cell>
        </row>
        <row r="362">
          <cell r="R362">
            <v>18.91</v>
          </cell>
          <cell r="X362">
            <v>1445</v>
          </cell>
          <cell r="Y362">
            <v>658.28</v>
          </cell>
        </row>
        <row r="363">
          <cell r="R363">
            <v>0</v>
          </cell>
          <cell r="X363">
            <v>88.62</v>
          </cell>
          <cell r="Y363">
            <v>52.09</v>
          </cell>
        </row>
        <row r="364">
          <cell r="R364">
            <v>0</v>
          </cell>
          <cell r="X364">
            <v>1633.71</v>
          </cell>
          <cell r="Y364">
            <v>744.24</v>
          </cell>
        </row>
        <row r="365">
          <cell r="R365">
            <v>0</v>
          </cell>
          <cell r="X365">
            <v>35.11</v>
          </cell>
          <cell r="Y365">
            <v>20.64</v>
          </cell>
        </row>
        <row r="366">
          <cell r="R366">
            <v>0</v>
          </cell>
          <cell r="X366">
            <v>647.26</v>
          </cell>
          <cell r="Y366">
            <v>294.86</v>
          </cell>
        </row>
        <row r="367">
          <cell r="R367">
            <v>6.91</v>
          </cell>
          <cell r="X367">
            <v>7.62</v>
          </cell>
          <cell r="Y367">
            <v>4.4800000000000004</v>
          </cell>
        </row>
        <row r="368">
          <cell r="R368">
            <v>161.35</v>
          </cell>
          <cell r="X368">
            <v>140.38</v>
          </cell>
          <cell r="Y368">
            <v>63.95</v>
          </cell>
        </row>
        <row r="369">
          <cell r="R369">
            <v>0</v>
          </cell>
          <cell r="X369">
            <v>0</v>
          </cell>
          <cell r="Y369">
            <v>0</v>
          </cell>
        </row>
        <row r="370">
          <cell r="R370">
            <v>0</v>
          </cell>
          <cell r="X370">
            <v>0</v>
          </cell>
          <cell r="Y370">
            <v>0</v>
          </cell>
        </row>
        <row r="406">
          <cell r="R406">
            <v>0.81</v>
          </cell>
          <cell r="X406">
            <v>78.39</v>
          </cell>
          <cell r="Y406">
            <v>46.07</v>
          </cell>
        </row>
        <row r="407">
          <cell r="R407">
            <v>18.91</v>
          </cell>
          <cell r="X407">
            <v>1445</v>
          </cell>
          <cell r="Y407">
            <v>658.28</v>
          </cell>
        </row>
        <row r="408">
          <cell r="R408">
            <v>0</v>
          </cell>
          <cell r="X408">
            <v>8.86</v>
          </cell>
          <cell r="Y408">
            <v>5.21</v>
          </cell>
        </row>
        <row r="409">
          <cell r="R409">
            <v>0</v>
          </cell>
          <cell r="X409">
            <v>163.29</v>
          </cell>
          <cell r="Y409">
            <v>74.39</v>
          </cell>
        </row>
        <row r="410">
          <cell r="R410">
            <v>0</v>
          </cell>
          <cell r="X410">
            <v>35.11</v>
          </cell>
          <cell r="Y410">
            <v>20.64</v>
          </cell>
        </row>
        <row r="411">
          <cell r="R411">
            <v>0</v>
          </cell>
          <cell r="X411">
            <v>647.26</v>
          </cell>
          <cell r="Y411">
            <v>294.86</v>
          </cell>
        </row>
        <row r="412">
          <cell r="R412">
            <v>6.91</v>
          </cell>
          <cell r="X412">
            <v>7.62</v>
          </cell>
          <cell r="Y412">
            <v>4.4800000000000004</v>
          </cell>
        </row>
        <row r="413">
          <cell r="R413">
            <v>161.35</v>
          </cell>
          <cell r="X413">
            <v>140.38</v>
          </cell>
          <cell r="Y413">
            <v>63.95</v>
          </cell>
        </row>
        <row r="414">
          <cell r="R414">
            <v>0</v>
          </cell>
          <cell r="X414">
            <v>0</v>
          </cell>
          <cell r="Y414">
            <v>0</v>
          </cell>
        </row>
        <row r="415">
          <cell r="R415">
            <v>0</v>
          </cell>
          <cell r="X415">
            <v>0</v>
          </cell>
          <cell r="Y415">
            <v>0</v>
          </cell>
        </row>
        <row r="451">
          <cell r="R451">
            <v>0.81</v>
          </cell>
          <cell r="X451">
            <v>78.39</v>
          </cell>
          <cell r="Y451">
            <v>46.07</v>
          </cell>
        </row>
        <row r="452">
          <cell r="R452">
            <v>18.91</v>
          </cell>
          <cell r="X452">
            <v>1445</v>
          </cell>
          <cell r="Y452">
            <v>658.28</v>
          </cell>
        </row>
        <row r="453">
          <cell r="R453">
            <v>0</v>
          </cell>
          <cell r="X453">
            <v>8.86</v>
          </cell>
          <cell r="Y453">
            <v>5.21</v>
          </cell>
        </row>
        <row r="454">
          <cell r="R454">
            <v>0</v>
          </cell>
          <cell r="X454">
            <v>163.29</v>
          </cell>
          <cell r="Y454">
            <v>74.39</v>
          </cell>
        </row>
        <row r="455">
          <cell r="R455">
            <v>0</v>
          </cell>
          <cell r="X455">
            <v>35.11</v>
          </cell>
          <cell r="Y455">
            <v>20.64</v>
          </cell>
        </row>
        <row r="456">
          <cell r="R456">
            <v>0</v>
          </cell>
          <cell r="X456">
            <v>647.26</v>
          </cell>
          <cell r="Y456">
            <v>294.86</v>
          </cell>
        </row>
        <row r="457">
          <cell r="R457">
            <v>6.91</v>
          </cell>
          <cell r="X457">
            <v>7.62</v>
          </cell>
          <cell r="Y457">
            <v>4.4800000000000004</v>
          </cell>
        </row>
        <row r="458">
          <cell r="R458">
            <v>161.35</v>
          </cell>
          <cell r="X458">
            <v>140.38</v>
          </cell>
          <cell r="Y458">
            <v>63.95</v>
          </cell>
        </row>
        <row r="459">
          <cell r="R459">
            <v>0</v>
          </cell>
          <cell r="X459">
            <v>0</v>
          </cell>
          <cell r="Y459">
            <v>0</v>
          </cell>
        </row>
        <row r="460">
          <cell r="R460">
            <v>0</v>
          </cell>
          <cell r="X460">
            <v>0</v>
          </cell>
          <cell r="Y460">
            <v>0</v>
          </cell>
        </row>
        <row r="496">
          <cell r="R496">
            <v>0.81</v>
          </cell>
          <cell r="X496">
            <v>78.39</v>
          </cell>
          <cell r="Y496">
            <v>46.07</v>
          </cell>
        </row>
        <row r="497">
          <cell r="R497">
            <v>18.91</v>
          </cell>
          <cell r="X497">
            <v>1445</v>
          </cell>
          <cell r="Y497">
            <v>658.28</v>
          </cell>
        </row>
        <row r="498">
          <cell r="R498">
            <v>0</v>
          </cell>
          <cell r="X498">
            <v>8.86</v>
          </cell>
          <cell r="Y498">
            <v>5.21</v>
          </cell>
        </row>
        <row r="499">
          <cell r="R499">
            <v>0</v>
          </cell>
          <cell r="X499">
            <v>163.29</v>
          </cell>
          <cell r="Y499">
            <v>74.39</v>
          </cell>
        </row>
        <row r="500">
          <cell r="R500">
            <v>0</v>
          </cell>
          <cell r="X500">
            <v>35.11</v>
          </cell>
          <cell r="Y500">
            <v>20.64</v>
          </cell>
        </row>
        <row r="501">
          <cell r="R501">
            <v>0</v>
          </cell>
          <cell r="X501">
            <v>647.26</v>
          </cell>
          <cell r="Y501">
            <v>294.86</v>
          </cell>
        </row>
        <row r="502">
          <cell r="R502">
            <v>6.91</v>
          </cell>
          <cell r="X502">
            <v>7.62</v>
          </cell>
          <cell r="Y502">
            <v>4.4800000000000004</v>
          </cell>
        </row>
        <row r="503">
          <cell r="R503">
            <v>161.35</v>
          </cell>
          <cell r="X503">
            <v>140.38</v>
          </cell>
          <cell r="Y503">
            <v>63.95</v>
          </cell>
        </row>
        <row r="504">
          <cell r="R504">
            <v>0</v>
          </cell>
          <cell r="X504">
            <v>0</v>
          </cell>
          <cell r="Y504">
            <v>0</v>
          </cell>
        </row>
        <row r="505">
          <cell r="R505">
            <v>0</v>
          </cell>
          <cell r="X505">
            <v>0</v>
          </cell>
          <cell r="Y505">
            <v>0</v>
          </cell>
        </row>
        <row r="541">
          <cell r="R541">
            <v>0.81</v>
          </cell>
          <cell r="X541">
            <v>78.39</v>
          </cell>
          <cell r="Y541">
            <v>46.07</v>
          </cell>
        </row>
        <row r="542">
          <cell r="R542">
            <v>18.91</v>
          </cell>
          <cell r="X542">
            <v>1445</v>
          </cell>
          <cell r="Y542">
            <v>658.28</v>
          </cell>
        </row>
        <row r="543">
          <cell r="R543">
            <v>0</v>
          </cell>
          <cell r="X543">
            <v>8.86</v>
          </cell>
          <cell r="Y543">
            <v>5.21</v>
          </cell>
        </row>
        <row r="544">
          <cell r="R544">
            <v>0</v>
          </cell>
          <cell r="X544">
            <v>163.29</v>
          </cell>
          <cell r="Y544">
            <v>74.39</v>
          </cell>
        </row>
        <row r="545">
          <cell r="R545">
            <v>0</v>
          </cell>
          <cell r="X545">
            <v>35.11</v>
          </cell>
          <cell r="Y545">
            <v>20.64</v>
          </cell>
        </row>
        <row r="546">
          <cell r="R546">
            <v>0</v>
          </cell>
          <cell r="X546">
            <v>647.26</v>
          </cell>
          <cell r="Y546">
            <v>294.86</v>
          </cell>
        </row>
        <row r="547">
          <cell r="R547">
            <v>6.91</v>
          </cell>
          <cell r="X547">
            <v>7.62</v>
          </cell>
          <cell r="Y547">
            <v>4.4800000000000004</v>
          </cell>
        </row>
        <row r="548">
          <cell r="R548">
            <v>161.35</v>
          </cell>
          <cell r="X548">
            <v>140.38</v>
          </cell>
          <cell r="Y548">
            <v>63.95</v>
          </cell>
        </row>
        <row r="549">
          <cell r="R549">
            <v>0</v>
          </cell>
          <cell r="X549">
            <v>0</v>
          </cell>
          <cell r="Y549">
            <v>0</v>
          </cell>
        </row>
        <row r="550">
          <cell r="R550">
            <v>0</v>
          </cell>
          <cell r="X550">
            <v>0</v>
          </cell>
          <cell r="Y550">
            <v>0</v>
          </cell>
        </row>
        <row r="586">
          <cell r="R586">
            <v>0.81</v>
          </cell>
          <cell r="X586">
            <v>78.39</v>
          </cell>
          <cell r="Y586">
            <v>46.07</v>
          </cell>
        </row>
        <row r="587">
          <cell r="R587">
            <v>18.91</v>
          </cell>
          <cell r="X587">
            <v>1445</v>
          </cell>
          <cell r="Y587">
            <v>658.28</v>
          </cell>
        </row>
        <row r="588">
          <cell r="R588">
            <v>0</v>
          </cell>
          <cell r="X588">
            <v>35.11</v>
          </cell>
          <cell r="Y588">
            <v>20.64</v>
          </cell>
        </row>
        <row r="589">
          <cell r="R589">
            <v>0</v>
          </cell>
          <cell r="X589">
            <v>647.26</v>
          </cell>
          <cell r="Y589">
            <v>294.86</v>
          </cell>
        </row>
        <row r="590">
          <cell r="R590">
            <v>6.91</v>
          </cell>
          <cell r="X590">
            <v>7.62</v>
          </cell>
          <cell r="Y590">
            <v>4.4800000000000004</v>
          </cell>
        </row>
        <row r="591">
          <cell r="R591">
            <v>161.35</v>
          </cell>
          <cell r="X591">
            <v>140.38</v>
          </cell>
          <cell r="Y591">
            <v>63.95</v>
          </cell>
        </row>
        <row r="592">
          <cell r="R592">
            <v>0</v>
          </cell>
          <cell r="X592">
            <v>0</v>
          </cell>
          <cell r="Y592">
            <v>0</v>
          </cell>
        </row>
        <row r="593">
          <cell r="R593">
            <v>0</v>
          </cell>
          <cell r="X593">
            <v>0</v>
          </cell>
          <cell r="Y593">
            <v>0</v>
          </cell>
        </row>
        <row r="629">
          <cell r="R629">
            <v>0.81</v>
          </cell>
          <cell r="X629">
            <v>78.39</v>
          </cell>
          <cell r="Y629">
            <v>46.07</v>
          </cell>
        </row>
        <row r="630">
          <cell r="R630">
            <v>18.91</v>
          </cell>
          <cell r="X630">
            <v>1445</v>
          </cell>
          <cell r="Y630">
            <v>658.28</v>
          </cell>
        </row>
        <row r="631">
          <cell r="R631">
            <v>0</v>
          </cell>
          <cell r="X631">
            <v>8.86</v>
          </cell>
          <cell r="Y631">
            <v>5.21</v>
          </cell>
        </row>
        <row r="632">
          <cell r="R632">
            <v>0</v>
          </cell>
          <cell r="X632">
            <v>163.29</v>
          </cell>
          <cell r="Y632">
            <v>74.39</v>
          </cell>
        </row>
        <row r="633">
          <cell r="R633">
            <v>0</v>
          </cell>
          <cell r="X633">
            <v>35.11</v>
          </cell>
          <cell r="Y633">
            <v>20.64</v>
          </cell>
        </row>
        <row r="634">
          <cell r="R634">
            <v>0</v>
          </cell>
          <cell r="X634">
            <v>647.26</v>
          </cell>
          <cell r="Y634">
            <v>294.86</v>
          </cell>
        </row>
        <row r="635">
          <cell r="R635">
            <v>6.91</v>
          </cell>
          <cell r="X635">
            <v>7.62</v>
          </cell>
          <cell r="Y635">
            <v>4.4800000000000004</v>
          </cell>
        </row>
        <row r="636">
          <cell r="R636">
            <v>161.35</v>
          </cell>
          <cell r="X636">
            <v>140.38</v>
          </cell>
          <cell r="Y636">
            <v>63.95</v>
          </cell>
        </row>
        <row r="637">
          <cell r="R637">
            <v>0</v>
          </cell>
          <cell r="X637">
            <v>0</v>
          </cell>
          <cell r="Y637">
            <v>0</v>
          </cell>
        </row>
        <row r="638">
          <cell r="R638">
            <v>0</v>
          </cell>
          <cell r="X638">
            <v>0</v>
          </cell>
          <cell r="Y638">
            <v>0</v>
          </cell>
        </row>
        <row r="674">
          <cell r="R674">
            <v>0.81</v>
          </cell>
          <cell r="X674">
            <v>78.39</v>
          </cell>
          <cell r="Y674">
            <v>46.07</v>
          </cell>
        </row>
        <row r="675">
          <cell r="R675">
            <v>18.91</v>
          </cell>
          <cell r="X675">
            <v>1445</v>
          </cell>
          <cell r="Y675">
            <v>658.28</v>
          </cell>
        </row>
        <row r="676">
          <cell r="R676">
            <v>0</v>
          </cell>
          <cell r="X676">
            <v>35.11</v>
          </cell>
          <cell r="Y676">
            <v>20.64</v>
          </cell>
        </row>
        <row r="677">
          <cell r="R677">
            <v>0</v>
          </cell>
          <cell r="X677">
            <v>647.26</v>
          </cell>
          <cell r="Y677">
            <v>294.86</v>
          </cell>
        </row>
        <row r="678">
          <cell r="R678">
            <v>6.91</v>
          </cell>
          <cell r="X678">
            <v>7.62</v>
          </cell>
          <cell r="Y678">
            <v>4.4800000000000004</v>
          </cell>
        </row>
        <row r="679">
          <cell r="R679">
            <v>161.35</v>
          </cell>
          <cell r="X679">
            <v>140.38</v>
          </cell>
          <cell r="Y679">
            <v>63.95</v>
          </cell>
        </row>
        <row r="680">
          <cell r="R680">
            <v>0</v>
          </cell>
          <cell r="X680">
            <v>0</v>
          </cell>
          <cell r="Y680">
            <v>0</v>
          </cell>
        </row>
        <row r="681">
          <cell r="R681">
            <v>0</v>
          </cell>
          <cell r="X681">
            <v>0</v>
          </cell>
          <cell r="Y681">
            <v>0</v>
          </cell>
        </row>
        <row r="717">
          <cell r="R717">
            <v>0.81</v>
          </cell>
          <cell r="X717">
            <v>78.39</v>
          </cell>
          <cell r="Y717">
            <v>46.07</v>
          </cell>
        </row>
        <row r="718">
          <cell r="R718">
            <v>18.91</v>
          </cell>
          <cell r="X718">
            <v>1445</v>
          </cell>
          <cell r="Y718">
            <v>658.28</v>
          </cell>
        </row>
        <row r="719">
          <cell r="R719">
            <v>0</v>
          </cell>
          <cell r="X719">
            <v>35.11</v>
          </cell>
          <cell r="Y719">
            <v>20.64</v>
          </cell>
        </row>
        <row r="720">
          <cell r="R720">
            <v>0</v>
          </cell>
          <cell r="X720">
            <v>647.26</v>
          </cell>
          <cell r="Y720">
            <v>294.86</v>
          </cell>
        </row>
        <row r="721">
          <cell r="R721">
            <v>6.91</v>
          </cell>
          <cell r="X721">
            <v>7.62</v>
          </cell>
          <cell r="Y721">
            <v>4.4800000000000004</v>
          </cell>
        </row>
        <row r="722">
          <cell r="R722">
            <v>161.35</v>
          </cell>
          <cell r="X722">
            <v>140.38</v>
          </cell>
          <cell r="Y722">
            <v>63.95</v>
          </cell>
        </row>
        <row r="723">
          <cell r="R723">
            <v>0</v>
          </cell>
          <cell r="X723">
            <v>0</v>
          </cell>
          <cell r="Y723">
            <v>0</v>
          </cell>
        </row>
        <row r="724">
          <cell r="R724">
            <v>0</v>
          </cell>
          <cell r="X724">
            <v>0</v>
          </cell>
          <cell r="Y724">
            <v>0</v>
          </cell>
        </row>
        <row r="760">
          <cell r="R760">
            <v>0.81</v>
          </cell>
          <cell r="X760">
            <v>78.39</v>
          </cell>
          <cell r="Y760">
            <v>46.07</v>
          </cell>
        </row>
        <row r="761">
          <cell r="R761">
            <v>18.91</v>
          </cell>
          <cell r="X761">
            <v>1445</v>
          </cell>
          <cell r="Y761">
            <v>658.28</v>
          </cell>
        </row>
        <row r="762">
          <cell r="R762">
            <v>0</v>
          </cell>
          <cell r="X762">
            <v>35.11</v>
          </cell>
          <cell r="Y762">
            <v>20.64</v>
          </cell>
        </row>
        <row r="763">
          <cell r="R763">
            <v>0</v>
          </cell>
          <cell r="X763">
            <v>647.26</v>
          </cell>
          <cell r="Y763">
            <v>294.86</v>
          </cell>
        </row>
        <row r="764">
          <cell r="R764">
            <v>6.91</v>
          </cell>
          <cell r="X764">
            <v>7.62</v>
          </cell>
          <cell r="Y764">
            <v>4.4800000000000004</v>
          </cell>
        </row>
        <row r="765">
          <cell r="R765">
            <v>161.35</v>
          </cell>
          <cell r="X765">
            <v>140.38</v>
          </cell>
          <cell r="Y765">
            <v>63.95</v>
          </cell>
        </row>
        <row r="766">
          <cell r="R766">
            <v>0</v>
          </cell>
          <cell r="X766">
            <v>0</v>
          </cell>
          <cell r="Y766">
            <v>0</v>
          </cell>
        </row>
        <row r="767">
          <cell r="R767">
            <v>0</v>
          </cell>
          <cell r="X767">
            <v>0</v>
          </cell>
          <cell r="Y767">
            <v>0</v>
          </cell>
        </row>
        <row r="803">
          <cell r="R803">
            <v>0.81</v>
          </cell>
          <cell r="X803">
            <v>78.39</v>
          </cell>
          <cell r="Y803">
            <v>46.07</v>
          </cell>
        </row>
        <row r="804">
          <cell r="R804">
            <v>18.91</v>
          </cell>
          <cell r="X804">
            <v>1445</v>
          </cell>
          <cell r="Y804">
            <v>658.28</v>
          </cell>
        </row>
        <row r="805">
          <cell r="R805">
            <v>0</v>
          </cell>
          <cell r="X805">
            <v>35.11</v>
          </cell>
          <cell r="Y805">
            <v>20.64</v>
          </cell>
        </row>
        <row r="806">
          <cell r="R806">
            <v>0</v>
          </cell>
          <cell r="X806">
            <v>647.26</v>
          </cell>
          <cell r="Y806">
            <v>294.86</v>
          </cell>
        </row>
        <row r="807">
          <cell r="R807">
            <v>6.91</v>
          </cell>
          <cell r="X807">
            <v>7.62</v>
          </cell>
          <cell r="Y807">
            <v>4.4800000000000004</v>
          </cell>
        </row>
        <row r="808">
          <cell r="R808">
            <v>161.35</v>
          </cell>
          <cell r="X808">
            <v>140.38</v>
          </cell>
          <cell r="Y808">
            <v>63.95</v>
          </cell>
        </row>
        <row r="809">
          <cell r="R809">
            <v>0</v>
          </cell>
          <cell r="X809">
            <v>0</v>
          </cell>
          <cell r="Y809">
            <v>0</v>
          </cell>
        </row>
        <row r="810">
          <cell r="R810">
            <v>0</v>
          </cell>
          <cell r="X810">
            <v>0</v>
          </cell>
          <cell r="Y810">
            <v>0</v>
          </cell>
        </row>
        <row r="846">
          <cell r="R846">
            <v>0.81</v>
          </cell>
          <cell r="X846">
            <v>78.39</v>
          </cell>
          <cell r="Y846">
            <v>46.07</v>
          </cell>
        </row>
        <row r="847">
          <cell r="R847">
            <v>18.91</v>
          </cell>
          <cell r="X847">
            <v>1445</v>
          </cell>
          <cell r="Y847">
            <v>658.28</v>
          </cell>
        </row>
        <row r="848">
          <cell r="R848">
            <v>0</v>
          </cell>
          <cell r="X848">
            <v>70.209999999999994</v>
          </cell>
          <cell r="Y848">
            <v>41.27</v>
          </cell>
        </row>
        <row r="849">
          <cell r="R849">
            <v>0</v>
          </cell>
          <cell r="X849">
            <v>1294.32</v>
          </cell>
          <cell r="Y849">
            <v>589.63</v>
          </cell>
        </row>
        <row r="850">
          <cell r="R850">
            <v>6.91</v>
          </cell>
          <cell r="X850">
            <v>7.62</v>
          </cell>
          <cell r="Y850">
            <v>4.4800000000000004</v>
          </cell>
        </row>
        <row r="851">
          <cell r="R851">
            <v>161.35</v>
          </cell>
          <cell r="X851">
            <v>140.38</v>
          </cell>
          <cell r="Y851">
            <v>63.95</v>
          </cell>
        </row>
        <row r="852">
          <cell r="R852">
            <v>0</v>
          </cell>
          <cell r="X852">
            <v>0</v>
          </cell>
          <cell r="Y852">
            <v>0</v>
          </cell>
        </row>
        <row r="853">
          <cell r="R853">
            <v>0</v>
          </cell>
          <cell r="X853">
            <v>0</v>
          </cell>
          <cell r="Y853">
            <v>0</v>
          </cell>
        </row>
        <row r="889">
          <cell r="R889">
            <v>0.81</v>
          </cell>
          <cell r="X889">
            <v>78.39</v>
          </cell>
          <cell r="Y889">
            <v>46.07</v>
          </cell>
        </row>
        <row r="890">
          <cell r="R890">
            <v>18.91</v>
          </cell>
          <cell r="X890">
            <v>1445</v>
          </cell>
          <cell r="Y890">
            <v>658.28</v>
          </cell>
        </row>
        <row r="891">
          <cell r="R891">
            <v>0</v>
          </cell>
          <cell r="X891">
            <v>35.11</v>
          </cell>
          <cell r="Y891">
            <v>20.64</v>
          </cell>
        </row>
        <row r="892">
          <cell r="R892">
            <v>0</v>
          </cell>
          <cell r="X892">
            <v>647.26</v>
          </cell>
          <cell r="Y892">
            <v>294.86</v>
          </cell>
        </row>
        <row r="893">
          <cell r="R893">
            <v>6.91</v>
          </cell>
          <cell r="X893">
            <v>7.62</v>
          </cell>
          <cell r="Y893">
            <v>4.4800000000000004</v>
          </cell>
        </row>
        <row r="894">
          <cell r="R894">
            <v>161.35</v>
          </cell>
          <cell r="X894">
            <v>140.38</v>
          </cell>
          <cell r="Y894">
            <v>63.95</v>
          </cell>
        </row>
        <row r="895">
          <cell r="R895">
            <v>0</v>
          </cell>
          <cell r="X895">
            <v>0</v>
          </cell>
          <cell r="Y895">
            <v>0</v>
          </cell>
        </row>
        <row r="896">
          <cell r="R896">
            <v>0</v>
          </cell>
          <cell r="X896">
            <v>0</v>
          </cell>
          <cell r="Y896">
            <v>0</v>
          </cell>
        </row>
        <row r="932">
          <cell r="R932">
            <v>0.81</v>
          </cell>
          <cell r="X932">
            <v>78.39</v>
          </cell>
          <cell r="Y932">
            <v>46.07</v>
          </cell>
        </row>
        <row r="933">
          <cell r="R933">
            <v>18.91</v>
          </cell>
          <cell r="X933">
            <v>1445</v>
          </cell>
          <cell r="Y933">
            <v>658.28</v>
          </cell>
        </row>
        <row r="934">
          <cell r="R934">
            <v>0</v>
          </cell>
          <cell r="X934">
            <v>35.11</v>
          </cell>
          <cell r="Y934">
            <v>20.64</v>
          </cell>
        </row>
        <row r="935">
          <cell r="R935">
            <v>0</v>
          </cell>
          <cell r="X935">
            <v>647.26</v>
          </cell>
          <cell r="Y935">
            <v>294.86</v>
          </cell>
        </row>
        <row r="936">
          <cell r="R936">
            <v>6.91</v>
          </cell>
          <cell r="X936">
            <v>7.62</v>
          </cell>
          <cell r="Y936">
            <v>4.4800000000000004</v>
          </cell>
        </row>
        <row r="937">
          <cell r="R937">
            <v>161.35</v>
          </cell>
          <cell r="X937">
            <v>140.38</v>
          </cell>
          <cell r="Y937">
            <v>63.95</v>
          </cell>
        </row>
        <row r="938">
          <cell r="R938">
            <v>0</v>
          </cell>
          <cell r="X938">
            <v>0</v>
          </cell>
          <cell r="Y938">
            <v>0</v>
          </cell>
        </row>
        <row r="939">
          <cell r="R939">
            <v>0</v>
          </cell>
          <cell r="X939">
            <v>0</v>
          </cell>
          <cell r="Y939">
            <v>0</v>
          </cell>
        </row>
        <row r="975">
          <cell r="R975">
            <v>0.81</v>
          </cell>
          <cell r="X975">
            <v>78.39</v>
          </cell>
          <cell r="Y975">
            <v>46.07</v>
          </cell>
        </row>
        <row r="976">
          <cell r="R976">
            <v>18.91</v>
          </cell>
          <cell r="X976">
            <v>1445</v>
          </cell>
          <cell r="Y976">
            <v>658.28</v>
          </cell>
        </row>
        <row r="977">
          <cell r="R977">
            <v>0</v>
          </cell>
          <cell r="X977">
            <v>35.11</v>
          </cell>
          <cell r="Y977">
            <v>20.64</v>
          </cell>
        </row>
        <row r="978">
          <cell r="R978">
            <v>0</v>
          </cell>
          <cell r="X978">
            <v>647.26</v>
          </cell>
          <cell r="Y978">
            <v>294.86</v>
          </cell>
        </row>
        <row r="979">
          <cell r="R979">
            <v>6.91</v>
          </cell>
          <cell r="X979">
            <v>7.62</v>
          </cell>
          <cell r="Y979">
            <v>4.4800000000000004</v>
          </cell>
        </row>
        <row r="980">
          <cell r="R980">
            <v>161.35</v>
          </cell>
          <cell r="X980">
            <v>140.38</v>
          </cell>
          <cell r="Y980">
            <v>63.95</v>
          </cell>
        </row>
        <row r="981">
          <cell r="R981">
            <v>0</v>
          </cell>
          <cell r="X981">
            <v>0</v>
          </cell>
          <cell r="Y981">
            <v>0</v>
          </cell>
        </row>
        <row r="982">
          <cell r="R982">
            <v>0</v>
          </cell>
          <cell r="X982">
            <v>0</v>
          </cell>
          <cell r="Y982">
            <v>0</v>
          </cell>
        </row>
        <row r="1018">
          <cell r="R1018">
            <v>0.81</v>
          </cell>
          <cell r="X1018">
            <v>78.39</v>
          </cell>
          <cell r="Y1018">
            <v>46.07</v>
          </cell>
        </row>
        <row r="1019">
          <cell r="R1019">
            <v>18.91</v>
          </cell>
          <cell r="X1019">
            <v>1445</v>
          </cell>
          <cell r="Y1019">
            <v>658.28</v>
          </cell>
        </row>
        <row r="1020">
          <cell r="R1020">
            <v>0</v>
          </cell>
          <cell r="X1020">
            <v>35.11</v>
          </cell>
          <cell r="Y1020">
            <v>20.64</v>
          </cell>
        </row>
        <row r="1021">
          <cell r="R1021">
            <v>0</v>
          </cell>
          <cell r="X1021">
            <v>647.26</v>
          </cell>
          <cell r="Y1021">
            <v>294.86</v>
          </cell>
        </row>
        <row r="1022">
          <cell r="R1022">
            <v>6.91</v>
          </cell>
          <cell r="X1022">
            <v>7.62</v>
          </cell>
          <cell r="Y1022">
            <v>4.4800000000000004</v>
          </cell>
        </row>
        <row r="1023">
          <cell r="R1023">
            <v>161.35</v>
          </cell>
          <cell r="X1023">
            <v>140.38</v>
          </cell>
          <cell r="Y1023">
            <v>63.95</v>
          </cell>
        </row>
        <row r="1024">
          <cell r="R1024">
            <v>0</v>
          </cell>
          <cell r="X1024">
            <v>0</v>
          </cell>
          <cell r="Y1024">
            <v>0</v>
          </cell>
        </row>
        <row r="1025">
          <cell r="R1025">
            <v>0</v>
          </cell>
          <cell r="X1025">
            <v>0</v>
          </cell>
          <cell r="Y1025">
            <v>0</v>
          </cell>
        </row>
        <row r="1061">
          <cell r="R1061">
            <v>0.81</v>
          </cell>
          <cell r="X1061">
            <v>78.39</v>
          </cell>
          <cell r="Y1061">
            <v>46.07</v>
          </cell>
        </row>
        <row r="1062">
          <cell r="R1062">
            <v>18.91</v>
          </cell>
          <cell r="X1062">
            <v>1445</v>
          </cell>
          <cell r="Y1062">
            <v>658.28</v>
          </cell>
        </row>
        <row r="1063">
          <cell r="R1063">
            <v>0</v>
          </cell>
          <cell r="X1063">
            <v>35.11</v>
          </cell>
          <cell r="Y1063">
            <v>20.64</v>
          </cell>
        </row>
        <row r="1064">
          <cell r="R1064">
            <v>0</v>
          </cell>
          <cell r="X1064">
            <v>647.26</v>
          </cell>
          <cell r="Y1064">
            <v>294.86</v>
          </cell>
        </row>
        <row r="1065">
          <cell r="R1065">
            <v>6.91</v>
          </cell>
          <cell r="X1065">
            <v>7.62</v>
          </cell>
          <cell r="Y1065">
            <v>4.4800000000000004</v>
          </cell>
        </row>
        <row r="1066">
          <cell r="R1066">
            <v>161.35</v>
          </cell>
          <cell r="X1066">
            <v>140.38</v>
          </cell>
          <cell r="Y1066">
            <v>63.95</v>
          </cell>
        </row>
        <row r="1067">
          <cell r="R1067">
            <v>0</v>
          </cell>
          <cell r="X1067">
            <v>0</v>
          </cell>
          <cell r="Y1067">
            <v>0</v>
          </cell>
        </row>
        <row r="1068">
          <cell r="R1068">
            <v>0</v>
          </cell>
          <cell r="X1068">
            <v>0</v>
          </cell>
          <cell r="Y1068">
            <v>0</v>
          </cell>
        </row>
        <row r="1104">
          <cell r="R1104">
            <v>0.81</v>
          </cell>
          <cell r="X1104">
            <v>78.39</v>
          </cell>
          <cell r="Y1104">
            <v>46.07</v>
          </cell>
        </row>
        <row r="1105">
          <cell r="R1105">
            <v>18.91</v>
          </cell>
          <cell r="X1105">
            <v>1445</v>
          </cell>
          <cell r="Y1105">
            <v>658.28</v>
          </cell>
        </row>
        <row r="1106">
          <cell r="R1106">
            <v>0</v>
          </cell>
          <cell r="X1106">
            <v>35.11</v>
          </cell>
          <cell r="Y1106">
            <v>20.64</v>
          </cell>
        </row>
        <row r="1107">
          <cell r="R1107">
            <v>0</v>
          </cell>
          <cell r="X1107">
            <v>647.26</v>
          </cell>
          <cell r="Y1107">
            <v>294.86</v>
          </cell>
        </row>
        <row r="1108">
          <cell r="R1108">
            <v>6.91</v>
          </cell>
          <cell r="X1108">
            <v>7.62</v>
          </cell>
          <cell r="Y1108">
            <v>4.4800000000000004</v>
          </cell>
        </row>
        <row r="1109">
          <cell r="R1109">
            <v>161.35</v>
          </cell>
          <cell r="X1109">
            <v>140.38</v>
          </cell>
          <cell r="Y1109">
            <v>63.95</v>
          </cell>
        </row>
        <row r="1110">
          <cell r="R1110">
            <v>0</v>
          </cell>
          <cell r="X1110">
            <v>0</v>
          </cell>
          <cell r="Y1110">
            <v>0</v>
          </cell>
        </row>
        <row r="1111">
          <cell r="R1111">
            <v>0</v>
          </cell>
          <cell r="X1111">
            <v>0</v>
          </cell>
          <cell r="Y1111">
            <v>0</v>
          </cell>
        </row>
        <row r="1147">
          <cell r="R1147">
            <v>0.81</v>
          </cell>
          <cell r="X1147">
            <v>78.39</v>
          </cell>
          <cell r="Y1147">
            <v>46.07</v>
          </cell>
        </row>
        <row r="1148">
          <cell r="R1148">
            <v>18.91</v>
          </cell>
          <cell r="X1148">
            <v>1445</v>
          </cell>
          <cell r="Y1148">
            <v>658.28</v>
          </cell>
        </row>
        <row r="1149">
          <cell r="R1149">
            <v>0</v>
          </cell>
          <cell r="X1149">
            <v>35.11</v>
          </cell>
          <cell r="Y1149">
            <v>20.64</v>
          </cell>
        </row>
        <row r="1150">
          <cell r="R1150">
            <v>0</v>
          </cell>
          <cell r="X1150">
            <v>647.26</v>
          </cell>
          <cell r="Y1150">
            <v>294.86</v>
          </cell>
        </row>
        <row r="1151">
          <cell r="R1151">
            <v>6.91</v>
          </cell>
          <cell r="X1151">
            <v>7.62</v>
          </cell>
          <cell r="Y1151">
            <v>4.4800000000000004</v>
          </cell>
        </row>
        <row r="1152">
          <cell r="R1152">
            <v>161.35</v>
          </cell>
          <cell r="X1152">
            <v>140.38</v>
          </cell>
          <cell r="Y1152">
            <v>63.95</v>
          </cell>
        </row>
        <row r="1153">
          <cell r="R1153">
            <v>0</v>
          </cell>
          <cell r="X1153">
            <v>0</v>
          </cell>
          <cell r="Y1153">
            <v>0</v>
          </cell>
        </row>
        <row r="1154">
          <cell r="R1154">
            <v>0</v>
          </cell>
          <cell r="X1154">
            <v>0</v>
          </cell>
          <cell r="Y1154">
            <v>0</v>
          </cell>
        </row>
        <row r="1190">
          <cell r="R1190">
            <v>0.81</v>
          </cell>
          <cell r="X1190">
            <v>78.39</v>
          </cell>
          <cell r="Y1190">
            <v>46.07</v>
          </cell>
        </row>
        <row r="1191">
          <cell r="R1191">
            <v>18.91</v>
          </cell>
          <cell r="X1191">
            <v>1445</v>
          </cell>
          <cell r="Y1191">
            <v>658.28</v>
          </cell>
        </row>
        <row r="1192">
          <cell r="R1192">
            <v>0</v>
          </cell>
          <cell r="X1192">
            <v>35.11</v>
          </cell>
          <cell r="Y1192">
            <v>20.64</v>
          </cell>
        </row>
        <row r="1193">
          <cell r="R1193">
            <v>0</v>
          </cell>
          <cell r="X1193">
            <v>647.26</v>
          </cell>
          <cell r="Y1193">
            <v>294.86</v>
          </cell>
        </row>
        <row r="1194">
          <cell r="R1194">
            <v>6.91</v>
          </cell>
          <cell r="X1194">
            <v>7.62</v>
          </cell>
          <cell r="Y1194">
            <v>4.4800000000000004</v>
          </cell>
        </row>
        <row r="1195">
          <cell r="R1195">
            <v>161.35</v>
          </cell>
          <cell r="X1195">
            <v>140.38</v>
          </cell>
          <cell r="Y1195">
            <v>63.95</v>
          </cell>
        </row>
        <row r="1196">
          <cell r="R1196">
            <v>0</v>
          </cell>
          <cell r="X1196">
            <v>0</v>
          </cell>
          <cell r="Y1196">
            <v>0</v>
          </cell>
        </row>
        <row r="1197">
          <cell r="R1197">
            <v>0</v>
          </cell>
          <cell r="X1197">
            <v>0</v>
          </cell>
          <cell r="Y1197">
            <v>0</v>
          </cell>
        </row>
        <row r="1233">
          <cell r="R1233">
            <v>0.81</v>
          </cell>
          <cell r="X1233">
            <v>78.39</v>
          </cell>
          <cell r="Y1233">
            <v>46.07</v>
          </cell>
        </row>
        <row r="1234">
          <cell r="R1234">
            <v>18.91</v>
          </cell>
          <cell r="X1234">
            <v>1445</v>
          </cell>
          <cell r="Y1234">
            <v>658.28</v>
          </cell>
        </row>
        <row r="1235">
          <cell r="R1235">
            <v>0</v>
          </cell>
          <cell r="X1235">
            <v>35.11</v>
          </cell>
          <cell r="Y1235">
            <v>20.64</v>
          </cell>
        </row>
        <row r="1236">
          <cell r="R1236">
            <v>0</v>
          </cell>
          <cell r="X1236">
            <v>647.26</v>
          </cell>
          <cell r="Y1236">
            <v>294.86</v>
          </cell>
        </row>
        <row r="1237">
          <cell r="R1237">
            <v>6.91</v>
          </cell>
          <cell r="X1237">
            <v>7.62</v>
          </cell>
          <cell r="Y1237">
            <v>4.4800000000000004</v>
          </cell>
        </row>
        <row r="1238">
          <cell r="R1238">
            <v>161.35</v>
          </cell>
          <cell r="X1238">
            <v>140.38</v>
          </cell>
          <cell r="Y1238">
            <v>63.95</v>
          </cell>
        </row>
        <row r="1239">
          <cell r="R1239">
            <v>0</v>
          </cell>
          <cell r="X1239">
            <v>0</v>
          </cell>
          <cell r="Y1239">
            <v>0</v>
          </cell>
        </row>
        <row r="1240">
          <cell r="R1240">
            <v>0</v>
          </cell>
          <cell r="X1240">
            <v>0</v>
          </cell>
          <cell r="Y1240">
            <v>0</v>
          </cell>
        </row>
        <row r="1276">
          <cell r="R1276">
            <v>0.81</v>
          </cell>
          <cell r="X1276">
            <v>78.39</v>
          </cell>
          <cell r="Y1276">
            <v>46.07</v>
          </cell>
        </row>
        <row r="1277">
          <cell r="R1277">
            <v>18.91</v>
          </cell>
          <cell r="X1277">
            <v>1445</v>
          </cell>
          <cell r="Y1277">
            <v>658.28</v>
          </cell>
        </row>
        <row r="1278">
          <cell r="R1278">
            <v>0</v>
          </cell>
          <cell r="X1278">
            <v>35.11</v>
          </cell>
          <cell r="Y1278">
            <v>20.64</v>
          </cell>
        </row>
        <row r="1279">
          <cell r="R1279">
            <v>0</v>
          </cell>
          <cell r="X1279">
            <v>647.26</v>
          </cell>
          <cell r="Y1279">
            <v>294.86</v>
          </cell>
        </row>
        <row r="1280">
          <cell r="R1280">
            <v>6.91</v>
          </cell>
          <cell r="X1280">
            <v>7.62</v>
          </cell>
          <cell r="Y1280">
            <v>4.4800000000000004</v>
          </cell>
        </row>
        <row r="1281">
          <cell r="R1281">
            <v>161.35</v>
          </cell>
          <cell r="X1281">
            <v>140.38</v>
          </cell>
          <cell r="Y1281">
            <v>63.95</v>
          </cell>
        </row>
        <row r="1282">
          <cell r="R1282">
            <v>0</v>
          </cell>
          <cell r="X1282">
            <v>0</v>
          </cell>
          <cell r="Y1282">
            <v>0</v>
          </cell>
        </row>
        <row r="1283">
          <cell r="R1283">
            <v>0</v>
          </cell>
          <cell r="X1283">
            <v>0</v>
          </cell>
          <cell r="Y1283">
            <v>0</v>
          </cell>
        </row>
        <row r="1319">
          <cell r="R1319">
            <v>0.81</v>
          </cell>
          <cell r="X1319">
            <v>78.39</v>
          </cell>
          <cell r="Y1319">
            <v>46.07</v>
          </cell>
        </row>
        <row r="1320">
          <cell r="R1320">
            <v>18.91</v>
          </cell>
          <cell r="X1320">
            <v>1445</v>
          </cell>
          <cell r="Y1320">
            <v>658.28</v>
          </cell>
        </row>
        <row r="1321">
          <cell r="R1321">
            <v>0</v>
          </cell>
          <cell r="X1321">
            <v>35.11</v>
          </cell>
          <cell r="Y1321">
            <v>20.64</v>
          </cell>
        </row>
        <row r="1322">
          <cell r="R1322">
            <v>0</v>
          </cell>
          <cell r="X1322">
            <v>647.26</v>
          </cell>
          <cell r="Y1322">
            <v>294.86</v>
          </cell>
        </row>
        <row r="1323">
          <cell r="R1323">
            <v>6.91</v>
          </cell>
          <cell r="X1323">
            <v>7.62</v>
          </cell>
          <cell r="Y1323">
            <v>4.4800000000000004</v>
          </cell>
        </row>
        <row r="1324">
          <cell r="R1324">
            <v>161.35</v>
          </cell>
          <cell r="X1324">
            <v>140.38</v>
          </cell>
          <cell r="Y1324">
            <v>63.95</v>
          </cell>
        </row>
        <row r="1325">
          <cell r="R1325">
            <v>0</v>
          </cell>
          <cell r="X1325">
            <v>0</v>
          </cell>
          <cell r="Y1325">
            <v>0</v>
          </cell>
        </row>
        <row r="1326">
          <cell r="R1326">
            <v>0</v>
          </cell>
          <cell r="X1326">
            <v>0</v>
          </cell>
          <cell r="Y1326">
            <v>0</v>
          </cell>
        </row>
        <row r="1362">
          <cell r="R1362">
            <v>0.81</v>
          </cell>
          <cell r="X1362">
            <v>78.39</v>
          </cell>
          <cell r="Y1362">
            <v>46.07</v>
          </cell>
        </row>
        <row r="1363">
          <cell r="R1363">
            <v>18.91</v>
          </cell>
          <cell r="X1363">
            <v>1445</v>
          </cell>
          <cell r="Y1363">
            <v>658.28</v>
          </cell>
        </row>
        <row r="1364">
          <cell r="R1364">
            <v>0</v>
          </cell>
          <cell r="X1364">
            <v>35.11</v>
          </cell>
          <cell r="Y1364">
            <v>20.64</v>
          </cell>
        </row>
        <row r="1365">
          <cell r="R1365">
            <v>0</v>
          </cell>
          <cell r="X1365">
            <v>647.26</v>
          </cell>
          <cell r="Y1365">
            <v>294.86</v>
          </cell>
        </row>
        <row r="1366">
          <cell r="R1366">
            <v>6.91</v>
          </cell>
          <cell r="X1366">
            <v>7.62</v>
          </cell>
          <cell r="Y1366">
            <v>4.4800000000000004</v>
          </cell>
        </row>
        <row r="1367">
          <cell r="R1367">
            <v>161.35</v>
          </cell>
          <cell r="X1367">
            <v>140.38</v>
          </cell>
          <cell r="Y1367">
            <v>63.95</v>
          </cell>
        </row>
        <row r="1368">
          <cell r="R1368">
            <v>0</v>
          </cell>
          <cell r="X1368">
            <v>0</v>
          </cell>
          <cell r="Y1368">
            <v>0</v>
          </cell>
        </row>
        <row r="1369">
          <cell r="R1369">
            <v>0</v>
          </cell>
          <cell r="X1369">
            <v>0</v>
          </cell>
          <cell r="Y1369">
            <v>0</v>
          </cell>
        </row>
        <row r="1405">
          <cell r="R1405">
            <v>0.81</v>
          </cell>
          <cell r="X1405">
            <v>78.39</v>
          </cell>
          <cell r="Y1405">
            <v>46.07</v>
          </cell>
        </row>
        <row r="1406">
          <cell r="R1406">
            <v>18.91</v>
          </cell>
          <cell r="X1406">
            <v>1445</v>
          </cell>
          <cell r="Y1406">
            <v>658.28</v>
          </cell>
        </row>
        <row r="1407">
          <cell r="R1407">
            <v>0</v>
          </cell>
          <cell r="X1407">
            <v>35.11</v>
          </cell>
          <cell r="Y1407">
            <v>20.64</v>
          </cell>
        </row>
        <row r="1408">
          <cell r="R1408">
            <v>0</v>
          </cell>
          <cell r="X1408">
            <v>647.26</v>
          </cell>
          <cell r="Y1408">
            <v>294.86</v>
          </cell>
        </row>
        <row r="1409">
          <cell r="R1409">
            <v>6.91</v>
          </cell>
          <cell r="X1409">
            <v>7.62</v>
          </cell>
          <cell r="Y1409">
            <v>4.4800000000000004</v>
          </cell>
        </row>
        <row r="1410">
          <cell r="R1410">
            <v>161.35</v>
          </cell>
          <cell r="X1410">
            <v>140.38</v>
          </cell>
          <cell r="Y1410">
            <v>63.95</v>
          </cell>
        </row>
        <row r="1411">
          <cell r="R1411">
            <v>0</v>
          </cell>
          <cell r="X1411">
            <v>0</v>
          </cell>
          <cell r="Y1411">
            <v>0</v>
          </cell>
        </row>
        <row r="1412">
          <cell r="R1412">
            <v>0</v>
          </cell>
          <cell r="X1412">
            <v>0</v>
          </cell>
          <cell r="Y1412">
            <v>0</v>
          </cell>
        </row>
        <row r="1448">
          <cell r="R1448">
            <v>0.81</v>
          </cell>
          <cell r="X1448">
            <v>78.39</v>
          </cell>
          <cell r="Y1448">
            <v>46.07</v>
          </cell>
        </row>
        <row r="1449">
          <cell r="R1449">
            <v>18.91</v>
          </cell>
          <cell r="X1449">
            <v>1445</v>
          </cell>
          <cell r="Y1449">
            <v>658.28</v>
          </cell>
        </row>
        <row r="1450">
          <cell r="R1450">
            <v>0</v>
          </cell>
          <cell r="X1450">
            <v>35.11</v>
          </cell>
          <cell r="Y1450">
            <v>20.64</v>
          </cell>
        </row>
        <row r="1451">
          <cell r="R1451">
            <v>0</v>
          </cell>
          <cell r="X1451">
            <v>647.26</v>
          </cell>
          <cell r="Y1451">
            <v>294.86</v>
          </cell>
        </row>
        <row r="1452">
          <cell r="R1452">
            <v>6.91</v>
          </cell>
          <cell r="X1452">
            <v>7.62</v>
          </cell>
          <cell r="Y1452">
            <v>4.4800000000000004</v>
          </cell>
        </row>
        <row r="1453">
          <cell r="R1453">
            <v>161.35</v>
          </cell>
          <cell r="X1453">
            <v>140.38</v>
          </cell>
          <cell r="Y1453">
            <v>63.95</v>
          </cell>
        </row>
        <row r="1454">
          <cell r="R1454">
            <v>0</v>
          </cell>
          <cell r="X1454">
            <v>0</v>
          </cell>
          <cell r="Y1454">
            <v>0</v>
          </cell>
        </row>
        <row r="1455">
          <cell r="R1455">
            <v>0</v>
          </cell>
          <cell r="X1455">
            <v>0</v>
          </cell>
          <cell r="Y1455">
            <v>0</v>
          </cell>
        </row>
        <row r="1491">
          <cell r="R1491">
            <v>0.81</v>
          </cell>
          <cell r="X1491">
            <v>78.39</v>
          </cell>
          <cell r="Y1491">
            <v>46.07</v>
          </cell>
        </row>
        <row r="1492">
          <cell r="R1492">
            <v>18.91</v>
          </cell>
          <cell r="X1492">
            <v>1445</v>
          </cell>
          <cell r="Y1492">
            <v>658.28</v>
          </cell>
        </row>
        <row r="1493">
          <cell r="R1493">
            <v>0</v>
          </cell>
          <cell r="X1493">
            <v>35.11</v>
          </cell>
          <cell r="Y1493">
            <v>20.64</v>
          </cell>
        </row>
        <row r="1494">
          <cell r="R1494">
            <v>0</v>
          </cell>
          <cell r="X1494">
            <v>647.26</v>
          </cell>
          <cell r="Y1494">
            <v>294.86</v>
          </cell>
        </row>
        <row r="1495">
          <cell r="R1495">
            <v>6.91</v>
          </cell>
          <cell r="X1495">
            <v>7.62</v>
          </cell>
          <cell r="Y1495">
            <v>4.4800000000000004</v>
          </cell>
        </row>
        <row r="1496">
          <cell r="R1496">
            <v>161.35</v>
          </cell>
          <cell r="X1496">
            <v>140.38</v>
          </cell>
          <cell r="Y1496">
            <v>63.95</v>
          </cell>
        </row>
        <row r="1497">
          <cell r="R1497">
            <v>0</v>
          </cell>
          <cell r="X1497">
            <v>0</v>
          </cell>
          <cell r="Y1497">
            <v>0</v>
          </cell>
        </row>
        <row r="1498">
          <cell r="R1498">
            <v>0</v>
          </cell>
          <cell r="X1498">
            <v>0</v>
          </cell>
          <cell r="Y1498">
            <v>0</v>
          </cell>
        </row>
        <row r="1534">
          <cell r="R1534">
            <v>0.81</v>
          </cell>
          <cell r="X1534">
            <v>78.39</v>
          </cell>
          <cell r="Y1534">
            <v>46.07</v>
          </cell>
        </row>
        <row r="1535">
          <cell r="R1535">
            <v>18.91</v>
          </cell>
          <cell r="X1535">
            <v>1445</v>
          </cell>
          <cell r="Y1535">
            <v>658.28</v>
          </cell>
        </row>
        <row r="1536">
          <cell r="R1536">
            <v>0</v>
          </cell>
          <cell r="X1536">
            <v>35.11</v>
          </cell>
          <cell r="Y1536">
            <v>20.64</v>
          </cell>
        </row>
        <row r="1537">
          <cell r="R1537">
            <v>0</v>
          </cell>
          <cell r="X1537">
            <v>647.26</v>
          </cell>
          <cell r="Y1537">
            <v>294.86</v>
          </cell>
        </row>
        <row r="1538">
          <cell r="R1538">
            <v>6.91</v>
          </cell>
          <cell r="X1538">
            <v>7.62</v>
          </cell>
          <cell r="Y1538">
            <v>4.4800000000000004</v>
          </cell>
        </row>
        <row r="1539">
          <cell r="R1539">
            <v>161.35</v>
          </cell>
          <cell r="X1539">
            <v>140.38</v>
          </cell>
          <cell r="Y1539">
            <v>63.95</v>
          </cell>
        </row>
        <row r="1540">
          <cell r="R1540">
            <v>0</v>
          </cell>
          <cell r="X1540">
            <v>0</v>
          </cell>
          <cell r="Y1540">
            <v>0</v>
          </cell>
        </row>
        <row r="1541">
          <cell r="R1541">
            <v>0</v>
          </cell>
          <cell r="X1541">
            <v>0</v>
          </cell>
          <cell r="Y1541">
            <v>0</v>
          </cell>
        </row>
        <row r="1577">
          <cell r="R1577">
            <v>0.81</v>
          </cell>
          <cell r="X1577">
            <v>78.39</v>
          </cell>
          <cell r="Y1577">
            <v>46.07</v>
          </cell>
        </row>
        <row r="1578">
          <cell r="R1578">
            <v>18.91</v>
          </cell>
          <cell r="X1578">
            <v>1445</v>
          </cell>
          <cell r="Y1578">
            <v>658.28</v>
          </cell>
        </row>
        <row r="1579">
          <cell r="R1579">
            <v>0</v>
          </cell>
          <cell r="X1579">
            <v>35.11</v>
          </cell>
          <cell r="Y1579">
            <v>20.64</v>
          </cell>
        </row>
        <row r="1580">
          <cell r="R1580">
            <v>0</v>
          </cell>
          <cell r="X1580">
            <v>647.26</v>
          </cell>
          <cell r="Y1580">
            <v>294.86</v>
          </cell>
        </row>
        <row r="1581">
          <cell r="R1581">
            <v>6.91</v>
          </cell>
          <cell r="X1581">
            <v>7.62</v>
          </cell>
          <cell r="Y1581">
            <v>4.4800000000000004</v>
          </cell>
        </row>
        <row r="1582">
          <cell r="R1582">
            <v>161.35</v>
          </cell>
          <cell r="X1582">
            <v>140.38</v>
          </cell>
          <cell r="Y1582">
            <v>63.95</v>
          </cell>
        </row>
        <row r="1583">
          <cell r="R1583">
            <v>0</v>
          </cell>
          <cell r="X1583">
            <v>0</v>
          </cell>
          <cell r="Y1583">
            <v>0</v>
          </cell>
        </row>
        <row r="1584">
          <cell r="R1584">
            <v>0</v>
          </cell>
          <cell r="X1584">
            <v>0</v>
          </cell>
          <cell r="Y1584">
            <v>0</v>
          </cell>
        </row>
        <row r="1620">
          <cell r="R1620">
            <v>0</v>
          </cell>
          <cell r="X1620">
            <v>159.66999999999999</v>
          </cell>
          <cell r="Y1620">
            <v>149.02000000000001</v>
          </cell>
        </row>
        <row r="1621">
          <cell r="R1621">
            <v>0</v>
          </cell>
          <cell r="X1621">
            <v>3380.27</v>
          </cell>
          <cell r="Y1621">
            <v>2038.1</v>
          </cell>
        </row>
        <row r="1622">
          <cell r="R1622">
            <v>0</v>
          </cell>
          <cell r="X1622">
            <v>2374.9699999999998</v>
          </cell>
          <cell r="Y1622">
            <v>2216.63</v>
          </cell>
        </row>
        <row r="1623">
          <cell r="R1623">
            <v>0</v>
          </cell>
          <cell r="X1623">
            <v>50279.59</v>
          </cell>
          <cell r="Y1623">
            <v>30315.64</v>
          </cell>
        </row>
        <row r="1665">
          <cell r="G1665" t="str">
            <v>Система автоматизации и диспетчеризации инженерных систем</v>
          </cell>
        </row>
      </sheetData>
      <sheetData sheetId="6"/>
      <sheetData sheetId="7"/>
      <sheetData sheetId="8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RV_DATA"/>
      <sheetName val="Расчет стоимости ресурсов"/>
      <sheetName val="Ведомость объемов работ"/>
      <sheetName val="Объектная смета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2">
          <cell r="G12" t="str">
    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    </cell>
        </row>
        <row r="28">
          <cell r="R28">
            <v>0</v>
          </cell>
          <cell r="X28">
            <v>27.13</v>
          </cell>
          <cell r="Y28">
            <v>15.95</v>
          </cell>
        </row>
        <row r="29">
          <cell r="R29">
            <v>0</v>
          </cell>
          <cell r="X29">
            <v>427.91</v>
          </cell>
          <cell r="Y29">
            <v>227.85</v>
          </cell>
        </row>
        <row r="30">
          <cell r="R30">
            <v>0</v>
          </cell>
          <cell r="X30">
            <v>0</v>
          </cell>
          <cell r="Y30">
            <v>0</v>
          </cell>
        </row>
        <row r="31">
          <cell r="R31">
            <v>0</v>
          </cell>
          <cell r="X31">
            <v>0</v>
          </cell>
          <cell r="Y31">
            <v>0</v>
          </cell>
        </row>
        <row r="32">
          <cell r="R32">
            <v>1.1000000000000001</v>
          </cell>
          <cell r="X32">
            <v>35.08</v>
          </cell>
          <cell r="Y32">
            <v>23.6</v>
          </cell>
        </row>
        <row r="33">
          <cell r="R33">
            <v>25.69</v>
          </cell>
          <cell r="X33">
            <v>655.27</v>
          </cell>
          <cell r="Y33">
            <v>305.3</v>
          </cell>
        </row>
        <row r="34">
          <cell r="R34">
            <v>0</v>
          </cell>
          <cell r="X34">
            <v>0</v>
          </cell>
          <cell r="Y34">
            <v>0</v>
          </cell>
        </row>
        <row r="35">
          <cell r="R35">
            <v>0</v>
          </cell>
          <cell r="X35">
            <v>0</v>
          </cell>
          <cell r="Y35">
            <v>0</v>
          </cell>
        </row>
        <row r="36">
          <cell r="R36">
            <v>0</v>
          </cell>
          <cell r="X36">
            <v>0</v>
          </cell>
          <cell r="Y36">
            <v>0</v>
          </cell>
        </row>
        <row r="37">
          <cell r="R37">
            <v>0</v>
          </cell>
          <cell r="X37">
            <v>0</v>
          </cell>
          <cell r="Y37">
            <v>0</v>
          </cell>
        </row>
        <row r="38">
          <cell r="R38">
            <v>0.44</v>
          </cell>
          <cell r="X38">
            <v>12.93</v>
          </cell>
          <cell r="Y38">
            <v>8.6999999999999993</v>
          </cell>
        </row>
        <row r="39">
          <cell r="R39">
            <v>10.27</v>
          </cell>
          <cell r="X39">
            <v>241.44</v>
          </cell>
          <cell r="Y39">
            <v>112.49</v>
          </cell>
        </row>
        <row r="40">
          <cell r="R40">
            <v>0</v>
          </cell>
          <cell r="X40">
            <v>0</v>
          </cell>
          <cell r="Y40">
            <v>0</v>
          </cell>
        </row>
        <row r="41">
          <cell r="R41">
            <v>0</v>
          </cell>
          <cell r="X41">
            <v>0</v>
          </cell>
          <cell r="Y41">
            <v>0</v>
          </cell>
        </row>
        <row r="44">
          <cell r="R44">
            <v>0</v>
          </cell>
          <cell r="X44">
            <v>17.77</v>
          </cell>
          <cell r="Y44">
            <v>14.64</v>
          </cell>
        </row>
        <row r="45">
          <cell r="R45">
            <v>0</v>
          </cell>
          <cell r="X45">
            <v>332.01</v>
          </cell>
          <cell r="Y45">
            <v>200.18</v>
          </cell>
        </row>
        <row r="46">
          <cell r="R46">
            <v>0</v>
          </cell>
          <cell r="X46">
            <v>0</v>
          </cell>
          <cell r="Y46">
            <v>0</v>
          </cell>
        </row>
        <row r="47">
          <cell r="R47">
            <v>0</v>
          </cell>
          <cell r="X47">
            <v>0</v>
          </cell>
          <cell r="Y47">
            <v>0</v>
          </cell>
        </row>
        <row r="50">
          <cell r="R50">
            <v>1.1000000000000001</v>
          </cell>
          <cell r="X50">
            <v>44.88</v>
          </cell>
          <cell r="Y50">
            <v>30.21</v>
          </cell>
        </row>
        <row r="51">
          <cell r="R51">
            <v>25.69</v>
          </cell>
          <cell r="X51">
            <v>856.42</v>
          </cell>
          <cell r="Y51">
            <v>413.1</v>
          </cell>
        </row>
        <row r="52">
          <cell r="R52">
            <v>0</v>
          </cell>
          <cell r="X52">
            <v>0</v>
          </cell>
          <cell r="Y52">
            <v>0</v>
          </cell>
        </row>
        <row r="53">
          <cell r="R53">
            <v>0</v>
          </cell>
          <cell r="X53">
            <v>0</v>
          </cell>
          <cell r="Y53">
            <v>0</v>
          </cell>
        </row>
        <row r="54">
          <cell r="R54">
            <v>0</v>
          </cell>
          <cell r="X54">
            <v>0</v>
          </cell>
          <cell r="Y54">
            <v>0</v>
          </cell>
        </row>
        <row r="55">
          <cell r="R55">
            <v>0</v>
          </cell>
          <cell r="X55">
            <v>0</v>
          </cell>
          <cell r="Y55">
            <v>0</v>
          </cell>
        </row>
        <row r="56">
          <cell r="R56">
            <v>0</v>
          </cell>
          <cell r="X56">
            <v>0</v>
          </cell>
          <cell r="Y56">
            <v>0</v>
          </cell>
        </row>
        <row r="57">
          <cell r="R57">
            <v>0</v>
          </cell>
          <cell r="X57">
            <v>0</v>
          </cell>
          <cell r="Y57">
            <v>0</v>
          </cell>
        </row>
        <row r="93">
          <cell r="R93">
            <v>0</v>
          </cell>
          <cell r="X93">
            <v>0</v>
          </cell>
          <cell r="Y93">
            <v>0</v>
          </cell>
        </row>
        <row r="94">
          <cell r="R94">
            <v>0</v>
          </cell>
          <cell r="X94">
            <v>0</v>
          </cell>
          <cell r="Y94">
            <v>0</v>
          </cell>
        </row>
        <row r="95">
          <cell r="R95">
            <v>0</v>
          </cell>
          <cell r="X95">
            <v>0</v>
          </cell>
          <cell r="Y95">
            <v>0</v>
          </cell>
        </row>
        <row r="96">
          <cell r="R96">
            <v>0</v>
          </cell>
          <cell r="X96">
            <v>0</v>
          </cell>
          <cell r="Y96">
            <v>0</v>
          </cell>
        </row>
        <row r="97">
          <cell r="R97">
            <v>0</v>
          </cell>
          <cell r="X97">
            <v>0</v>
          </cell>
          <cell r="Y97">
            <v>0</v>
          </cell>
        </row>
        <row r="98">
          <cell r="R98">
            <v>0</v>
          </cell>
          <cell r="X98">
            <v>0</v>
          </cell>
          <cell r="Y98">
            <v>0</v>
          </cell>
        </row>
        <row r="99">
          <cell r="R99">
            <v>0</v>
          </cell>
          <cell r="X99">
            <v>0</v>
          </cell>
          <cell r="Y99">
            <v>0</v>
          </cell>
        </row>
        <row r="100">
          <cell r="R100">
            <v>0</v>
          </cell>
          <cell r="X100">
            <v>0</v>
          </cell>
          <cell r="Y100">
            <v>0</v>
          </cell>
        </row>
      </sheetData>
      <sheetData sheetId="6"/>
      <sheetData sheetId="7"/>
      <sheetData sheetId="8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Ведомость объемов работ"/>
      <sheetName val="Объектная смета"/>
      <sheetName val="RV_DATA"/>
      <sheetName val="Расчет стоимости ресурсов"/>
      <sheetName val="Source"/>
      <sheetName val="SourceObSm"/>
      <sheetName val="SmtRes"/>
      <sheetName val="EtalonRes"/>
      <sheetName val="Дефектная ведомость"/>
      <sheetName val="Локальная ресурсная ведомо"/>
      <sheetName val="Локальная ресурсная ведомо_1"/>
      <sheetName val="Локальная ресурсная ведомо_2"/>
      <sheetName val="Локальная ресурсная ведомо_3"/>
      <sheetName val="Локальная ресурсная ведомо_4"/>
      <sheetName val="Локальная ресурсная ведомо_5"/>
      <sheetName val="Локальная ресурсная ведомо_6"/>
      <sheetName val="Локальная ресурсная ведомо_7"/>
      <sheetName val="Локальная ресурсная ведомо_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B1" t="str">
            <v>Smeta.RU  (495) 974-1589</v>
          </cell>
        </row>
        <row r="12">
          <cell r="H12">
            <v>0</v>
          </cell>
          <cell r="I12">
            <v>0</v>
          </cell>
          <cell r="X12">
            <v>0</v>
          </cell>
          <cell r="Y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ТСН-2001"/>
      <sheetName val="Дефектная ведомость"/>
      <sheetName val="RV_DATA"/>
      <sheetName val="Расчет стоимости ресурсов"/>
      <sheetName val="Source"/>
      <sheetName val="SourceObSm"/>
      <sheetName val="SmtRes"/>
      <sheetName val="EtalonRes"/>
    </sheetNames>
    <sheetDataSet>
      <sheetData sheetId="0"/>
      <sheetData sheetId="1"/>
      <sheetData sheetId="2"/>
      <sheetData sheetId="3"/>
      <sheetData sheetId="4"/>
      <sheetData sheetId="5">
        <row r="16">
          <cell r="C16" t="str">
            <v>02-01-01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3"/>
  <sheetViews>
    <sheetView view="pageBreakPreview" topLeftCell="A73" zoomScale="70" zoomScaleNormal="100" zoomScaleSheetLayoutView="70" workbookViewId="0">
      <selection activeCell="D85" sqref="D85"/>
    </sheetView>
  </sheetViews>
  <sheetFormatPr defaultColWidth="9.140625" defaultRowHeight="12.75" x14ac:dyDescent="0.2"/>
  <cols>
    <col min="1" max="1" width="5" style="16" customWidth="1"/>
    <col min="2" max="2" width="23.5703125" style="25" customWidth="1"/>
    <col min="3" max="3" width="54" style="26" customWidth="1"/>
    <col min="4" max="4" width="13.5703125" style="99" customWidth="1"/>
    <col min="5" max="5" width="13" style="99" customWidth="1"/>
    <col min="6" max="6" width="13.42578125" style="99" customWidth="1"/>
    <col min="7" max="7" width="12.5703125" style="99" customWidth="1"/>
    <col min="8" max="8" width="13.42578125" style="99" customWidth="1"/>
    <col min="9" max="9" width="17.28515625" style="3" customWidth="1"/>
    <col min="10" max="16384" width="9.140625" style="3"/>
  </cols>
  <sheetData>
    <row r="1" spans="1:8" x14ac:dyDescent="0.2">
      <c r="A1" s="1"/>
      <c r="B1" s="1"/>
      <c r="C1" s="1"/>
      <c r="D1" s="2"/>
      <c r="E1" s="2"/>
      <c r="F1" s="2"/>
      <c r="G1" s="2"/>
      <c r="H1" s="2"/>
    </row>
    <row r="2" spans="1:8" ht="18.75" x14ac:dyDescent="0.3">
      <c r="A2" s="4"/>
      <c r="B2" s="4"/>
      <c r="C2" s="4"/>
      <c r="D2" s="5"/>
      <c r="E2" s="6"/>
      <c r="F2" s="364" t="s">
        <v>0</v>
      </c>
      <c r="G2" s="364"/>
      <c r="H2" s="364"/>
    </row>
    <row r="3" spans="1:8" ht="15.75" x14ac:dyDescent="0.25">
      <c r="A3" s="7"/>
      <c r="B3" s="7"/>
      <c r="C3" s="7"/>
      <c r="D3" s="8"/>
      <c r="E3" s="2"/>
      <c r="F3" s="363" t="s">
        <v>162</v>
      </c>
      <c r="G3" s="363"/>
      <c r="H3" s="363"/>
    </row>
    <row r="4" spans="1:8" ht="34.5" customHeight="1" x14ac:dyDescent="0.25">
      <c r="A4" s="366"/>
      <c r="B4" s="366"/>
      <c r="C4" s="366"/>
      <c r="D4" s="366"/>
      <c r="E4" s="9"/>
      <c r="F4" s="367" t="s">
        <v>161</v>
      </c>
      <c r="G4" s="367"/>
      <c r="H4" s="367"/>
    </row>
    <row r="5" spans="1:8" ht="15.75" x14ac:dyDescent="0.25">
      <c r="A5" s="10"/>
      <c r="B5" s="10"/>
      <c r="C5" s="10"/>
      <c r="D5" s="11"/>
      <c r="E5" s="9"/>
      <c r="F5" s="158"/>
      <c r="G5" s="158"/>
      <c r="H5" s="158"/>
    </row>
    <row r="6" spans="1:8" ht="15.75" x14ac:dyDescent="0.25">
      <c r="A6" s="10"/>
      <c r="B6" s="10"/>
      <c r="C6" s="366"/>
      <c r="D6" s="366"/>
      <c r="E6" s="9"/>
      <c r="F6" s="159" t="s">
        <v>163</v>
      </c>
      <c r="G6" s="12"/>
      <c r="H6" s="13"/>
    </row>
    <row r="7" spans="1:8" ht="15.75" x14ac:dyDescent="0.25">
      <c r="A7" s="4"/>
      <c r="B7" s="4"/>
      <c r="C7" s="4"/>
      <c r="D7" s="5"/>
      <c r="E7" s="6"/>
      <c r="F7" s="14"/>
      <c r="G7" s="14"/>
      <c r="H7" s="6"/>
    </row>
    <row r="8" spans="1:8" ht="15.75" x14ac:dyDescent="0.25">
      <c r="A8" s="7"/>
      <c r="B8" s="7"/>
      <c r="C8" s="7"/>
      <c r="D8" s="8"/>
      <c r="E8" s="2"/>
      <c r="F8" s="14" t="s">
        <v>141</v>
      </c>
      <c r="G8" s="14"/>
      <c r="H8" s="6"/>
    </row>
    <row r="9" spans="1:8" s="15" customFormat="1" ht="18" customHeight="1" x14ac:dyDescent="0.2">
      <c r="A9" s="368" t="s">
        <v>1</v>
      </c>
      <c r="B9" s="368"/>
      <c r="C9" s="368"/>
      <c r="D9" s="368"/>
      <c r="E9" s="368"/>
      <c r="F9" s="368"/>
      <c r="G9" s="368"/>
      <c r="H9" s="368"/>
    </row>
    <row r="10" spans="1:8" x14ac:dyDescent="0.2">
      <c r="B10" s="17"/>
      <c r="C10" s="369" t="s">
        <v>2</v>
      </c>
      <c r="D10" s="369"/>
      <c r="E10" s="18" t="e">
        <f>H85</f>
        <v>#REF!</v>
      </c>
      <c r="F10" s="19" t="s">
        <v>3</v>
      </c>
      <c r="G10" s="20"/>
      <c r="H10" s="20"/>
    </row>
    <row r="11" spans="1:8" s="24" customFormat="1" ht="17.25" customHeight="1" x14ac:dyDescent="0.2">
      <c r="A11" s="21"/>
      <c r="B11" s="21"/>
      <c r="C11" s="365" t="s">
        <v>4</v>
      </c>
      <c r="D11" s="365"/>
      <c r="E11" s="22" t="e">
        <f>H90</f>
        <v>#REF!</v>
      </c>
      <c r="F11" s="19" t="s">
        <v>3</v>
      </c>
      <c r="G11" s="23"/>
      <c r="H11" s="23"/>
    </row>
    <row r="12" spans="1:8" ht="7.5" customHeight="1" x14ac:dyDescent="0.2">
      <c r="D12" s="20"/>
      <c r="E12" s="27"/>
      <c r="F12" s="20"/>
      <c r="G12" s="20"/>
      <c r="H12" s="20"/>
    </row>
    <row r="13" spans="1:8" ht="15" customHeight="1" x14ac:dyDescent="0.2">
      <c r="A13" s="370" t="s">
        <v>5</v>
      </c>
      <c r="B13" s="370"/>
      <c r="C13" s="370"/>
      <c r="D13" s="370"/>
      <c r="E13" s="370"/>
      <c r="F13" s="370"/>
      <c r="G13" s="370"/>
      <c r="H13" s="370"/>
    </row>
    <row r="14" spans="1:8" s="34" customFormat="1" ht="6" customHeight="1" x14ac:dyDescent="0.2">
      <c r="A14" s="28"/>
      <c r="B14" s="29"/>
      <c r="C14" s="30"/>
      <c r="D14" s="31"/>
      <c r="E14" s="32"/>
      <c r="F14" s="33"/>
      <c r="G14" s="33"/>
      <c r="H14" s="33"/>
    </row>
    <row r="15" spans="1:8" ht="87.75" customHeight="1" x14ac:dyDescent="0.2">
      <c r="A15" s="371" t="s">
        <v>164</v>
      </c>
      <c r="B15" s="371"/>
      <c r="C15" s="371"/>
      <c r="D15" s="371"/>
      <c r="E15" s="371"/>
      <c r="F15" s="371"/>
      <c r="G15" s="371"/>
      <c r="H15" s="371"/>
    </row>
    <row r="16" spans="1:8" ht="12.75" customHeight="1" x14ac:dyDescent="0.2">
      <c r="A16" s="372" t="s">
        <v>6</v>
      </c>
      <c r="B16" s="372"/>
      <c r="C16" s="372"/>
      <c r="D16" s="372"/>
      <c r="E16" s="372"/>
      <c r="F16" s="372"/>
      <c r="G16" s="372"/>
      <c r="H16" s="372"/>
    </row>
    <row r="17" spans="1:8" x14ac:dyDescent="0.2">
      <c r="A17" s="35" t="s">
        <v>167</v>
      </c>
      <c r="B17" s="35"/>
      <c r="C17" s="35"/>
      <c r="D17" s="36"/>
      <c r="E17" s="20"/>
      <c r="F17" s="20"/>
      <c r="G17" s="20"/>
      <c r="H17" s="20"/>
    </row>
    <row r="18" spans="1:8" x14ac:dyDescent="0.2">
      <c r="A18" s="35"/>
      <c r="B18" s="35"/>
      <c r="C18" s="35"/>
      <c r="D18" s="36"/>
      <c r="E18" s="20"/>
      <c r="F18" s="20"/>
      <c r="G18" s="20"/>
      <c r="H18" s="20"/>
    </row>
    <row r="19" spans="1:8" s="37" customFormat="1" ht="12.75" customHeight="1" x14ac:dyDescent="0.2">
      <c r="A19" s="373" t="s">
        <v>7</v>
      </c>
      <c r="B19" s="374" t="s">
        <v>8</v>
      </c>
      <c r="C19" s="373" t="s">
        <v>9</v>
      </c>
      <c r="D19" s="375" t="s">
        <v>10</v>
      </c>
      <c r="E19" s="375"/>
      <c r="F19" s="375"/>
      <c r="G19" s="375"/>
      <c r="H19" s="376" t="s">
        <v>11</v>
      </c>
    </row>
    <row r="20" spans="1:8" s="37" customFormat="1" ht="12.75" customHeight="1" x14ac:dyDescent="0.2">
      <c r="A20" s="373"/>
      <c r="B20" s="374"/>
      <c r="C20" s="373"/>
      <c r="D20" s="377" t="s">
        <v>12</v>
      </c>
      <c r="E20" s="376" t="s">
        <v>13</v>
      </c>
      <c r="F20" s="376" t="s">
        <v>14</v>
      </c>
      <c r="G20" s="376" t="s">
        <v>15</v>
      </c>
      <c r="H20" s="376"/>
    </row>
    <row r="21" spans="1:8" s="37" customFormat="1" x14ac:dyDescent="0.2">
      <c r="A21" s="373"/>
      <c r="B21" s="374"/>
      <c r="C21" s="373"/>
      <c r="D21" s="377"/>
      <c r="E21" s="376"/>
      <c r="F21" s="376"/>
      <c r="G21" s="376"/>
      <c r="H21" s="376"/>
    </row>
    <row r="22" spans="1:8" s="37" customFormat="1" x14ac:dyDescent="0.2">
      <c r="A22" s="373"/>
      <c r="B22" s="374"/>
      <c r="C22" s="373"/>
      <c r="D22" s="377"/>
      <c r="E22" s="376"/>
      <c r="F22" s="376"/>
      <c r="G22" s="376"/>
      <c r="H22" s="376"/>
    </row>
    <row r="23" spans="1:8" x14ac:dyDescent="0.2">
      <c r="A23" s="38">
        <v>1</v>
      </c>
      <c r="B23" s="39">
        <v>2</v>
      </c>
      <c r="C23" s="38">
        <v>3</v>
      </c>
      <c r="D23" s="40">
        <v>4</v>
      </c>
      <c r="E23" s="40">
        <v>5</v>
      </c>
      <c r="F23" s="40">
        <v>6</v>
      </c>
      <c r="G23" s="40">
        <v>7</v>
      </c>
      <c r="H23" s="40">
        <v>8</v>
      </c>
    </row>
    <row r="24" spans="1:8" ht="26.25" customHeight="1" x14ac:dyDescent="0.2">
      <c r="A24" s="378" t="s">
        <v>16</v>
      </c>
      <c r="B24" s="379"/>
      <c r="C24" s="379"/>
      <c r="D24" s="379"/>
      <c r="E24" s="379"/>
      <c r="F24" s="379"/>
      <c r="G24" s="379"/>
      <c r="H24" s="380"/>
    </row>
    <row r="25" spans="1:8" ht="31.5" x14ac:dyDescent="0.2">
      <c r="A25" s="41">
        <v>1</v>
      </c>
      <c r="B25" s="42"/>
      <c r="C25" s="43" t="s">
        <v>17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</row>
    <row r="26" spans="1:8" ht="31.5" x14ac:dyDescent="0.2">
      <c r="A26" s="41">
        <v>2</v>
      </c>
      <c r="B26" s="42"/>
      <c r="C26" s="43" t="s">
        <v>720</v>
      </c>
      <c r="D26" s="44"/>
      <c r="E26" s="44"/>
      <c r="F26" s="44"/>
      <c r="G26" s="44" t="e">
        <f>#REF!/1000</f>
        <v>#REF!</v>
      </c>
      <c r="H26" s="44" t="e">
        <f>G26</f>
        <v>#REF!</v>
      </c>
    </row>
    <row r="27" spans="1:8" ht="15.75" x14ac:dyDescent="0.2">
      <c r="A27" s="45"/>
      <c r="B27" s="46"/>
      <c r="C27" s="47" t="s">
        <v>18</v>
      </c>
      <c r="D27" s="48">
        <f>D25</f>
        <v>0</v>
      </c>
      <c r="E27" s="48">
        <f>E25</f>
        <v>0</v>
      </c>
      <c r="F27" s="48">
        <f>F25</f>
        <v>0</v>
      </c>
      <c r="G27" s="48" t="e">
        <f>G26</f>
        <v>#REF!</v>
      </c>
      <c r="H27" s="48" t="e">
        <f>H25+H26</f>
        <v>#REF!</v>
      </c>
    </row>
    <row r="28" spans="1:8" ht="18" customHeight="1" x14ac:dyDescent="0.2">
      <c r="A28" s="378" t="s">
        <v>19</v>
      </c>
      <c r="B28" s="379"/>
      <c r="C28" s="379"/>
      <c r="D28" s="379"/>
      <c r="E28" s="379"/>
      <c r="F28" s="379"/>
      <c r="G28" s="379"/>
      <c r="H28" s="380"/>
    </row>
    <row r="29" spans="1:8" ht="108" customHeight="1" x14ac:dyDescent="0.2">
      <c r="A29" s="49">
        <v>3</v>
      </c>
      <c r="B29" s="50" t="s">
        <v>20</v>
      </c>
      <c r="C29" s="43" t="s">
        <v>160</v>
      </c>
      <c r="D29" s="51" t="e">
        <f>#REF!</f>
        <v>#REF!</v>
      </c>
      <c r="E29" s="51" t="e">
        <f>#REF!</f>
        <v>#REF!</v>
      </c>
      <c r="F29" s="51" t="e">
        <f>#REF!</f>
        <v>#REF!</v>
      </c>
      <c r="G29" s="51" t="e">
        <f>#REF!</f>
        <v>#REF!</v>
      </c>
      <c r="H29" s="51" t="e">
        <f>SUM(D29:G29)</f>
        <v>#REF!</v>
      </c>
    </row>
    <row r="30" spans="1:8" ht="18.75" customHeight="1" x14ac:dyDescent="0.2">
      <c r="A30" s="49"/>
      <c r="B30" s="50"/>
      <c r="C30" s="43" t="s">
        <v>721</v>
      </c>
      <c r="D30" s="51"/>
      <c r="E30" s="51"/>
      <c r="F30" s="51" t="e">
        <f>#REF!</f>
        <v>#REF!</v>
      </c>
      <c r="G30" s="51"/>
      <c r="H30" s="51"/>
    </row>
    <row r="31" spans="1:8" ht="15.75" x14ac:dyDescent="0.2">
      <c r="A31" s="45"/>
      <c r="B31" s="46"/>
      <c r="C31" s="47" t="s">
        <v>21</v>
      </c>
      <c r="D31" s="48" t="e">
        <f>SUM(D29:D29)</f>
        <v>#REF!</v>
      </c>
      <c r="E31" s="48" t="e">
        <f t="shared" ref="E31:H31" si="0">SUM(E29:E29)</f>
        <v>#REF!</v>
      </c>
      <c r="F31" s="48" t="e">
        <f t="shared" si="0"/>
        <v>#REF!</v>
      </c>
      <c r="G31" s="48" t="e">
        <f t="shared" si="0"/>
        <v>#REF!</v>
      </c>
      <c r="H31" s="48" t="e">
        <f t="shared" si="0"/>
        <v>#REF!</v>
      </c>
    </row>
    <row r="32" spans="1:8" s="34" customFormat="1" ht="15.75" x14ac:dyDescent="0.2">
      <c r="A32" s="45"/>
      <c r="B32" s="46"/>
      <c r="C32" s="47" t="s">
        <v>137</v>
      </c>
      <c r="D32" s="48" t="e">
        <f>#REF!</f>
        <v>#REF!</v>
      </c>
      <c r="E32" s="48"/>
      <c r="F32" s="48"/>
      <c r="G32" s="48"/>
      <c r="H32" s="48"/>
    </row>
    <row r="33" spans="1:8" ht="23.25" customHeight="1" x14ac:dyDescent="0.2">
      <c r="A33" s="378" t="s">
        <v>22</v>
      </c>
      <c r="B33" s="379"/>
      <c r="C33" s="379"/>
      <c r="D33" s="379"/>
      <c r="E33" s="379"/>
      <c r="F33" s="379"/>
      <c r="G33" s="379"/>
      <c r="H33" s="380"/>
    </row>
    <row r="34" spans="1:8" ht="15.75" x14ac:dyDescent="0.2">
      <c r="A34" s="45">
        <v>4</v>
      </c>
      <c r="B34" s="46"/>
      <c r="C34" s="43" t="s">
        <v>23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</row>
    <row r="35" spans="1:8" ht="15.75" x14ac:dyDescent="0.2">
      <c r="A35" s="45"/>
      <c r="B35" s="46"/>
      <c r="C35" s="47" t="s">
        <v>24</v>
      </c>
      <c r="D35" s="48">
        <f>D34</f>
        <v>0</v>
      </c>
      <c r="E35" s="48">
        <f>E34</f>
        <v>0</v>
      </c>
      <c r="F35" s="48">
        <f>F34</f>
        <v>0</v>
      </c>
      <c r="G35" s="48">
        <f>G34</f>
        <v>0</v>
      </c>
      <c r="H35" s="48">
        <f>H34</f>
        <v>0</v>
      </c>
    </row>
    <row r="36" spans="1:8" s="34" customFormat="1" ht="15.75" x14ac:dyDescent="0.2">
      <c r="A36" s="45"/>
      <c r="B36" s="46"/>
      <c r="C36" s="47"/>
      <c r="D36" s="48"/>
      <c r="E36" s="48"/>
      <c r="F36" s="48"/>
      <c r="G36" s="48"/>
      <c r="H36" s="48"/>
    </row>
    <row r="37" spans="1:8" ht="12.75" hidden="1" customHeight="1" x14ac:dyDescent="0.2">
      <c r="A37" s="381" t="s">
        <v>25</v>
      </c>
      <c r="B37" s="382"/>
      <c r="C37" s="383"/>
      <c r="D37" s="383"/>
      <c r="E37" s="383"/>
      <c r="F37" s="383"/>
      <c r="G37" s="383"/>
      <c r="H37" s="383"/>
    </row>
    <row r="38" spans="1:8" ht="15.75" hidden="1" x14ac:dyDescent="0.2">
      <c r="A38" s="53"/>
      <c r="B38" s="54"/>
      <c r="C38" s="55" t="s">
        <v>26</v>
      </c>
      <c r="D38" s="56"/>
      <c r="E38" s="57"/>
      <c r="F38" s="57"/>
      <c r="G38" s="57"/>
      <c r="H38" s="52"/>
    </row>
    <row r="39" spans="1:8" ht="15.75" hidden="1" x14ac:dyDescent="0.2">
      <c r="A39" s="45"/>
      <c r="B39" s="46"/>
      <c r="C39" s="47" t="s">
        <v>27</v>
      </c>
      <c r="D39" s="48"/>
      <c r="E39" s="48"/>
      <c r="F39" s="48"/>
      <c r="G39" s="48"/>
      <c r="H39" s="58"/>
    </row>
    <row r="40" spans="1:8" ht="15.75" hidden="1" x14ac:dyDescent="0.2">
      <c r="A40" s="45"/>
      <c r="B40" s="46"/>
      <c r="C40" s="47"/>
      <c r="D40" s="48"/>
      <c r="E40" s="48"/>
      <c r="F40" s="48"/>
      <c r="G40" s="48"/>
      <c r="H40" s="48"/>
    </row>
    <row r="41" spans="1:8" ht="12.75" hidden="1" customHeight="1" x14ac:dyDescent="0.2">
      <c r="A41" s="381" t="s">
        <v>28</v>
      </c>
      <c r="B41" s="382"/>
      <c r="C41" s="383"/>
      <c r="D41" s="383"/>
      <c r="E41" s="383"/>
      <c r="F41" s="383"/>
      <c r="G41" s="383"/>
      <c r="H41" s="383"/>
    </row>
    <row r="42" spans="1:8" ht="15.75" hidden="1" x14ac:dyDescent="0.2">
      <c r="A42" s="53"/>
      <c r="B42" s="54"/>
      <c r="C42" s="55" t="s">
        <v>26</v>
      </c>
      <c r="D42" s="56"/>
      <c r="E42" s="57"/>
      <c r="F42" s="57"/>
      <c r="G42" s="57"/>
      <c r="H42" s="52"/>
    </row>
    <row r="43" spans="1:8" ht="15.75" hidden="1" x14ac:dyDescent="0.2">
      <c r="A43" s="45"/>
      <c r="B43" s="46"/>
      <c r="C43" s="47" t="s">
        <v>29</v>
      </c>
      <c r="D43" s="48"/>
      <c r="E43" s="48"/>
      <c r="F43" s="48"/>
      <c r="G43" s="48"/>
      <c r="H43" s="58"/>
    </row>
    <row r="44" spans="1:8" ht="35.25" customHeight="1" x14ac:dyDescent="0.2">
      <c r="A44" s="384" t="s">
        <v>30</v>
      </c>
      <c r="B44" s="385"/>
      <c r="C44" s="385"/>
      <c r="D44" s="385"/>
      <c r="E44" s="385"/>
      <c r="F44" s="385"/>
      <c r="G44" s="385"/>
      <c r="H44" s="385"/>
    </row>
    <row r="45" spans="1:8" ht="47.25" x14ac:dyDescent="0.2">
      <c r="A45" s="53">
        <v>5</v>
      </c>
      <c r="B45" s="54"/>
      <c r="C45" s="43" t="s">
        <v>31</v>
      </c>
      <c r="D45" s="56">
        <v>0</v>
      </c>
      <c r="E45" s="56">
        <v>0</v>
      </c>
      <c r="F45" s="56">
        <v>0</v>
      </c>
      <c r="G45" s="56">
        <v>0</v>
      </c>
      <c r="H45" s="56">
        <f>SUM(D45:G45)</f>
        <v>0</v>
      </c>
    </row>
    <row r="46" spans="1:8" ht="15.75" x14ac:dyDescent="0.2">
      <c r="A46" s="53"/>
      <c r="B46" s="54"/>
      <c r="C46" s="43"/>
      <c r="D46" s="56"/>
      <c r="E46" s="57"/>
      <c r="F46" s="57"/>
      <c r="G46" s="57"/>
      <c r="H46" s="56"/>
    </row>
    <row r="47" spans="1:8" ht="15.75" x14ac:dyDescent="0.2">
      <c r="A47" s="45"/>
      <c r="B47" s="46"/>
      <c r="C47" s="47" t="s">
        <v>27</v>
      </c>
      <c r="D47" s="48">
        <f>SUM(D45:D46)</f>
        <v>0</v>
      </c>
      <c r="E47" s="48">
        <f>SUM(E45:E46)</f>
        <v>0</v>
      </c>
      <c r="F47" s="48">
        <f>SUM(F45:F46)</f>
        <v>0</v>
      </c>
      <c r="G47" s="48">
        <f>SUM(G45:G46)</f>
        <v>0</v>
      </c>
      <c r="H47" s="48">
        <f>SUM(H45:H46)</f>
        <v>0</v>
      </c>
    </row>
    <row r="48" spans="1:8" s="34" customFormat="1" ht="15.75" x14ac:dyDescent="0.2">
      <c r="A48" s="45"/>
      <c r="B48" s="46"/>
      <c r="C48" s="47"/>
      <c r="D48" s="48"/>
      <c r="E48" s="48"/>
      <c r="F48" s="48"/>
      <c r="G48" s="48"/>
      <c r="H48" s="48"/>
    </row>
    <row r="49" spans="1:9" ht="26.25" customHeight="1" x14ac:dyDescent="0.2">
      <c r="A49" s="378" t="s">
        <v>32</v>
      </c>
      <c r="B49" s="379"/>
      <c r="C49" s="379"/>
      <c r="D49" s="379"/>
      <c r="E49" s="379"/>
      <c r="F49" s="379"/>
      <c r="G49" s="379"/>
      <c r="H49" s="380"/>
    </row>
    <row r="50" spans="1:9" s="64" customFormat="1" ht="30" customHeight="1" x14ac:dyDescent="0.2">
      <c r="A50" s="59">
        <v>6</v>
      </c>
      <c r="B50" s="60"/>
      <c r="C50" s="61" t="s">
        <v>33</v>
      </c>
      <c r="D50" s="62">
        <v>0</v>
      </c>
      <c r="E50" s="62">
        <v>0</v>
      </c>
      <c r="F50" s="62">
        <v>0</v>
      </c>
      <c r="G50" s="62">
        <v>0</v>
      </c>
      <c r="H50" s="62">
        <f>SUM(D50:G50)</f>
        <v>0</v>
      </c>
      <c r="I50" s="63"/>
    </row>
    <row r="51" spans="1:9" ht="21.75" customHeight="1" x14ac:dyDescent="0.2">
      <c r="A51" s="45"/>
      <c r="B51" s="46"/>
      <c r="C51" s="47" t="s">
        <v>29</v>
      </c>
      <c r="D51" s="48">
        <f>D50</f>
        <v>0</v>
      </c>
      <c r="E51" s="48">
        <f>E50</f>
        <v>0</v>
      </c>
      <c r="F51" s="48">
        <f>F50</f>
        <v>0</v>
      </c>
      <c r="G51" s="48">
        <f>G50</f>
        <v>0</v>
      </c>
      <c r="H51" s="48">
        <f>H50</f>
        <v>0</v>
      </c>
    </row>
    <row r="52" spans="1:9" ht="15.75" x14ac:dyDescent="0.2">
      <c r="A52" s="45"/>
      <c r="B52" s="46"/>
      <c r="C52" s="47" t="s">
        <v>34</v>
      </c>
      <c r="D52" s="48" t="e">
        <f>D31+D43+D47+D51</f>
        <v>#REF!</v>
      </c>
      <c r="E52" s="48" t="e">
        <f>E31+E43+E47+E51</f>
        <v>#REF!</v>
      </c>
      <c r="F52" s="48" t="e">
        <f>F31+F43+F47+F51</f>
        <v>#REF!</v>
      </c>
      <c r="G52" s="48" t="e">
        <f>G31+G43+G47+G51+G27</f>
        <v>#REF!</v>
      </c>
      <c r="H52" s="48" t="e">
        <f>H27+H31+H43+H47+H51</f>
        <v>#REF!</v>
      </c>
    </row>
    <row r="53" spans="1:9" s="34" customFormat="1" ht="15.75" x14ac:dyDescent="0.2">
      <c r="A53" s="45"/>
      <c r="B53" s="46"/>
      <c r="C53" s="65"/>
      <c r="D53" s="52"/>
      <c r="E53" s="52"/>
      <c r="F53" s="52"/>
      <c r="G53" s="52"/>
      <c r="H53" s="52"/>
    </row>
    <row r="54" spans="1:9" ht="27.75" customHeight="1" x14ac:dyDescent="0.2">
      <c r="A54" s="378" t="s">
        <v>35</v>
      </c>
      <c r="B54" s="379"/>
      <c r="C54" s="379"/>
      <c r="D54" s="379"/>
      <c r="E54" s="379"/>
      <c r="F54" s="379"/>
      <c r="G54" s="379"/>
      <c r="H54" s="380"/>
    </row>
    <row r="55" spans="1:9" ht="27" customHeight="1" x14ac:dyDescent="0.2">
      <c r="A55" s="49">
        <f>A50+1</f>
        <v>7</v>
      </c>
      <c r="B55" s="66" t="s">
        <v>149</v>
      </c>
      <c r="C55" s="67" t="s">
        <v>150</v>
      </c>
      <c r="D55" s="52" t="e">
        <f>ROUND(D52*0.015,2)</f>
        <v>#REF!</v>
      </c>
      <c r="E55" s="52" t="e">
        <f>ROUND(E52*0.015,2)</f>
        <v>#REF!</v>
      </c>
      <c r="F55" s="52">
        <v>0</v>
      </c>
      <c r="G55" s="52">
        <v>0</v>
      </c>
      <c r="H55" s="52" t="e">
        <f>SUM(D55:G55)</f>
        <v>#REF!</v>
      </c>
    </row>
    <row r="56" spans="1:9" ht="15.75" x14ac:dyDescent="0.2">
      <c r="A56" s="45"/>
      <c r="B56" s="46"/>
      <c r="C56" s="47" t="s">
        <v>36</v>
      </c>
      <c r="D56" s="48" t="e">
        <f>D55</f>
        <v>#REF!</v>
      </c>
      <c r="E56" s="48" t="e">
        <f>E55</f>
        <v>#REF!</v>
      </c>
      <c r="F56" s="48">
        <f>F55</f>
        <v>0</v>
      </c>
      <c r="G56" s="48">
        <v>0</v>
      </c>
      <c r="H56" s="48" t="e">
        <f>SUM(D56:G56)</f>
        <v>#REF!</v>
      </c>
    </row>
    <row r="57" spans="1:9" ht="15.75" x14ac:dyDescent="0.2">
      <c r="A57" s="68"/>
      <c r="B57" s="69"/>
      <c r="C57" s="47" t="s">
        <v>37</v>
      </c>
      <c r="D57" s="48" t="e">
        <f>D52+D56</f>
        <v>#REF!</v>
      </c>
      <c r="E57" s="48" t="e">
        <f>E52+E56</f>
        <v>#REF!</v>
      </c>
      <c r="F57" s="48" t="e">
        <f>F52+F56</f>
        <v>#REF!</v>
      </c>
      <c r="G57" s="48" t="e">
        <f>G52+G56</f>
        <v>#REF!</v>
      </c>
      <c r="H57" s="48" t="e">
        <f>SUM(D57:G57)</f>
        <v>#REF!</v>
      </c>
    </row>
    <row r="58" spans="1:9" s="34" customFormat="1" ht="15.75" x14ac:dyDescent="0.2">
      <c r="A58" s="68"/>
      <c r="B58" s="69"/>
      <c r="C58" s="47"/>
      <c r="D58" s="48"/>
      <c r="E58" s="48"/>
      <c r="F58" s="48"/>
      <c r="G58" s="48"/>
      <c r="H58" s="48"/>
    </row>
    <row r="59" spans="1:9" ht="24" customHeight="1" x14ac:dyDescent="0.2">
      <c r="A59" s="378" t="s">
        <v>38</v>
      </c>
      <c r="B59" s="379"/>
      <c r="C59" s="379"/>
      <c r="D59" s="379"/>
      <c r="E59" s="379"/>
      <c r="F59" s="379"/>
      <c r="G59" s="379"/>
      <c r="H59" s="380"/>
    </row>
    <row r="60" spans="1:9" ht="46.5" customHeight="1" x14ac:dyDescent="0.2">
      <c r="A60" s="49">
        <f>A55+1</f>
        <v>8</v>
      </c>
      <c r="B60" s="66"/>
      <c r="C60" s="70" t="s">
        <v>152</v>
      </c>
      <c r="D60" s="52">
        <v>0</v>
      </c>
      <c r="E60" s="52">
        <v>0</v>
      </c>
      <c r="F60" s="52">
        <v>0</v>
      </c>
      <c r="G60" s="51">
        <v>0</v>
      </c>
      <c r="H60" s="52">
        <f>SUM(D60:G60)</f>
        <v>0</v>
      </c>
    </row>
    <row r="61" spans="1:9" ht="22.5" customHeight="1" x14ac:dyDescent="0.2">
      <c r="A61" s="49"/>
      <c r="B61" s="3"/>
      <c r="C61" s="67"/>
      <c r="D61" s="52"/>
      <c r="E61" s="52"/>
      <c r="F61" s="52"/>
      <c r="G61" s="51"/>
      <c r="H61" s="52"/>
    </row>
    <row r="62" spans="1:9" ht="15.75" x14ac:dyDescent="0.2">
      <c r="A62" s="45"/>
      <c r="B62" s="46"/>
      <c r="C62" s="47" t="s">
        <v>40</v>
      </c>
      <c r="D62" s="48">
        <f>SUM(D60:D60)</f>
        <v>0</v>
      </c>
      <c r="E62" s="48">
        <f>SUM(E60:E60)</f>
        <v>0</v>
      </c>
      <c r="F62" s="48">
        <f>SUM(F60:F60)</f>
        <v>0</v>
      </c>
      <c r="G62" s="48">
        <f>SUM(G60:G60)</f>
        <v>0</v>
      </c>
      <c r="H62" s="48">
        <f>SUM(H60:H60)</f>
        <v>0</v>
      </c>
    </row>
    <row r="63" spans="1:9" ht="15.75" x14ac:dyDescent="0.2">
      <c r="A63" s="45"/>
      <c r="B63" s="46"/>
      <c r="C63" s="47" t="s">
        <v>41</v>
      </c>
      <c r="D63" s="48" t="e">
        <f>D57+D62</f>
        <v>#REF!</v>
      </c>
      <c r="E63" s="48" t="e">
        <f>E57+E62</f>
        <v>#REF!</v>
      </c>
      <c r="F63" s="48" t="e">
        <f>F57+F62</f>
        <v>#REF!</v>
      </c>
      <c r="G63" s="48" t="e">
        <f>G57+G62</f>
        <v>#REF!</v>
      </c>
      <c r="H63" s="48" t="e">
        <f>SUM(D63:G63)</f>
        <v>#REF!</v>
      </c>
    </row>
    <row r="64" spans="1:9" s="34" customFormat="1" ht="15.75" x14ac:dyDescent="0.2">
      <c r="A64" s="45"/>
      <c r="B64" s="46"/>
      <c r="C64" s="47"/>
      <c r="D64" s="48"/>
      <c r="E64" s="48"/>
      <c r="F64" s="48"/>
      <c r="G64" s="48"/>
      <c r="H64" s="48"/>
    </row>
    <row r="65" spans="1:27" ht="30" customHeight="1" x14ac:dyDescent="0.2">
      <c r="A65" s="378" t="s">
        <v>42</v>
      </c>
      <c r="B65" s="379"/>
      <c r="C65" s="379"/>
      <c r="D65" s="379"/>
      <c r="E65" s="379"/>
      <c r="F65" s="379"/>
      <c r="G65" s="379"/>
      <c r="H65" s="380"/>
    </row>
    <row r="66" spans="1:27" ht="63" hidden="1" x14ac:dyDescent="0.2">
      <c r="A66" s="49">
        <v>3</v>
      </c>
      <c r="B66" s="66" t="s">
        <v>43</v>
      </c>
      <c r="C66" s="65" t="s">
        <v>44</v>
      </c>
      <c r="D66" s="52">
        <v>0</v>
      </c>
      <c r="E66" s="52">
        <v>0</v>
      </c>
      <c r="F66" s="71">
        <v>0</v>
      </c>
      <c r="G66" s="57" t="e">
        <f>H63/100*1.25*0.19*1.1*0</f>
        <v>#REF!</v>
      </c>
      <c r="H66" s="52" t="e">
        <f>G66</f>
        <v>#REF!</v>
      </c>
    </row>
    <row r="67" spans="1:27" ht="63" x14ac:dyDescent="0.2">
      <c r="A67" s="72">
        <f>A60+1</f>
        <v>9</v>
      </c>
      <c r="B67" s="54" t="s">
        <v>45</v>
      </c>
      <c r="C67" s="43" t="s">
        <v>103</v>
      </c>
      <c r="D67" s="56">
        <v>0</v>
      </c>
      <c r="E67" s="57">
        <v>0</v>
      </c>
      <c r="F67" s="57">
        <v>0</v>
      </c>
      <c r="G67" s="57" t="e">
        <f>ROUND(H63/100*1.375,2)</f>
        <v>#REF!</v>
      </c>
      <c r="H67" s="56" t="e">
        <f>SUM(D67:G67)</f>
        <v>#REF!</v>
      </c>
    </row>
    <row r="68" spans="1:27" ht="63" x14ac:dyDescent="0.2">
      <c r="A68" s="72">
        <f>A67+1</f>
        <v>10</v>
      </c>
      <c r="B68" s="54" t="s">
        <v>46</v>
      </c>
      <c r="C68" s="43" t="s">
        <v>158</v>
      </c>
      <c r="D68" s="56"/>
      <c r="E68" s="57"/>
      <c r="F68" s="57"/>
      <c r="G68" s="57" t="e">
        <f>ROUND(H63*0.0214,2)</f>
        <v>#REF!</v>
      </c>
      <c r="H68" s="56" t="e">
        <f>SUM(D68:G68)</f>
        <v>#REF!</v>
      </c>
    </row>
    <row r="69" spans="1:27" s="34" customFormat="1" ht="15.75" x14ac:dyDescent="0.2">
      <c r="A69" s="72"/>
      <c r="B69" s="73"/>
      <c r="C69" s="47" t="s">
        <v>47</v>
      </c>
      <c r="D69" s="48">
        <f>SUM(D67:D68)</f>
        <v>0</v>
      </c>
      <c r="E69" s="48">
        <f t="shared" ref="E69:H69" si="1">SUM(E67:E68)</f>
        <v>0</v>
      </c>
      <c r="F69" s="48">
        <f t="shared" si="1"/>
        <v>0</v>
      </c>
      <c r="G69" s="48" t="e">
        <f t="shared" si="1"/>
        <v>#REF!</v>
      </c>
      <c r="H69" s="48" t="e">
        <f t="shared" si="1"/>
        <v>#REF!</v>
      </c>
    </row>
    <row r="70" spans="1:27" ht="12.75" hidden="1" customHeight="1" x14ac:dyDescent="0.2">
      <c r="A70" s="381" t="s">
        <v>48</v>
      </c>
      <c r="B70" s="382"/>
      <c r="C70" s="383"/>
      <c r="D70" s="383"/>
      <c r="E70" s="383"/>
      <c r="F70" s="383"/>
      <c r="G70" s="383"/>
      <c r="H70" s="383"/>
    </row>
    <row r="71" spans="1:27" ht="15.75" hidden="1" x14ac:dyDescent="0.2">
      <c r="A71" s="49"/>
      <c r="B71" s="66"/>
      <c r="C71" s="55" t="s">
        <v>26</v>
      </c>
      <c r="D71" s="52"/>
      <c r="E71" s="52"/>
      <c r="F71" s="71"/>
      <c r="G71" s="71"/>
      <c r="H71" s="52"/>
    </row>
    <row r="72" spans="1:27" ht="15.75" hidden="1" x14ac:dyDescent="0.2">
      <c r="A72" s="72"/>
      <c r="B72" s="73"/>
      <c r="C72" s="74"/>
      <c r="D72" s="75"/>
      <c r="E72" s="75"/>
      <c r="F72" s="76"/>
      <c r="G72" s="76"/>
      <c r="H72" s="77"/>
    </row>
    <row r="73" spans="1:27" ht="29.25" customHeight="1" x14ac:dyDescent="0.2">
      <c r="A73" s="378" t="s">
        <v>49</v>
      </c>
      <c r="B73" s="379"/>
      <c r="C73" s="379"/>
      <c r="D73" s="379"/>
      <c r="E73" s="379"/>
      <c r="F73" s="379"/>
      <c r="G73" s="379"/>
      <c r="H73" s="380"/>
    </row>
    <row r="74" spans="1:27" ht="24" customHeight="1" x14ac:dyDescent="0.2">
      <c r="A74" s="49">
        <f>A68+1</f>
        <v>11</v>
      </c>
      <c r="B74" s="54" t="s">
        <v>50</v>
      </c>
      <c r="C74" s="78" t="s">
        <v>51</v>
      </c>
      <c r="D74" s="56">
        <v>0</v>
      </c>
      <c r="E74" s="56">
        <v>0</v>
      </c>
      <c r="F74" s="56">
        <v>0</v>
      </c>
      <c r="G74" s="56" t="e">
        <f>#REF!/1000</f>
        <v>#REF!</v>
      </c>
      <c r="H74" s="79" t="e">
        <f>SUM(D74:G74)</f>
        <v>#REF!</v>
      </c>
    </row>
    <row r="75" spans="1:27" ht="39.75" customHeight="1" x14ac:dyDescent="0.2">
      <c r="A75" s="49">
        <f>A74+1</f>
        <v>12</v>
      </c>
      <c r="B75" s="54" t="s">
        <v>157</v>
      </c>
      <c r="C75" s="78" t="s">
        <v>153</v>
      </c>
      <c r="D75" s="56"/>
      <c r="E75" s="56"/>
      <c r="F75" s="56"/>
      <c r="G75" s="56" t="e">
        <f>ROUND(G74*0.0265*1.2,2)</f>
        <v>#REF!</v>
      </c>
      <c r="H75" s="79" t="e">
        <f>SUM(D75:G75)</f>
        <v>#REF!</v>
      </c>
    </row>
    <row r="76" spans="1:27" s="264" customFormat="1" ht="39.75" customHeight="1" x14ac:dyDescent="0.2">
      <c r="A76" s="260">
        <v>12</v>
      </c>
      <c r="B76" s="261" t="s">
        <v>156</v>
      </c>
      <c r="C76" s="262" t="s">
        <v>52</v>
      </c>
      <c r="D76" s="263"/>
      <c r="E76" s="263"/>
      <c r="F76" s="263"/>
      <c r="G76" s="263">
        <f>ROUND(992578.45/1000,2)</f>
        <v>992.58</v>
      </c>
      <c r="H76" s="263">
        <f>G76</f>
        <v>992.58</v>
      </c>
    </row>
    <row r="77" spans="1:27" s="264" customFormat="1" ht="63" customHeight="1" x14ac:dyDescent="0.2">
      <c r="A77" s="260">
        <v>13</v>
      </c>
      <c r="B77" s="261" t="s">
        <v>156</v>
      </c>
      <c r="C77" s="262" t="s">
        <v>159</v>
      </c>
      <c r="D77" s="263">
        <v>0</v>
      </c>
      <c r="E77" s="263">
        <v>0</v>
      </c>
      <c r="F77" s="263">
        <v>0</v>
      </c>
      <c r="G77" s="263">
        <f>300000/1000</f>
        <v>300</v>
      </c>
      <c r="H77" s="263">
        <f>SUM(D77:G77)</f>
        <v>300</v>
      </c>
      <c r="K77" s="264" t="s">
        <v>53</v>
      </c>
    </row>
    <row r="78" spans="1:27" s="24" customFormat="1" ht="63" customHeight="1" x14ac:dyDescent="0.2">
      <c r="A78" s="49">
        <f t="shared" ref="A78" si="2">A77+1</f>
        <v>14</v>
      </c>
      <c r="B78" s="54" t="s">
        <v>54</v>
      </c>
      <c r="C78" s="78" t="s">
        <v>55</v>
      </c>
      <c r="D78" s="56"/>
      <c r="E78" s="56"/>
      <c r="F78" s="56"/>
      <c r="G78" s="56" t="e">
        <f>ROUND(H63*0.0015,2)</f>
        <v>#REF!</v>
      </c>
      <c r="H78" s="79" t="e">
        <f>SUM(D78:G78)</f>
        <v>#REF!</v>
      </c>
    </row>
    <row r="79" spans="1:27" ht="15.75" x14ac:dyDescent="0.2">
      <c r="A79" s="45"/>
      <c r="B79" s="46"/>
      <c r="C79" s="47" t="s">
        <v>56</v>
      </c>
      <c r="D79" s="80">
        <f>SUM(D74:D78)</f>
        <v>0</v>
      </c>
      <c r="E79" s="80">
        <f>SUM(E74:E78)</f>
        <v>0</v>
      </c>
      <c r="F79" s="80">
        <f>SUM(F74:F78)</f>
        <v>0</v>
      </c>
      <c r="G79" s="80" t="e">
        <f>SUM(G74:G78)</f>
        <v>#REF!</v>
      </c>
      <c r="H79" s="80" t="e">
        <f>SUM(H74:H78)</f>
        <v>#REF!</v>
      </c>
    </row>
    <row r="80" spans="1:27" ht="15.75" x14ac:dyDescent="0.2">
      <c r="A80" s="45"/>
      <c r="B80" s="46"/>
      <c r="C80" s="47" t="s">
        <v>57</v>
      </c>
      <c r="D80" s="80" t="e">
        <f>D79+D69+D63</f>
        <v>#REF!</v>
      </c>
      <c r="E80" s="80" t="e">
        <f>E79+E69+E63</f>
        <v>#REF!</v>
      </c>
      <c r="F80" s="80" t="e">
        <f>F79+F69+F63</f>
        <v>#REF!</v>
      </c>
      <c r="G80" s="80" t="e">
        <f>G79+G69+G63</f>
        <v>#REF!</v>
      </c>
      <c r="H80" s="80" t="e">
        <f>H79+H69+H63</f>
        <v>#REF!</v>
      </c>
      <c r="T80" s="378"/>
      <c r="U80" s="379"/>
      <c r="V80" s="379"/>
      <c r="W80" s="379"/>
      <c r="X80" s="379"/>
      <c r="Y80" s="379"/>
      <c r="Z80" s="379"/>
      <c r="AA80" s="380"/>
    </row>
    <row r="81" spans="1:10" ht="38.25" customHeight="1" x14ac:dyDescent="0.2">
      <c r="A81" s="49">
        <f>A78+1</f>
        <v>15</v>
      </c>
      <c r="B81" s="66" t="s">
        <v>58</v>
      </c>
      <c r="C81" s="65" t="s">
        <v>59</v>
      </c>
      <c r="D81" s="71" t="e">
        <f>ROUND(D80/100*2,2)</f>
        <v>#REF!</v>
      </c>
      <c r="E81" s="71" t="e">
        <f>ROUND(E80/100*2,2)</f>
        <v>#REF!</v>
      </c>
      <c r="F81" s="71" t="e">
        <f>ROUND(F80/100*2,2)</f>
        <v>#REF!</v>
      </c>
      <c r="G81" s="71" t="e">
        <f>ROUND(G80/100*2,2)</f>
        <v>#REF!</v>
      </c>
      <c r="H81" s="71" t="e">
        <f>SUM(D81:G81)</f>
        <v>#REF!</v>
      </c>
    </row>
    <row r="82" spans="1:10" ht="31.5" x14ac:dyDescent="0.2">
      <c r="A82" s="81"/>
      <c r="B82" s="82"/>
      <c r="C82" s="83" t="s">
        <v>3849</v>
      </c>
      <c r="D82" s="84" t="e">
        <f>D81+D80</f>
        <v>#REF!</v>
      </c>
      <c r="E82" s="84" t="e">
        <f>E81+E80</f>
        <v>#REF!</v>
      </c>
      <c r="F82" s="84" t="e">
        <f>F81+F80</f>
        <v>#REF!</v>
      </c>
      <c r="G82" s="84" t="e">
        <f>G81+G80</f>
        <v>#REF!</v>
      </c>
      <c r="H82" s="84" t="e">
        <f>SUM(D82:G82)</f>
        <v>#REF!</v>
      </c>
    </row>
    <row r="83" spans="1:10" ht="31.5" x14ac:dyDescent="0.2">
      <c r="A83" s="49">
        <f>A81+1</f>
        <v>16</v>
      </c>
      <c r="B83" s="66" t="s">
        <v>61</v>
      </c>
      <c r="C83" s="65" t="s">
        <v>138</v>
      </c>
      <c r="D83" s="52" t="e">
        <f>ROUND(D32*1.015*1.02*0.2,2)</f>
        <v>#REF!</v>
      </c>
      <c r="E83" s="52"/>
      <c r="F83" s="52" t="e">
        <f>ROUND((F31-F30)*0.2*1.02,2)</f>
        <v>#REF!</v>
      </c>
      <c r="G83" s="52"/>
      <c r="H83" s="52" t="e">
        <f>SUM(D83:G83)</f>
        <v>#REF!</v>
      </c>
      <c r="I83" s="120"/>
    </row>
    <row r="84" spans="1:10" ht="15.75" x14ac:dyDescent="0.2">
      <c r="A84" s="49"/>
      <c r="B84" s="66"/>
      <c r="C84" s="65" t="s">
        <v>154</v>
      </c>
      <c r="D84" s="52"/>
      <c r="E84" s="52"/>
      <c r="F84" s="52"/>
      <c r="G84" s="52" t="e">
        <f>ROUND((G67+G78)*0.2,2)</f>
        <v>#REF!</v>
      </c>
      <c r="H84" s="52" t="e">
        <f>SUM(D84:G84)</f>
        <v>#REF!</v>
      </c>
      <c r="I84" s="120"/>
    </row>
    <row r="85" spans="1:10" ht="15.75" x14ac:dyDescent="0.2">
      <c r="A85" s="85"/>
      <c r="B85" s="86"/>
      <c r="C85" s="83" t="s">
        <v>62</v>
      </c>
      <c r="D85" s="84" t="e">
        <f>D83+D82</f>
        <v>#REF!</v>
      </c>
      <c r="E85" s="84" t="e">
        <f>E83+E82</f>
        <v>#REF!</v>
      </c>
      <c r="F85" s="84" t="e">
        <f>F83+F82</f>
        <v>#REF!</v>
      </c>
      <c r="G85" s="84" t="e">
        <f>SUM(G82:G84)</f>
        <v>#REF!</v>
      </c>
      <c r="H85" s="84" t="e">
        <f>SUM(D85:G85)</f>
        <v>#REF!</v>
      </c>
    </row>
    <row r="86" spans="1:10" ht="15.75" x14ac:dyDescent="0.2">
      <c r="A86" s="85"/>
      <c r="B86" s="86"/>
      <c r="C86" s="83" t="s">
        <v>63</v>
      </c>
      <c r="D86" s="84"/>
      <c r="E86" s="84"/>
      <c r="F86" s="84"/>
      <c r="G86" s="84"/>
      <c r="H86" s="84"/>
    </row>
    <row r="87" spans="1:10" ht="15.75" x14ac:dyDescent="0.2">
      <c r="A87" s="85"/>
      <c r="B87" s="86"/>
      <c r="C87" s="83" t="s">
        <v>64</v>
      </c>
      <c r="D87" s="84"/>
      <c r="E87" s="84"/>
      <c r="F87" s="84"/>
      <c r="G87" s="84"/>
      <c r="H87" s="84" t="e">
        <f>H74</f>
        <v>#REF!</v>
      </c>
    </row>
    <row r="88" spans="1:10" ht="15.75" hidden="1" x14ac:dyDescent="0.2">
      <c r="A88" s="85"/>
      <c r="B88" s="86"/>
      <c r="C88" s="83" t="s">
        <v>65</v>
      </c>
      <c r="D88" s="84"/>
      <c r="E88" s="84"/>
      <c r="F88" s="84"/>
      <c r="G88" s="84" t="e">
        <f>H83</f>
        <v>#REF!</v>
      </c>
      <c r="H88" s="84" t="e">
        <f>H83</f>
        <v>#REF!</v>
      </c>
    </row>
    <row r="89" spans="1:10" ht="15.75" x14ac:dyDescent="0.2">
      <c r="A89" s="85"/>
      <c r="B89" s="86"/>
      <c r="C89" s="83" t="s">
        <v>65</v>
      </c>
      <c r="D89" s="84"/>
      <c r="E89" s="84"/>
      <c r="F89" s="84"/>
      <c r="G89" s="84"/>
      <c r="H89" s="84" t="e">
        <f>H83+H84</f>
        <v>#REF!</v>
      </c>
    </row>
    <row r="90" spans="1:10" ht="15.75" x14ac:dyDescent="0.2">
      <c r="A90" s="85"/>
      <c r="B90" s="86"/>
      <c r="C90" s="83" t="s">
        <v>66</v>
      </c>
      <c r="D90" s="84"/>
      <c r="E90" s="84"/>
      <c r="F90" s="84"/>
      <c r="G90" s="84" t="e">
        <f>#REF!</f>
        <v>#REF!</v>
      </c>
      <c r="H90" s="84" t="e">
        <f>G90</f>
        <v>#REF!</v>
      </c>
    </row>
    <row r="91" spans="1:10" ht="15.75" x14ac:dyDescent="0.2">
      <c r="A91" s="87"/>
      <c r="B91" s="88"/>
      <c r="C91" s="89"/>
      <c r="D91" s="90"/>
      <c r="E91" s="90"/>
      <c r="F91" s="90"/>
      <c r="G91" s="90"/>
      <c r="H91" s="90"/>
    </row>
    <row r="93" spans="1:10" ht="15" customHeight="1" x14ac:dyDescent="0.25">
      <c r="A93" s="91" t="s">
        <v>67</v>
      </c>
      <c r="B93" s="91"/>
      <c r="C93" s="91"/>
      <c r="D93" s="92"/>
      <c r="E93" s="92"/>
      <c r="F93" s="92"/>
      <c r="G93" s="92" t="str">
        <f>IF([1]SourceObSm!X44&lt;&gt;"",[1]SourceObSm!X44,"")</f>
        <v/>
      </c>
      <c r="H93" s="93"/>
      <c r="I93" s="94"/>
      <c r="J93" s="94"/>
    </row>
    <row r="94" spans="1:10" x14ac:dyDescent="0.2">
      <c r="A94" s="386" t="s">
        <v>68</v>
      </c>
      <c r="B94" s="386"/>
      <c r="C94" s="386"/>
      <c r="D94" s="386"/>
      <c r="E94" s="386"/>
      <c r="F94" s="386"/>
      <c r="G94" s="386"/>
      <c r="H94" s="386"/>
      <c r="I94" s="95"/>
      <c r="J94" s="95"/>
    </row>
    <row r="95" spans="1:10" ht="15" customHeight="1" x14ac:dyDescent="0.25">
      <c r="A95" s="96"/>
      <c r="B95" s="96"/>
      <c r="C95" s="96"/>
      <c r="D95" s="96"/>
      <c r="E95" s="96"/>
      <c r="F95" s="96"/>
      <c r="G95" s="96"/>
      <c r="H95" s="97"/>
      <c r="I95" s="94"/>
      <c r="J95" s="94"/>
    </row>
    <row r="96" spans="1:10" ht="15" x14ac:dyDescent="0.25">
      <c r="A96" s="91" t="s">
        <v>69</v>
      </c>
      <c r="B96" s="91"/>
      <c r="C96" s="91" t="str">
        <f>IF([1]SourceObSm!AA44&lt;&gt;"",[1]SourceObSm!AA44,"")</f>
        <v/>
      </c>
      <c r="D96" s="92"/>
      <c r="E96" s="92"/>
      <c r="F96" s="92"/>
      <c r="G96" s="92" t="str">
        <f>IF([1]SourceObSm!Y44&lt;&gt;"",[1]SourceObSm!Y44,"")</f>
        <v/>
      </c>
      <c r="H96" s="93"/>
      <c r="I96" s="94"/>
      <c r="J96" s="94"/>
    </row>
    <row r="97" spans="1:10" x14ac:dyDescent="0.2">
      <c r="A97" s="386" t="s">
        <v>70</v>
      </c>
      <c r="B97" s="386"/>
      <c r="C97" s="386"/>
      <c r="D97" s="386"/>
      <c r="E97" s="386"/>
      <c r="F97" s="386"/>
      <c r="G97" s="386"/>
      <c r="H97" s="386"/>
      <c r="I97" s="387"/>
      <c r="J97" s="387"/>
    </row>
    <row r="98" spans="1:10" ht="15" x14ac:dyDescent="0.25">
      <c r="A98" s="96"/>
      <c r="B98" s="96"/>
      <c r="C98" s="96"/>
      <c r="D98" s="96"/>
      <c r="E98" s="96"/>
      <c r="F98" s="96"/>
      <c r="G98" s="96"/>
      <c r="H98" s="97"/>
      <c r="I98" s="94"/>
      <c r="J98" s="94"/>
    </row>
    <row r="99" spans="1:10" ht="15" x14ac:dyDescent="0.25">
      <c r="A99" s="91" t="s">
        <v>71</v>
      </c>
      <c r="B99" s="91"/>
      <c r="C99" s="91" t="str">
        <f>IF([1]SourceObSm!AC44&lt;&gt;"",[1]SourceObSm!AC44,"")</f>
        <v/>
      </c>
      <c r="D99" s="92"/>
      <c r="E99" s="92"/>
      <c r="F99" s="92"/>
      <c r="G99" s="92" t="str">
        <f>IF([1]SourceObSm!AB44&lt;&gt;"",[1]SourceObSm!AB44,"")</f>
        <v/>
      </c>
      <c r="H99" s="93"/>
      <c r="I99" s="94"/>
      <c r="J99" s="94"/>
    </row>
    <row r="100" spans="1:10" x14ac:dyDescent="0.2">
      <c r="A100" s="386" t="s">
        <v>72</v>
      </c>
      <c r="B100" s="386"/>
      <c r="C100" s="386"/>
      <c r="D100" s="386"/>
      <c r="E100" s="386"/>
      <c r="F100" s="386"/>
      <c r="G100" s="386"/>
      <c r="H100" s="386"/>
      <c r="I100" s="95"/>
      <c r="J100" s="95"/>
    </row>
    <row r="101" spans="1:10" ht="15" x14ac:dyDescent="0.25">
      <c r="A101" s="96"/>
      <c r="B101" s="96"/>
      <c r="C101" s="96"/>
      <c r="D101" s="96"/>
      <c r="E101" s="96"/>
      <c r="F101" s="96"/>
      <c r="G101" s="96"/>
      <c r="H101" s="97"/>
      <c r="I101" s="94"/>
      <c r="J101" s="94"/>
    </row>
    <row r="102" spans="1:10" ht="15" x14ac:dyDescent="0.25">
      <c r="A102" s="91" t="s">
        <v>73</v>
      </c>
      <c r="B102" s="91"/>
      <c r="C102" s="91" t="str">
        <f>IF([1]SourceObSm!AE44&lt;&gt;"",[1]SourceObSm!AE44,"")</f>
        <v/>
      </c>
      <c r="D102" s="91"/>
      <c r="E102" s="91"/>
      <c r="F102" s="91"/>
      <c r="G102" s="91" t="str">
        <f>IF([1]SourceObSm!AD44&lt;&gt;"",[1]SourceObSm!AD44,"")</f>
        <v/>
      </c>
      <c r="H102" s="98"/>
      <c r="I102" s="94"/>
      <c r="J102" s="94"/>
    </row>
    <row r="103" spans="1:10" x14ac:dyDescent="0.2">
      <c r="A103" s="386" t="s">
        <v>72</v>
      </c>
      <c r="B103" s="386"/>
      <c r="C103" s="386"/>
      <c r="D103" s="386"/>
      <c r="E103" s="386"/>
      <c r="F103" s="386"/>
      <c r="G103" s="386"/>
      <c r="H103" s="386"/>
      <c r="I103" s="95"/>
      <c r="J103" s="95"/>
    </row>
  </sheetData>
  <mergeCells count="38">
    <mergeCell ref="A100:H100"/>
    <mergeCell ref="A103:H103"/>
    <mergeCell ref="A70:H70"/>
    <mergeCell ref="A73:H73"/>
    <mergeCell ref="T80:AA80"/>
    <mergeCell ref="A94:H94"/>
    <mergeCell ref="A97:H97"/>
    <mergeCell ref="I97:J97"/>
    <mergeCell ref="A65:H65"/>
    <mergeCell ref="F20:F22"/>
    <mergeCell ref="G20:G22"/>
    <mergeCell ref="A24:H24"/>
    <mergeCell ref="A28:H28"/>
    <mergeCell ref="A33:H33"/>
    <mergeCell ref="A37:H37"/>
    <mergeCell ref="A41:H41"/>
    <mergeCell ref="A44:H44"/>
    <mergeCell ref="A49:H49"/>
    <mergeCell ref="A54:H54"/>
    <mergeCell ref="A59:H59"/>
    <mergeCell ref="A13:H13"/>
    <mergeCell ref="A15:H15"/>
    <mergeCell ref="A16:H16"/>
    <mergeCell ref="A19:A22"/>
    <mergeCell ref="B19:B22"/>
    <mergeCell ref="C19:C22"/>
    <mergeCell ref="D19:G19"/>
    <mergeCell ref="H19:H22"/>
    <mergeCell ref="D20:D22"/>
    <mergeCell ref="E20:E22"/>
    <mergeCell ref="F3:H3"/>
    <mergeCell ref="F2:H2"/>
    <mergeCell ref="C11:D11"/>
    <mergeCell ref="A4:D4"/>
    <mergeCell ref="F4:H4"/>
    <mergeCell ref="C6:D6"/>
    <mergeCell ref="A9:H9"/>
    <mergeCell ref="C10:D10"/>
  </mergeCells>
  <pageMargins left="0.70866141732283472" right="0.70866141732283472" top="0.74803149606299213" bottom="0.74803149606299213" header="0.31496062992125984" footer="0.31496062992125984"/>
  <pageSetup paperSize="9" scale="58" orientation="portrait" horizontalDpi="4294967295" verticalDpi="4294967295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4"/>
  <sheetViews>
    <sheetView view="pageBreakPreview" topLeftCell="A19" zoomScale="80" zoomScaleNormal="100" zoomScaleSheetLayoutView="80" workbookViewId="0">
      <selection activeCell="H30" sqref="H30"/>
    </sheetView>
  </sheetViews>
  <sheetFormatPr defaultColWidth="9.140625" defaultRowHeight="12.75" x14ac:dyDescent="0.2"/>
  <cols>
    <col min="1" max="1" width="5" style="16" customWidth="1"/>
    <col min="2" max="2" width="23.5703125" style="25" customWidth="1"/>
    <col min="3" max="3" width="54" style="26" customWidth="1"/>
    <col min="4" max="4" width="13.5703125" style="99" customWidth="1"/>
    <col min="5" max="5" width="13" style="99" customWidth="1"/>
    <col min="6" max="6" width="13.42578125" style="99" customWidth="1"/>
    <col min="7" max="7" width="12.5703125" style="99" customWidth="1"/>
    <col min="8" max="8" width="16.7109375" style="99" customWidth="1"/>
    <col min="9" max="16384" width="9.140625" style="3"/>
  </cols>
  <sheetData>
    <row r="1" spans="1:8" x14ac:dyDescent="0.2">
      <c r="A1" s="1"/>
      <c r="B1" s="1"/>
      <c r="C1" s="1"/>
      <c r="D1" s="2"/>
      <c r="E1" s="2"/>
      <c r="F1" s="2"/>
      <c r="G1" s="2"/>
      <c r="H1" s="2"/>
    </row>
    <row r="2" spans="1:8" ht="18.75" x14ac:dyDescent="0.3">
      <c r="A2" s="4"/>
      <c r="B2" s="4"/>
      <c r="C2" s="4"/>
      <c r="D2" s="5"/>
      <c r="E2" s="6"/>
      <c r="F2" s="364" t="s">
        <v>0</v>
      </c>
      <c r="G2" s="364"/>
      <c r="H2" s="364"/>
    </row>
    <row r="3" spans="1:8" ht="15.75" x14ac:dyDescent="0.25">
      <c r="A3" s="7"/>
      <c r="B3" s="7"/>
      <c r="C3" s="7"/>
      <c r="D3" s="8"/>
      <c r="E3" s="2"/>
      <c r="F3" s="363" t="s">
        <v>162</v>
      </c>
      <c r="G3" s="363"/>
      <c r="H3" s="363"/>
    </row>
    <row r="4" spans="1:8" ht="15.75" x14ac:dyDescent="0.25">
      <c r="A4" s="366"/>
      <c r="B4" s="366"/>
      <c r="C4" s="366"/>
      <c r="D4" s="366"/>
      <c r="E4" s="9"/>
      <c r="F4" s="367" t="s">
        <v>161</v>
      </c>
      <c r="G4" s="367"/>
      <c r="H4" s="367"/>
    </row>
    <row r="5" spans="1:8" ht="15.75" x14ac:dyDescent="0.25">
      <c r="A5" s="10"/>
      <c r="B5" s="10"/>
      <c r="C5" s="10"/>
      <c r="D5" s="11"/>
      <c r="E5" s="9"/>
      <c r="F5" s="158"/>
      <c r="G5" s="158"/>
      <c r="H5" s="158"/>
    </row>
    <row r="6" spans="1:8" ht="15.75" x14ac:dyDescent="0.25">
      <c r="A6" s="10"/>
      <c r="B6" s="10"/>
      <c r="C6" s="366"/>
      <c r="D6" s="366"/>
      <c r="E6" s="9"/>
      <c r="F6" s="159" t="s">
        <v>163</v>
      </c>
      <c r="G6" s="12"/>
      <c r="H6" s="13"/>
    </row>
    <row r="7" spans="1:8" ht="15.75" x14ac:dyDescent="0.25">
      <c r="A7" s="156"/>
      <c r="B7" s="156"/>
      <c r="C7" s="156"/>
      <c r="D7" s="156"/>
      <c r="E7" s="157"/>
      <c r="F7" s="159"/>
      <c r="G7" s="12"/>
      <c r="H7" s="13"/>
    </row>
    <row r="8" spans="1:8" ht="15.75" x14ac:dyDescent="0.25">
      <c r="A8" s="4"/>
      <c r="B8" s="4"/>
      <c r="C8" s="4"/>
      <c r="D8" s="5"/>
      <c r="E8" s="6"/>
      <c r="F8" s="14" t="s">
        <v>141</v>
      </c>
      <c r="G8" s="14"/>
      <c r="H8" s="6"/>
    </row>
    <row r="9" spans="1:8" x14ac:dyDescent="0.2">
      <c r="A9" s="7"/>
      <c r="B9" s="7"/>
      <c r="C9" s="7"/>
      <c r="D9" s="8"/>
      <c r="E9" s="2"/>
      <c r="F9" s="2"/>
      <c r="G9" s="2"/>
      <c r="H9" s="2"/>
    </row>
    <row r="10" spans="1:8" s="15" customFormat="1" ht="18" customHeight="1" x14ac:dyDescent="0.2">
      <c r="A10" s="368" t="s">
        <v>1</v>
      </c>
      <c r="B10" s="368"/>
      <c r="C10" s="368"/>
      <c r="D10" s="368"/>
      <c r="E10" s="368"/>
      <c r="F10" s="368"/>
      <c r="G10" s="368"/>
      <c r="H10" s="368"/>
    </row>
    <row r="11" spans="1:8" x14ac:dyDescent="0.2">
      <c r="B11" s="17"/>
      <c r="C11" s="369" t="s">
        <v>2</v>
      </c>
      <c r="D11" s="369"/>
      <c r="E11" s="18" t="e">
        <f>H86</f>
        <v>#REF!</v>
      </c>
      <c r="F11" s="19" t="s">
        <v>3</v>
      </c>
      <c r="G11" s="20"/>
      <c r="H11" s="20"/>
    </row>
    <row r="12" spans="1:8" s="24" customFormat="1" ht="17.25" customHeight="1" x14ac:dyDescent="0.2">
      <c r="A12" s="21"/>
      <c r="B12" s="21"/>
      <c r="C12" s="365" t="s">
        <v>4</v>
      </c>
      <c r="D12" s="365"/>
      <c r="E12" s="22">
        <f>H91</f>
        <v>62.66</v>
      </c>
      <c r="F12" s="19" t="s">
        <v>3</v>
      </c>
      <c r="G12" s="23"/>
      <c r="H12" s="23"/>
    </row>
    <row r="13" spans="1:8" ht="7.5" customHeight="1" x14ac:dyDescent="0.2">
      <c r="D13" s="20"/>
      <c r="E13" s="27"/>
      <c r="F13" s="20"/>
      <c r="G13" s="20"/>
      <c r="H13" s="20"/>
    </row>
    <row r="14" spans="1:8" ht="15" customHeight="1" x14ac:dyDescent="0.2">
      <c r="A14" s="370" t="s">
        <v>5</v>
      </c>
      <c r="B14" s="370"/>
      <c r="C14" s="370"/>
      <c r="D14" s="370"/>
      <c r="E14" s="370"/>
      <c r="F14" s="370"/>
      <c r="G14" s="370"/>
      <c r="H14" s="370"/>
    </row>
    <row r="15" spans="1:8" s="34" customFormat="1" ht="6" customHeight="1" x14ac:dyDescent="0.2">
      <c r="A15" s="28"/>
      <c r="B15" s="29"/>
      <c r="C15" s="30"/>
      <c r="D15" s="31"/>
      <c r="E15" s="32"/>
      <c r="F15" s="33"/>
      <c r="G15" s="33"/>
      <c r="H15" s="33"/>
    </row>
    <row r="16" spans="1:8" ht="71.25" customHeight="1" x14ac:dyDescent="0.2">
      <c r="A16" s="388" t="s">
        <v>165</v>
      </c>
      <c r="B16" s="388"/>
      <c r="C16" s="388"/>
      <c r="D16" s="388"/>
      <c r="E16" s="388"/>
      <c r="F16" s="388"/>
      <c r="G16" s="388"/>
      <c r="H16" s="388"/>
    </row>
    <row r="17" spans="1:8" ht="12.75" customHeight="1" x14ac:dyDescent="0.2">
      <c r="A17" s="372" t="s">
        <v>6</v>
      </c>
      <c r="B17" s="372"/>
      <c r="C17" s="372"/>
      <c r="D17" s="372"/>
      <c r="E17" s="372"/>
      <c r="F17" s="372"/>
      <c r="G17" s="372"/>
      <c r="H17" s="372"/>
    </row>
    <row r="18" spans="1:8" x14ac:dyDescent="0.2">
      <c r="A18" s="35" t="s">
        <v>96</v>
      </c>
      <c r="B18" s="35"/>
      <c r="C18" s="35"/>
      <c r="D18" s="36"/>
      <c r="E18" s="20"/>
      <c r="F18" s="20"/>
      <c r="G18" s="20"/>
      <c r="H18" s="20"/>
    </row>
    <row r="19" spans="1:8" x14ac:dyDescent="0.2">
      <c r="A19" s="35"/>
      <c r="B19" s="35"/>
      <c r="C19" s="35"/>
      <c r="D19" s="36"/>
      <c r="E19" s="20"/>
      <c r="F19" s="20"/>
      <c r="G19" s="20"/>
      <c r="H19" s="20"/>
    </row>
    <row r="20" spans="1:8" s="37" customFormat="1" ht="12.75" customHeight="1" x14ac:dyDescent="0.2">
      <c r="A20" s="373" t="s">
        <v>7</v>
      </c>
      <c r="B20" s="374" t="s">
        <v>8</v>
      </c>
      <c r="C20" s="373" t="s">
        <v>9</v>
      </c>
      <c r="D20" s="375" t="s">
        <v>10</v>
      </c>
      <c r="E20" s="375"/>
      <c r="F20" s="375"/>
      <c r="G20" s="375"/>
      <c r="H20" s="376" t="s">
        <v>11</v>
      </c>
    </row>
    <row r="21" spans="1:8" s="37" customFormat="1" ht="12.75" customHeight="1" x14ac:dyDescent="0.2">
      <c r="A21" s="373"/>
      <c r="B21" s="374"/>
      <c r="C21" s="373"/>
      <c r="D21" s="377" t="s">
        <v>12</v>
      </c>
      <c r="E21" s="376" t="s">
        <v>13</v>
      </c>
      <c r="F21" s="376" t="s">
        <v>14</v>
      </c>
      <c r="G21" s="376" t="s">
        <v>15</v>
      </c>
      <c r="H21" s="376"/>
    </row>
    <row r="22" spans="1:8" s="37" customFormat="1" x14ac:dyDescent="0.2">
      <c r="A22" s="373"/>
      <c r="B22" s="374"/>
      <c r="C22" s="373"/>
      <c r="D22" s="377"/>
      <c r="E22" s="376"/>
      <c r="F22" s="376"/>
      <c r="G22" s="376"/>
      <c r="H22" s="376"/>
    </row>
    <row r="23" spans="1:8" s="37" customFormat="1" x14ac:dyDescent="0.2">
      <c r="A23" s="373"/>
      <c r="B23" s="374"/>
      <c r="C23" s="373"/>
      <c r="D23" s="377"/>
      <c r="E23" s="376"/>
      <c r="F23" s="376"/>
      <c r="G23" s="376"/>
      <c r="H23" s="376"/>
    </row>
    <row r="24" spans="1:8" x14ac:dyDescent="0.2">
      <c r="A24" s="38">
        <v>1</v>
      </c>
      <c r="B24" s="39">
        <v>2</v>
      </c>
      <c r="C24" s="38">
        <v>3</v>
      </c>
      <c r="D24" s="40">
        <v>4</v>
      </c>
      <c r="E24" s="40">
        <v>5</v>
      </c>
      <c r="F24" s="40">
        <v>6</v>
      </c>
      <c r="G24" s="40">
        <v>7</v>
      </c>
      <c r="H24" s="40">
        <v>8</v>
      </c>
    </row>
    <row r="25" spans="1:8" ht="26.25" customHeight="1" x14ac:dyDescent="0.2">
      <c r="A25" s="378" t="s">
        <v>16</v>
      </c>
      <c r="B25" s="379"/>
      <c r="C25" s="379"/>
      <c r="D25" s="379"/>
      <c r="E25" s="379"/>
      <c r="F25" s="379"/>
      <c r="G25" s="379"/>
      <c r="H25" s="380"/>
    </row>
    <row r="26" spans="1:8" ht="31.5" x14ac:dyDescent="0.2">
      <c r="A26" s="41">
        <v>1</v>
      </c>
      <c r="B26" s="42"/>
      <c r="C26" s="43" t="s">
        <v>17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</row>
    <row r="27" spans="1:8" ht="31.5" x14ac:dyDescent="0.2">
      <c r="A27" s="41"/>
      <c r="B27" s="42"/>
      <c r="C27" s="43" t="s">
        <v>720</v>
      </c>
      <c r="D27" s="44"/>
      <c r="E27" s="44"/>
      <c r="F27" s="44"/>
      <c r="G27" s="44" t="e">
        <f>#REF!/1000</f>
        <v>#REF!</v>
      </c>
      <c r="H27" s="44" t="e">
        <f>G27</f>
        <v>#REF!</v>
      </c>
    </row>
    <row r="28" spans="1:8" ht="15.75" x14ac:dyDescent="0.2">
      <c r="A28" s="45"/>
      <c r="B28" s="46"/>
      <c r="C28" s="47" t="s">
        <v>18</v>
      </c>
      <c r="D28" s="48">
        <f>D26</f>
        <v>0</v>
      </c>
      <c r="E28" s="48">
        <f>E26</f>
        <v>0</v>
      </c>
      <c r="F28" s="48">
        <f>F26</f>
        <v>0</v>
      </c>
      <c r="G28" s="48" t="e">
        <f>G27</f>
        <v>#REF!</v>
      </c>
      <c r="H28" s="48" t="e">
        <f>H27</f>
        <v>#REF!</v>
      </c>
    </row>
    <row r="29" spans="1:8" ht="18" customHeight="1" x14ac:dyDescent="0.2">
      <c r="A29" s="378" t="s">
        <v>19</v>
      </c>
      <c r="B29" s="379"/>
      <c r="C29" s="379"/>
      <c r="D29" s="379"/>
      <c r="E29" s="379"/>
      <c r="F29" s="379"/>
      <c r="G29" s="379"/>
      <c r="H29" s="380"/>
    </row>
    <row r="30" spans="1:8" ht="109.5" customHeight="1" x14ac:dyDescent="0.2">
      <c r="A30" s="49">
        <v>2</v>
      </c>
      <c r="B30" s="50" t="s">
        <v>20</v>
      </c>
      <c r="C30" s="43" t="s">
        <v>160</v>
      </c>
      <c r="D30" s="51" t="e">
        <f>#REF!</f>
        <v>#REF!</v>
      </c>
      <c r="E30" s="51" t="e">
        <f>#REF!</f>
        <v>#REF!</v>
      </c>
      <c r="F30" s="51" t="e">
        <f>#REF!</f>
        <v>#REF!</v>
      </c>
      <c r="G30" s="51" t="e">
        <f>#REF!</f>
        <v>#REF!</v>
      </c>
      <c r="H30" s="51" t="e">
        <f>SUM(D30:G30)</f>
        <v>#REF!</v>
      </c>
    </row>
    <row r="31" spans="1:8" ht="18.75" customHeight="1" x14ac:dyDescent="0.2">
      <c r="A31" s="49"/>
      <c r="B31" s="50"/>
      <c r="C31" s="43" t="s">
        <v>721</v>
      </c>
      <c r="D31" s="51"/>
      <c r="E31" s="51"/>
      <c r="F31" s="51" t="e">
        <f>#REF!</f>
        <v>#REF!</v>
      </c>
      <c r="G31" s="51"/>
      <c r="H31" s="51"/>
    </row>
    <row r="32" spans="1:8" ht="15.75" x14ac:dyDescent="0.2">
      <c r="A32" s="45"/>
      <c r="B32" s="46"/>
      <c r="C32" s="47" t="s">
        <v>21</v>
      </c>
      <c r="D32" s="48" t="e">
        <f>SUM(D30:D30)</f>
        <v>#REF!</v>
      </c>
      <c r="E32" s="48" t="e">
        <f t="shared" ref="E32:G32" si="0">SUM(E30:E30)</f>
        <v>#REF!</v>
      </c>
      <c r="F32" s="48" t="e">
        <f t="shared" si="0"/>
        <v>#REF!</v>
      </c>
      <c r="G32" s="48" t="e">
        <f t="shared" si="0"/>
        <v>#REF!</v>
      </c>
      <c r="H32" s="48" t="e">
        <f>SUM(H30:H30)</f>
        <v>#REF!</v>
      </c>
    </row>
    <row r="33" spans="1:8" s="34" customFormat="1" ht="15.75" x14ac:dyDescent="0.2">
      <c r="A33" s="45"/>
      <c r="B33" s="46"/>
      <c r="C33" s="47" t="s">
        <v>137</v>
      </c>
      <c r="D33" s="48">
        <f>'ОС база'!I46</f>
        <v>20777.66</v>
      </c>
      <c r="E33" s="48"/>
      <c r="F33" s="48"/>
      <c r="G33" s="48"/>
      <c r="H33" s="48"/>
    </row>
    <row r="34" spans="1:8" ht="23.25" customHeight="1" x14ac:dyDescent="0.2">
      <c r="A34" s="378" t="s">
        <v>22</v>
      </c>
      <c r="B34" s="379"/>
      <c r="C34" s="379"/>
      <c r="D34" s="379"/>
      <c r="E34" s="379"/>
      <c r="F34" s="379"/>
      <c r="G34" s="379"/>
      <c r="H34" s="380"/>
    </row>
    <row r="35" spans="1:8" ht="15.75" x14ac:dyDescent="0.2">
      <c r="A35" s="45">
        <v>3</v>
      </c>
      <c r="B35" s="46"/>
      <c r="C35" s="43" t="s">
        <v>23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</row>
    <row r="36" spans="1:8" ht="15.75" x14ac:dyDescent="0.2">
      <c r="A36" s="45"/>
      <c r="B36" s="46"/>
      <c r="C36" s="47" t="s">
        <v>24</v>
      </c>
      <c r="D36" s="48">
        <f>D35</f>
        <v>0</v>
      </c>
      <c r="E36" s="48">
        <f>E35</f>
        <v>0</v>
      </c>
      <c r="F36" s="48">
        <f>F35</f>
        <v>0</v>
      </c>
      <c r="G36" s="48">
        <f>G35</f>
        <v>0</v>
      </c>
      <c r="H36" s="48">
        <f>H35</f>
        <v>0</v>
      </c>
    </row>
    <row r="37" spans="1:8" s="34" customFormat="1" ht="15.75" x14ac:dyDescent="0.2">
      <c r="A37" s="45"/>
      <c r="B37" s="46"/>
      <c r="C37" s="47"/>
      <c r="D37" s="48"/>
      <c r="E37" s="48"/>
      <c r="F37" s="48"/>
      <c r="G37" s="48"/>
      <c r="H37" s="48"/>
    </row>
    <row r="38" spans="1:8" ht="12.75" hidden="1" customHeight="1" x14ac:dyDescent="0.2">
      <c r="A38" s="381" t="s">
        <v>25</v>
      </c>
      <c r="B38" s="382"/>
      <c r="C38" s="383"/>
      <c r="D38" s="383"/>
      <c r="E38" s="383"/>
      <c r="F38" s="383"/>
      <c r="G38" s="383"/>
      <c r="H38" s="383"/>
    </row>
    <row r="39" spans="1:8" ht="15.75" hidden="1" x14ac:dyDescent="0.2">
      <c r="A39" s="53"/>
      <c r="B39" s="54"/>
      <c r="C39" s="55" t="s">
        <v>26</v>
      </c>
      <c r="D39" s="56"/>
      <c r="E39" s="57"/>
      <c r="F39" s="57"/>
      <c r="G39" s="57"/>
      <c r="H39" s="52"/>
    </row>
    <row r="40" spans="1:8" ht="15.75" hidden="1" x14ac:dyDescent="0.2">
      <c r="A40" s="45"/>
      <c r="B40" s="46"/>
      <c r="C40" s="47" t="s">
        <v>27</v>
      </c>
      <c r="D40" s="48"/>
      <c r="E40" s="48"/>
      <c r="F40" s="48"/>
      <c r="G40" s="48"/>
      <c r="H40" s="58"/>
    </row>
    <row r="41" spans="1:8" ht="15.75" hidden="1" x14ac:dyDescent="0.2">
      <c r="A41" s="45"/>
      <c r="B41" s="46"/>
      <c r="C41" s="47"/>
      <c r="D41" s="48"/>
      <c r="E41" s="48"/>
      <c r="F41" s="48"/>
      <c r="G41" s="48"/>
      <c r="H41" s="48"/>
    </row>
    <row r="42" spans="1:8" ht="12.75" hidden="1" customHeight="1" x14ac:dyDescent="0.2">
      <c r="A42" s="381" t="s">
        <v>28</v>
      </c>
      <c r="B42" s="382"/>
      <c r="C42" s="383"/>
      <c r="D42" s="383"/>
      <c r="E42" s="383"/>
      <c r="F42" s="383"/>
      <c r="G42" s="383"/>
      <c r="H42" s="383"/>
    </row>
    <row r="43" spans="1:8" ht="15.75" hidden="1" x14ac:dyDescent="0.2">
      <c r="A43" s="53"/>
      <c r="B43" s="54"/>
      <c r="C43" s="55" t="s">
        <v>26</v>
      </c>
      <c r="D43" s="56"/>
      <c r="E43" s="57"/>
      <c r="F43" s="57"/>
      <c r="G43" s="57"/>
      <c r="H43" s="52"/>
    </row>
    <row r="44" spans="1:8" ht="15.75" hidden="1" x14ac:dyDescent="0.2">
      <c r="A44" s="45"/>
      <c r="B44" s="46"/>
      <c r="C44" s="47" t="s">
        <v>29</v>
      </c>
      <c r="D44" s="48"/>
      <c r="E44" s="48"/>
      <c r="F44" s="48"/>
      <c r="G44" s="48"/>
      <c r="H44" s="58"/>
    </row>
    <row r="45" spans="1:8" ht="35.25" customHeight="1" x14ac:dyDescent="0.2">
      <c r="A45" s="384" t="s">
        <v>30</v>
      </c>
      <c r="B45" s="385"/>
      <c r="C45" s="385"/>
      <c r="D45" s="385"/>
      <c r="E45" s="385"/>
      <c r="F45" s="385"/>
      <c r="G45" s="385"/>
      <c r="H45" s="385"/>
    </row>
    <row r="46" spans="1:8" ht="36.75" customHeight="1" x14ac:dyDescent="0.2">
      <c r="A46" s="53">
        <v>4</v>
      </c>
      <c r="B46" s="54"/>
      <c r="C46" s="43" t="s">
        <v>31</v>
      </c>
      <c r="D46" s="56">
        <v>0</v>
      </c>
      <c r="E46" s="56">
        <v>0</v>
      </c>
      <c r="F46" s="56">
        <v>0</v>
      </c>
      <c r="G46" s="56">
        <v>0</v>
      </c>
      <c r="H46" s="56">
        <f>SUM(D46:G46)</f>
        <v>0</v>
      </c>
    </row>
    <row r="47" spans="1:8" ht="15.75" x14ac:dyDescent="0.2">
      <c r="A47" s="53"/>
      <c r="B47" s="54"/>
      <c r="C47" s="43"/>
      <c r="D47" s="56"/>
      <c r="E47" s="57"/>
      <c r="F47" s="57"/>
      <c r="G47" s="57"/>
      <c r="H47" s="56"/>
    </row>
    <row r="48" spans="1:8" ht="15.75" x14ac:dyDescent="0.2">
      <c r="A48" s="45"/>
      <c r="B48" s="46"/>
      <c r="C48" s="47" t="s">
        <v>27</v>
      </c>
      <c r="D48" s="48">
        <f>SUM(D46:D47)</f>
        <v>0</v>
      </c>
      <c r="E48" s="48">
        <f>SUM(E46:E47)</f>
        <v>0</v>
      </c>
      <c r="F48" s="48">
        <f>SUM(F46:F47)</f>
        <v>0</v>
      </c>
      <c r="G48" s="48">
        <f>SUM(G46:G47)</f>
        <v>0</v>
      </c>
      <c r="H48" s="48">
        <f>SUM(H46:H47)</f>
        <v>0</v>
      </c>
    </row>
    <row r="49" spans="1:9" s="34" customFormat="1" ht="15.75" x14ac:dyDescent="0.2">
      <c r="A49" s="45"/>
      <c r="B49" s="46"/>
      <c r="C49" s="47"/>
      <c r="D49" s="48"/>
      <c r="E49" s="48"/>
      <c r="F49" s="48"/>
      <c r="G49" s="48"/>
      <c r="H49" s="48"/>
    </row>
    <row r="50" spans="1:9" ht="26.25" customHeight="1" x14ac:dyDescent="0.2">
      <c r="A50" s="378" t="s">
        <v>32</v>
      </c>
      <c r="B50" s="379"/>
      <c r="C50" s="379"/>
      <c r="D50" s="379"/>
      <c r="E50" s="379"/>
      <c r="F50" s="379"/>
      <c r="G50" s="379"/>
      <c r="H50" s="380"/>
    </row>
    <row r="51" spans="1:9" s="64" customFormat="1" ht="30" customHeight="1" x14ac:dyDescent="0.2">
      <c r="A51" s="59">
        <f>A46+1</f>
        <v>5</v>
      </c>
      <c r="B51" s="60"/>
      <c r="C51" s="61" t="s">
        <v>33</v>
      </c>
      <c r="D51" s="62">
        <v>0</v>
      </c>
      <c r="E51" s="62">
        <v>0</v>
      </c>
      <c r="F51" s="62">
        <v>0</v>
      </c>
      <c r="G51" s="62">
        <v>0</v>
      </c>
      <c r="H51" s="62">
        <f>SUM(D51:G51)</f>
        <v>0</v>
      </c>
      <c r="I51" s="63"/>
    </row>
    <row r="52" spans="1:9" ht="21.75" customHeight="1" x14ac:dyDescent="0.2">
      <c r="A52" s="45"/>
      <c r="B52" s="46"/>
      <c r="C52" s="47" t="s">
        <v>29</v>
      </c>
      <c r="D52" s="48">
        <f>D51</f>
        <v>0</v>
      </c>
      <c r="E52" s="48">
        <f>E51</f>
        <v>0</v>
      </c>
      <c r="F52" s="48">
        <f>F51</f>
        <v>0</v>
      </c>
      <c r="G52" s="48">
        <f>G51</f>
        <v>0</v>
      </c>
      <c r="H52" s="48">
        <f>H51</f>
        <v>0</v>
      </c>
    </row>
    <row r="53" spans="1:9" ht="15.75" x14ac:dyDescent="0.2">
      <c r="A53" s="45"/>
      <c r="B53" s="46"/>
      <c r="C53" s="47" t="s">
        <v>34</v>
      </c>
      <c r="D53" s="48" t="e">
        <f>D32+D44+D48+D52</f>
        <v>#REF!</v>
      </c>
      <c r="E53" s="48" t="e">
        <f>E32+E44+E48+E52</f>
        <v>#REF!</v>
      </c>
      <c r="F53" s="48" t="e">
        <f>F32+F44+F48+F52</f>
        <v>#REF!</v>
      </c>
      <c r="G53" s="48" t="e">
        <f>G32+G44+G48+G52+G28</f>
        <v>#REF!</v>
      </c>
      <c r="H53" s="48" t="e">
        <f>H28+H32+H44+H48+H52</f>
        <v>#REF!</v>
      </c>
    </row>
    <row r="54" spans="1:9" s="34" customFormat="1" ht="15.75" x14ac:dyDescent="0.2">
      <c r="A54" s="45"/>
      <c r="B54" s="46"/>
      <c r="C54" s="65"/>
      <c r="D54" s="52"/>
      <c r="E54" s="52"/>
      <c r="F54" s="52"/>
      <c r="G54" s="52"/>
      <c r="H54" s="52"/>
    </row>
    <row r="55" spans="1:9" ht="27.75" customHeight="1" x14ac:dyDescent="0.2">
      <c r="A55" s="378" t="s">
        <v>35</v>
      </c>
      <c r="B55" s="379"/>
      <c r="C55" s="379"/>
      <c r="D55" s="379"/>
      <c r="E55" s="379"/>
      <c r="F55" s="379"/>
      <c r="G55" s="379"/>
      <c r="H55" s="380"/>
    </row>
    <row r="56" spans="1:9" ht="27" customHeight="1" x14ac:dyDescent="0.2">
      <c r="A56" s="49">
        <f>A51+1</f>
        <v>6</v>
      </c>
      <c r="B56" s="66" t="s">
        <v>151</v>
      </c>
      <c r="C56" s="67" t="s">
        <v>150</v>
      </c>
      <c r="D56" s="52" t="e">
        <f>ROUND(D53*0.015,2)</f>
        <v>#REF!</v>
      </c>
      <c r="E56" s="52" t="e">
        <f>ROUND(E53*0.015,2)</f>
        <v>#REF!</v>
      </c>
      <c r="F56" s="52">
        <v>0</v>
      </c>
      <c r="G56" s="52">
        <v>0</v>
      </c>
      <c r="H56" s="52" t="e">
        <f>SUM(D56:G56)</f>
        <v>#REF!</v>
      </c>
    </row>
    <row r="57" spans="1:9" ht="15.75" x14ac:dyDescent="0.2">
      <c r="A57" s="45"/>
      <c r="B57" s="46"/>
      <c r="C57" s="47" t="s">
        <v>36</v>
      </c>
      <c r="D57" s="48" t="e">
        <f>D56</f>
        <v>#REF!</v>
      </c>
      <c r="E57" s="48" t="e">
        <f>E56</f>
        <v>#REF!</v>
      </c>
      <c r="F57" s="48">
        <f>F56</f>
        <v>0</v>
      </c>
      <c r="G57" s="48">
        <v>0</v>
      </c>
      <c r="H57" s="48" t="e">
        <f>SUM(D57:G57)</f>
        <v>#REF!</v>
      </c>
    </row>
    <row r="58" spans="1:9" ht="15.75" x14ac:dyDescent="0.2">
      <c r="A58" s="68"/>
      <c r="B58" s="69"/>
      <c r="C58" s="47" t="s">
        <v>37</v>
      </c>
      <c r="D58" s="48" t="e">
        <f>D53+D57</f>
        <v>#REF!</v>
      </c>
      <c r="E58" s="48" t="e">
        <f>E53+E57</f>
        <v>#REF!</v>
      </c>
      <c r="F58" s="48" t="e">
        <f>F53+F57</f>
        <v>#REF!</v>
      </c>
      <c r="G58" s="48" t="e">
        <f>G53+G57</f>
        <v>#REF!</v>
      </c>
      <c r="H58" s="48" t="e">
        <f>SUM(D58:G58)</f>
        <v>#REF!</v>
      </c>
      <c r="I58" s="120"/>
    </row>
    <row r="59" spans="1:9" s="34" customFormat="1" ht="15.75" x14ac:dyDescent="0.2">
      <c r="A59" s="68"/>
      <c r="B59" s="69"/>
      <c r="C59" s="47"/>
      <c r="D59" s="48"/>
      <c r="E59" s="48"/>
      <c r="F59" s="48"/>
      <c r="G59" s="48"/>
      <c r="H59" s="48"/>
    </row>
    <row r="60" spans="1:9" ht="24" customHeight="1" x14ac:dyDescent="0.2">
      <c r="A60" s="378" t="s">
        <v>38</v>
      </c>
      <c r="B60" s="379"/>
      <c r="C60" s="379"/>
      <c r="D60" s="379"/>
      <c r="E60" s="379"/>
      <c r="F60" s="379"/>
      <c r="G60" s="379"/>
      <c r="H60" s="380"/>
    </row>
    <row r="61" spans="1:9" ht="87" customHeight="1" x14ac:dyDescent="0.2">
      <c r="A61" s="49">
        <f>A56+1</f>
        <v>7</v>
      </c>
      <c r="B61" s="66" t="s">
        <v>39</v>
      </c>
      <c r="C61" s="70" t="s">
        <v>148</v>
      </c>
      <c r="D61" s="52">
        <v>0</v>
      </c>
      <c r="E61" s="52">
        <v>0</v>
      </c>
      <c r="F61" s="52">
        <v>0</v>
      </c>
      <c r="G61" s="51">
        <f>ROUND(1504*1*(6*365/12)/1000,2)*0</f>
        <v>0</v>
      </c>
      <c r="H61" s="52">
        <f>SUM(D61:G61)</f>
        <v>0</v>
      </c>
    </row>
    <row r="62" spans="1:9" ht="22.5" customHeight="1" x14ac:dyDescent="0.2">
      <c r="A62" s="49"/>
      <c r="B62" s="3"/>
      <c r="C62" s="67"/>
      <c r="D62" s="52"/>
      <c r="E62" s="52"/>
      <c r="F62" s="52"/>
      <c r="G62" s="51"/>
      <c r="H62" s="52"/>
    </row>
    <row r="63" spans="1:9" ht="15.75" x14ac:dyDescent="0.2">
      <c r="A63" s="45"/>
      <c r="B63" s="46"/>
      <c r="C63" s="47" t="s">
        <v>40</v>
      </c>
      <c r="D63" s="48">
        <f>SUM(D61:D61)</f>
        <v>0</v>
      </c>
      <c r="E63" s="48">
        <f>SUM(E61:E61)</f>
        <v>0</v>
      </c>
      <c r="F63" s="48">
        <f>SUM(F61:F61)</f>
        <v>0</v>
      </c>
      <c r="G63" s="48">
        <f>SUM(G61:G61)</f>
        <v>0</v>
      </c>
      <c r="H63" s="48">
        <f>SUM(H61:H61)</f>
        <v>0</v>
      </c>
    </row>
    <row r="64" spans="1:9" ht="15.75" x14ac:dyDescent="0.2">
      <c r="A64" s="45"/>
      <c r="B64" s="46"/>
      <c r="C64" s="47" t="s">
        <v>41</v>
      </c>
      <c r="D64" s="48" t="e">
        <f>D58+D63</f>
        <v>#REF!</v>
      </c>
      <c r="E64" s="48" t="e">
        <f>E58+E63</f>
        <v>#REF!</v>
      </c>
      <c r="F64" s="48" t="e">
        <f>F58+F63</f>
        <v>#REF!</v>
      </c>
      <c r="G64" s="48" t="e">
        <f>G58+G63</f>
        <v>#REF!</v>
      </c>
      <c r="H64" s="48" t="e">
        <f>SUM(D64:G64)</f>
        <v>#REF!</v>
      </c>
    </row>
    <row r="65" spans="1:11" s="34" customFormat="1" ht="15.75" x14ac:dyDescent="0.2">
      <c r="A65" s="45"/>
      <c r="B65" s="46"/>
      <c r="C65" s="47"/>
      <c r="D65" s="48"/>
      <c r="E65" s="48"/>
      <c r="F65" s="48"/>
      <c r="G65" s="48"/>
      <c r="H65" s="48"/>
    </row>
    <row r="66" spans="1:11" ht="30" customHeight="1" x14ac:dyDescent="0.2">
      <c r="A66" s="378" t="s">
        <v>42</v>
      </c>
      <c r="B66" s="379"/>
      <c r="C66" s="379"/>
      <c r="D66" s="379"/>
      <c r="E66" s="379"/>
      <c r="F66" s="379"/>
      <c r="G66" s="379"/>
      <c r="H66" s="380"/>
    </row>
    <row r="67" spans="1:11" ht="63" hidden="1" x14ac:dyDescent="0.2">
      <c r="A67" s="49">
        <v>3</v>
      </c>
      <c r="B67" s="66" t="s">
        <v>43</v>
      </c>
      <c r="C67" s="65" t="s">
        <v>44</v>
      </c>
      <c r="D67" s="52">
        <v>0</v>
      </c>
      <c r="E67" s="52">
        <v>0</v>
      </c>
      <c r="F67" s="71">
        <v>0</v>
      </c>
      <c r="G67" s="57" t="e">
        <f>H64/100*1.25*0.19*1.1*0</f>
        <v>#REF!</v>
      </c>
      <c r="H67" s="52" t="e">
        <f>G67</f>
        <v>#REF!</v>
      </c>
    </row>
    <row r="68" spans="1:11" ht="63" x14ac:dyDescent="0.2">
      <c r="A68" s="72">
        <f>A61+1</f>
        <v>8</v>
      </c>
      <c r="B68" s="54" t="s">
        <v>45</v>
      </c>
      <c r="C68" s="43" t="s">
        <v>103</v>
      </c>
      <c r="D68" s="56">
        <v>0</v>
      </c>
      <c r="E68" s="57">
        <v>0</v>
      </c>
      <c r="F68" s="57">
        <v>0</v>
      </c>
      <c r="G68" s="57" t="e">
        <f>ROUND(H64/100*1.375,2)</f>
        <v>#REF!</v>
      </c>
      <c r="H68" s="56" t="e">
        <f>SUM(D68:G68)</f>
        <v>#REF!</v>
      </c>
    </row>
    <row r="69" spans="1:11" ht="63" x14ac:dyDescent="0.2">
      <c r="A69" s="72"/>
      <c r="B69" s="54" t="s">
        <v>46</v>
      </c>
      <c r="C69" s="43" t="s">
        <v>158</v>
      </c>
      <c r="D69" s="56"/>
      <c r="E69" s="57"/>
      <c r="F69" s="57"/>
      <c r="G69" s="57" t="e">
        <f>ROUND(H64/100*2.14,2)</f>
        <v>#REF!</v>
      </c>
      <c r="H69" s="56" t="e">
        <f>SUM(D69:G69)</f>
        <v>#REF!</v>
      </c>
    </row>
    <row r="70" spans="1:11" s="34" customFormat="1" ht="15.75" x14ac:dyDescent="0.2">
      <c r="A70" s="72"/>
      <c r="B70" s="73"/>
      <c r="C70" s="47" t="s">
        <v>47</v>
      </c>
      <c r="D70" s="48">
        <f>SUM(D68:D69)</f>
        <v>0</v>
      </c>
      <c r="E70" s="48">
        <f t="shared" ref="E70:H70" si="1">SUM(E68:E69)</f>
        <v>0</v>
      </c>
      <c r="F70" s="48">
        <f t="shared" si="1"/>
        <v>0</v>
      </c>
      <c r="G70" s="48" t="e">
        <f t="shared" si="1"/>
        <v>#REF!</v>
      </c>
      <c r="H70" s="48" t="e">
        <f t="shared" si="1"/>
        <v>#REF!</v>
      </c>
    </row>
    <row r="71" spans="1:11" ht="12.75" hidden="1" customHeight="1" x14ac:dyDescent="0.2">
      <c r="A71" s="381" t="s">
        <v>48</v>
      </c>
      <c r="B71" s="382"/>
      <c r="C71" s="383"/>
      <c r="D71" s="383"/>
      <c r="E71" s="383"/>
      <c r="F71" s="383"/>
      <c r="G71" s="383"/>
      <c r="H71" s="383"/>
    </row>
    <row r="72" spans="1:11" ht="15.75" hidden="1" x14ac:dyDescent="0.2">
      <c r="A72" s="49"/>
      <c r="B72" s="66"/>
      <c r="C72" s="55" t="s">
        <v>26</v>
      </c>
      <c r="D72" s="52"/>
      <c r="E72" s="52"/>
      <c r="F72" s="71"/>
      <c r="G72" s="71"/>
      <c r="H72" s="52"/>
    </row>
    <row r="73" spans="1:11" ht="15.75" hidden="1" x14ac:dyDescent="0.2">
      <c r="A73" s="72"/>
      <c r="B73" s="73"/>
      <c r="C73" s="74"/>
      <c r="D73" s="75"/>
      <c r="E73" s="75"/>
      <c r="F73" s="76"/>
      <c r="G73" s="76"/>
      <c r="H73" s="77"/>
    </row>
    <row r="74" spans="1:11" ht="29.25" customHeight="1" x14ac:dyDescent="0.2">
      <c r="A74" s="378" t="s">
        <v>49</v>
      </c>
      <c r="B74" s="379"/>
      <c r="C74" s="379"/>
      <c r="D74" s="379"/>
      <c r="E74" s="379"/>
      <c r="F74" s="379"/>
      <c r="G74" s="379"/>
      <c r="H74" s="380"/>
    </row>
    <row r="75" spans="1:11" ht="24" customHeight="1" x14ac:dyDescent="0.2">
      <c r="A75" s="49">
        <f>A68+1</f>
        <v>9</v>
      </c>
      <c r="B75" s="54" t="s">
        <v>50</v>
      </c>
      <c r="C75" s="78" t="s">
        <v>51</v>
      </c>
      <c r="D75" s="56">
        <v>0</v>
      </c>
      <c r="E75" s="56">
        <v>0</v>
      </c>
      <c r="F75" s="56">
        <v>0</v>
      </c>
      <c r="G75" s="56" t="e">
        <f>#REF!/1000</f>
        <v>#REF!</v>
      </c>
      <c r="H75" s="79" t="e">
        <f>SUM(D75:G75)</f>
        <v>#REF!</v>
      </c>
    </row>
    <row r="76" spans="1:11" ht="42" customHeight="1" x14ac:dyDescent="0.2">
      <c r="A76" s="49">
        <v>10</v>
      </c>
      <c r="B76" s="54" t="s">
        <v>157</v>
      </c>
      <c r="C76" s="78" t="s">
        <v>153</v>
      </c>
      <c r="D76" s="56"/>
      <c r="E76" s="56"/>
      <c r="F76" s="56"/>
      <c r="G76" s="56" t="e">
        <f>ROUND(G75*0.0265*1.2,2)</f>
        <v>#REF!</v>
      </c>
      <c r="H76" s="79" t="e">
        <f>SUM(D76:G76)</f>
        <v>#REF!</v>
      </c>
    </row>
    <row r="77" spans="1:11" ht="42" customHeight="1" x14ac:dyDescent="0.2">
      <c r="A77" s="49">
        <v>11</v>
      </c>
      <c r="B77" s="261" t="s">
        <v>156</v>
      </c>
      <c r="C77" s="262" t="s">
        <v>52</v>
      </c>
      <c r="D77" s="263"/>
      <c r="E77" s="263"/>
      <c r="F77" s="263"/>
      <c r="G77" s="263">
        <f>ROUND(992578.45/1000/5.51,2)</f>
        <v>180.14</v>
      </c>
      <c r="H77" s="263">
        <f>G77</f>
        <v>180.14</v>
      </c>
      <c r="I77" s="154"/>
      <c r="J77" s="155"/>
      <c r="K77" s="155"/>
    </row>
    <row r="78" spans="1:11" s="24" customFormat="1" ht="42" customHeight="1" x14ac:dyDescent="0.2">
      <c r="A78" s="49">
        <v>12</v>
      </c>
      <c r="B78" s="261" t="s">
        <v>156</v>
      </c>
      <c r="C78" s="262" t="s">
        <v>159</v>
      </c>
      <c r="D78" s="263">
        <v>0</v>
      </c>
      <c r="E78" s="263">
        <v>0</v>
      </c>
      <c r="F78" s="263">
        <v>0</v>
      </c>
      <c r="G78" s="263">
        <f>ROUND(300000/5.51/1000,2)</f>
        <v>54.45</v>
      </c>
      <c r="H78" s="263">
        <f>SUM(D78:G78)</f>
        <v>54.45</v>
      </c>
      <c r="I78" s="154"/>
      <c r="J78" s="155"/>
      <c r="K78" s="155"/>
    </row>
    <row r="79" spans="1:11" s="24" customFormat="1" ht="63" customHeight="1" x14ac:dyDescent="0.2">
      <c r="A79" s="49">
        <f>A78+1</f>
        <v>13</v>
      </c>
      <c r="B79" s="54" t="s">
        <v>54</v>
      </c>
      <c r="C79" s="78" t="s">
        <v>55</v>
      </c>
      <c r="D79" s="56"/>
      <c r="E79" s="56"/>
      <c r="F79" s="56"/>
      <c r="G79" s="56" t="e">
        <f>ROUND(H64*0.0015,2)</f>
        <v>#REF!</v>
      </c>
      <c r="H79" s="79" t="e">
        <f>SUM(D79:G79)</f>
        <v>#REF!</v>
      </c>
    </row>
    <row r="80" spans="1:11" ht="15.75" x14ac:dyDescent="0.2">
      <c r="A80" s="45"/>
      <c r="B80" s="46"/>
      <c r="C80" s="47" t="s">
        <v>56</v>
      </c>
      <c r="D80" s="80">
        <f>SUM(D75:D79)</f>
        <v>0</v>
      </c>
      <c r="E80" s="80">
        <f>SUM(E75:E79)</f>
        <v>0</v>
      </c>
      <c r="F80" s="80">
        <f>SUM(F75:F79)</f>
        <v>0</v>
      </c>
      <c r="G80" s="80" t="e">
        <f>SUM(G75:G79)</f>
        <v>#REF!</v>
      </c>
      <c r="H80" s="80" t="e">
        <f>SUM(H75:H79)</f>
        <v>#REF!</v>
      </c>
    </row>
    <row r="81" spans="1:27" ht="15.75" x14ac:dyDescent="0.2">
      <c r="A81" s="45"/>
      <c r="B81" s="46"/>
      <c r="C81" s="47" t="s">
        <v>57</v>
      </c>
      <c r="D81" s="80" t="e">
        <f>D80+D70+D64</f>
        <v>#REF!</v>
      </c>
      <c r="E81" s="80" t="e">
        <f>E80+E70+E64</f>
        <v>#REF!</v>
      </c>
      <c r="F81" s="80" t="e">
        <f>F80+F70+F64</f>
        <v>#REF!</v>
      </c>
      <c r="G81" s="80" t="e">
        <f>G80+G70+G64</f>
        <v>#REF!</v>
      </c>
      <c r="H81" s="80" t="e">
        <f>H80+H70+H64</f>
        <v>#REF!</v>
      </c>
      <c r="T81" s="378"/>
      <c r="U81" s="379"/>
      <c r="V81" s="379"/>
      <c r="W81" s="379"/>
      <c r="X81" s="379"/>
      <c r="Y81" s="379"/>
      <c r="Z81" s="379"/>
      <c r="AA81" s="380"/>
    </row>
    <row r="82" spans="1:27" ht="38.25" customHeight="1" x14ac:dyDescent="0.2">
      <c r="A82" s="49">
        <f>A79+1</f>
        <v>14</v>
      </c>
      <c r="B82" s="66" t="s">
        <v>58</v>
      </c>
      <c r="C82" s="65" t="s">
        <v>59</v>
      </c>
      <c r="D82" s="71" t="e">
        <f>ROUND(D81/100*2,2)</f>
        <v>#REF!</v>
      </c>
      <c r="E82" s="71" t="e">
        <f>ROUND(E81/100*2,2)</f>
        <v>#REF!</v>
      </c>
      <c r="F82" s="71" t="e">
        <f>ROUND(F81/100*2,2)</f>
        <v>#REF!</v>
      </c>
      <c r="G82" s="71" t="e">
        <f>ROUND(G81/100*2,2)</f>
        <v>#REF!</v>
      </c>
      <c r="H82" s="71" t="e">
        <f>SUM(D82:G82)</f>
        <v>#REF!</v>
      </c>
    </row>
    <row r="83" spans="1:27" ht="31.5" x14ac:dyDescent="0.2">
      <c r="A83" s="81"/>
      <c r="B83" s="82"/>
      <c r="C83" s="83" t="s">
        <v>60</v>
      </c>
      <c r="D83" s="84" t="e">
        <f>D82+D81</f>
        <v>#REF!</v>
      </c>
      <c r="E83" s="84" t="e">
        <f>E82+E81</f>
        <v>#REF!</v>
      </c>
      <c r="F83" s="84" t="e">
        <f>F82+F81</f>
        <v>#REF!</v>
      </c>
      <c r="G83" s="84" t="e">
        <f>G82+G81</f>
        <v>#REF!</v>
      </c>
      <c r="H83" s="84" t="e">
        <f>SUM(D83:G83)</f>
        <v>#REF!</v>
      </c>
    </row>
    <row r="84" spans="1:27" ht="31.5" x14ac:dyDescent="0.2">
      <c r="A84" s="49">
        <f>A82+1</f>
        <v>15</v>
      </c>
      <c r="B84" s="66" t="s">
        <v>61</v>
      </c>
      <c r="C84" s="65" t="s">
        <v>138</v>
      </c>
      <c r="D84" s="52">
        <f>ROUND(D33*1.015*1.02*0.2,2)</f>
        <v>4302.22</v>
      </c>
      <c r="E84" s="52"/>
      <c r="F84" s="52" t="e">
        <f>ROUND((F32-F31)*0.2*1.02,2)</f>
        <v>#REF!</v>
      </c>
      <c r="G84" s="52"/>
      <c r="H84" s="52" t="e">
        <f>SUM(D84:G84)</f>
        <v>#REF!</v>
      </c>
    </row>
    <row r="85" spans="1:27" ht="15.75" x14ac:dyDescent="0.2">
      <c r="A85" s="49"/>
      <c r="B85" s="66"/>
      <c r="C85" s="65" t="s">
        <v>154</v>
      </c>
      <c r="D85" s="52"/>
      <c r="E85" s="52"/>
      <c r="F85" s="52"/>
      <c r="G85" s="52" t="e">
        <f>ROUND((G68+G79)*0.2,2)</f>
        <v>#REF!</v>
      </c>
      <c r="H85" s="52" t="e">
        <f>SUM(D85:G85)</f>
        <v>#REF!</v>
      </c>
    </row>
    <row r="86" spans="1:27" ht="15.75" x14ac:dyDescent="0.2">
      <c r="A86" s="85"/>
      <c r="B86" s="86"/>
      <c r="C86" s="83" t="s">
        <v>62</v>
      </c>
      <c r="D86" s="84" t="e">
        <f>D84+D83</f>
        <v>#REF!</v>
      </c>
      <c r="E86" s="84" t="e">
        <f>E84+E83</f>
        <v>#REF!</v>
      </c>
      <c r="F86" s="84" t="e">
        <f>F84+F83</f>
        <v>#REF!</v>
      </c>
      <c r="G86" s="84" t="e">
        <f>SUM(G83:G85)</f>
        <v>#REF!</v>
      </c>
      <c r="H86" s="84" t="e">
        <f>SUM(D86:G86)</f>
        <v>#REF!</v>
      </c>
    </row>
    <row r="87" spans="1:27" ht="15.75" x14ac:dyDescent="0.2">
      <c r="A87" s="85"/>
      <c r="B87" s="86"/>
      <c r="C87" s="83" t="s">
        <v>63</v>
      </c>
      <c r="D87" s="84"/>
      <c r="E87" s="84"/>
      <c r="F87" s="84"/>
      <c r="G87" s="84"/>
      <c r="H87" s="84"/>
    </row>
    <row r="88" spans="1:27" ht="15.75" x14ac:dyDescent="0.2">
      <c r="A88" s="85"/>
      <c r="B88" s="86"/>
      <c r="C88" s="83" t="s">
        <v>64</v>
      </c>
      <c r="D88" s="84"/>
      <c r="E88" s="84"/>
      <c r="F88" s="84"/>
      <c r="G88" s="84"/>
      <c r="H88" s="84" t="e">
        <f>H75</f>
        <v>#REF!</v>
      </c>
    </row>
    <row r="89" spans="1:27" ht="15.75" hidden="1" x14ac:dyDescent="0.2">
      <c r="A89" s="85"/>
      <c r="B89" s="86"/>
      <c r="C89" s="83" t="s">
        <v>65</v>
      </c>
      <c r="D89" s="84"/>
      <c r="E89" s="84"/>
      <c r="F89" s="84"/>
      <c r="G89" s="84" t="e">
        <f>H84</f>
        <v>#REF!</v>
      </c>
      <c r="H89" s="84" t="e">
        <f>H84</f>
        <v>#REF!</v>
      </c>
    </row>
    <row r="90" spans="1:27" ht="15.75" x14ac:dyDescent="0.2">
      <c r="A90" s="85"/>
      <c r="B90" s="86"/>
      <c r="C90" s="83" t="s">
        <v>65</v>
      </c>
      <c r="D90" s="84"/>
      <c r="E90" s="84"/>
      <c r="F90" s="84"/>
      <c r="G90" s="84"/>
      <c r="H90" s="84" t="e">
        <f>H84+H85</f>
        <v>#REF!</v>
      </c>
    </row>
    <row r="91" spans="1:27" ht="15.75" x14ac:dyDescent="0.2">
      <c r="A91" s="85"/>
      <c r="B91" s="86"/>
      <c r="C91" s="83" t="s">
        <v>66</v>
      </c>
      <c r="D91" s="84"/>
      <c r="E91" s="84"/>
      <c r="F91" s="84"/>
      <c r="G91" s="84">
        <f>'ОС база'!D47</f>
        <v>62.66</v>
      </c>
      <c r="H91" s="84">
        <f>G91</f>
        <v>62.66</v>
      </c>
    </row>
    <row r="92" spans="1:27" ht="15.75" x14ac:dyDescent="0.2">
      <c r="A92" s="87"/>
      <c r="B92" s="88"/>
      <c r="C92" s="89"/>
      <c r="D92" s="90"/>
      <c r="E92" s="90"/>
      <c r="F92" s="90"/>
      <c r="G92" s="90"/>
      <c r="H92" s="90"/>
    </row>
    <row r="94" spans="1:27" ht="15" customHeight="1" x14ac:dyDescent="0.25">
      <c r="A94" s="91" t="s">
        <v>67</v>
      </c>
      <c r="B94" s="91"/>
      <c r="C94" s="91"/>
      <c r="D94" s="92"/>
      <c r="E94" s="92"/>
      <c r="F94" s="92"/>
      <c r="G94" s="92" t="str">
        <f>IF([1]SourceObSm!X44&lt;&gt;"",[1]SourceObSm!X44,"")</f>
        <v/>
      </c>
      <c r="H94" s="93"/>
      <c r="I94" s="94"/>
      <c r="J94" s="94"/>
    </row>
    <row r="95" spans="1:27" x14ac:dyDescent="0.2">
      <c r="A95" s="386" t="s">
        <v>68</v>
      </c>
      <c r="B95" s="386"/>
      <c r="C95" s="386"/>
      <c r="D95" s="386"/>
      <c r="E95" s="386"/>
      <c r="F95" s="386"/>
      <c r="G95" s="386"/>
      <c r="H95" s="386"/>
      <c r="I95" s="95"/>
      <c r="J95" s="95"/>
    </row>
    <row r="96" spans="1:27" ht="15" customHeight="1" x14ac:dyDescent="0.25">
      <c r="A96" s="96"/>
      <c r="B96" s="96"/>
      <c r="C96" s="96"/>
      <c r="D96" s="96"/>
      <c r="E96" s="96"/>
      <c r="F96" s="96"/>
      <c r="G96" s="96"/>
      <c r="H96" s="97"/>
      <c r="I96" s="94"/>
      <c r="J96" s="94"/>
    </row>
    <row r="97" spans="1:10" ht="15" x14ac:dyDescent="0.25">
      <c r="A97" s="91" t="s">
        <v>69</v>
      </c>
      <c r="B97" s="91"/>
      <c r="C97" s="91" t="str">
        <f>IF([1]SourceObSm!AA44&lt;&gt;"",[1]SourceObSm!AA44,"")</f>
        <v/>
      </c>
      <c r="D97" s="92"/>
      <c r="E97" s="92"/>
      <c r="F97" s="92"/>
      <c r="G97" s="92" t="str">
        <f>IF([1]SourceObSm!Y44&lt;&gt;"",[1]SourceObSm!Y44,"")</f>
        <v/>
      </c>
      <c r="H97" s="93"/>
      <c r="I97" s="94"/>
      <c r="J97" s="94"/>
    </row>
    <row r="98" spans="1:10" x14ac:dyDescent="0.2">
      <c r="A98" s="386" t="s">
        <v>70</v>
      </c>
      <c r="B98" s="386"/>
      <c r="C98" s="386"/>
      <c r="D98" s="386"/>
      <c r="E98" s="386"/>
      <c r="F98" s="386"/>
      <c r="G98" s="386"/>
      <c r="H98" s="386"/>
      <c r="I98" s="387"/>
      <c r="J98" s="387"/>
    </row>
    <row r="99" spans="1:10" ht="15" x14ac:dyDescent="0.25">
      <c r="A99" s="96"/>
      <c r="B99" s="96"/>
      <c r="C99" s="96"/>
      <c r="D99" s="96"/>
      <c r="E99" s="96"/>
      <c r="F99" s="96"/>
      <c r="G99" s="96"/>
      <c r="H99" s="97"/>
      <c r="I99" s="94"/>
      <c r="J99" s="94"/>
    </row>
    <row r="100" spans="1:10" ht="15" x14ac:dyDescent="0.25">
      <c r="A100" s="91" t="s">
        <v>71</v>
      </c>
      <c r="B100" s="91"/>
      <c r="C100" s="91" t="str">
        <f>IF([1]SourceObSm!AC44&lt;&gt;"",[1]SourceObSm!AC44,"")</f>
        <v/>
      </c>
      <c r="D100" s="92"/>
      <c r="E100" s="92"/>
      <c r="F100" s="92"/>
      <c r="G100" s="92" t="str">
        <f>IF([1]SourceObSm!AB44&lt;&gt;"",[1]SourceObSm!AB44,"")</f>
        <v/>
      </c>
      <c r="H100" s="93"/>
      <c r="I100" s="94"/>
      <c r="J100" s="94"/>
    </row>
    <row r="101" spans="1:10" x14ac:dyDescent="0.2">
      <c r="A101" s="386" t="s">
        <v>72</v>
      </c>
      <c r="B101" s="386"/>
      <c r="C101" s="386"/>
      <c r="D101" s="386"/>
      <c r="E101" s="386"/>
      <c r="F101" s="386"/>
      <c r="G101" s="386"/>
      <c r="H101" s="386"/>
      <c r="I101" s="95"/>
      <c r="J101" s="95"/>
    </row>
    <row r="102" spans="1:10" ht="15" x14ac:dyDescent="0.25">
      <c r="A102" s="96"/>
      <c r="B102" s="96"/>
      <c r="C102" s="96"/>
      <c r="D102" s="96"/>
      <c r="E102" s="96"/>
      <c r="F102" s="96"/>
      <c r="G102" s="96"/>
      <c r="H102" s="97"/>
      <c r="I102" s="94"/>
      <c r="J102" s="94"/>
    </row>
    <row r="103" spans="1:10" ht="15" x14ac:dyDescent="0.25">
      <c r="A103" s="91" t="s">
        <v>73</v>
      </c>
      <c r="B103" s="91"/>
      <c r="C103" s="91" t="str">
        <f>IF([1]SourceObSm!AE44&lt;&gt;"",[1]SourceObSm!AE44,"")</f>
        <v/>
      </c>
      <c r="D103" s="91"/>
      <c r="E103" s="91"/>
      <c r="F103" s="91"/>
      <c r="G103" s="91" t="str">
        <f>IF([1]SourceObSm!AD44&lt;&gt;"",[1]SourceObSm!AD44,"")</f>
        <v/>
      </c>
      <c r="H103" s="98"/>
      <c r="I103" s="94"/>
      <c r="J103" s="94"/>
    </row>
    <row r="104" spans="1:10" x14ac:dyDescent="0.2">
      <c r="A104" s="386" t="s">
        <v>72</v>
      </c>
      <c r="B104" s="386"/>
      <c r="C104" s="386"/>
      <c r="D104" s="386"/>
      <c r="E104" s="386"/>
      <c r="F104" s="386"/>
      <c r="G104" s="386"/>
      <c r="H104" s="386"/>
      <c r="I104" s="95"/>
      <c r="J104" s="95"/>
    </row>
  </sheetData>
  <mergeCells count="38">
    <mergeCell ref="A101:H101"/>
    <mergeCell ref="A104:H104"/>
    <mergeCell ref="A71:H71"/>
    <mergeCell ref="A74:H74"/>
    <mergeCell ref="T81:AA81"/>
    <mergeCell ref="A95:H95"/>
    <mergeCell ref="A98:H98"/>
    <mergeCell ref="I98:J98"/>
    <mergeCell ref="A66:H66"/>
    <mergeCell ref="F21:F23"/>
    <mergeCell ref="G21:G23"/>
    <mergeCell ref="A25:H25"/>
    <mergeCell ref="A29:H29"/>
    <mergeCell ref="A34:H34"/>
    <mergeCell ref="A38:H38"/>
    <mergeCell ref="A42:H42"/>
    <mergeCell ref="A45:H45"/>
    <mergeCell ref="A50:H50"/>
    <mergeCell ref="A55:H55"/>
    <mergeCell ref="A60:H60"/>
    <mergeCell ref="A14:H14"/>
    <mergeCell ref="A16:H16"/>
    <mergeCell ref="A17:H17"/>
    <mergeCell ref="A20:A23"/>
    <mergeCell ref="B20:B23"/>
    <mergeCell ref="C20:C23"/>
    <mergeCell ref="D20:G20"/>
    <mergeCell ref="H20:H23"/>
    <mergeCell ref="D21:D23"/>
    <mergeCell ref="E21:E23"/>
    <mergeCell ref="F3:H3"/>
    <mergeCell ref="F2:H2"/>
    <mergeCell ref="C12:D12"/>
    <mergeCell ref="A4:D4"/>
    <mergeCell ref="F4:H4"/>
    <mergeCell ref="C6:D6"/>
    <mergeCell ref="A10:H10"/>
    <mergeCell ref="C11:D11"/>
  </mergeCells>
  <pageMargins left="0.70866141732283472" right="0.70866141732283472" top="0.74803149606299213" bottom="0.74803149606299213" header="0.31496062992125984" footer="0.31496062992125984"/>
  <pageSetup paperSize="9" scale="57" orientation="portrait" horizontalDpi="4294967295" verticalDpi="4294967295" r:id="rId1"/>
  <colBreaks count="1" manualBreakCount="1">
    <brk id="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5B3BB-46F6-4C54-BA21-755A5FAA5815}">
  <dimension ref="A1:H19"/>
  <sheetViews>
    <sheetView tabSelected="1" workbookViewId="0">
      <selection activeCell="C8" sqref="C8:H8"/>
    </sheetView>
  </sheetViews>
  <sheetFormatPr defaultColWidth="9.140625" defaultRowHeight="15" x14ac:dyDescent="0.25"/>
  <cols>
    <col min="1" max="1" width="4.42578125" style="265" customWidth="1"/>
    <col min="2" max="2" width="26.7109375" style="265" customWidth="1"/>
    <col min="3" max="3" width="20.140625" style="265" customWidth="1"/>
    <col min="4" max="4" width="30.7109375" style="265" customWidth="1"/>
    <col min="5" max="5" width="10.85546875" style="265" customWidth="1"/>
    <col min="6" max="6" width="8.7109375" style="265" customWidth="1"/>
    <col min="7" max="7" width="12.7109375" style="265" customWidth="1"/>
    <col min="8" max="8" width="14.28515625" style="273" customWidth="1"/>
    <col min="9" max="9" width="9.140625" style="265"/>
    <col min="10" max="10" width="9.5703125" style="265" bestFit="1" customWidth="1"/>
    <col min="11" max="11" width="10.42578125" style="265" bestFit="1" customWidth="1"/>
    <col min="12" max="16384" width="9.140625" style="265"/>
  </cols>
  <sheetData>
    <row r="1" spans="1:8" x14ac:dyDescent="0.25">
      <c r="A1" s="392"/>
      <c r="B1" s="390"/>
      <c r="C1" s="390"/>
      <c r="D1" s="390"/>
      <c r="E1" s="390"/>
      <c r="F1" s="393"/>
      <c r="G1" s="394"/>
      <c r="H1" s="394"/>
    </row>
    <row r="2" spans="1:8" x14ac:dyDescent="0.25">
      <c r="A2" s="266"/>
      <c r="F2" s="393"/>
      <c r="G2" s="393"/>
      <c r="H2" s="393"/>
    </row>
    <row r="3" spans="1:8" x14ac:dyDescent="0.25">
      <c r="A3" s="266"/>
      <c r="F3" s="393"/>
      <c r="G3" s="393"/>
      <c r="H3" s="393"/>
    </row>
    <row r="4" spans="1:8" x14ac:dyDescent="0.25">
      <c r="A4" s="266"/>
      <c r="F4" s="395"/>
      <c r="G4" s="395"/>
      <c r="H4" s="395"/>
    </row>
    <row r="5" spans="1:8" x14ac:dyDescent="0.25">
      <c r="A5" s="266"/>
      <c r="F5" s="267"/>
      <c r="H5" s="265"/>
    </row>
    <row r="6" spans="1:8" x14ac:dyDescent="0.25">
      <c r="A6" s="396" t="s">
        <v>3880</v>
      </c>
      <c r="B6" s="390"/>
      <c r="C6" s="390"/>
      <c r="D6" s="390"/>
      <c r="E6" s="390"/>
      <c r="F6" s="390"/>
      <c r="G6" s="390"/>
      <c r="H6" s="390"/>
    </row>
    <row r="7" spans="1:8" ht="23.45" customHeight="1" x14ac:dyDescent="0.25">
      <c r="A7" s="397" t="s">
        <v>720</v>
      </c>
      <c r="B7" s="390"/>
      <c r="C7" s="390"/>
      <c r="D7" s="390"/>
      <c r="E7" s="390"/>
      <c r="F7" s="390"/>
      <c r="G7" s="390"/>
      <c r="H7" s="390"/>
    </row>
    <row r="8" spans="1:8" ht="57" customHeight="1" x14ac:dyDescent="0.25">
      <c r="A8" s="389" t="s">
        <v>3860</v>
      </c>
      <c r="B8" s="390"/>
      <c r="C8" s="391" t="s">
        <v>3861</v>
      </c>
      <c r="D8" s="391"/>
      <c r="E8" s="391"/>
      <c r="F8" s="391"/>
      <c r="G8" s="391"/>
      <c r="H8" s="391"/>
    </row>
    <row r="9" spans="1:8" ht="29.45" customHeight="1" x14ac:dyDescent="0.25">
      <c r="A9" s="389" t="s">
        <v>3862</v>
      </c>
      <c r="B9" s="390"/>
      <c r="C9" s="391" t="s">
        <v>3863</v>
      </c>
      <c r="D9" s="390"/>
      <c r="E9" s="390"/>
      <c r="F9" s="390"/>
      <c r="G9" s="390"/>
      <c r="H9" s="390"/>
    </row>
    <row r="10" spans="1:8" ht="30" customHeight="1" x14ac:dyDescent="0.25">
      <c r="A10" s="389" t="s">
        <v>3864</v>
      </c>
      <c r="B10" s="390"/>
      <c r="C10" s="391" t="s">
        <v>3865</v>
      </c>
      <c r="D10" s="390"/>
      <c r="E10" s="390"/>
      <c r="F10" s="390"/>
      <c r="G10" s="390"/>
      <c r="H10" s="390"/>
    </row>
    <row r="11" spans="1:8" ht="40.15" customHeight="1" x14ac:dyDescent="0.25">
      <c r="A11" s="389" t="s">
        <v>3866</v>
      </c>
      <c r="B11" s="390"/>
      <c r="C11" s="391" t="s">
        <v>3867</v>
      </c>
      <c r="D11" s="390"/>
      <c r="E11" s="390"/>
      <c r="F11" s="390"/>
      <c r="G11" s="390"/>
      <c r="H11" s="390"/>
    </row>
    <row r="12" spans="1:8" ht="45" x14ac:dyDescent="0.25">
      <c r="A12" s="268" t="s">
        <v>81</v>
      </c>
      <c r="B12" s="268" t="s">
        <v>3868</v>
      </c>
      <c r="C12" s="398" t="s">
        <v>3869</v>
      </c>
      <c r="D12" s="399"/>
      <c r="E12" s="268" t="s">
        <v>3870</v>
      </c>
      <c r="F12" s="398" t="s">
        <v>3871</v>
      </c>
      <c r="G12" s="399"/>
      <c r="H12" s="269" t="s">
        <v>3872</v>
      </c>
    </row>
    <row r="13" spans="1:8" ht="131.44999999999999" customHeight="1" x14ac:dyDescent="0.25">
      <c r="A13" s="270" t="s">
        <v>719</v>
      </c>
      <c r="B13" s="270" t="s">
        <v>3873</v>
      </c>
      <c r="C13" s="400" t="s">
        <v>3874</v>
      </c>
      <c r="D13" s="401"/>
      <c r="E13" s="270" t="s">
        <v>3875</v>
      </c>
      <c r="F13" s="402" t="s">
        <v>3876</v>
      </c>
      <c r="G13" s="401"/>
      <c r="H13" s="271">
        <v>423156</v>
      </c>
    </row>
    <row r="14" spans="1:8" x14ac:dyDescent="0.25">
      <c r="A14" s="403" t="s">
        <v>3877</v>
      </c>
      <c r="B14" s="404"/>
      <c r="C14" s="404"/>
      <c r="D14" s="404"/>
      <c r="E14" s="404"/>
      <c r="F14" s="404"/>
      <c r="G14" s="405"/>
      <c r="H14" s="271">
        <v>423156</v>
      </c>
    </row>
    <row r="15" spans="1:8" x14ac:dyDescent="0.25">
      <c r="A15" s="406" t="s">
        <v>3878</v>
      </c>
      <c r="B15" s="406"/>
      <c r="C15" s="406"/>
      <c r="D15" s="406"/>
      <c r="E15" s="406"/>
      <c r="F15" s="406">
        <v>4.1379999999999999</v>
      </c>
      <c r="G15" s="407"/>
      <c r="H15" s="272">
        <v>1751019.53</v>
      </c>
    </row>
    <row r="17" spans="1:8" x14ac:dyDescent="0.25">
      <c r="A17" s="408"/>
      <c r="B17" s="408"/>
      <c r="C17" s="408"/>
      <c r="D17" s="408"/>
      <c r="E17" s="408"/>
      <c r="F17" s="408"/>
      <c r="G17" s="408"/>
      <c r="H17" s="408"/>
    </row>
    <row r="19" spans="1:8" x14ac:dyDescent="0.25">
      <c r="A19" s="408" t="s">
        <v>3879</v>
      </c>
      <c r="B19" s="408"/>
      <c r="C19" s="408"/>
      <c r="D19" s="408"/>
    </row>
  </sheetData>
  <mergeCells count="24">
    <mergeCell ref="A14:G14"/>
    <mergeCell ref="A15:E15"/>
    <mergeCell ref="F15:G15"/>
    <mergeCell ref="A17:H17"/>
    <mergeCell ref="A19:D19"/>
    <mergeCell ref="A11:B11"/>
    <mergeCell ref="C11:H11"/>
    <mergeCell ref="C12:D12"/>
    <mergeCell ref="F12:G12"/>
    <mergeCell ref="C13:D13"/>
    <mergeCell ref="F13:G13"/>
    <mergeCell ref="A10:B10"/>
    <mergeCell ref="C10:H10"/>
    <mergeCell ref="A1:E1"/>
    <mergeCell ref="F1:H1"/>
    <mergeCell ref="F2:H2"/>
    <mergeCell ref="F3:H3"/>
    <mergeCell ref="F4:H4"/>
    <mergeCell ref="A6:H6"/>
    <mergeCell ref="A7:H7"/>
    <mergeCell ref="A8:B8"/>
    <mergeCell ref="C8:H8"/>
    <mergeCell ref="A9:B9"/>
    <mergeCell ref="C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E1209"/>
  <sheetViews>
    <sheetView view="pageBreakPreview" topLeftCell="A1154" zoomScaleNormal="100" zoomScaleSheetLayoutView="100" workbookViewId="0">
      <selection activeCell="A13" sqref="A13:K13"/>
    </sheetView>
  </sheetViews>
  <sheetFormatPr defaultColWidth="9.140625" defaultRowHeight="12.75" x14ac:dyDescent="0.2"/>
  <cols>
    <col min="1" max="1" width="5.7109375" style="160" customWidth="1"/>
    <col min="2" max="2" width="11.7109375" style="160" customWidth="1"/>
    <col min="3" max="3" width="40.7109375" style="160" customWidth="1"/>
    <col min="4" max="6" width="11.7109375" style="160" customWidth="1"/>
    <col min="7" max="7" width="12.7109375" style="160" customWidth="1"/>
    <col min="8" max="8" width="10.7109375" style="160" customWidth="1"/>
    <col min="9" max="11" width="12.7109375" style="160" customWidth="1"/>
    <col min="12" max="14" width="9.140625" style="160"/>
    <col min="15" max="30" width="0" style="160" hidden="1" customWidth="1"/>
    <col min="31" max="31" width="150.7109375" style="160" hidden="1" customWidth="1"/>
    <col min="32" max="36" width="0" style="160" hidden="1" customWidth="1"/>
    <col min="37" max="16384" width="9.140625" style="160"/>
  </cols>
  <sheetData>
    <row r="1" spans="1:31" x14ac:dyDescent="0.2">
      <c r="A1" s="200" t="s">
        <v>1523</v>
      </c>
    </row>
    <row r="2" spans="1:31" ht="14.25" x14ac:dyDescent="0.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61" t="s">
        <v>381</v>
      </c>
    </row>
    <row r="3" spans="1:31" ht="16.5" x14ac:dyDescent="0.25">
      <c r="A3" s="199"/>
      <c r="B3" s="428" t="s">
        <v>380</v>
      </c>
      <c r="C3" s="428"/>
      <c r="D3" s="428"/>
      <c r="E3" s="428"/>
      <c r="F3" s="161"/>
      <c r="G3" s="428" t="s">
        <v>0</v>
      </c>
      <c r="H3" s="428"/>
      <c r="I3" s="428"/>
      <c r="J3" s="428"/>
      <c r="K3" s="428"/>
    </row>
    <row r="4" spans="1:31" ht="14.25" x14ac:dyDescent="0.2">
      <c r="A4" s="161"/>
      <c r="B4" s="418"/>
      <c r="C4" s="418"/>
      <c r="D4" s="418"/>
      <c r="E4" s="418"/>
      <c r="F4" s="161"/>
      <c r="G4" s="418"/>
      <c r="H4" s="418"/>
      <c r="I4" s="418"/>
      <c r="J4" s="418"/>
      <c r="K4" s="418"/>
    </row>
    <row r="5" spans="1:31" ht="14.25" x14ac:dyDescent="0.2">
      <c r="A5" s="198"/>
      <c r="B5" s="198"/>
      <c r="C5" s="197"/>
      <c r="D5" s="197"/>
      <c r="E5" s="197"/>
      <c r="F5" s="161"/>
      <c r="G5" s="187"/>
      <c r="H5" s="197"/>
      <c r="I5" s="197"/>
      <c r="J5" s="197"/>
      <c r="K5" s="187"/>
    </row>
    <row r="6" spans="1:31" ht="14.25" x14ac:dyDescent="0.2">
      <c r="A6" s="187"/>
      <c r="B6" s="418" t="s">
        <v>1524</v>
      </c>
      <c r="C6" s="418"/>
      <c r="D6" s="418"/>
      <c r="E6" s="418"/>
      <c r="F6" s="161"/>
      <c r="G6" s="418" t="s">
        <v>1524</v>
      </c>
      <c r="H6" s="418"/>
      <c r="I6" s="418"/>
      <c r="J6" s="418"/>
      <c r="K6" s="418"/>
    </row>
    <row r="7" spans="1:31" ht="14.25" x14ac:dyDescent="0.2">
      <c r="A7" s="196"/>
      <c r="B7" s="429" t="s">
        <v>379</v>
      </c>
      <c r="C7" s="429"/>
      <c r="D7" s="429"/>
      <c r="E7" s="429"/>
      <c r="F7" s="161"/>
      <c r="G7" s="429" t="s">
        <v>379</v>
      </c>
      <c r="H7" s="429"/>
      <c r="I7" s="429"/>
      <c r="J7" s="429"/>
      <c r="K7" s="429"/>
    </row>
    <row r="9" spans="1:31" ht="14.25" x14ac:dyDescent="0.2">
      <c r="A9" s="161"/>
      <c r="B9" s="161"/>
      <c r="C9" s="161"/>
      <c r="D9" s="161"/>
      <c r="E9" s="161"/>
      <c r="F9" s="161"/>
      <c r="G9" s="161"/>
      <c r="H9" s="161"/>
      <c r="I9" s="161"/>
      <c r="J9" s="161"/>
      <c r="K9" s="161"/>
    </row>
    <row r="10" spans="1:31" ht="52.5" customHeight="1" x14ac:dyDescent="0.25">
      <c r="A10" s="422" t="s">
        <v>3850</v>
      </c>
      <c r="B10" s="422"/>
      <c r="C10" s="422"/>
      <c r="D10" s="422"/>
      <c r="E10" s="422"/>
      <c r="F10" s="422"/>
      <c r="G10" s="422"/>
      <c r="H10" s="422"/>
      <c r="I10" s="422"/>
      <c r="J10" s="422"/>
      <c r="K10" s="422"/>
      <c r="AE10" s="194" t="str">
        <f>IF([2]Source!G12&lt;&gt;"Новый объект", [2]Source!G12,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09" t="s">
        <v>75</v>
      </c>
      <c r="B11" s="409"/>
      <c r="C11" s="409"/>
      <c r="D11" s="409"/>
      <c r="E11" s="409"/>
      <c r="F11" s="409"/>
      <c r="G11" s="409"/>
      <c r="H11" s="409"/>
      <c r="I11" s="409"/>
      <c r="J11" s="409"/>
      <c r="K11" s="409"/>
    </row>
    <row r="12" spans="1:31" ht="14.25" x14ac:dyDescent="0.2">
      <c r="A12" s="161"/>
      <c r="B12" s="161"/>
      <c r="C12" s="161"/>
      <c r="D12" s="161"/>
      <c r="E12" s="161"/>
      <c r="F12" s="161"/>
      <c r="G12" s="161"/>
      <c r="H12" s="161"/>
      <c r="I12" s="161"/>
      <c r="J12" s="161"/>
      <c r="K12" s="161"/>
    </row>
    <row r="13" spans="1:31" ht="15.75" x14ac:dyDescent="0.25">
      <c r="A13" s="422" t="s">
        <v>3881</v>
      </c>
      <c r="B13" s="423"/>
      <c r="C13" s="423"/>
      <c r="D13" s="423"/>
      <c r="E13" s="423"/>
      <c r="F13" s="423"/>
      <c r="G13" s="423"/>
      <c r="H13" s="423"/>
      <c r="I13" s="423"/>
      <c r="J13" s="423"/>
      <c r="K13" s="423"/>
    </row>
    <row r="14" spans="1:31" ht="14.25" x14ac:dyDescent="0.2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</row>
    <row r="15" spans="1:31" ht="18" x14ac:dyDescent="0.25">
      <c r="A15" s="424" t="s">
        <v>1525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</row>
    <row r="16" spans="1:31" x14ac:dyDescent="0.2">
      <c r="A16" s="425" t="s">
        <v>378</v>
      </c>
      <c r="B16" s="426"/>
      <c r="C16" s="426"/>
      <c r="D16" s="426"/>
      <c r="E16" s="426"/>
      <c r="F16" s="426"/>
      <c r="G16" s="426"/>
      <c r="H16" s="426"/>
      <c r="I16" s="426"/>
      <c r="J16" s="426"/>
      <c r="K16" s="426"/>
    </row>
    <row r="17" spans="1:31" ht="14.25" x14ac:dyDescent="0.2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</row>
    <row r="18" spans="1:31" ht="14.25" x14ac:dyDescent="0.2">
      <c r="A18" s="421" t="s">
        <v>1526</v>
      </c>
      <c r="B18" s="421"/>
      <c r="C18" s="421"/>
      <c r="D18" s="421"/>
      <c r="E18" s="421"/>
      <c r="F18" s="421"/>
      <c r="G18" s="421"/>
      <c r="H18" s="421"/>
      <c r="I18" s="421"/>
      <c r="J18" s="421"/>
      <c r="K18" s="421"/>
    </row>
    <row r="19" spans="1:31" ht="14.25" x14ac:dyDescent="0.2">
      <c r="A19" s="193"/>
      <c r="B19" s="193"/>
      <c r="C19" s="193"/>
      <c r="D19" s="193"/>
      <c r="E19" s="193"/>
      <c r="F19" s="193"/>
      <c r="G19" s="193"/>
      <c r="H19" s="193"/>
      <c r="I19" s="193"/>
      <c r="J19" s="193"/>
      <c r="K19" s="193"/>
    </row>
    <row r="20" spans="1:31" ht="28.5" x14ac:dyDescent="0.2">
      <c r="A20" s="161"/>
      <c r="B20" s="161"/>
      <c r="C20" s="161"/>
      <c r="D20" s="161"/>
      <c r="E20" s="161"/>
      <c r="F20" s="161"/>
      <c r="G20" s="161"/>
      <c r="H20" s="161"/>
      <c r="I20" s="192" t="s">
        <v>377</v>
      </c>
      <c r="J20" s="192" t="s">
        <v>376</v>
      </c>
      <c r="K20" s="161"/>
    </row>
    <row r="21" spans="1:31" ht="15" x14ac:dyDescent="0.25">
      <c r="A21" s="161"/>
      <c r="B21" s="161"/>
      <c r="C21" s="161"/>
      <c r="D21" s="161"/>
      <c r="E21" s="161"/>
      <c r="F21" s="427" t="s">
        <v>375</v>
      </c>
      <c r="G21" s="427"/>
      <c r="H21" s="427"/>
      <c r="I21" s="191">
        <v>4539.5600000000004</v>
      </c>
      <c r="J21" s="191">
        <v>35995.040000000001</v>
      </c>
      <c r="K21" s="190" t="s">
        <v>366</v>
      </c>
    </row>
    <row r="22" spans="1:31" ht="14.25" x14ac:dyDescent="0.2">
      <c r="A22" s="161"/>
      <c r="B22" s="161"/>
      <c r="C22" s="161"/>
      <c r="D22" s="161"/>
      <c r="E22" s="161"/>
      <c r="F22" s="418" t="s">
        <v>374</v>
      </c>
      <c r="G22" s="418"/>
      <c r="H22" s="418"/>
      <c r="I22" s="186">
        <v>4375.03</v>
      </c>
      <c r="J22" s="186">
        <v>35363.97</v>
      </c>
      <c r="K22" s="161" t="s">
        <v>366</v>
      </c>
    </row>
    <row r="23" spans="1:31" ht="14.25" x14ac:dyDescent="0.2">
      <c r="A23" s="161"/>
      <c r="B23" s="161"/>
      <c r="C23" s="161"/>
      <c r="D23" s="161"/>
      <c r="E23" s="161"/>
      <c r="F23" s="418" t="s">
        <v>373</v>
      </c>
      <c r="G23" s="418"/>
      <c r="H23" s="418"/>
      <c r="I23" s="186">
        <v>0</v>
      </c>
      <c r="J23" s="186">
        <v>0</v>
      </c>
      <c r="K23" s="161" t="s">
        <v>366</v>
      </c>
    </row>
    <row r="24" spans="1:31" ht="14.25" x14ac:dyDescent="0.2">
      <c r="A24" s="161"/>
      <c r="B24" s="161"/>
      <c r="C24" s="161"/>
      <c r="D24" s="161"/>
      <c r="E24" s="161"/>
      <c r="F24" s="418" t="s">
        <v>106</v>
      </c>
      <c r="G24" s="418"/>
      <c r="H24" s="418"/>
      <c r="I24" s="186">
        <v>0</v>
      </c>
      <c r="J24" s="186">
        <v>0</v>
      </c>
      <c r="K24" s="161" t="s">
        <v>366</v>
      </c>
    </row>
    <row r="25" spans="1:31" ht="14.25" x14ac:dyDescent="0.2">
      <c r="A25" s="161"/>
      <c r="B25" s="161"/>
      <c r="C25" s="161"/>
      <c r="D25" s="161"/>
      <c r="E25" s="161"/>
      <c r="F25" s="418" t="s">
        <v>372</v>
      </c>
      <c r="G25" s="418"/>
      <c r="H25" s="418"/>
      <c r="I25" s="186">
        <v>164.53</v>
      </c>
      <c r="J25" s="186">
        <v>631.07000000000005</v>
      </c>
      <c r="K25" s="161" t="s">
        <v>366</v>
      </c>
    </row>
    <row r="26" spans="1:31" ht="14.25" x14ac:dyDescent="0.2">
      <c r="A26" s="161"/>
      <c r="B26" s="161"/>
      <c r="C26" s="161"/>
      <c r="D26" s="161"/>
      <c r="E26" s="161"/>
      <c r="F26" s="418" t="s">
        <v>371</v>
      </c>
      <c r="G26" s="418"/>
      <c r="H26" s="418"/>
      <c r="I26" s="186">
        <v>469.95</v>
      </c>
      <c r="J26" s="186">
        <v>10973.24</v>
      </c>
      <c r="K26" s="161" t="s">
        <v>366</v>
      </c>
    </row>
    <row r="27" spans="1:31" ht="14.25" x14ac:dyDescent="0.2">
      <c r="A27" s="161"/>
      <c r="B27" s="161"/>
      <c r="C27" s="161"/>
      <c r="D27" s="161"/>
      <c r="E27" s="161"/>
      <c r="F27" s="418" t="s">
        <v>370</v>
      </c>
      <c r="G27" s="418"/>
      <c r="H27" s="418"/>
      <c r="I27" s="186">
        <v>40186.03</v>
      </c>
      <c r="J27" s="186"/>
      <c r="K27" s="161" t="s">
        <v>369</v>
      </c>
    </row>
    <row r="28" spans="1:31" ht="14.25" hidden="1" x14ac:dyDescent="0.2">
      <c r="A28" s="161"/>
      <c r="B28" s="161"/>
      <c r="C28" s="161"/>
      <c r="D28" s="161"/>
      <c r="E28" s="161"/>
      <c r="F28" s="188" t="s">
        <v>368</v>
      </c>
      <c r="G28" s="188"/>
      <c r="H28" s="188"/>
      <c r="I28" s="186"/>
      <c r="J28" s="186"/>
      <c r="K28" s="161"/>
    </row>
    <row r="29" spans="1:31" ht="14.25" hidden="1" x14ac:dyDescent="0.2">
      <c r="A29" s="161"/>
      <c r="B29" s="161"/>
      <c r="C29" s="161"/>
      <c r="D29" s="161"/>
      <c r="E29" s="161"/>
      <c r="F29" s="419" t="s">
        <v>367</v>
      </c>
      <c r="G29" s="420"/>
      <c r="H29" s="420"/>
      <c r="I29" s="186">
        <v>0</v>
      </c>
      <c r="J29" s="186">
        <v>0</v>
      </c>
      <c r="K29" s="161" t="s">
        <v>366</v>
      </c>
    </row>
    <row r="30" spans="1:31" ht="14.25" x14ac:dyDescent="0.2">
      <c r="A30" s="161"/>
      <c r="B30" s="161"/>
      <c r="C30" s="161"/>
      <c r="D30" s="161"/>
      <c r="E30" s="161"/>
      <c r="F30" s="187"/>
      <c r="G30" s="187"/>
      <c r="H30" s="187"/>
      <c r="I30" s="186"/>
      <c r="J30" s="186"/>
      <c r="K30" s="161"/>
    </row>
    <row r="31" spans="1:31" ht="14.25" x14ac:dyDescent="0.2">
      <c r="A31" s="161" t="s">
        <v>365</v>
      </c>
      <c r="B31" s="161"/>
      <c r="C31" s="161"/>
      <c r="D31" s="161"/>
      <c r="E31" s="161"/>
      <c r="F31" s="187"/>
      <c r="G31" s="187"/>
      <c r="H31" s="187"/>
      <c r="I31" s="186"/>
      <c r="J31" s="186"/>
      <c r="K31" s="161"/>
    </row>
    <row r="32" spans="1:31" ht="28.5" x14ac:dyDescent="0.2">
      <c r="A32" s="421" t="s">
        <v>364</v>
      </c>
      <c r="B32" s="421"/>
      <c r="C32" s="421"/>
      <c r="D32" s="421"/>
      <c r="E32" s="421"/>
      <c r="F32" s="421"/>
      <c r="G32" s="421"/>
      <c r="H32" s="421"/>
      <c r="I32" s="421"/>
      <c r="J32" s="421"/>
      <c r="K32" s="421"/>
      <c r="AE32" s="185" t="s">
        <v>364</v>
      </c>
    </row>
    <row r="33" spans="1:22" ht="85.5" x14ac:dyDescent="0.2">
      <c r="A33" s="183" t="s">
        <v>81</v>
      </c>
      <c r="B33" s="183" t="s">
        <v>363</v>
      </c>
      <c r="C33" s="183" t="s">
        <v>83</v>
      </c>
      <c r="D33" s="183" t="s">
        <v>362</v>
      </c>
      <c r="E33" s="183" t="s">
        <v>361</v>
      </c>
      <c r="F33" s="183" t="s">
        <v>360</v>
      </c>
      <c r="G33" s="184" t="s">
        <v>359</v>
      </c>
      <c r="H33" s="184" t="s">
        <v>358</v>
      </c>
      <c r="I33" s="183" t="s">
        <v>357</v>
      </c>
      <c r="J33" s="183" t="s">
        <v>356</v>
      </c>
      <c r="K33" s="183" t="s">
        <v>355</v>
      </c>
    </row>
    <row r="34" spans="1:22" ht="14.25" x14ac:dyDescent="0.2">
      <c r="A34" s="183">
        <v>1</v>
      </c>
      <c r="B34" s="183">
        <v>2</v>
      </c>
      <c r="C34" s="183">
        <v>3</v>
      </c>
      <c r="D34" s="183">
        <v>4</v>
      </c>
      <c r="E34" s="183">
        <v>5</v>
      </c>
      <c r="F34" s="183">
        <v>6</v>
      </c>
      <c r="G34" s="183">
        <v>7</v>
      </c>
      <c r="H34" s="183">
        <v>8</v>
      </c>
      <c r="I34" s="183">
        <v>9</v>
      </c>
      <c r="J34" s="183">
        <v>10</v>
      </c>
      <c r="K34" s="183">
        <v>11</v>
      </c>
    </row>
    <row r="36" spans="1:22" ht="16.5" x14ac:dyDescent="0.25">
      <c r="A36" s="413" t="s">
        <v>1527</v>
      </c>
      <c r="B36" s="413"/>
      <c r="C36" s="413"/>
      <c r="D36" s="413"/>
      <c r="E36" s="413"/>
      <c r="F36" s="413"/>
      <c r="G36" s="413"/>
      <c r="H36" s="413"/>
      <c r="I36" s="413"/>
      <c r="J36" s="413"/>
      <c r="K36" s="413"/>
    </row>
    <row r="37" spans="1:22" ht="28.5" x14ac:dyDescent="0.2">
      <c r="A37" s="179" t="s">
        <v>719</v>
      </c>
      <c r="B37" s="178" t="s">
        <v>1528</v>
      </c>
      <c r="C37" s="178" t="s">
        <v>354</v>
      </c>
      <c r="D37" s="177" t="s">
        <v>1529</v>
      </c>
      <c r="E37" s="174">
        <v>634.38</v>
      </c>
      <c r="F37" s="176"/>
      <c r="G37" s="175"/>
      <c r="H37" s="174"/>
      <c r="I37" s="173"/>
      <c r="J37" s="174"/>
      <c r="K37" s="173"/>
      <c r="Q37" s="160">
        <f>[2]Source!X28</f>
        <v>82347.600000000006</v>
      </c>
      <c r="R37" s="160">
        <f>[2]Source!X29</f>
        <v>1634393.99</v>
      </c>
      <c r="S37" s="160">
        <f>[2]Source!Y28</f>
        <v>56613.98</v>
      </c>
      <c r="T37" s="160">
        <f>[2]Source!Y29</f>
        <v>985443.44</v>
      </c>
      <c r="U37" s="160">
        <f>ROUND((175/100)*ROUND([2]Source!R28, 2), 2)</f>
        <v>0</v>
      </c>
      <c r="V37" s="160">
        <f>ROUND((157/100)*ROUND([2]Source!R29, 2), 2)</f>
        <v>0</v>
      </c>
    </row>
    <row r="38" spans="1:22" x14ac:dyDescent="0.2">
      <c r="C38" s="181" t="s">
        <v>1530</v>
      </c>
    </row>
    <row r="39" spans="1:22" ht="14.25" x14ac:dyDescent="0.2">
      <c r="A39" s="179"/>
      <c r="B39" s="178"/>
      <c r="C39" s="178" t="s">
        <v>197</v>
      </c>
      <c r="D39" s="177"/>
      <c r="E39" s="174"/>
      <c r="F39" s="176">
        <v>162.26</v>
      </c>
      <c r="G39" s="175" t="s">
        <v>195</v>
      </c>
      <c r="H39" s="174">
        <v>1</v>
      </c>
      <c r="I39" s="173">
        <v>102934.5</v>
      </c>
      <c r="J39" s="174">
        <v>23.35</v>
      </c>
      <c r="K39" s="173">
        <v>2403520.58</v>
      </c>
    </row>
    <row r="40" spans="1:22" ht="28.5" x14ac:dyDescent="0.2">
      <c r="A40" s="179" t="s">
        <v>1531</v>
      </c>
      <c r="B40" s="178" t="s">
        <v>1532</v>
      </c>
      <c r="C40" s="178" t="s">
        <v>351</v>
      </c>
      <c r="D40" s="177" t="s">
        <v>1533</v>
      </c>
      <c r="E40" s="174">
        <v>-1268.76</v>
      </c>
      <c r="F40" s="176">
        <v>0</v>
      </c>
      <c r="G40" s="182" t="s">
        <v>195</v>
      </c>
      <c r="H40" s="174">
        <v>1</v>
      </c>
      <c r="I40" s="173">
        <v>0</v>
      </c>
      <c r="J40" s="174">
        <v>5.42</v>
      </c>
      <c r="K40" s="173">
        <v>0</v>
      </c>
      <c r="Q40" s="160">
        <f>[2]Source!X30</f>
        <v>0</v>
      </c>
      <c r="R40" s="160">
        <f>[2]Source!X31</f>
        <v>0</v>
      </c>
      <c r="S40" s="160">
        <f>[2]Source!Y30</f>
        <v>0</v>
      </c>
      <c r="T40" s="160">
        <f>[2]Source!Y31</f>
        <v>0</v>
      </c>
      <c r="U40" s="160">
        <f>ROUND((175/100)*ROUND([2]Source!R30, 2), 2)</f>
        <v>0</v>
      </c>
      <c r="V40" s="160">
        <f>ROUND((157/100)*ROUND([2]Source!R31, 2), 2)</f>
        <v>0</v>
      </c>
    </row>
    <row r="41" spans="1:22" ht="14.25" x14ac:dyDescent="0.2">
      <c r="A41" s="179"/>
      <c r="B41" s="178"/>
      <c r="C41" s="178" t="s">
        <v>194</v>
      </c>
      <c r="D41" s="177" t="s">
        <v>187</v>
      </c>
      <c r="E41" s="174">
        <v>80</v>
      </c>
      <c r="F41" s="176"/>
      <c r="G41" s="175"/>
      <c r="H41" s="174"/>
      <c r="I41" s="173">
        <v>82347.600000000006</v>
      </c>
      <c r="J41" s="174">
        <v>68</v>
      </c>
      <c r="K41" s="173">
        <v>1634393.99</v>
      </c>
    </row>
    <row r="42" spans="1:22" ht="14.25" x14ac:dyDescent="0.2">
      <c r="A42" s="179"/>
      <c r="B42" s="178"/>
      <c r="C42" s="178" t="s">
        <v>193</v>
      </c>
      <c r="D42" s="177" t="s">
        <v>187</v>
      </c>
      <c r="E42" s="174">
        <v>55</v>
      </c>
      <c r="F42" s="176"/>
      <c r="G42" s="175"/>
      <c r="H42" s="174"/>
      <c r="I42" s="173">
        <v>56613.98</v>
      </c>
      <c r="J42" s="174">
        <v>41</v>
      </c>
      <c r="K42" s="173">
        <v>985443.44</v>
      </c>
    </row>
    <row r="43" spans="1:22" ht="14.25" x14ac:dyDescent="0.2">
      <c r="A43" s="172"/>
      <c r="B43" s="171"/>
      <c r="C43" s="171" t="s">
        <v>192</v>
      </c>
      <c r="D43" s="170" t="s">
        <v>191</v>
      </c>
      <c r="E43" s="167">
        <v>15.88</v>
      </c>
      <c r="F43" s="169"/>
      <c r="G43" s="168" t="s">
        <v>195</v>
      </c>
      <c r="H43" s="167">
        <v>1</v>
      </c>
      <c r="I43" s="166">
        <v>10073.950000000001</v>
      </c>
      <c r="J43" s="167"/>
      <c r="K43" s="166"/>
    </row>
    <row r="44" spans="1:22" ht="15" x14ac:dyDescent="0.25">
      <c r="A44" s="164"/>
      <c r="B44" s="164"/>
      <c r="C44" s="165" t="s">
        <v>183</v>
      </c>
      <c r="D44" s="164"/>
      <c r="E44" s="164"/>
      <c r="F44" s="164"/>
      <c r="G44" s="164"/>
      <c r="H44" s="414">
        <v>241896.08</v>
      </c>
      <c r="I44" s="414"/>
      <c r="J44" s="414">
        <v>5023358.01</v>
      </c>
      <c r="K44" s="414"/>
      <c r="O44" s="163">
        <f>I39+I41+I42+SUM(I40:I40)</f>
        <v>241896.08</v>
      </c>
      <c r="P44" s="163">
        <f>K39+K41+K42+SUM(K40:K40)</f>
        <v>5023358.01</v>
      </c>
    </row>
    <row r="46" spans="1:22" ht="42.75" x14ac:dyDescent="0.2">
      <c r="A46" s="179" t="s">
        <v>1534</v>
      </c>
      <c r="B46" s="178" t="s">
        <v>1535</v>
      </c>
      <c r="C46" s="178" t="s">
        <v>353</v>
      </c>
      <c r="D46" s="177" t="s">
        <v>1536</v>
      </c>
      <c r="E46" s="174">
        <v>0.65</v>
      </c>
      <c r="F46" s="176"/>
      <c r="G46" s="175"/>
      <c r="H46" s="174"/>
      <c r="I46" s="173"/>
      <c r="J46" s="174"/>
      <c r="K46" s="173"/>
      <c r="Q46" s="160">
        <f>[2]Source!X32</f>
        <v>1072.3699999999999</v>
      </c>
      <c r="R46" s="160">
        <f>[2]Source!X33</f>
        <v>21283.82</v>
      </c>
      <c r="S46" s="160">
        <f>[2]Source!Y32</f>
        <v>737.25</v>
      </c>
      <c r="T46" s="160">
        <f>[2]Source!Y33</f>
        <v>12832.89</v>
      </c>
      <c r="U46" s="160">
        <f>ROUND((175/100)*ROUND([2]Source!R32, 2), 2)</f>
        <v>0</v>
      </c>
      <c r="V46" s="160">
        <f>ROUND((157/100)*ROUND([2]Source!R33, 2), 2)</f>
        <v>0</v>
      </c>
    </row>
    <row r="47" spans="1:22" x14ac:dyDescent="0.2">
      <c r="C47" s="181" t="s">
        <v>1537</v>
      </c>
    </row>
    <row r="48" spans="1:22" ht="14.25" x14ac:dyDescent="0.2">
      <c r="A48" s="179"/>
      <c r="B48" s="178"/>
      <c r="C48" s="178" t="s">
        <v>197</v>
      </c>
      <c r="D48" s="177"/>
      <c r="E48" s="174"/>
      <c r="F48" s="176">
        <v>2062.2399999999998</v>
      </c>
      <c r="G48" s="175" t="s">
        <v>195</v>
      </c>
      <c r="H48" s="174">
        <v>1</v>
      </c>
      <c r="I48" s="173">
        <v>1340.46</v>
      </c>
      <c r="J48" s="174">
        <v>23.35</v>
      </c>
      <c r="K48" s="173">
        <v>31299.74</v>
      </c>
    </row>
    <row r="49" spans="1:22" ht="28.5" x14ac:dyDescent="0.2">
      <c r="A49" s="179" t="s">
        <v>1538</v>
      </c>
      <c r="B49" s="178" t="s">
        <v>1532</v>
      </c>
      <c r="C49" s="178" t="s">
        <v>351</v>
      </c>
      <c r="D49" s="177" t="s">
        <v>1533</v>
      </c>
      <c r="E49" s="174">
        <v>-6.8250000000000002</v>
      </c>
      <c r="F49" s="176">
        <v>0</v>
      </c>
      <c r="G49" s="182" t="s">
        <v>195</v>
      </c>
      <c r="H49" s="174">
        <v>1</v>
      </c>
      <c r="I49" s="173">
        <v>0</v>
      </c>
      <c r="J49" s="174">
        <v>5.42</v>
      </c>
      <c r="K49" s="173">
        <v>0</v>
      </c>
      <c r="Q49" s="160">
        <f>[2]Source!X34</f>
        <v>0</v>
      </c>
      <c r="R49" s="160">
        <f>[2]Source!X35</f>
        <v>0</v>
      </c>
      <c r="S49" s="160">
        <f>[2]Source!Y34</f>
        <v>0</v>
      </c>
      <c r="T49" s="160">
        <f>[2]Source!Y35</f>
        <v>0</v>
      </c>
      <c r="U49" s="160">
        <f>ROUND((175/100)*ROUND([2]Source!R34, 2), 2)</f>
        <v>0</v>
      </c>
      <c r="V49" s="160">
        <f>ROUND((157/100)*ROUND([2]Source!R35, 2), 2)</f>
        <v>0</v>
      </c>
    </row>
    <row r="50" spans="1:22" ht="14.25" x14ac:dyDescent="0.2">
      <c r="A50" s="179"/>
      <c r="B50" s="178"/>
      <c r="C50" s="178" t="s">
        <v>194</v>
      </c>
      <c r="D50" s="177" t="s">
        <v>187</v>
      </c>
      <c r="E50" s="174">
        <v>80</v>
      </c>
      <c r="F50" s="176"/>
      <c r="G50" s="175"/>
      <c r="H50" s="174"/>
      <c r="I50" s="173">
        <v>1072.3699999999999</v>
      </c>
      <c r="J50" s="174">
        <v>68</v>
      </c>
      <c r="K50" s="173">
        <v>21283.82</v>
      </c>
    </row>
    <row r="51" spans="1:22" ht="14.25" x14ac:dyDescent="0.2">
      <c r="A51" s="179"/>
      <c r="B51" s="178"/>
      <c r="C51" s="178" t="s">
        <v>193</v>
      </c>
      <c r="D51" s="177" t="s">
        <v>187</v>
      </c>
      <c r="E51" s="174">
        <v>55</v>
      </c>
      <c r="F51" s="176"/>
      <c r="G51" s="175"/>
      <c r="H51" s="174"/>
      <c r="I51" s="173">
        <v>737.25</v>
      </c>
      <c r="J51" s="174">
        <v>41</v>
      </c>
      <c r="K51" s="173">
        <v>12832.89</v>
      </c>
    </row>
    <row r="52" spans="1:22" ht="14.25" x14ac:dyDescent="0.2">
      <c r="A52" s="172"/>
      <c r="B52" s="171"/>
      <c r="C52" s="171" t="s">
        <v>192</v>
      </c>
      <c r="D52" s="170" t="s">
        <v>191</v>
      </c>
      <c r="E52" s="167">
        <v>196.03</v>
      </c>
      <c r="F52" s="169"/>
      <c r="G52" s="168" t="s">
        <v>195</v>
      </c>
      <c r="H52" s="167">
        <v>1</v>
      </c>
      <c r="I52" s="166">
        <v>127.42</v>
      </c>
      <c r="J52" s="167"/>
      <c r="K52" s="166"/>
    </row>
    <row r="53" spans="1:22" ht="15" x14ac:dyDescent="0.25">
      <c r="A53" s="164"/>
      <c r="B53" s="164"/>
      <c r="C53" s="165" t="s">
        <v>183</v>
      </c>
      <c r="D53" s="164"/>
      <c r="E53" s="164"/>
      <c r="F53" s="164"/>
      <c r="G53" s="164"/>
      <c r="H53" s="414">
        <v>3150.08</v>
      </c>
      <c r="I53" s="414"/>
      <c r="J53" s="414">
        <v>65416.45</v>
      </c>
      <c r="K53" s="414"/>
      <c r="O53" s="163">
        <f>I48+I50+I51+SUM(I49:I49)</f>
        <v>3150.08</v>
      </c>
      <c r="P53" s="163">
        <f>K48+K50+K51+SUM(K49:K49)</f>
        <v>65416.45</v>
      </c>
    </row>
    <row r="55" spans="1:22" ht="14.25" x14ac:dyDescent="0.2">
      <c r="A55" s="179" t="s">
        <v>104</v>
      </c>
      <c r="B55" s="178" t="s">
        <v>1539</v>
      </c>
      <c r="C55" s="178" t="s">
        <v>352</v>
      </c>
      <c r="D55" s="177" t="s">
        <v>1540</v>
      </c>
      <c r="E55" s="174">
        <v>1.2156</v>
      </c>
      <c r="F55" s="176"/>
      <c r="G55" s="175"/>
      <c r="H55" s="174"/>
      <c r="I55" s="173"/>
      <c r="J55" s="174"/>
      <c r="K55" s="173"/>
      <c r="Q55" s="160">
        <f>[2]Source!X36</f>
        <v>367.28</v>
      </c>
      <c r="R55" s="160">
        <f>[2]Source!X37</f>
        <v>7289.59</v>
      </c>
      <c r="S55" s="160">
        <f>[2]Source!Y36</f>
        <v>252.51</v>
      </c>
      <c r="T55" s="160">
        <f>[2]Source!Y37</f>
        <v>4395.2</v>
      </c>
      <c r="U55" s="160">
        <f>ROUND((175/100)*ROUND([2]Source!R36, 2), 2)</f>
        <v>0</v>
      </c>
      <c r="V55" s="160">
        <f>ROUND((157/100)*ROUND([2]Source!R37, 2), 2)</f>
        <v>0</v>
      </c>
    </row>
    <row r="56" spans="1:22" ht="38.25" x14ac:dyDescent="0.2">
      <c r="C56" s="181" t="s">
        <v>1541</v>
      </c>
    </row>
    <row r="57" spans="1:22" ht="14.25" x14ac:dyDescent="0.2">
      <c r="A57" s="179"/>
      <c r="B57" s="178"/>
      <c r="C57" s="178" t="s">
        <v>197</v>
      </c>
      <c r="D57" s="177"/>
      <c r="E57" s="174"/>
      <c r="F57" s="176">
        <v>377.67</v>
      </c>
      <c r="G57" s="175" t="s">
        <v>195</v>
      </c>
      <c r="H57" s="174">
        <v>1</v>
      </c>
      <c r="I57" s="173">
        <v>459.1</v>
      </c>
      <c r="J57" s="174">
        <v>23.35</v>
      </c>
      <c r="K57" s="173">
        <v>10719.99</v>
      </c>
    </row>
    <row r="58" spans="1:22" ht="28.5" x14ac:dyDescent="0.2">
      <c r="A58" s="179" t="s">
        <v>1542</v>
      </c>
      <c r="B58" s="178" t="s">
        <v>1532</v>
      </c>
      <c r="C58" s="178" t="s">
        <v>351</v>
      </c>
      <c r="D58" s="177" t="s">
        <v>1533</v>
      </c>
      <c r="E58" s="174">
        <v>-1.4344079999999999</v>
      </c>
      <c r="F58" s="176">
        <v>0</v>
      </c>
      <c r="G58" s="182" t="s">
        <v>195</v>
      </c>
      <c r="H58" s="174">
        <v>1</v>
      </c>
      <c r="I58" s="173">
        <v>0</v>
      </c>
      <c r="J58" s="174">
        <v>5.42</v>
      </c>
      <c r="K58" s="173">
        <v>0</v>
      </c>
      <c r="Q58" s="160">
        <f>[2]Source!X38</f>
        <v>0</v>
      </c>
      <c r="R58" s="160">
        <f>[2]Source!X39</f>
        <v>0</v>
      </c>
      <c r="S58" s="160">
        <f>[2]Source!Y38</f>
        <v>0</v>
      </c>
      <c r="T58" s="160">
        <f>[2]Source!Y39</f>
        <v>0</v>
      </c>
      <c r="U58" s="160">
        <f>ROUND((175/100)*ROUND([2]Source!R38, 2), 2)</f>
        <v>0</v>
      </c>
      <c r="V58" s="160">
        <f>ROUND((157/100)*ROUND([2]Source!R39, 2), 2)</f>
        <v>0</v>
      </c>
    </row>
    <row r="59" spans="1:22" ht="14.25" x14ac:dyDescent="0.2">
      <c r="A59" s="179"/>
      <c r="B59" s="178"/>
      <c r="C59" s="178" t="s">
        <v>194</v>
      </c>
      <c r="D59" s="177" t="s">
        <v>187</v>
      </c>
      <c r="E59" s="174">
        <v>80</v>
      </c>
      <c r="F59" s="176"/>
      <c r="G59" s="175"/>
      <c r="H59" s="174"/>
      <c r="I59" s="173">
        <v>367.28</v>
      </c>
      <c r="J59" s="174">
        <v>68</v>
      </c>
      <c r="K59" s="173">
        <v>7289.59</v>
      </c>
    </row>
    <row r="60" spans="1:22" ht="14.25" x14ac:dyDescent="0.2">
      <c r="A60" s="179"/>
      <c r="B60" s="178"/>
      <c r="C60" s="178" t="s">
        <v>193</v>
      </c>
      <c r="D60" s="177" t="s">
        <v>187</v>
      </c>
      <c r="E60" s="174">
        <v>55</v>
      </c>
      <c r="F60" s="176"/>
      <c r="G60" s="175"/>
      <c r="H60" s="174"/>
      <c r="I60" s="173">
        <v>252.51</v>
      </c>
      <c r="J60" s="174">
        <v>41</v>
      </c>
      <c r="K60" s="173">
        <v>4395.2</v>
      </c>
    </row>
    <row r="61" spans="1:22" ht="14.25" x14ac:dyDescent="0.2">
      <c r="A61" s="172"/>
      <c r="B61" s="171"/>
      <c r="C61" s="171" t="s">
        <v>192</v>
      </c>
      <c r="D61" s="170" t="s">
        <v>191</v>
      </c>
      <c r="E61" s="167">
        <v>36.28</v>
      </c>
      <c r="F61" s="169"/>
      <c r="G61" s="168" t="s">
        <v>195</v>
      </c>
      <c r="H61" s="167">
        <v>1</v>
      </c>
      <c r="I61" s="166">
        <v>44.1</v>
      </c>
      <c r="J61" s="167"/>
      <c r="K61" s="166"/>
    </row>
    <row r="62" spans="1:22" ht="15" x14ac:dyDescent="0.25">
      <c r="A62" s="164"/>
      <c r="B62" s="164"/>
      <c r="C62" s="165" t="s">
        <v>183</v>
      </c>
      <c r="D62" s="164"/>
      <c r="E62" s="164"/>
      <c r="F62" s="164"/>
      <c r="G62" s="164"/>
      <c r="H62" s="414">
        <v>1078.8900000000001</v>
      </c>
      <c r="I62" s="414"/>
      <c r="J62" s="414">
        <v>22404.78</v>
      </c>
      <c r="K62" s="414"/>
      <c r="O62" s="163">
        <f>I57+I59+I60+SUM(I58:I58)</f>
        <v>1078.8900000000001</v>
      </c>
      <c r="P62" s="163">
        <f>K57+K59+K60+SUM(K58:K58)</f>
        <v>22404.78</v>
      </c>
    </row>
    <row r="65" spans="1:22" ht="15" x14ac:dyDescent="0.25">
      <c r="A65" s="417" t="s">
        <v>1543</v>
      </c>
      <c r="B65" s="417"/>
      <c r="C65" s="417"/>
      <c r="D65" s="417"/>
      <c r="E65" s="417"/>
      <c r="F65" s="417"/>
      <c r="G65" s="417"/>
      <c r="H65" s="415">
        <v>246125.05</v>
      </c>
      <c r="I65" s="416"/>
      <c r="J65" s="415">
        <v>5111179.24</v>
      </c>
      <c r="K65" s="416"/>
    </row>
    <row r="66" spans="1:22" hidden="1" x14ac:dyDescent="0.2">
      <c r="A66" s="160" t="s">
        <v>182</v>
      </c>
      <c r="I66" s="160">
        <v>0</v>
      </c>
      <c r="J66" s="160">
        <v>0</v>
      </c>
    </row>
    <row r="67" spans="1:22" hidden="1" x14ac:dyDescent="0.2">
      <c r="A67" s="160" t="s">
        <v>181</v>
      </c>
      <c r="I67" s="160">
        <v>0</v>
      </c>
      <c r="J67" s="160">
        <v>0</v>
      </c>
    </row>
    <row r="69" spans="1:22" ht="16.5" x14ac:dyDescent="0.25">
      <c r="A69" s="413" t="s">
        <v>1544</v>
      </c>
      <c r="B69" s="413"/>
      <c r="C69" s="413"/>
      <c r="D69" s="413"/>
      <c r="E69" s="413"/>
      <c r="F69" s="413"/>
      <c r="G69" s="413"/>
      <c r="H69" s="413"/>
      <c r="I69" s="413"/>
      <c r="J69" s="413"/>
      <c r="K69" s="413"/>
    </row>
    <row r="71" spans="1:22" ht="16.5" x14ac:dyDescent="0.25">
      <c r="A71" s="413" t="s">
        <v>1545</v>
      </c>
      <c r="B71" s="413"/>
      <c r="C71" s="413"/>
      <c r="D71" s="413"/>
      <c r="E71" s="413"/>
      <c r="F71" s="413"/>
      <c r="G71" s="413"/>
      <c r="H71" s="413"/>
      <c r="I71" s="413"/>
      <c r="J71" s="413"/>
      <c r="K71" s="413"/>
    </row>
    <row r="72" spans="1:22" ht="57" x14ac:dyDescent="0.2">
      <c r="A72" s="179" t="s">
        <v>1546</v>
      </c>
      <c r="B72" s="178" t="s">
        <v>350</v>
      </c>
      <c r="C72" s="178" t="s">
        <v>349</v>
      </c>
      <c r="D72" s="177" t="s">
        <v>1540</v>
      </c>
      <c r="E72" s="174">
        <v>16.754100000000001</v>
      </c>
      <c r="F72" s="176"/>
      <c r="G72" s="175"/>
      <c r="H72" s="174"/>
      <c r="I72" s="173"/>
      <c r="J72" s="174"/>
      <c r="K72" s="173"/>
      <c r="Q72" s="160">
        <f>[2]Source!X79</f>
        <v>22483.13</v>
      </c>
      <c r="R72" s="160">
        <f>[2]Source!X80</f>
        <v>421138.74</v>
      </c>
      <c r="S72" s="160">
        <f>[2]Source!Y79</f>
        <v>17294.72</v>
      </c>
      <c r="T72" s="160">
        <f>[2]Source!Y80</f>
        <v>236529.98</v>
      </c>
      <c r="U72" s="160">
        <f>ROUND((175/100)*ROUND([2]Source!R79, 2), 2)</f>
        <v>337.17</v>
      </c>
      <c r="V72" s="160">
        <f>ROUND((157/100)*ROUND([2]Source!R80, 2), 2)</f>
        <v>7063.18</v>
      </c>
    </row>
    <row r="73" spans="1:22" x14ac:dyDescent="0.2">
      <c r="C73" s="181" t="s">
        <v>1547</v>
      </c>
    </row>
    <row r="74" spans="1:22" ht="14.25" x14ac:dyDescent="0.2">
      <c r="A74" s="179"/>
      <c r="B74" s="178"/>
      <c r="C74" s="178" t="s">
        <v>197</v>
      </c>
      <c r="D74" s="177"/>
      <c r="E74" s="174"/>
      <c r="F74" s="176">
        <v>1282.32</v>
      </c>
      <c r="G74" s="175" t="s">
        <v>1548</v>
      </c>
      <c r="H74" s="174">
        <v>1</v>
      </c>
      <c r="I74" s="173">
        <v>24706.74</v>
      </c>
      <c r="J74" s="174">
        <v>23.35</v>
      </c>
      <c r="K74" s="173">
        <v>576902.38</v>
      </c>
    </row>
    <row r="75" spans="1:22" ht="14.25" x14ac:dyDescent="0.2">
      <c r="A75" s="179"/>
      <c r="B75" s="178"/>
      <c r="C75" s="178" t="s">
        <v>184</v>
      </c>
      <c r="D75" s="177"/>
      <c r="E75" s="174"/>
      <c r="F75" s="176">
        <v>38.21</v>
      </c>
      <c r="G75" s="175" t="s">
        <v>1549</v>
      </c>
      <c r="H75" s="174">
        <v>1</v>
      </c>
      <c r="I75" s="173">
        <v>800.22</v>
      </c>
      <c r="J75" s="174">
        <v>7.89</v>
      </c>
      <c r="K75" s="173">
        <v>6313.74</v>
      </c>
    </row>
    <row r="76" spans="1:22" ht="14.25" x14ac:dyDescent="0.2">
      <c r="A76" s="179"/>
      <c r="B76" s="178"/>
      <c r="C76" s="178" t="s">
        <v>189</v>
      </c>
      <c r="D76" s="177"/>
      <c r="E76" s="174"/>
      <c r="F76" s="176">
        <v>9.1999999999999993</v>
      </c>
      <c r="G76" s="175" t="s">
        <v>1549</v>
      </c>
      <c r="H76" s="174">
        <v>1</v>
      </c>
      <c r="I76" s="180">
        <v>192.67</v>
      </c>
      <c r="J76" s="174">
        <v>23.35</v>
      </c>
      <c r="K76" s="180">
        <v>4498.84</v>
      </c>
    </row>
    <row r="77" spans="1:22" ht="14.25" x14ac:dyDescent="0.2">
      <c r="A77" s="179"/>
      <c r="B77" s="178"/>
      <c r="C77" s="178" t="s">
        <v>205</v>
      </c>
      <c r="D77" s="177"/>
      <c r="E77" s="174"/>
      <c r="F77" s="176">
        <v>8585.09</v>
      </c>
      <c r="G77" s="175" t="s">
        <v>195</v>
      </c>
      <c r="H77" s="174">
        <v>1</v>
      </c>
      <c r="I77" s="173">
        <v>143835.46</v>
      </c>
      <c r="J77" s="174">
        <v>2.4900000000000002</v>
      </c>
      <c r="K77" s="173">
        <v>358150.3</v>
      </c>
    </row>
    <row r="78" spans="1:22" ht="57" x14ac:dyDescent="0.2">
      <c r="A78" s="179" t="s">
        <v>1550</v>
      </c>
      <c r="B78" s="178" t="s">
        <v>1551</v>
      </c>
      <c r="C78" s="178" t="s">
        <v>313</v>
      </c>
      <c r="D78" s="177" t="s">
        <v>1552</v>
      </c>
      <c r="E78" s="174">
        <v>2261.8035</v>
      </c>
      <c r="F78" s="176">
        <v>1.35</v>
      </c>
      <c r="G78" s="182" t="s">
        <v>195</v>
      </c>
      <c r="H78" s="174">
        <v>1</v>
      </c>
      <c r="I78" s="173">
        <v>3053.43</v>
      </c>
      <c r="J78" s="174">
        <v>6.36</v>
      </c>
      <c r="K78" s="173">
        <v>19419.810000000001</v>
      </c>
      <c r="Q78" s="160">
        <f>[2]Source!X81</f>
        <v>0</v>
      </c>
      <c r="R78" s="160">
        <f>[2]Source!X82</f>
        <v>0</v>
      </c>
      <c r="S78" s="160">
        <f>[2]Source!Y81</f>
        <v>0</v>
      </c>
      <c r="T78" s="160">
        <f>[2]Source!Y82</f>
        <v>0</v>
      </c>
      <c r="U78" s="160">
        <f>ROUND((175/100)*ROUND([2]Source!R81, 2), 2)</f>
        <v>0</v>
      </c>
      <c r="V78" s="160">
        <f>ROUND((157/100)*ROUND([2]Source!R82, 2), 2)</f>
        <v>0</v>
      </c>
    </row>
    <row r="79" spans="1:22" ht="42.75" x14ac:dyDescent="0.2">
      <c r="A79" s="179" t="s">
        <v>1553</v>
      </c>
      <c r="B79" s="178" t="s">
        <v>1554</v>
      </c>
      <c r="C79" s="178" t="s">
        <v>348</v>
      </c>
      <c r="D79" s="177" t="s">
        <v>1536</v>
      </c>
      <c r="E79" s="174">
        <v>13.570821</v>
      </c>
      <c r="F79" s="176">
        <v>108.45</v>
      </c>
      <c r="G79" s="182" t="s">
        <v>195</v>
      </c>
      <c r="H79" s="174">
        <v>1</v>
      </c>
      <c r="I79" s="173">
        <v>1471.76</v>
      </c>
      <c r="J79" s="174">
        <v>3.94</v>
      </c>
      <c r="K79" s="173">
        <v>5798.73</v>
      </c>
      <c r="Q79" s="160">
        <f>[2]Source!X83</f>
        <v>0</v>
      </c>
      <c r="R79" s="160">
        <f>[2]Source!X84</f>
        <v>0</v>
      </c>
      <c r="S79" s="160">
        <f>[2]Source!Y83</f>
        <v>0</v>
      </c>
      <c r="T79" s="160">
        <f>[2]Source!Y84</f>
        <v>0</v>
      </c>
      <c r="U79" s="160">
        <f>ROUND((175/100)*ROUND([2]Source!R83, 2), 2)</f>
        <v>0</v>
      </c>
      <c r="V79" s="160">
        <f>ROUND((157/100)*ROUND([2]Source!R84, 2), 2)</f>
        <v>0</v>
      </c>
    </row>
    <row r="80" spans="1:22" ht="28.5" x14ac:dyDescent="0.2">
      <c r="A80" s="179" t="s">
        <v>1555</v>
      </c>
      <c r="B80" s="178" t="s">
        <v>1556</v>
      </c>
      <c r="C80" s="178" t="s">
        <v>310</v>
      </c>
      <c r="D80" s="177" t="s">
        <v>1557</v>
      </c>
      <c r="E80" s="174">
        <v>1859.7050999999999</v>
      </c>
      <c r="F80" s="176">
        <v>34.68</v>
      </c>
      <c r="G80" s="182" t="s">
        <v>195</v>
      </c>
      <c r="H80" s="174">
        <v>1</v>
      </c>
      <c r="I80" s="173">
        <v>64494.57</v>
      </c>
      <c r="J80" s="174">
        <v>1.73</v>
      </c>
      <c r="K80" s="173">
        <v>111575.61</v>
      </c>
      <c r="Q80" s="160">
        <f>[2]Source!X85</f>
        <v>0</v>
      </c>
      <c r="R80" s="160">
        <f>[2]Source!X86</f>
        <v>0</v>
      </c>
      <c r="S80" s="160">
        <f>[2]Source!Y85</f>
        <v>0</v>
      </c>
      <c r="T80" s="160">
        <f>[2]Source!Y86</f>
        <v>0</v>
      </c>
      <c r="U80" s="160">
        <f>ROUND((175/100)*ROUND([2]Source!R85, 2), 2)</f>
        <v>0</v>
      </c>
      <c r="V80" s="160">
        <f>ROUND((157/100)*ROUND([2]Source!R86, 2), 2)</f>
        <v>0</v>
      </c>
    </row>
    <row r="81" spans="1:22" ht="14.25" x14ac:dyDescent="0.2">
      <c r="A81" s="179"/>
      <c r="B81" s="178"/>
      <c r="C81" s="178" t="s">
        <v>194</v>
      </c>
      <c r="D81" s="177" t="s">
        <v>187</v>
      </c>
      <c r="E81" s="174">
        <v>91</v>
      </c>
      <c r="F81" s="176"/>
      <c r="G81" s="175"/>
      <c r="H81" s="174"/>
      <c r="I81" s="173">
        <v>22483.13</v>
      </c>
      <c r="J81" s="174">
        <v>73</v>
      </c>
      <c r="K81" s="173">
        <v>421138.74</v>
      </c>
    </row>
    <row r="82" spans="1:22" ht="14.25" x14ac:dyDescent="0.2">
      <c r="A82" s="179"/>
      <c r="B82" s="178"/>
      <c r="C82" s="178" t="s">
        <v>193</v>
      </c>
      <c r="D82" s="177" t="s">
        <v>187</v>
      </c>
      <c r="E82" s="174">
        <v>70</v>
      </c>
      <c r="F82" s="176"/>
      <c r="G82" s="175"/>
      <c r="H82" s="174"/>
      <c r="I82" s="173">
        <v>17294.72</v>
      </c>
      <c r="J82" s="174">
        <v>41</v>
      </c>
      <c r="K82" s="173">
        <v>236529.98</v>
      </c>
    </row>
    <row r="83" spans="1:22" ht="14.25" x14ac:dyDescent="0.2">
      <c r="A83" s="179"/>
      <c r="B83" s="178"/>
      <c r="C83" s="178" t="s">
        <v>188</v>
      </c>
      <c r="D83" s="177" t="s">
        <v>187</v>
      </c>
      <c r="E83" s="174">
        <v>175</v>
      </c>
      <c r="F83" s="176"/>
      <c r="G83" s="175"/>
      <c r="H83" s="174"/>
      <c r="I83" s="173">
        <v>337.17</v>
      </c>
      <c r="J83" s="174">
        <v>157</v>
      </c>
      <c r="K83" s="173">
        <v>7063.18</v>
      </c>
    </row>
    <row r="84" spans="1:22" ht="14.25" x14ac:dyDescent="0.2">
      <c r="A84" s="172"/>
      <c r="B84" s="171"/>
      <c r="C84" s="171" t="s">
        <v>192</v>
      </c>
      <c r="D84" s="170" t="s">
        <v>191</v>
      </c>
      <c r="E84" s="167">
        <v>107.93</v>
      </c>
      <c r="F84" s="169"/>
      <c r="G84" s="168" t="s">
        <v>1548</v>
      </c>
      <c r="H84" s="167">
        <v>1</v>
      </c>
      <c r="I84" s="166">
        <v>2079.5100000000002</v>
      </c>
      <c r="J84" s="167"/>
      <c r="K84" s="166"/>
    </row>
    <row r="85" spans="1:22" ht="15" x14ac:dyDescent="0.25">
      <c r="A85" s="164"/>
      <c r="B85" s="164"/>
      <c r="C85" s="165" t="s">
        <v>183</v>
      </c>
      <c r="D85" s="164"/>
      <c r="E85" s="164"/>
      <c r="F85" s="164"/>
      <c r="G85" s="164"/>
      <c r="H85" s="414">
        <v>278477.2</v>
      </c>
      <c r="I85" s="414"/>
      <c r="J85" s="414">
        <v>1742892.47</v>
      </c>
      <c r="K85" s="414"/>
      <c r="O85" s="163">
        <f>I74+I75+I77+I81+I82+I83+SUM(I78:I80)</f>
        <v>278477.2</v>
      </c>
      <c r="P85" s="163">
        <f>K74+K75+K77+K81+K82+K83+SUM(K78:K80)</f>
        <v>1742892.47</v>
      </c>
    </row>
    <row r="87" spans="1:22" ht="52.5" x14ac:dyDescent="0.2">
      <c r="A87" s="179" t="s">
        <v>105</v>
      </c>
      <c r="B87" s="178" t="s">
        <v>347</v>
      </c>
      <c r="C87" s="178" t="s">
        <v>346</v>
      </c>
      <c r="D87" s="177" t="s">
        <v>1540</v>
      </c>
      <c r="E87" s="174">
        <v>16.754100000000001</v>
      </c>
      <c r="F87" s="176"/>
      <c r="G87" s="175"/>
      <c r="H87" s="174"/>
      <c r="I87" s="173"/>
      <c r="J87" s="174"/>
      <c r="K87" s="173"/>
      <c r="Q87" s="160">
        <f>[2]Source!X87</f>
        <v>10430.31</v>
      </c>
      <c r="R87" s="160">
        <f>[2]Source!X88</f>
        <v>197273.67</v>
      </c>
      <c r="S87" s="160">
        <f>[2]Source!Y87</f>
        <v>6675.4</v>
      </c>
      <c r="T87" s="160">
        <f>[2]Source!Y88</f>
        <v>99854.57</v>
      </c>
      <c r="U87" s="160">
        <f>ROUND((175/100)*ROUND([2]Source!R87, 2), 2)</f>
        <v>0</v>
      </c>
      <c r="V87" s="160">
        <f>ROUND((157/100)*ROUND([2]Source!R88, 2), 2)</f>
        <v>0</v>
      </c>
    </row>
    <row r="88" spans="1:22" x14ac:dyDescent="0.2">
      <c r="C88" s="181" t="s">
        <v>1547</v>
      </c>
    </row>
    <row r="89" spans="1:22" ht="14.25" x14ac:dyDescent="0.2">
      <c r="A89" s="179"/>
      <c r="B89" s="178"/>
      <c r="C89" s="178" t="s">
        <v>197</v>
      </c>
      <c r="D89" s="177"/>
      <c r="E89" s="174"/>
      <c r="F89" s="176">
        <v>541.35</v>
      </c>
      <c r="G89" s="175" t="s">
        <v>1548</v>
      </c>
      <c r="H89" s="174">
        <v>1</v>
      </c>
      <c r="I89" s="173">
        <v>10430.31</v>
      </c>
      <c r="J89" s="174">
        <v>23.35</v>
      </c>
      <c r="K89" s="173">
        <v>243547.74</v>
      </c>
    </row>
    <row r="90" spans="1:22" ht="14.25" x14ac:dyDescent="0.2">
      <c r="A90" s="179"/>
      <c r="B90" s="178"/>
      <c r="C90" s="178" t="s">
        <v>205</v>
      </c>
      <c r="D90" s="177"/>
      <c r="E90" s="174"/>
      <c r="F90" s="176">
        <v>323.89999999999998</v>
      </c>
      <c r="G90" s="175" t="s">
        <v>195</v>
      </c>
      <c r="H90" s="174">
        <v>1</v>
      </c>
      <c r="I90" s="173">
        <v>5426.65</v>
      </c>
      <c r="J90" s="174">
        <v>1.58</v>
      </c>
      <c r="K90" s="173">
        <v>8574.11</v>
      </c>
    </row>
    <row r="91" spans="1:22" ht="14.25" x14ac:dyDescent="0.2">
      <c r="A91" s="179" t="s">
        <v>1558</v>
      </c>
      <c r="B91" s="178" t="s">
        <v>1559</v>
      </c>
      <c r="C91" s="178" t="s">
        <v>333</v>
      </c>
      <c r="D91" s="177" t="s">
        <v>1533</v>
      </c>
      <c r="E91" s="174">
        <v>0.104713</v>
      </c>
      <c r="F91" s="176">
        <v>6976.8</v>
      </c>
      <c r="G91" s="182" t="s">
        <v>195</v>
      </c>
      <c r="H91" s="174">
        <v>1</v>
      </c>
      <c r="I91" s="173">
        <v>730.56</v>
      </c>
      <c r="J91" s="174">
        <v>2.97</v>
      </c>
      <c r="K91" s="173">
        <v>2169.7600000000002</v>
      </c>
      <c r="Q91" s="160">
        <f>[2]Source!X89</f>
        <v>0</v>
      </c>
      <c r="R91" s="160">
        <f>[2]Source!X90</f>
        <v>0</v>
      </c>
      <c r="S91" s="160">
        <f>[2]Source!Y89</f>
        <v>0</v>
      </c>
      <c r="T91" s="160">
        <f>[2]Source!Y90</f>
        <v>0</v>
      </c>
      <c r="U91" s="160">
        <f>ROUND((175/100)*ROUND([2]Source!R89, 2), 2)</f>
        <v>0</v>
      </c>
      <c r="V91" s="160">
        <f>ROUND((157/100)*ROUND([2]Source!R90, 2), 2)</f>
        <v>0</v>
      </c>
    </row>
    <row r="92" spans="1:22" ht="14.25" x14ac:dyDescent="0.2">
      <c r="A92" s="179"/>
      <c r="B92" s="178"/>
      <c r="C92" s="178" t="s">
        <v>194</v>
      </c>
      <c r="D92" s="177" t="s">
        <v>187</v>
      </c>
      <c r="E92" s="174">
        <v>100</v>
      </c>
      <c r="F92" s="176"/>
      <c r="G92" s="175"/>
      <c r="H92" s="174"/>
      <c r="I92" s="173">
        <v>10430.31</v>
      </c>
      <c r="J92" s="174">
        <v>81</v>
      </c>
      <c r="K92" s="173">
        <v>197273.67</v>
      </c>
    </row>
    <row r="93" spans="1:22" ht="14.25" x14ac:dyDescent="0.2">
      <c r="A93" s="179"/>
      <c r="B93" s="178"/>
      <c r="C93" s="178" t="s">
        <v>193</v>
      </c>
      <c r="D93" s="177" t="s">
        <v>187</v>
      </c>
      <c r="E93" s="174">
        <v>64</v>
      </c>
      <c r="F93" s="176"/>
      <c r="G93" s="175"/>
      <c r="H93" s="174"/>
      <c r="I93" s="173">
        <v>6675.4</v>
      </c>
      <c r="J93" s="174">
        <v>41</v>
      </c>
      <c r="K93" s="173">
        <v>99854.57</v>
      </c>
    </row>
    <row r="94" spans="1:22" ht="14.25" x14ac:dyDescent="0.2">
      <c r="A94" s="172"/>
      <c r="B94" s="171"/>
      <c r="C94" s="171" t="s">
        <v>192</v>
      </c>
      <c r="D94" s="170" t="s">
        <v>191</v>
      </c>
      <c r="E94" s="167">
        <v>45</v>
      </c>
      <c r="F94" s="169"/>
      <c r="G94" s="168" t="s">
        <v>1548</v>
      </c>
      <c r="H94" s="167">
        <v>1</v>
      </c>
      <c r="I94" s="166">
        <v>867.02</v>
      </c>
      <c r="J94" s="167"/>
      <c r="K94" s="166"/>
    </row>
    <row r="95" spans="1:22" ht="15" x14ac:dyDescent="0.25">
      <c r="A95" s="164"/>
      <c r="B95" s="164"/>
      <c r="C95" s="165" t="s">
        <v>183</v>
      </c>
      <c r="D95" s="164"/>
      <c r="E95" s="164"/>
      <c r="F95" s="164"/>
      <c r="G95" s="164"/>
      <c r="H95" s="414">
        <v>33693.230000000003</v>
      </c>
      <c r="I95" s="414"/>
      <c r="J95" s="414">
        <v>551419.85</v>
      </c>
      <c r="K95" s="414"/>
      <c r="O95" s="163">
        <f>I89+I90+I92+I93+SUM(I91:I91)</f>
        <v>33693.230000000003</v>
      </c>
      <c r="P95" s="163">
        <f>K89+K90+K92+K93+SUM(K91:K91)</f>
        <v>551419.85</v>
      </c>
    </row>
    <row r="97" spans="1:22" ht="71.25" x14ac:dyDescent="0.2">
      <c r="A97" s="179" t="s">
        <v>1560</v>
      </c>
      <c r="B97" s="178" t="s">
        <v>345</v>
      </c>
      <c r="C97" s="178" t="s">
        <v>344</v>
      </c>
      <c r="D97" s="177" t="s">
        <v>1561</v>
      </c>
      <c r="E97" s="174">
        <v>16.754100000000001</v>
      </c>
      <c r="F97" s="176"/>
      <c r="G97" s="175"/>
      <c r="H97" s="174"/>
      <c r="I97" s="173"/>
      <c r="J97" s="174"/>
      <c r="K97" s="173"/>
      <c r="Q97" s="160">
        <f>[2]Source!X91</f>
        <v>6026.4</v>
      </c>
      <c r="R97" s="160">
        <f>[2]Source!X92</f>
        <v>113980.32</v>
      </c>
      <c r="S97" s="160">
        <f>[2]Source!Y91</f>
        <v>3856.9</v>
      </c>
      <c r="T97" s="160">
        <f>[2]Source!Y92</f>
        <v>57693.74</v>
      </c>
      <c r="U97" s="160">
        <f>ROUND((175/100)*ROUND([2]Source!R91, 2), 2)</f>
        <v>277.08</v>
      </c>
      <c r="V97" s="160">
        <f>ROUND((157/100)*ROUND([2]Source!R92, 2), 2)</f>
        <v>5804.31</v>
      </c>
    </row>
    <row r="98" spans="1:22" x14ac:dyDescent="0.2">
      <c r="C98" s="181" t="s">
        <v>1547</v>
      </c>
    </row>
    <row r="99" spans="1:22" ht="14.25" x14ac:dyDescent="0.2">
      <c r="A99" s="179"/>
      <c r="B99" s="178"/>
      <c r="C99" s="178" t="s">
        <v>197</v>
      </c>
      <c r="D99" s="177"/>
      <c r="E99" s="174"/>
      <c r="F99" s="176">
        <v>312.77999999999997</v>
      </c>
      <c r="G99" s="175" t="s">
        <v>1548</v>
      </c>
      <c r="H99" s="174">
        <v>1</v>
      </c>
      <c r="I99" s="173">
        <v>6026.4</v>
      </c>
      <c r="J99" s="174">
        <v>23.35</v>
      </c>
      <c r="K99" s="173">
        <v>140716.44</v>
      </c>
    </row>
    <row r="100" spans="1:22" ht="14.25" x14ac:dyDescent="0.2">
      <c r="A100" s="179"/>
      <c r="B100" s="178"/>
      <c r="C100" s="178" t="s">
        <v>184</v>
      </c>
      <c r="D100" s="177"/>
      <c r="E100" s="174"/>
      <c r="F100" s="176">
        <v>32.01</v>
      </c>
      <c r="G100" s="175" t="s">
        <v>1549</v>
      </c>
      <c r="H100" s="174">
        <v>1</v>
      </c>
      <c r="I100" s="173">
        <v>670.37</v>
      </c>
      <c r="J100" s="174">
        <v>9.6</v>
      </c>
      <c r="K100" s="173">
        <v>6435.55</v>
      </c>
    </row>
    <row r="101" spans="1:22" ht="14.25" x14ac:dyDescent="0.2">
      <c r="A101" s="179"/>
      <c r="B101" s="178"/>
      <c r="C101" s="178" t="s">
        <v>189</v>
      </c>
      <c r="D101" s="177"/>
      <c r="E101" s="174"/>
      <c r="F101" s="176">
        <v>7.56</v>
      </c>
      <c r="G101" s="175" t="s">
        <v>1549</v>
      </c>
      <c r="H101" s="174">
        <v>1</v>
      </c>
      <c r="I101" s="180">
        <v>158.33000000000001</v>
      </c>
      <c r="J101" s="174">
        <v>23.35</v>
      </c>
      <c r="K101" s="180">
        <v>3697.01</v>
      </c>
    </row>
    <row r="102" spans="1:22" ht="14.25" x14ac:dyDescent="0.2">
      <c r="A102" s="179"/>
      <c r="B102" s="178"/>
      <c r="C102" s="178" t="s">
        <v>205</v>
      </c>
      <c r="D102" s="177"/>
      <c r="E102" s="174"/>
      <c r="F102" s="176">
        <v>6.09</v>
      </c>
      <c r="G102" s="175" t="s">
        <v>195</v>
      </c>
      <c r="H102" s="174">
        <v>1</v>
      </c>
      <c r="I102" s="173">
        <v>102.03</v>
      </c>
      <c r="J102" s="174">
        <v>5.42</v>
      </c>
      <c r="K102" s="173">
        <v>553</v>
      </c>
    </row>
    <row r="103" spans="1:22" ht="14.25" x14ac:dyDescent="0.2">
      <c r="A103" s="179" t="s">
        <v>1562</v>
      </c>
      <c r="B103" s="178" t="s">
        <v>1559</v>
      </c>
      <c r="C103" s="178" t="s">
        <v>333</v>
      </c>
      <c r="D103" s="177" t="s">
        <v>1533</v>
      </c>
      <c r="E103" s="174">
        <v>9.2147999999999994E-2</v>
      </c>
      <c r="F103" s="176">
        <v>6976.8</v>
      </c>
      <c r="G103" s="182" t="s">
        <v>195</v>
      </c>
      <c r="H103" s="174">
        <v>1</v>
      </c>
      <c r="I103" s="173">
        <v>642.9</v>
      </c>
      <c r="J103" s="174">
        <v>2.97</v>
      </c>
      <c r="K103" s="173">
        <v>1909.41</v>
      </c>
      <c r="Q103" s="160">
        <f>[2]Source!X93</f>
        <v>0</v>
      </c>
      <c r="R103" s="160">
        <f>[2]Source!X94</f>
        <v>0</v>
      </c>
      <c r="S103" s="160">
        <f>[2]Source!Y93</f>
        <v>0</v>
      </c>
      <c r="T103" s="160">
        <f>[2]Source!Y94</f>
        <v>0</v>
      </c>
      <c r="U103" s="160">
        <f>ROUND((175/100)*ROUND([2]Source!R93, 2), 2)</f>
        <v>0</v>
      </c>
      <c r="V103" s="160">
        <f>ROUND((157/100)*ROUND([2]Source!R94, 2), 2)</f>
        <v>0</v>
      </c>
    </row>
    <row r="104" spans="1:22" ht="28.5" x14ac:dyDescent="0.2">
      <c r="A104" s="179" t="s">
        <v>1563</v>
      </c>
      <c r="B104" s="178" t="s">
        <v>1564</v>
      </c>
      <c r="C104" s="178" t="s">
        <v>323</v>
      </c>
      <c r="D104" s="177" t="s">
        <v>1533</v>
      </c>
      <c r="E104" s="174">
        <v>1.0555079999999999</v>
      </c>
      <c r="F104" s="176">
        <v>33030.400000000001</v>
      </c>
      <c r="G104" s="182" t="s">
        <v>195</v>
      </c>
      <c r="H104" s="174">
        <v>1</v>
      </c>
      <c r="I104" s="173">
        <v>34863.85</v>
      </c>
      <c r="J104" s="174">
        <v>1.8</v>
      </c>
      <c r="K104" s="173">
        <v>62754.93</v>
      </c>
      <c r="Q104" s="160">
        <f>[2]Source!X95</f>
        <v>0</v>
      </c>
      <c r="R104" s="160">
        <f>[2]Source!X96</f>
        <v>0</v>
      </c>
      <c r="S104" s="160">
        <f>[2]Source!Y95</f>
        <v>0</v>
      </c>
      <c r="T104" s="160">
        <f>[2]Source!Y96</f>
        <v>0</v>
      </c>
      <c r="U104" s="160">
        <f>ROUND((175/100)*ROUND([2]Source!R95, 2), 2)</f>
        <v>0</v>
      </c>
      <c r="V104" s="160">
        <f>ROUND((157/100)*ROUND([2]Source!R96, 2), 2)</f>
        <v>0</v>
      </c>
    </row>
    <row r="105" spans="1:22" ht="14.25" x14ac:dyDescent="0.2">
      <c r="A105" s="179"/>
      <c r="B105" s="178"/>
      <c r="C105" s="178" t="s">
        <v>194</v>
      </c>
      <c r="D105" s="177" t="s">
        <v>187</v>
      </c>
      <c r="E105" s="174">
        <v>100</v>
      </c>
      <c r="F105" s="176"/>
      <c r="G105" s="175"/>
      <c r="H105" s="174"/>
      <c r="I105" s="173">
        <v>6026.4</v>
      </c>
      <c r="J105" s="174">
        <v>81</v>
      </c>
      <c r="K105" s="173">
        <v>113980.32</v>
      </c>
    </row>
    <row r="106" spans="1:22" ht="14.25" x14ac:dyDescent="0.2">
      <c r="A106" s="179"/>
      <c r="B106" s="178"/>
      <c r="C106" s="178" t="s">
        <v>193</v>
      </c>
      <c r="D106" s="177" t="s">
        <v>187</v>
      </c>
      <c r="E106" s="174">
        <v>64</v>
      </c>
      <c r="F106" s="176"/>
      <c r="G106" s="175"/>
      <c r="H106" s="174"/>
      <c r="I106" s="173">
        <v>3856.9</v>
      </c>
      <c r="J106" s="174">
        <v>41</v>
      </c>
      <c r="K106" s="173">
        <v>57693.74</v>
      </c>
    </row>
    <row r="107" spans="1:22" ht="14.25" x14ac:dyDescent="0.2">
      <c r="A107" s="179"/>
      <c r="B107" s="178"/>
      <c r="C107" s="178" t="s">
        <v>188</v>
      </c>
      <c r="D107" s="177" t="s">
        <v>187</v>
      </c>
      <c r="E107" s="174">
        <v>175</v>
      </c>
      <c r="F107" s="176"/>
      <c r="G107" s="175"/>
      <c r="H107" s="174"/>
      <c r="I107" s="173">
        <v>277.08</v>
      </c>
      <c r="J107" s="174">
        <v>157</v>
      </c>
      <c r="K107" s="173">
        <v>5804.31</v>
      </c>
    </row>
    <row r="108" spans="1:22" ht="14.25" x14ac:dyDescent="0.2">
      <c r="A108" s="172"/>
      <c r="B108" s="171"/>
      <c r="C108" s="171" t="s">
        <v>192</v>
      </c>
      <c r="D108" s="170" t="s">
        <v>191</v>
      </c>
      <c r="E108" s="167">
        <v>26</v>
      </c>
      <c r="F108" s="169"/>
      <c r="G108" s="168" t="s">
        <v>1548</v>
      </c>
      <c r="H108" s="167">
        <v>1</v>
      </c>
      <c r="I108" s="166">
        <v>500.95</v>
      </c>
      <c r="J108" s="167"/>
      <c r="K108" s="166"/>
    </row>
    <row r="109" spans="1:22" ht="15" x14ac:dyDescent="0.25">
      <c r="A109" s="164"/>
      <c r="B109" s="164"/>
      <c r="C109" s="165" t="s">
        <v>183</v>
      </c>
      <c r="D109" s="164"/>
      <c r="E109" s="164"/>
      <c r="F109" s="164"/>
      <c r="G109" s="164"/>
      <c r="H109" s="414">
        <v>52465.93</v>
      </c>
      <c r="I109" s="414"/>
      <c r="J109" s="414">
        <v>389847.7</v>
      </c>
      <c r="K109" s="414"/>
      <c r="O109" s="163">
        <f>I99+I100+I102+I105+I106+I107+SUM(I103:I104)</f>
        <v>52465.93</v>
      </c>
      <c r="P109" s="163">
        <f>K99+K100+K102+K105+K106+K107+SUM(K103:K104)</f>
        <v>389847.7</v>
      </c>
    </row>
    <row r="111" spans="1:22" ht="52.5" x14ac:dyDescent="0.2">
      <c r="A111" s="179" t="s">
        <v>1565</v>
      </c>
      <c r="B111" s="178" t="s">
        <v>343</v>
      </c>
      <c r="C111" s="178" t="s">
        <v>342</v>
      </c>
      <c r="D111" s="177" t="s">
        <v>1566</v>
      </c>
      <c r="E111" s="174">
        <v>0.34079999999999999</v>
      </c>
      <c r="F111" s="176"/>
      <c r="G111" s="175"/>
      <c r="H111" s="174"/>
      <c r="I111" s="173"/>
      <c r="J111" s="174"/>
      <c r="K111" s="173"/>
      <c r="Q111" s="160">
        <f>[2]Source!X97</f>
        <v>1192.74</v>
      </c>
      <c r="R111" s="160">
        <f>[2]Source!X98</f>
        <v>22341.54</v>
      </c>
      <c r="S111" s="160">
        <f>[2]Source!Y97</f>
        <v>917.49</v>
      </c>
      <c r="T111" s="160">
        <f>[2]Source!Y98</f>
        <v>12547.99</v>
      </c>
      <c r="U111" s="160">
        <f>ROUND((175/100)*ROUND([2]Source!R97, 2), 2)</f>
        <v>220.33</v>
      </c>
      <c r="V111" s="160">
        <f>ROUND((157/100)*ROUND([2]Source!R98, 2), 2)</f>
        <v>4615.4399999999996</v>
      </c>
    </row>
    <row r="112" spans="1:22" x14ac:dyDescent="0.2">
      <c r="C112" s="181" t="s">
        <v>1567</v>
      </c>
    </row>
    <row r="113" spans="1:22" ht="14.25" x14ac:dyDescent="0.2">
      <c r="A113" s="179"/>
      <c r="B113" s="178"/>
      <c r="C113" s="178" t="s">
        <v>197</v>
      </c>
      <c r="D113" s="177"/>
      <c r="E113" s="174"/>
      <c r="F113" s="176">
        <v>3344.3</v>
      </c>
      <c r="G113" s="175" t="s">
        <v>1548</v>
      </c>
      <c r="H113" s="174">
        <v>1</v>
      </c>
      <c r="I113" s="173">
        <v>1310.7</v>
      </c>
      <c r="J113" s="174">
        <v>23.35</v>
      </c>
      <c r="K113" s="173">
        <v>30604.85</v>
      </c>
    </row>
    <row r="114" spans="1:22" ht="14.25" x14ac:dyDescent="0.2">
      <c r="A114" s="179"/>
      <c r="B114" s="178"/>
      <c r="C114" s="178" t="s">
        <v>184</v>
      </c>
      <c r="D114" s="177"/>
      <c r="E114" s="174"/>
      <c r="F114" s="176">
        <v>1696.81</v>
      </c>
      <c r="G114" s="175" t="s">
        <v>1549</v>
      </c>
      <c r="H114" s="174">
        <v>1</v>
      </c>
      <c r="I114" s="173">
        <v>722.84</v>
      </c>
      <c r="J114" s="174">
        <v>8.49</v>
      </c>
      <c r="K114" s="173">
        <v>6136.91</v>
      </c>
    </row>
    <row r="115" spans="1:22" ht="14.25" x14ac:dyDescent="0.2">
      <c r="A115" s="179"/>
      <c r="B115" s="178"/>
      <c r="C115" s="178" t="s">
        <v>189</v>
      </c>
      <c r="D115" s="177"/>
      <c r="E115" s="174"/>
      <c r="F115" s="176">
        <v>295.52999999999997</v>
      </c>
      <c r="G115" s="175" t="s">
        <v>1549</v>
      </c>
      <c r="H115" s="174">
        <v>1</v>
      </c>
      <c r="I115" s="180">
        <v>125.9</v>
      </c>
      <c r="J115" s="174">
        <v>23.35</v>
      </c>
      <c r="K115" s="180">
        <v>2939.77</v>
      </c>
    </row>
    <row r="116" spans="1:22" ht="14.25" x14ac:dyDescent="0.2">
      <c r="A116" s="179"/>
      <c r="B116" s="178"/>
      <c r="C116" s="178" t="s">
        <v>205</v>
      </c>
      <c r="D116" s="177"/>
      <c r="E116" s="174"/>
      <c r="F116" s="176">
        <v>1358.76</v>
      </c>
      <c r="G116" s="175" t="s">
        <v>195</v>
      </c>
      <c r="H116" s="174">
        <v>1</v>
      </c>
      <c r="I116" s="173">
        <v>463.07</v>
      </c>
      <c r="J116" s="174">
        <v>9.1199999999999992</v>
      </c>
      <c r="K116" s="173">
        <v>4223.2</v>
      </c>
    </row>
    <row r="117" spans="1:22" ht="57" x14ac:dyDescent="0.2">
      <c r="A117" s="179" t="s">
        <v>1568</v>
      </c>
      <c r="B117" s="178" t="s">
        <v>1569</v>
      </c>
      <c r="C117" s="178" t="s">
        <v>341</v>
      </c>
      <c r="D117" s="177" t="s">
        <v>1557</v>
      </c>
      <c r="E117" s="174">
        <v>35.783999999999999</v>
      </c>
      <c r="F117" s="176">
        <v>773.6</v>
      </c>
      <c r="G117" s="182" t="s">
        <v>195</v>
      </c>
      <c r="H117" s="174">
        <v>1</v>
      </c>
      <c r="I117" s="173">
        <v>27682.5</v>
      </c>
      <c r="J117" s="174">
        <v>4.0999999999999996</v>
      </c>
      <c r="K117" s="173">
        <v>113498.25</v>
      </c>
      <c r="Q117" s="160">
        <f>[2]Source!X99</f>
        <v>0</v>
      </c>
      <c r="R117" s="160">
        <f>[2]Source!X100</f>
        <v>0</v>
      </c>
      <c r="S117" s="160">
        <f>[2]Source!Y99</f>
        <v>0</v>
      </c>
      <c r="T117" s="160">
        <f>[2]Source!Y100</f>
        <v>0</v>
      </c>
      <c r="U117" s="160">
        <f>ROUND((175/100)*ROUND([2]Source!R99, 2), 2)</f>
        <v>0</v>
      </c>
      <c r="V117" s="160">
        <f>ROUND((157/100)*ROUND([2]Source!R100, 2), 2)</f>
        <v>0</v>
      </c>
    </row>
    <row r="118" spans="1:22" ht="57" x14ac:dyDescent="0.2">
      <c r="A118" s="179" t="s">
        <v>1570</v>
      </c>
      <c r="B118" s="178" t="s">
        <v>1571</v>
      </c>
      <c r="C118" s="178" t="s">
        <v>340</v>
      </c>
      <c r="D118" s="177" t="s">
        <v>1533</v>
      </c>
      <c r="E118" s="174">
        <v>6.1684999999999997E-2</v>
      </c>
      <c r="F118" s="176">
        <v>20268.29</v>
      </c>
      <c r="G118" s="182" t="s">
        <v>195</v>
      </c>
      <c r="H118" s="174">
        <v>1</v>
      </c>
      <c r="I118" s="173">
        <v>1250.25</v>
      </c>
      <c r="J118" s="174">
        <v>5.13</v>
      </c>
      <c r="K118" s="173">
        <v>6413.78</v>
      </c>
      <c r="Q118" s="160">
        <f>[2]Source!X101</f>
        <v>0</v>
      </c>
      <c r="R118" s="160">
        <f>[2]Source!X102</f>
        <v>0</v>
      </c>
      <c r="S118" s="160">
        <f>[2]Source!Y101</f>
        <v>0</v>
      </c>
      <c r="T118" s="160">
        <f>[2]Source!Y102</f>
        <v>0</v>
      </c>
      <c r="U118" s="160">
        <f>ROUND((175/100)*ROUND([2]Source!R101, 2), 2)</f>
        <v>0</v>
      </c>
      <c r="V118" s="160">
        <f>ROUND((157/100)*ROUND([2]Source!R102, 2), 2)</f>
        <v>0</v>
      </c>
    </row>
    <row r="119" spans="1:22" ht="14.25" x14ac:dyDescent="0.2">
      <c r="A119" s="179"/>
      <c r="B119" s="178"/>
      <c r="C119" s="178" t="s">
        <v>194</v>
      </c>
      <c r="D119" s="177" t="s">
        <v>187</v>
      </c>
      <c r="E119" s="174">
        <v>91</v>
      </c>
      <c r="F119" s="176"/>
      <c r="G119" s="175"/>
      <c r="H119" s="174"/>
      <c r="I119" s="173">
        <v>1192.74</v>
      </c>
      <c r="J119" s="174">
        <v>73</v>
      </c>
      <c r="K119" s="173">
        <v>22341.54</v>
      </c>
    </row>
    <row r="120" spans="1:22" ht="14.25" x14ac:dyDescent="0.2">
      <c r="A120" s="179"/>
      <c r="B120" s="178"/>
      <c r="C120" s="178" t="s">
        <v>193</v>
      </c>
      <c r="D120" s="177" t="s">
        <v>187</v>
      </c>
      <c r="E120" s="174">
        <v>70</v>
      </c>
      <c r="F120" s="176"/>
      <c r="G120" s="175"/>
      <c r="H120" s="174"/>
      <c r="I120" s="173">
        <v>917.49</v>
      </c>
      <c r="J120" s="174">
        <v>41</v>
      </c>
      <c r="K120" s="173">
        <v>12547.99</v>
      </c>
    </row>
    <row r="121" spans="1:22" ht="14.25" x14ac:dyDescent="0.2">
      <c r="A121" s="179"/>
      <c r="B121" s="178"/>
      <c r="C121" s="178" t="s">
        <v>188</v>
      </c>
      <c r="D121" s="177" t="s">
        <v>187</v>
      </c>
      <c r="E121" s="174">
        <v>175</v>
      </c>
      <c r="F121" s="176"/>
      <c r="G121" s="175"/>
      <c r="H121" s="174"/>
      <c r="I121" s="173">
        <v>220.33</v>
      </c>
      <c r="J121" s="174">
        <v>157</v>
      </c>
      <c r="K121" s="173">
        <v>4615.4399999999996</v>
      </c>
    </row>
    <row r="122" spans="1:22" ht="14.25" x14ac:dyDescent="0.2">
      <c r="A122" s="172"/>
      <c r="B122" s="171"/>
      <c r="C122" s="171" t="s">
        <v>192</v>
      </c>
      <c r="D122" s="170" t="s">
        <v>191</v>
      </c>
      <c r="E122" s="167">
        <v>265</v>
      </c>
      <c r="F122" s="169"/>
      <c r="G122" s="168" t="s">
        <v>1548</v>
      </c>
      <c r="H122" s="167">
        <v>1</v>
      </c>
      <c r="I122" s="166">
        <v>103.86</v>
      </c>
      <c r="J122" s="167"/>
      <c r="K122" s="166"/>
    </row>
    <row r="123" spans="1:22" ht="15" x14ac:dyDescent="0.25">
      <c r="A123" s="164"/>
      <c r="B123" s="164"/>
      <c r="C123" s="165" t="s">
        <v>183</v>
      </c>
      <c r="D123" s="164"/>
      <c r="E123" s="164"/>
      <c r="F123" s="164"/>
      <c r="G123" s="164"/>
      <c r="H123" s="414">
        <v>33759.919999999998</v>
      </c>
      <c r="I123" s="414"/>
      <c r="J123" s="414">
        <v>200381.96</v>
      </c>
      <c r="K123" s="414"/>
      <c r="O123" s="163">
        <f>I113+I114+I116+I119+I120+I121+SUM(I117:I118)</f>
        <v>33759.919999999998</v>
      </c>
      <c r="P123" s="163">
        <f>K113+K114+K116+K119+K120+K121+SUM(K117:K118)</f>
        <v>200381.96</v>
      </c>
    </row>
    <row r="125" spans="1:22" ht="71.25" x14ac:dyDescent="0.2">
      <c r="A125" s="179" t="s">
        <v>1572</v>
      </c>
      <c r="B125" s="178" t="s">
        <v>339</v>
      </c>
      <c r="C125" s="178" t="s">
        <v>338</v>
      </c>
      <c r="D125" s="177" t="s">
        <v>1561</v>
      </c>
      <c r="E125" s="174">
        <v>5.5679999999999996</v>
      </c>
      <c r="F125" s="176"/>
      <c r="G125" s="175"/>
      <c r="H125" s="174"/>
      <c r="I125" s="173"/>
      <c r="J125" s="174"/>
      <c r="K125" s="173"/>
      <c r="Q125" s="160">
        <f>[2]Source!X103</f>
        <v>3689.78</v>
      </c>
      <c r="R125" s="160">
        <f>[2]Source!X104</f>
        <v>69786.649999999994</v>
      </c>
      <c r="S125" s="160">
        <f>[2]Source!Y103</f>
        <v>2361.46</v>
      </c>
      <c r="T125" s="160">
        <f>[2]Source!Y104</f>
        <v>35324.11</v>
      </c>
      <c r="U125" s="160">
        <f>ROUND((175/100)*ROUND([2]Source!R103, 2), 2)</f>
        <v>92.09</v>
      </c>
      <c r="V125" s="160">
        <f>ROUND((157/100)*ROUND([2]Source!R104, 2), 2)</f>
        <v>1929.03</v>
      </c>
    </row>
    <row r="126" spans="1:22" x14ac:dyDescent="0.2">
      <c r="C126" s="181" t="s">
        <v>1573</v>
      </c>
    </row>
    <row r="127" spans="1:22" ht="14.25" x14ac:dyDescent="0.2">
      <c r="A127" s="179"/>
      <c r="B127" s="178"/>
      <c r="C127" s="178" t="s">
        <v>197</v>
      </c>
      <c r="D127" s="177"/>
      <c r="E127" s="174"/>
      <c r="F127" s="176">
        <v>576.24</v>
      </c>
      <c r="G127" s="175" t="s">
        <v>1548</v>
      </c>
      <c r="H127" s="174">
        <v>1</v>
      </c>
      <c r="I127" s="173">
        <v>3689.78</v>
      </c>
      <c r="J127" s="174">
        <v>23.35</v>
      </c>
      <c r="K127" s="173">
        <v>86156.36</v>
      </c>
    </row>
    <row r="128" spans="1:22" ht="14.25" x14ac:dyDescent="0.2">
      <c r="A128" s="179"/>
      <c r="B128" s="178"/>
      <c r="C128" s="178" t="s">
        <v>184</v>
      </c>
      <c r="D128" s="177"/>
      <c r="E128" s="174"/>
      <c r="F128" s="176">
        <v>32.01</v>
      </c>
      <c r="G128" s="175" t="s">
        <v>1549</v>
      </c>
      <c r="H128" s="174">
        <v>1</v>
      </c>
      <c r="I128" s="173">
        <v>222.79</v>
      </c>
      <c r="J128" s="174">
        <v>9.6</v>
      </c>
      <c r="K128" s="173">
        <v>2138.7800000000002</v>
      </c>
    </row>
    <row r="129" spans="1:22" ht="14.25" x14ac:dyDescent="0.2">
      <c r="A129" s="179"/>
      <c r="B129" s="178"/>
      <c r="C129" s="178" t="s">
        <v>189</v>
      </c>
      <c r="D129" s="177"/>
      <c r="E129" s="174"/>
      <c r="F129" s="176">
        <v>7.56</v>
      </c>
      <c r="G129" s="175" t="s">
        <v>1549</v>
      </c>
      <c r="H129" s="174">
        <v>1</v>
      </c>
      <c r="I129" s="180">
        <v>52.62</v>
      </c>
      <c r="J129" s="174">
        <v>23.35</v>
      </c>
      <c r="K129" s="180">
        <v>1228.68</v>
      </c>
    </row>
    <row r="130" spans="1:22" ht="14.25" x14ac:dyDescent="0.2">
      <c r="A130" s="179"/>
      <c r="B130" s="178"/>
      <c r="C130" s="178" t="s">
        <v>205</v>
      </c>
      <c r="D130" s="177"/>
      <c r="E130" s="174"/>
      <c r="F130" s="176">
        <v>6.09</v>
      </c>
      <c r="G130" s="175" t="s">
        <v>195</v>
      </c>
      <c r="H130" s="174">
        <v>1</v>
      </c>
      <c r="I130" s="173">
        <v>33.909999999999997</v>
      </c>
      <c r="J130" s="174">
        <v>5.42</v>
      </c>
      <c r="K130" s="173">
        <v>183.79</v>
      </c>
    </row>
    <row r="131" spans="1:22" ht="14.25" x14ac:dyDescent="0.2">
      <c r="A131" s="179" t="s">
        <v>1574</v>
      </c>
      <c r="B131" s="178" t="s">
        <v>1559</v>
      </c>
      <c r="C131" s="178" t="s">
        <v>333</v>
      </c>
      <c r="D131" s="177" t="s">
        <v>1533</v>
      </c>
      <c r="E131" s="174">
        <v>0.30624000000000001</v>
      </c>
      <c r="F131" s="176">
        <v>6976.8</v>
      </c>
      <c r="G131" s="182" t="s">
        <v>195</v>
      </c>
      <c r="H131" s="174">
        <v>1</v>
      </c>
      <c r="I131" s="173">
        <v>2136.58</v>
      </c>
      <c r="J131" s="174">
        <v>2.97</v>
      </c>
      <c r="K131" s="173">
        <v>6345.64</v>
      </c>
      <c r="Q131" s="160">
        <f>[2]Source!X105</f>
        <v>0</v>
      </c>
      <c r="R131" s="160">
        <f>[2]Source!X106</f>
        <v>0</v>
      </c>
      <c r="S131" s="160">
        <f>[2]Source!Y105</f>
        <v>0</v>
      </c>
      <c r="T131" s="160">
        <f>[2]Source!Y106</f>
        <v>0</v>
      </c>
      <c r="U131" s="160">
        <f>ROUND((175/100)*ROUND([2]Source!R105, 2), 2)</f>
        <v>0</v>
      </c>
      <c r="V131" s="160">
        <f>ROUND((157/100)*ROUND([2]Source!R106, 2), 2)</f>
        <v>0</v>
      </c>
    </row>
    <row r="132" spans="1:22" ht="28.5" x14ac:dyDescent="0.2">
      <c r="A132" s="179" t="s">
        <v>1575</v>
      </c>
      <c r="B132" s="178" t="s">
        <v>1564</v>
      </c>
      <c r="C132" s="178" t="s">
        <v>323</v>
      </c>
      <c r="D132" s="177" t="s">
        <v>1533</v>
      </c>
      <c r="E132" s="174">
        <v>0.35078399999999998</v>
      </c>
      <c r="F132" s="176">
        <v>33030.400000000001</v>
      </c>
      <c r="G132" s="182" t="s">
        <v>195</v>
      </c>
      <c r="H132" s="174">
        <v>1</v>
      </c>
      <c r="I132" s="173">
        <v>11586.54</v>
      </c>
      <c r="J132" s="174">
        <v>1.8</v>
      </c>
      <c r="K132" s="173">
        <v>20855.77</v>
      </c>
      <c r="Q132" s="160">
        <f>[2]Source!X107</f>
        <v>0</v>
      </c>
      <c r="R132" s="160">
        <f>[2]Source!X108</f>
        <v>0</v>
      </c>
      <c r="S132" s="160">
        <f>[2]Source!Y107</f>
        <v>0</v>
      </c>
      <c r="T132" s="160">
        <f>[2]Source!Y108</f>
        <v>0</v>
      </c>
      <c r="U132" s="160">
        <f>ROUND((175/100)*ROUND([2]Source!R107, 2), 2)</f>
        <v>0</v>
      </c>
      <c r="V132" s="160">
        <f>ROUND((157/100)*ROUND([2]Source!R108, 2), 2)</f>
        <v>0</v>
      </c>
    </row>
    <row r="133" spans="1:22" ht="14.25" x14ac:dyDescent="0.2">
      <c r="A133" s="179"/>
      <c r="B133" s="178"/>
      <c r="C133" s="178" t="s">
        <v>194</v>
      </c>
      <c r="D133" s="177" t="s">
        <v>187</v>
      </c>
      <c r="E133" s="174">
        <v>100</v>
      </c>
      <c r="F133" s="176"/>
      <c r="G133" s="175"/>
      <c r="H133" s="174"/>
      <c r="I133" s="173">
        <v>3689.78</v>
      </c>
      <c r="J133" s="174">
        <v>81</v>
      </c>
      <c r="K133" s="173">
        <v>69786.649999999994</v>
      </c>
    </row>
    <row r="134" spans="1:22" ht="14.25" x14ac:dyDescent="0.2">
      <c r="A134" s="179"/>
      <c r="B134" s="178"/>
      <c r="C134" s="178" t="s">
        <v>193</v>
      </c>
      <c r="D134" s="177" t="s">
        <v>187</v>
      </c>
      <c r="E134" s="174">
        <v>64</v>
      </c>
      <c r="F134" s="176"/>
      <c r="G134" s="175"/>
      <c r="H134" s="174"/>
      <c r="I134" s="173">
        <v>2361.46</v>
      </c>
      <c r="J134" s="174">
        <v>41</v>
      </c>
      <c r="K134" s="173">
        <v>35324.11</v>
      </c>
    </row>
    <row r="135" spans="1:22" ht="14.25" x14ac:dyDescent="0.2">
      <c r="A135" s="179"/>
      <c r="B135" s="178"/>
      <c r="C135" s="178" t="s">
        <v>188</v>
      </c>
      <c r="D135" s="177" t="s">
        <v>187</v>
      </c>
      <c r="E135" s="174">
        <v>175</v>
      </c>
      <c r="F135" s="176"/>
      <c r="G135" s="175"/>
      <c r="H135" s="174"/>
      <c r="I135" s="173">
        <v>92.09</v>
      </c>
      <c r="J135" s="174">
        <v>157</v>
      </c>
      <c r="K135" s="173">
        <v>1929.03</v>
      </c>
    </row>
    <row r="136" spans="1:22" ht="14.25" x14ac:dyDescent="0.2">
      <c r="A136" s="172"/>
      <c r="B136" s="171"/>
      <c r="C136" s="171" t="s">
        <v>192</v>
      </c>
      <c r="D136" s="170" t="s">
        <v>191</v>
      </c>
      <c r="E136" s="167">
        <v>49</v>
      </c>
      <c r="F136" s="169"/>
      <c r="G136" s="168" t="s">
        <v>1548</v>
      </c>
      <c r="H136" s="167">
        <v>1</v>
      </c>
      <c r="I136" s="166">
        <v>313.76</v>
      </c>
      <c r="J136" s="167"/>
      <c r="K136" s="166"/>
    </row>
    <row r="137" spans="1:22" ht="15" x14ac:dyDescent="0.25">
      <c r="A137" s="164"/>
      <c r="B137" s="164"/>
      <c r="C137" s="165" t="s">
        <v>183</v>
      </c>
      <c r="D137" s="164"/>
      <c r="E137" s="164"/>
      <c r="F137" s="164"/>
      <c r="G137" s="164"/>
      <c r="H137" s="414">
        <v>23812.93</v>
      </c>
      <c r="I137" s="414"/>
      <c r="J137" s="414">
        <v>222720.13</v>
      </c>
      <c r="K137" s="414"/>
      <c r="O137" s="163">
        <f>I127+I128+I130+I133+I134+I135+SUM(I131:I132)</f>
        <v>23812.93</v>
      </c>
      <c r="P137" s="163">
        <f>K127+K128+K130+K133+K134+K135+SUM(K131:K132)</f>
        <v>222720.13</v>
      </c>
    </row>
    <row r="140" spans="1:22" ht="15" x14ac:dyDescent="0.25">
      <c r="A140" s="417" t="s">
        <v>1576</v>
      </c>
      <c r="B140" s="417"/>
      <c r="C140" s="417"/>
      <c r="D140" s="417"/>
      <c r="E140" s="417"/>
      <c r="F140" s="417"/>
      <c r="G140" s="417"/>
      <c r="H140" s="415">
        <v>422209.21</v>
      </c>
      <c r="I140" s="416"/>
      <c r="J140" s="415">
        <v>3107262.11</v>
      </c>
      <c r="K140" s="416"/>
    </row>
    <row r="141" spans="1:22" hidden="1" x14ac:dyDescent="0.2">
      <c r="A141" s="160" t="s">
        <v>182</v>
      </c>
      <c r="I141" s="160">
        <v>0</v>
      </c>
      <c r="J141" s="160">
        <v>0</v>
      </c>
    </row>
    <row r="142" spans="1:22" hidden="1" x14ac:dyDescent="0.2">
      <c r="A142" s="160" t="s">
        <v>181</v>
      </c>
      <c r="I142" s="160">
        <v>0</v>
      </c>
      <c r="J142" s="160">
        <v>0</v>
      </c>
    </row>
    <row r="144" spans="1:22" ht="16.5" x14ac:dyDescent="0.25">
      <c r="A144" s="413" t="s">
        <v>1577</v>
      </c>
      <c r="B144" s="413"/>
      <c r="C144" s="413"/>
      <c r="D144" s="413"/>
      <c r="E144" s="413"/>
      <c r="F144" s="413"/>
      <c r="G144" s="413"/>
      <c r="H144" s="413"/>
      <c r="I144" s="413"/>
      <c r="J144" s="413"/>
      <c r="K144" s="413"/>
    </row>
    <row r="145" spans="1:22" ht="71.25" x14ac:dyDescent="0.2">
      <c r="A145" s="179" t="s">
        <v>1578</v>
      </c>
      <c r="B145" s="178" t="s">
        <v>329</v>
      </c>
      <c r="C145" s="178" t="s">
        <v>328</v>
      </c>
      <c r="D145" s="177" t="s">
        <v>1579</v>
      </c>
      <c r="E145" s="174">
        <v>30.790800000000001</v>
      </c>
      <c r="F145" s="176"/>
      <c r="G145" s="175"/>
      <c r="H145" s="174"/>
      <c r="I145" s="173"/>
      <c r="J145" s="174"/>
      <c r="K145" s="173"/>
      <c r="Q145" s="160">
        <f>[2]Source!X144</f>
        <v>67333.490000000005</v>
      </c>
      <c r="R145" s="160">
        <f>[2]Source!X145</f>
        <v>1273511.96</v>
      </c>
      <c r="S145" s="160">
        <f>[2]Source!Y144</f>
        <v>43093.43</v>
      </c>
      <c r="T145" s="160">
        <f>[2]Source!Y145</f>
        <v>644617.17000000004</v>
      </c>
      <c r="U145" s="160">
        <f>ROUND((175/100)*ROUND([2]Source!R144, 2), 2)</f>
        <v>75.44</v>
      </c>
      <c r="V145" s="160">
        <f>ROUND((157/100)*ROUND([2]Source!R145, 2), 2)</f>
        <v>1580.39</v>
      </c>
    </row>
    <row r="146" spans="1:22" x14ac:dyDescent="0.2">
      <c r="C146" s="181" t="s">
        <v>1580</v>
      </c>
    </row>
    <row r="147" spans="1:22" ht="14.25" x14ac:dyDescent="0.2">
      <c r="A147" s="179"/>
      <c r="B147" s="178"/>
      <c r="C147" s="178" t="s">
        <v>197</v>
      </c>
      <c r="D147" s="177"/>
      <c r="E147" s="174"/>
      <c r="F147" s="176">
        <v>1901.57</v>
      </c>
      <c r="G147" s="175" t="s">
        <v>1548</v>
      </c>
      <c r="H147" s="174">
        <v>1</v>
      </c>
      <c r="I147" s="173">
        <v>67333.490000000005</v>
      </c>
      <c r="J147" s="174">
        <v>23.35</v>
      </c>
      <c r="K147" s="173">
        <v>1572236.99</v>
      </c>
    </row>
    <row r="148" spans="1:22" ht="14.25" x14ac:dyDescent="0.2">
      <c r="A148" s="179"/>
      <c r="B148" s="178"/>
      <c r="C148" s="178" t="s">
        <v>184</v>
      </c>
      <c r="D148" s="177"/>
      <c r="E148" s="174"/>
      <c r="F148" s="176">
        <v>3.74</v>
      </c>
      <c r="G148" s="175" t="s">
        <v>1549</v>
      </c>
      <c r="H148" s="174">
        <v>1</v>
      </c>
      <c r="I148" s="173">
        <v>143.94999999999999</v>
      </c>
      <c r="J148" s="174">
        <v>10.74</v>
      </c>
      <c r="K148" s="173">
        <v>1546.02</v>
      </c>
    </row>
    <row r="149" spans="1:22" ht="14.25" x14ac:dyDescent="0.2">
      <c r="A149" s="179"/>
      <c r="B149" s="178"/>
      <c r="C149" s="178" t="s">
        <v>189</v>
      </c>
      <c r="D149" s="177"/>
      <c r="E149" s="174"/>
      <c r="F149" s="176">
        <v>1.1200000000000001</v>
      </c>
      <c r="G149" s="175" t="s">
        <v>1549</v>
      </c>
      <c r="H149" s="174">
        <v>1</v>
      </c>
      <c r="I149" s="180">
        <v>43.11</v>
      </c>
      <c r="J149" s="174">
        <v>23.35</v>
      </c>
      <c r="K149" s="180">
        <v>1006.62</v>
      </c>
    </row>
    <row r="150" spans="1:22" ht="14.25" x14ac:dyDescent="0.2">
      <c r="A150" s="179"/>
      <c r="B150" s="178"/>
      <c r="C150" s="178" t="s">
        <v>205</v>
      </c>
      <c r="D150" s="177"/>
      <c r="E150" s="174"/>
      <c r="F150" s="176">
        <v>953.15</v>
      </c>
      <c r="G150" s="175" t="s">
        <v>195</v>
      </c>
      <c r="H150" s="174">
        <v>1</v>
      </c>
      <c r="I150" s="173">
        <v>29348.25</v>
      </c>
      <c r="J150" s="174">
        <v>2.4300000000000002</v>
      </c>
      <c r="K150" s="173">
        <v>71316.25</v>
      </c>
    </row>
    <row r="151" spans="1:22" ht="28.5" x14ac:dyDescent="0.2">
      <c r="A151" s="179" t="s">
        <v>1581</v>
      </c>
      <c r="B151" s="178" t="s">
        <v>1564</v>
      </c>
      <c r="C151" s="178" t="s">
        <v>323</v>
      </c>
      <c r="D151" s="177" t="s">
        <v>1533</v>
      </c>
      <c r="E151" s="174">
        <v>0.49265300000000001</v>
      </c>
      <c r="F151" s="176">
        <v>33030.400000000001</v>
      </c>
      <c r="G151" s="182" t="s">
        <v>195</v>
      </c>
      <c r="H151" s="174">
        <v>1</v>
      </c>
      <c r="I151" s="173">
        <v>16272.53</v>
      </c>
      <c r="J151" s="174">
        <v>1.8</v>
      </c>
      <c r="K151" s="173">
        <v>29290.55</v>
      </c>
      <c r="Q151" s="160">
        <f>[2]Source!X146</f>
        <v>0</v>
      </c>
      <c r="R151" s="160">
        <f>[2]Source!X147</f>
        <v>0</v>
      </c>
      <c r="S151" s="160">
        <f>[2]Source!Y146</f>
        <v>0</v>
      </c>
      <c r="T151" s="160">
        <f>[2]Source!Y147</f>
        <v>0</v>
      </c>
      <c r="U151" s="160">
        <f>ROUND((175/100)*ROUND([2]Source!R146, 2), 2)</f>
        <v>0</v>
      </c>
      <c r="V151" s="160">
        <f>ROUND((157/100)*ROUND([2]Source!R147, 2), 2)</f>
        <v>0</v>
      </c>
    </row>
    <row r="152" spans="1:22" ht="42.75" x14ac:dyDescent="0.2">
      <c r="A152" s="179" t="s">
        <v>1582</v>
      </c>
      <c r="B152" s="178" t="s">
        <v>1583</v>
      </c>
      <c r="C152" s="178" t="s">
        <v>327</v>
      </c>
      <c r="D152" s="177" t="s">
        <v>1584</v>
      </c>
      <c r="E152" s="174">
        <v>3694.8960000000002</v>
      </c>
      <c r="F152" s="176">
        <v>9.1</v>
      </c>
      <c r="G152" s="182" t="s">
        <v>195</v>
      </c>
      <c r="H152" s="174">
        <v>1</v>
      </c>
      <c r="I152" s="173">
        <v>33623.550000000003</v>
      </c>
      <c r="J152" s="174">
        <v>2.0699999999999998</v>
      </c>
      <c r="K152" s="173">
        <v>69600.75</v>
      </c>
      <c r="Q152" s="160">
        <f>[2]Source!X148</f>
        <v>0</v>
      </c>
      <c r="R152" s="160">
        <f>[2]Source!X149</f>
        <v>0</v>
      </c>
      <c r="S152" s="160">
        <f>[2]Source!Y148</f>
        <v>0</v>
      </c>
      <c r="T152" s="160">
        <f>[2]Source!Y149</f>
        <v>0</v>
      </c>
      <c r="U152" s="160">
        <f>ROUND((175/100)*ROUND([2]Source!R148, 2), 2)</f>
        <v>0</v>
      </c>
      <c r="V152" s="160">
        <f>ROUND((157/100)*ROUND([2]Source!R149, 2), 2)</f>
        <v>0</v>
      </c>
    </row>
    <row r="153" spans="1:22" ht="28.5" x14ac:dyDescent="0.2">
      <c r="A153" s="179" t="s">
        <v>1585</v>
      </c>
      <c r="B153" s="178" t="s">
        <v>1586</v>
      </c>
      <c r="C153" s="178" t="s">
        <v>326</v>
      </c>
      <c r="D153" s="177" t="s">
        <v>1557</v>
      </c>
      <c r="E153" s="174">
        <v>3448.5695999999998</v>
      </c>
      <c r="F153" s="176">
        <v>16.38</v>
      </c>
      <c r="G153" s="182" t="s">
        <v>195</v>
      </c>
      <c r="H153" s="174">
        <v>1</v>
      </c>
      <c r="I153" s="173">
        <v>56487.57</v>
      </c>
      <c r="J153" s="174">
        <v>3.38</v>
      </c>
      <c r="K153" s="173">
        <v>190927.99</v>
      </c>
      <c r="Q153" s="160">
        <f>[2]Source!X150</f>
        <v>0</v>
      </c>
      <c r="R153" s="160">
        <f>[2]Source!X151</f>
        <v>0</v>
      </c>
      <c r="S153" s="160">
        <f>[2]Source!Y150</f>
        <v>0</v>
      </c>
      <c r="T153" s="160">
        <f>[2]Source!Y151</f>
        <v>0</v>
      </c>
      <c r="U153" s="160">
        <f>ROUND((175/100)*ROUND([2]Source!R150, 2), 2)</f>
        <v>0</v>
      </c>
      <c r="V153" s="160">
        <f>ROUND((157/100)*ROUND([2]Source!R151, 2), 2)</f>
        <v>0</v>
      </c>
    </row>
    <row r="154" spans="1:22" ht="14.25" x14ac:dyDescent="0.2">
      <c r="A154" s="179"/>
      <c r="B154" s="178"/>
      <c r="C154" s="178" t="s">
        <v>194</v>
      </c>
      <c r="D154" s="177" t="s">
        <v>187</v>
      </c>
      <c r="E154" s="174">
        <v>100</v>
      </c>
      <c r="F154" s="176"/>
      <c r="G154" s="175"/>
      <c r="H154" s="174"/>
      <c r="I154" s="173">
        <v>67333.490000000005</v>
      </c>
      <c r="J154" s="174">
        <v>81</v>
      </c>
      <c r="K154" s="173">
        <v>1273511.96</v>
      </c>
    </row>
    <row r="155" spans="1:22" ht="14.25" x14ac:dyDescent="0.2">
      <c r="A155" s="179"/>
      <c r="B155" s="178"/>
      <c r="C155" s="178" t="s">
        <v>193</v>
      </c>
      <c r="D155" s="177" t="s">
        <v>187</v>
      </c>
      <c r="E155" s="174">
        <v>64</v>
      </c>
      <c r="F155" s="176"/>
      <c r="G155" s="175"/>
      <c r="H155" s="174"/>
      <c r="I155" s="173">
        <v>43093.43</v>
      </c>
      <c r="J155" s="174">
        <v>41</v>
      </c>
      <c r="K155" s="173">
        <v>644617.17000000004</v>
      </c>
    </row>
    <row r="156" spans="1:22" ht="14.25" x14ac:dyDescent="0.2">
      <c r="A156" s="179"/>
      <c r="B156" s="178"/>
      <c r="C156" s="178" t="s">
        <v>188</v>
      </c>
      <c r="D156" s="177" t="s">
        <v>187</v>
      </c>
      <c r="E156" s="174">
        <v>175</v>
      </c>
      <c r="F156" s="176"/>
      <c r="G156" s="175"/>
      <c r="H156" s="174"/>
      <c r="I156" s="173">
        <v>75.44</v>
      </c>
      <c r="J156" s="174">
        <v>157</v>
      </c>
      <c r="K156" s="173">
        <v>1580.39</v>
      </c>
    </row>
    <row r="157" spans="1:22" ht="14.25" x14ac:dyDescent="0.2">
      <c r="A157" s="172"/>
      <c r="B157" s="171"/>
      <c r="C157" s="171" t="s">
        <v>192</v>
      </c>
      <c r="D157" s="170" t="s">
        <v>191</v>
      </c>
      <c r="E157" s="167">
        <v>157</v>
      </c>
      <c r="F157" s="169"/>
      <c r="G157" s="168" t="s">
        <v>1548</v>
      </c>
      <c r="H157" s="167">
        <v>1</v>
      </c>
      <c r="I157" s="166">
        <v>5559.28</v>
      </c>
      <c r="J157" s="167"/>
      <c r="K157" s="166"/>
    </row>
    <row r="158" spans="1:22" ht="15" x14ac:dyDescent="0.25">
      <c r="A158" s="164"/>
      <c r="B158" s="164"/>
      <c r="C158" s="165" t="s">
        <v>183</v>
      </c>
      <c r="D158" s="164"/>
      <c r="E158" s="164"/>
      <c r="F158" s="164"/>
      <c r="G158" s="164"/>
      <c r="H158" s="414">
        <v>313711.7</v>
      </c>
      <c r="I158" s="414"/>
      <c r="J158" s="414">
        <v>3854628.07</v>
      </c>
      <c r="K158" s="414"/>
      <c r="O158" s="163">
        <f>I147+I148+I150+I154+I155+I156+SUM(I151:I153)</f>
        <v>313711.7</v>
      </c>
      <c r="P158" s="163">
        <f>K147+K148+K150+K154+K155+K156+SUM(K151:K153)</f>
        <v>3854628.07</v>
      </c>
    </row>
    <row r="160" spans="1:22" ht="71.25" x14ac:dyDescent="0.2">
      <c r="A160" s="179" t="s">
        <v>1587</v>
      </c>
      <c r="B160" s="178" t="s">
        <v>325</v>
      </c>
      <c r="C160" s="178" t="s">
        <v>324</v>
      </c>
      <c r="D160" s="177" t="s">
        <v>1561</v>
      </c>
      <c r="E160" s="174">
        <v>30.790800000000001</v>
      </c>
      <c r="F160" s="176"/>
      <c r="G160" s="175"/>
      <c r="H160" s="174"/>
      <c r="I160" s="173"/>
      <c r="J160" s="174"/>
      <c r="K160" s="173"/>
      <c r="Q160" s="160">
        <f>[2]Source!X152</f>
        <v>2338.44</v>
      </c>
      <c r="R160" s="160">
        <f>[2]Source!X153</f>
        <v>44228.08</v>
      </c>
      <c r="S160" s="160">
        <f>[2]Source!Y152</f>
        <v>1496.6</v>
      </c>
      <c r="T160" s="160">
        <f>[2]Source!Y153</f>
        <v>22387.05</v>
      </c>
      <c r="U160" s="160">
        <f>ROUND((175/100)*ROUND([2]Source!R152, 2), 2)</f>
        <v>0</v>
      </c>
      <c r="V160" s="160">
        <f>ROUND((157/100)*ROUND([2]Source!R153, 2), 2)</f>
        <v>0</v>
      </c>
    </row>
    <row r="161" spans="1:22" x14ac:dyDescent="0.2">
      <c r="C161" s="181" t="s">
        <v>1580</v>
      </c>
    </row>
    <row r="162" spans="1:22" ht="14.25" x14ac:dyDescent="0.2">
      <c r="A162" s="179"/>
      <c r="B162" s="178"/>
      <c r="C162" s="178" t="s">
        <v>197</v>
      </c>
      <c r="D162" s="177"/>
      <c r="E162" s="174"/>
      <c r="F162" s="176">
        <v>66.040000000000006</v>
      </c>
      <c r="G162" s="175" t="s">
        <v>1548</v>
      </c>
      <c r="H162" s="174">
        <v>1</v>
      </c>
      <c r="I162" s="173">
        <v>2338.44</v>
      </c>
      <c r="J162" s="174">
        <v>23.35</v>
      </c>
      <c r="K162" s="173">
        <v>54602.57</v>
      </c>
    </row>
    <row r="163" spans="1:22" ht="28.5" x14ac:dyDescent="0.2">
      <c r="A163" s="179" t="s">
        <v>1588</v>
      </c>
      <c r="B163" s="178" t="s">
        <v>1564</v>
      </c>
      <c r="C163" s="178" t="s">
        <v>323</v>
      </c>
      <c r="D163" s="177" t="s">
        <v>1533</v>
      </c>
      <c r="E163" s="174">
        <v>0.46186199999999999</v>
      </c>
      <c r="F163" s="176">
        <v>33030.400000000001</v>
      </c>
      <c r="G163" s="182" t="s">
        <v>195</v>
      </c>
      <c r="H163" s="174">
        <v>1</v>
      </c>
      <c r="I163" s="173">
        <v>15255.49</v>
      </c>
      <c r="J163" s="174">
        <v>1.8</v>
      </c>
      <c r="K163" s="173">
        <v>27459.88</v>
      </c>
      <c r="Q163" s="160">
        <f>[2]Source!X154</f>
        <v>0</v>
      </c>
      <c r="R163" s="160">
        <f>[2]Source!X155</f>
        <v>0</v>
      </c>
      <c r="S163" s="160">
        <f>[2]Source!Y154</f>
        <v>0</v>
      </c>
      <c r="T163" s="160">
        <f>[2]Source!Y155</f>
        <v>0</v>
      </c>
      <c r="U163" s="160">
        <f>ROUND((175/100)*ROUND([2]Source!R154, 2), 2)</f>
        <v>0</v>
      </c>
      <c r="V163" s="160">
        <f>ROUND((157/100)*ROUND([2]Source!R155, 2), 2)</f>
        <v>0</v>
      </c>
    </row>
    <row r="164" spans="1:22" ht="14.25" x14ac:dyDescent="0.2">
      <c r="A164" s="179"/>
      <c r="B164" s="178"/>
      <c r="C164" s="178" t="s">
        <v>194</v>
      </c>
      <c r="D164" s="177" t="s">
        <v>187</v>
      </c>
      <c r="E164" s="174">
        <v>100</v>
      </c>
      <c r="F164" s="176"/>
      <c r="G164" s="175"/>
      <c r="H164" s="174"/>
      <c r="I164" s="173">
        <v>2338.44</v>
      </c>
      <c r="J164" s="174">
        <v>81</v>
      </c>
      <c r="K164" s="173">
        <v>44228.08</v>
      </c>
    </row>
    <row r="165" spans="1:22" ht="14.25" x14ac:dyDescent="0.2">
      <c r="A165" s="179"/>
      <c r="B165" s="178"/>
      <c r="C165" s="178" t="s">
        <v>193</v>
      </c>
      <c r="D165" s="177" t="s">
        <v>187</v>
      </c>
      <c r="E165" s="174">
        <v>64</v>
      </c>
      <c r="F165" s="176"/>
      <c r="G165" s="175"/>
      <c r="H165" s="174"/>
      <c r="I165" s="173">
        <v>1496.6</v>
      </c>
      <c r="J165" s="174">
        <v>41</v>
      </c>
      <c r="K165" s="173">
        <v>22387.05</v>
      </c>
    </row>
    <row r="166" spans="1:22" ht="14.25" x14ac:dyDescent="0.2">
      <c r="A166" s="172"/>
      <c r="B166" s="171"/>
      <c r="C166" s="171" t="s">
        <v>192</v>
      </c>
      <c r="D166" s="170" t="s">
        <v>191</v>
      </c>
      <c r="E166" s="167">
        <v>5.49</v>
      </c>
      <c r="F166" s="169"/>
      <c r="G166" s="168" t="s">
        <v>1548</v>
      </c>
      <c r="H166" s="167">
        <v>1</v>
      </c>
      <c r="I166" s="166">
        <v>194.4</v>
      </c>
      <c r="J166" s="167"/>
      <c r="K166" s="166"/>
    </row>
    <row r="167" spans="1:22" ht="15" x14ac:dyDescent="0.25">
      <c r="A167" s="164"/>
      <c r="B167" s="164"/>
      <c r="C167" s="165" t="s">
        <v>183</v>
      </c>
      <c r="D167" s="164"/>
      <c r="E167" s="164"/>
      <c r="F167" s="164"/>
      <c r="G167" s="164"/>
      <c r="H167" s="414">
        <v>21428.97</v>
      </c>
      <c r="I167" s="414"/>
      <c r="J167" s="414">
        <v>148677.57999999999</v>
      </c>
      <c r="K167" s="414"/>
      <c r="O167" s="163">
        <f>I162+I164+I165+SUM(I163:I163)</f>
        <v>21428.97</v>
      </c>
      <c r="P167" s="163">
        <f>K162+K164+K165+SUM(K163:K163)</f>
        <v>148677.57999999999</v>
      </c>
    </row>
    <row r="169" spans="1:22" ht="85.5" x14ac:dyDescent="0.2">
      <c r="A169" s="179" t="s">
        <v>1589</v>
      </c>
      <c r="B169" s="178" t="s">
        <v>336</v>
      </c>
      <c r="C169" s="178" t="s">
        <v>335</v>
      </c>
      <c r="D169" s="177" t="s">
        <v>1590</v>
      </c>
      <c r="E169" s="174">
        <v>24.076000000000001</v>
      </c>
      <c r="F169" s="176"/>
      <c r="G169" s="175"/>
      <c r="H169" s="174"/>
      <c r="I169" s="173"/>
      <c r="J169" s="174"/>
      <c r="K169" s="173"/>
      <c r="Q169" s="160">
        <f>[2]Source!X156</f>
        <v>26635.279999999999</v>
      </c>
      <c r="R169" s="160">
        <f>[2]Source!X157</f>
        <v>503766.37</v>
      </c>
      <c r="S169" s="160">
        <f>[2]Source!Y156</f>
        <v>17046.580000000002</v>
      </c>
      <c r="T169" s="160">
        <f>[2]Source!Y157</f>
        <v>254992.85</v>
      </c>
      <c r="U169" s="160">
        <f>ROUND((175/100)*ROUND([2]Source!R156, 2), 2)</f>
        <v>3702.97</v>
      </c>
      <c r="V169" s="160">
        <f>ROUND((157/100)*ROUND([2]Source!R157, 2), 2)</f>
        <v>77570.759999999995</v>
      </c>
    </row>
    <row r="170" spans="1:22" x14ac:dyDescent="0.2">
      <c r="C170" s="181" t="s">
        <v>1591</v>
      </c>
    </row>
    <row r="171" spans="1:22" ht="14.25" x14ac:dyDescent="0.2">
      <c r="A171" s="179"/>
      <c r="B171" s="178"/>
      <c r="C171" s="178" t="s">
        <v>197</v>
      </c>
      <c r="D171" s="177"/>
      <c r="E171" s="174"/>
      <c r="F171" s="176">
        <v>962</v>
      </c>
      <c r="G171" s="175" t="s">
        <v>1548</v>
      </c>
      <c r="H171" s="174">
        <v>1</v>
      </c>
      <c r="I171" s="173">
        <v>26635.279999999999</v>
      </c>
      <c r="J171" s="174">
        <v>23.35</v>
      </c>
      <c r="K171" s="173">
        <v>621933.79</v>
      </c>
    </row>
    <row r="172" spans="1:22" ht="14.25" x14ac:dyDescent="0.2">
      <c r="A172" s="179"/>
      <c r="B172" s="178"/>
      <c r="C172" s="178" t="s">
        <v>184</v>
      </c>
      <c r="D172" s="177"/>
      <c r="E172" s="174"/>
      <c r="F172" s="176">
        <v>283.85000000000002</v>
      </c>
      <c r="G172" s="175" t="s">
        <v>1549</v>
      </c>
      <c r="H172" s="174">
        <v>1</v>
      </c>
      <c r="I172" s="173">
        <v>8542.4699999999993</v>
      </c>
      <c r="J172" s="174">
        <v>9.68</v>
      </c>
      <c r="K172" s="173">
        <v>82691.11</v>
      </c>
    </row>
    <row r="173" spans="1:22" ht="14.25" x14ac:dyDescent="0.2">
      <c r="A173" s="179"/>
      <c r="B173" s="178"/>
      <c r="C173" s="178" t="s">
        <v>189</v>
      </c>
      <c r="D173" s="177"/>
      <c r="E173" s="174"/>
      <c r="F173" s="176">
        <v>70.31</v>
      </c>
      <c r="G173" s="175" t="s">
        <v>1549</v>
      </c>
      <c r="H173" s="174">
        <v>1</v>
      </c>
      <c r="I173" s="180">
        <v>2115.98</v>
      </c>
      <c r="J173" s="174">
        <v>23.35</v>
      </c>
      <c r="K173" s="180">
        <v>49408.13</v>
      </c>
    </row>
    <row r="174" spans="1:22" ht="14.25" x14ac:dyDescent="0.2">
      <c r="A174" s="179"/>
      <c r="B174" s="178"/>
      <c r="C174" s="178" t="s">
        <v>205</v>
      </c>
      <c r="D174" s="177"/>
      <c r="E174" s="174"/>
      <c r="F174" s="176">
        <v>190.13</v>
      </c>
      <c r="G174" s="175" t="s">
        <v>195</v>
      </c>
      <c r="H174" s="174">
        <v>1</v>
      </c>
      <c r="I174" s="173">
        <v>4577.57</v>
      </c>
      <c r="J174" s="174">
        <v>19.09</v>
      </c>
      <c r="K174" s="173">
        <v>87385.81</v>
      </c>
    </row>
    <row r="175" spans="1:22" ht="14.25" x14ac:dyDescent="0.2">
      <c r="A175" s="179" t="s">
        <v>1592</v>
      </c>
      <c r="B175" s="178" t="s">
        <v>1593</v>
      </c>
      <c r="C175" s="178" t="s">
        <v>274</v>
      </c>
      <c r="D175" s="177" t="s">
        <v>1594</v>
      </c>
      <c r="E175" s="174">
        <v>2.521239</v>
      </c>
      <c r="F175" s="176">
        <v>7.07</v>
      </c>
      <c r="G175" s="182" t="s">
        <v>195</v>
      </c>
      <c r="H175" s="174">
        <v>1</v>
      </c>
      <c r="I175" s="173">
        <v>17.829999999999998</v>
      </c>
      <c r="J175" s="174">
        <v>4.7699999999999996</v>
      </c>
      <c r="K175" s="173">
        <v>85.05</v>
      </c>
      <c r="Q175" s="160">
        <f>[2]Source!X158</f>
        <v>0</v>
      </c>
      <c r="R175" s="160">
        <f>[2]Source!X159</f>
        <v>0</v>
      </c>
      <c r="S175" s="160">
        <f>[2]Source!Y158</f>
        <v>0</v>
      </c>
      <c r="T175" s="160">
        <f>[2]Source!Y159</f>
        <v>0</v>
      </c>
      <c r="U175" s="160">
        <f>ROUND((175/100)*ROUND([2]Source!R158, 2), 2)</f>
        <v>0</v>
      </c>
      <c r="V175" s="160">
        <f>ROUND((157/100)*ROUND([2]Source!R159, 2), 2)</f>
        <v>0</v>
      </c>
    </row>
    <row r="176" spans="1:22" ht="71.25" x14ac:dyDescent="0.2">
      <c r="A176" s="179" t="s">
        <v>1595</v>
      </c>
      <c r="B176" s="178" t="s">
        <v>1596</v>
      </c>
      <c r="C176" s="178" t="s">
        <v>334</v>
      </c>
      <c r="D176" s="177" t="s">
        <v>1533</v>
      </c>
      <c r="E176" s="174">
        <v>14.407078</v>
      </c>
      <c r="F176" s="176">
        <v>1517.68</v>
      </c>
      <c r="G176" s="182" t="s">
        <v>195</v>
      </c>
      <c r="H176" s="174">
        <v>1</v>
      </c>
      <c r="I176" s="173">
        <v>21865.33</v>
      </c>
      <c r="J176" s="174">
        <v>3.14</v>
      </c>
      <c r="K176" s="173">
        <v>68657.14</v>
      </c>
      <c r="Q176" s="160">
        <f>[2]Source!X160</f>
        <v>0</v>
      </c>
      <c r="R176" s="160">
        <f>[2]Source!X161</f>
        <v>0</v>
      </c>
      <c r="S176" s="160">
        <f>[2]Source!Y160</f>
        <v>0</v>
      </c>
      <c r="T176" s="160">
        <f>[2]Source!Y161</f>
        <v>0</v>
      </c>
      <c r="U176" s="160">
        <f>ROUND((175/100)*ROUND([2]Source!R160, 2), 2)</f>
        <v>0</v>
      </c>
      <c r="V176" s="160">
        <f>ROUND((157/100)*ROUND([2]Source!R161, 2), 2)</f>
        <v>0</v>
      </c>
    </row>
    <row r="177" spans="1:22" ht="28.5" x14ac:dyDescent="0.2">
      <c r="A177" s="179" t="s">
        <v>1597</v>
      </c>
      <c r="B177" s="178" t="s">
        <v>1598</v>
      </c>
      <c r="C177" s="178" t="s">
        <v>272</v>
      </c>
      <c r="D177" s="177" t="s">
        <v>1594</v>
      </c>
      <c r="E177" s="174">
        <v>36.017696000000001</v>
      </c>
      <c r="F177" s="176">
        <v>481.69</v>
      </c>
      <c r="G177" s="182" t="s">
        <v>195</v>
      </c>
      <c r="H177" s="174">
        <v>1</v>
      </c>
      <c r="I177" s="173">
        <v>17349.36</v>
      </c>
      <c r="J177" s="174">
        <v>6.45</v>
      </c>
      <c r="K177" s="173">
        <v>111903.37</v>
      </c>
      <c r="Q177" s="160">
        <f>[2]Source!X162</f>
        <v>0</v>
      </c>
      <c r="R177" s="160">
        <f>[2]Source!X163</f>
        <v>0</v>
      </c>
      <c r="S177" s="160">
        <f>[2]Source!Y162</f>
        <v>0</v>
      </c>
      <c r="T177" s="160">
        <f>[2]Source!Y163</f>
        <v>0</v>
      </c>
      <c r="U177" s="160">
        <f>ROUND((175/100)*ROUND([2]Source!R162, 2), 2)</f>
        <v>0</v>
      </c>
      <c r="V177" s="160">
        <f>ROUND((157/100)*ROUND([2]Source!R163, 2), 2)</f>
        <v>0</v>
      </c>
    </row>
    <row r="178" spans="1:22" ht="14.25" x14ac:dyDescent="0.2">
      <c r="A178" s="179"/>
      <c r="B178" s="178"/>
      <c r="C178" s="178" t="s">
        <v>194</v>
      </c>
      <c r="D178" s="177" t="s">
        <v>187</v>
      </c>
      <c r="E178" s="174">
        <v>100</v>
      </c>
      <c r="F178" s="176"/>
      <c r="G178" s="175"/>
      <c r="H178" s="174"/>
      <c r="I178" s="173">
        <v>26635.279999999999</v>
      </c>
      <c r="J178" s="174">
        <v>81</v>
      </c>
      <c r="K178" s="173">
        <v>503766.37</v>
      </c>
    </row>
    <row r="179" spans="1:22" ht="14.25" x14ac:dyDescent="0.2">
      <c r="A179" s="179"/>
      <c r="B179" s="178"/>
      <c r="C179" s="178" t="s">
        <v>193</v>
      </c>
      <c r="D179" s="177" t="s">
        <v>187</v>
      </c>
      <c r="E179" s="174">
        <v>64</v>
      </c>
      <c r="F179" s="176"/>
      <c r="G179" s="175"/>
      <c r="H179" s="174"/>
      <c r="I179" s="173">
        <v>17046.580000000002</v>
      </c>
      <c r="J179" s="174">
        <v>41</v>
      </c>
      <c r="K179" s="173">
        <v>254992.85</v>
      </c>
    </row>
    <row r="180" spans="1:22" ht="14.25" x14ac:dyDescent="0.2">
      <c r="A180" s="179"/>
      <c r="B180" s="178"/>
      <c r="C180" s="178" t="s">
        <v>188</v>
      </c>
      <c r="D180" s="177" t="s">
        <v>187</v>
      </c>
      <c r="E180" s="174">
        <v>175</v>
      </c>
      <c r="F180" s="176"/>
      <c r="G180" s="175"/>
      <c r="H180" s="174"/>
      <c r="I180" s="173">
        <v>3702.97</v>
      </c>
      <c r="J180" s="174">
        <v>157</v>
      </c>
      <c r="K180" s="173">
        <v>77570.759999999995</v>
      </c>
    </row>
    <row r="181" spans="1:22" ht="14.25" x14ac:dyDescent="0.2">
      <c r="A181" s="172"/>
      <c r="B181" s="171"/>
      <c r="C181" s="171" t="s">
        <v>192</v>
      </c>
      <c r="D181" s="170" t="s">
        <v>191</v>
      </c>
      <c r="E181" s="167">
        <v>74</v>
      </c>
      <c r="F181" s="169"/>
      <c r="G181" s="168" t="s">
        <v>1548</v>
      </c>
      <c r="H181" s="167">
        <v>1</v>
      </c>
      <c r="I181" s="166">
        <v>2048.87</v>
      </c>
      <c r="J181" s="167"/>
      <c r="K181" s="166"/>
    </row>
    <row r="182" spans="1:22" ht="15" x14ac:dyDescent="0.25">
      <c r="A182" s="164"/>
      <c r="B182" s="164"/>
      <c r="C182" s="165" t="s">
        <v>183</v>
      </c>
      <c r="D182" s="164"/>
      <c r="E182" s="164"/>
      <c r="F182" s="164"/>
      <c r="G182" s="164"/>
      <c r="H182" s="414">
        <v>126372.67</v>
      </c>
      <c r="I182" s="414"/>
      <c r="J182" s="414">
        <v>1808986.25</v>
      </c>
      <c r="K182" s="414"/>
      <c r="O182" s="163">
        <f>I171+I172+I174+I178+I179+I180+SUM(I175:I177)</f>
        <v>126372.67</v>
      </c>
      <c r="P182" s="163">
        <f>K171+K172+K174+K178+K179+K180+SUM(K175:K177)</f>
        <v>1808986.25</v>
      </c>
    </row>
    <row r="184" spans="1:22" ht="71.25" x14ac:dyDescent="0.2">
      <c r="A184" s="179" t="s">
        <v>1599</v>
      </c>
      <c r="B184" s="178" t="s">
        <v>270</v>
      </c>
      <c r="C184" s="178" t="s">
        <v>269</v>
      </c>
      <c r="D184" s="177" t="s">
        <v>1561</v>
      </c>
      <c r="E184" s="174">
        <v>24.076000000000001</v>
      </c>
      <c r="F184" s="176"/>
      <c r="G184" s="175"/>
      <c r="H184" s="174"/>
      <c r="I184" s="173"/>
      <c r="J184" s="174"/>
      <c r="K184" s="173"/>
      <c r="Q184" s="160">
        <f>[2]Source!X168</f>
        <v>12698.55</v>
      </c>
      <c r="R184" s="160">
        <f>[2]Source!X169</f>
        <v>240174.02</v>
      </c>
      <c r="S184" s="160">
        <f>[2]Source!Y168</f>
        <v>8127.07</v>
      </c>
      <c r="T184" s="160">
        <f>[2]Source!Y169</f>
        <v>121569.57</v>
      </c>
      <c r="U184" s="160">
        <f>ROUND((175/100)*ROUND([2]Source!R168, 2), 2)</f>
        <v>361.29</v>
      </c>
      <c r="V184" s="160">
        <f>ROUND((157/100)*ROUND([2]Source!R169, 2), 2)</f>
        <v>7568.36</v>
      </c>
    </row>
    <row r="185" spans="1:22" x14ac:dyDescent="0.2">
      <c r="C185" s="181" t="s">
        <v>1591</v>
      </c>
    </row>
    <row r="186" spans="1:22" ht="14.25" x14ac:dyDescent="0.2">
      <c r="A186" s="179"/>
      <c r="B186" s="178"/>
      <c r="C186" s="178" t="s">
        <v>197</v>
      </c>
      <c r="D186" s="177"/>
      <c r="E186" s="174"/>
      <c r="F186" s="176">
        <v>458.64</v>
      </c>
      <c r="G186" s="175" t="s">
        <v>1548</v>
      </c>
      <c r="H186" s="174">
        <v>1</v>
      </c>
      <c r="I186" s="173">
        <v>12698.55</v>
      </c>
      <c r="J186" s="174">
        <v>23.35</v>
      </c>
      <c r="K186" s="173">
        <v>296511.14</v>
      </c>
    </row>
    <row r="187" spans="1:22" ht="14.25" x14ac:dyDescent="0.2">
      <c r="A187" s="179"/>
      <c r="B187" s="178"/>
      <c r="C187" s="178" t="s">
        <v>184</v>
      </c>
      <c r="D187" s="177"/>
      <c r="E187" s="174"/>
      <c r="F187" s="176">
        <v>29.03</v>
      </c>
      <c r="G187" s="175" t="s">
        <v>1549</v>
      </c>
      <c r="H187" s="174">
        <v>1</v>
      </c>
      <c r="I187" s="173">
        <v>873.66</v>
      </c>
      <c r="J187" s="174">
        <v>9.6</v>
      </c>
      <c r="K187" s="173">
        <v>8387.14</v>
      </c>
    </row>
    <row r="188" spans="1:22" ht="14.25" x14ac:dyDescent="0.2">
      <c r="A188" s="179"/>
      <c r="B188" s="178"/>
      <c r="C188" s="178" t="s">
        <v>189</v>
      </c>
      <c r="D188" s="177"/>
      <c r="E188" s="174"/>
      <c r="F188" s="176">
        <v>6.86</v>
      </c>
      <c r="G188" s="175" t="s">
        <v>1549</v>
      </c>
      <c r="H188" s="174">
        <v>1</v>
      </c>
      <c r="I188" s="180">
        <v>206.45</v>
      </c>
      <c r="J188" s="174">
        <v>23.35</v>
      </c>
      <c r="K188" s="180">
        <v>4820.6099999999997</v>
      </c>
    </row>
    <row r="189" spans="1:22" ht="14.25" x14ac:dyDescent="0.2">
      <c r="A189" s="179"/>
      <c r="B189" s="178"/>
      <c r="C189" s="178" t="s">
        <v>205</v>
      </c>
      <c r="D189" s="177"/>
      <c r="E189" s="174"/>
      <c r="F189" s="176">
        <v>6.09</v>
      </c>
      <c r="G189" s="175" t="s">
        <v>195</v>
      </c>
      <c r="H189" s="174">
        <v>1</v>
      </c>
      <c r="I189" s="173">
        <v>146.62</v>
      </c>
      <c r="J189" s="174">
        <v>5.42</v>
      </c>
      <c r="K189" s="173">
        <v>794.68</v>
      </c>
    </row>
    <row r="190" spans="1:22" ht="14.25" x14ac:dyDescent="0.2">
      <c r="A190" s="179" t="s">
        <v>1600</v>
      </c>
      <c r="B190" s="178" t="s">
        <v>1559</v>
      </c>
      <c r="C190" s="178" t="s">
        <v>333</v>
      </c>
      <c r="D190" s="177" t="s">
        <v>1533</v>
      </c>
      <c r="E190" s="174">
        <v>1.227876</v>
      </c>
      <c r="F190" s="176">
        <v>6976.8</v>
      </c>
      <c r="G190" s="182" t="s">
        <v>195</v>
      </c>
      <c r="H190" s="174">
        <v>1</v>
      </c>
      <c r="I190" s="173">
        <v>8566.65</v>
      </c>
      <c r="J190" s="174">
        <v>2.97</v>
      </c>
      <c r="K190" s="173">
        <v>25442.95</v>
      </c>
      <c r="Q190" s="160">
        <f>[2]Source!X170</f>
        <v>0</v>
      </c>
      <c r="R190" s="160">
        <f>[2]Source!X171</f>
        <v>0</v>
      </c>
      <c r="S190" s="160">
        <f>[2]Source!Y170</f>
        <v>0</v>
      </c>
      <c r="T190" s="160">
        <f>[2]Source!Y171</f>
        <v>0</v>
      </c>
      <c r="U190" s="160">
        <f>ROUND((175/100)*ROUND([2]Source!R170, 2), 2)</f>
        <v>0</v>
      </c>
      <c r="V190" s="160">
        <f>ROUND((157/100)*ROUND([2]Source!R171, 2), 2)</f>
        <v>0</v>
      </c>
    </row>
    <row r="191" spans="1:22" ht="28.5" x14ac:dyDescent="0.2">
      <c r="A191" s="179" t="s">
        <v>1601</v>
      </c>
      <c r="B191" s="178" t="s">
        <v>1564</v>
      </c>
      <c r="C191" s="178" t="s">
        <v>323</v>
      </c>
      <c r="D191" s="177" t="s">
        <v>1533</v>
      </c>
      <c r="E191" s="174">
        <v>1.516788</v>
      </c>
      <c r="F191" s="176">
        <v>33030.400000000001</v>
      </c>
      <c r="G191" s="182" t="s">
        <v>195</v>
      </c>
      <c r="H191" s="174">
        <v>1</v>
      </c>
      <c r="I191" s="173">
        <v>50100.11</v>
      </c>
      <c r="J191" s="174">
        <v>1.8</v>
      </c>
      <c r="K191" s="173">
        <v>90180.2</v>
      </c>
      <c r="Q191" s="160">
        <f>[2]Source!X172</f>
        <v>0</v>
      </c>
      <c r="R191" s="160">
        <f>[2]Source!X173</f>
        <v>0</v>
      </c>
      <c r="S191" s="160">
        <f>[2]Source!Y172</f>
        <v>0</v>
      </c>
      <c r="T191" s="160">
        <f>[2]Source!Y173</f>
        <v>0</v>
      </c>
      <c r="U191" s="160">
        <f>ROUND((175/100)*ROUND([2]Source!R172, 2), 2)</f>
        <v>0</v>
      </c>
      <c r="V191" s="160">
        <f>ROUND((157/100)*ROUND([2]Source!R173, 2), 2)</f>
        <v>0</v>
      </c>
    </row>
    <row r="192" spans="1:22" ht="14.25" x14ac:dyDescent="0.2">
      <c r="A192" s="179"/>
      <c r="B192" s="178"/>
      <c r="C192" s="178" t="s">
        <v>194</v>
      </c>
      <c r="D192" s="177" t="s">
        <v>187</v>
      </c>
      <c r="E192" s="174">
        <v>100</v>
      </c>
      <c r="F192" s="176"/>
      <c r="G192" s="175"/>
      <c r="H192" s="174"/>
      <c r="I192" s="173">
        <v>12698.55</v>
      </c>
      <c r="J192" s="174">
        <v>81</v>
      </c>
      <c r="K192" s="173">
        <v>240174.02</v>
      </c>
    </row>
    <row r="193" spans="1:22" ht="14.25" x14ac:dyDescent="0.2">
      <c r="A193" s="179"/>
      <c r="B193" s="178"/>
      <c r="C193" s="178" t="s">
        <v>193</v>
      </c>
      <c r="D193" s="177" t="s">
        <v>187</v>
      </c>
      <c r="E193" s="174">
        <v>64</v>
      </c>
      <c r="F193" s="176"/>
      <c r="G193" s="175"/>
      <c r="H193" s="174"/>
      <c r="I193" s="173">
        <v>8127.07</v>
      </c>
      <c r="J193" s="174">
        <v>41</v>
      </c>
      <c r="K193" s="173">
        <v>121569.57</v>
      </c>
    </row>
    <row r="194" spans="1:22" ht="14.25" x14ac:dyDescent="0.2">
      <c r="A194" s="179"/>
      <c r="B194" s="178"/>
      <c r="C194" s="178" t="s">
        <v>188</v>
      </c>
      <c r="D194" s="177" t="s">
        <v>187</v>
      </c>
      <c r="E194" s="174">
        <v>175</v>
      </c>
      <c r="F194" s="176"/>
      <c r="G194" s="175"/>
      <c r="H194" s="174"/>
      <c r="I194" s="173">
        <v>361.29</v>
      </c>
      <c r="J194" s="174">
        <v>157</v>
      </c>
      <c r="K194" s="173">
        <v>7568.36</v>
      </c>
    </row>
    <row r="195" spans="1:22" ht="14.25" x14ac:dyDescent="0.2">
      <c r="A195" s="172"/>
      <c r="B195" s="171"/>
      <c r="C195" s="171" t="s">
        <v>192</v>
      </c>
      <c r="D195" s="170" t="s">
        <v>191</v>
      </c>
      <c r="E195" s="167">
        <v>39</v>
      </c>
      <c r="F195" s="169"/>
      <c r="G195" s="168" t="s">
        <v>1548</v>
      </c>
      <c r="H195" s="167">
        <v>1</v>
      </c>
      <c r="I195" s="166">
        <v>1079.81</v>
      </c>
      <c r="J195" s="167"/>
      <c r="K195" s="166"/>
    </row>
    <row r="196" spans="1:22" ht="15" x14ac:dyDescent="0.25">
      <c r="A196" s="164"/>
      <c r="B196" s="164"/>
      <c r="C196" s="165" t="s">
        <v>183</v>
      </c>
      <c r="D196" s="164"/>
      <c r="E196" s="164"/>
      <c r="F196" s="164"/>
      <c r="G196" s="164"/>
      <c r="H196" s="414">
        <v>93572.5</v>
      </c>
      <c r="I196" s="414"/>
      <c r="J196" s="414">
        <v>790628.06</v>
      </c>
      <c r="K196" s="414"/>
      <c r="O196" s="163">
        <f>I186+I187+I189+I192+I193+I194+SUM(I190:I191)</f>
        <v>93572.5</v>
      </c>
      <c r="P196" s="163">
        <f>K186+K187+K189+K192+K193+K194+SUM(K190:K191)</f>
        <v>790628.06</v>
      </c>
    </row>
    <row r="198" spans="1:22" ht="71.25" x14ac:dyDescent="0.2">
      <c r="A198" s="179" t="s">
        <v>1602</v>
      </c>
      <c r="B198" s="178" t="s">
        <v>329</v>
      </c>
      <c r="C198" s="178" t="s">
        <v>328</v>
      </c>
      <c r="D198" s="177" t="s">
        <v>1579</v>
      </c>
      <c r="E198" s="174">
        <v>5.7916999999999996</v>
      </c>
      <c r="F198" s="176"/>
      <c r="G198" s="175"/>
      <c r="H198" s="174"/>
      <c r="I198" s="173"/>
      <c r="J198" s="174"/>
      <c r="K198" s="173"/>
      <c r="Q198" s="160">
        <f>[2]Source!X178</f>
        <v>12665.32</v>
      </c>
      <c r="R198" s="160">
        <f>[2]Source!X179</f>
        <v>239545.53</v>
      </c>
      <c r="S198" s="160">
        <f>[2]Source!Y178</f>
        <v>8105.8</v>
      </c>
      <c r="T198" s="160">
        <f>[2]Source!Y179</f>
        <v>121251.44</v>
      </c>
      <c r="U198" s="160">
        <f>ROUND((175/100)*ROUND([2]Source!R178, 2), 2)</f>
        <v>14.19</v>
      </c>
      <c r="V198" s="160">
        <f>ROUND((157/100)*ROUND([2]Source!R179, 2), 2)</f>
        <v>297.31</v>
      </c>
    </row>
    <row r="199" spans="1:22" x14ac:dyDescent="0.2">
      <c r="C199" s="181" t="s">
        <v>1603</v>
      </c>
    </row>
    <row r="200" spans="1:22" ht="14.25" x14ac:dyDescent="0.2">
      <c r="A200" s="179"/>
      <c r="B200" s="178"/>
      <c r="C200" s="178" t="s">
        <v>197</v>
      </c>
      <c r="D200" s="177"/>
      <c r="E200" s="174"/>
      <c r="F200" s="176">
        <v>1901.57</v>
      </c>
      <c r="G200" s="175" t="s">
        <v>1548</v>
      </c>
      <c r="H200" s="174">
        <v>1</v>
      </c>
      <c r="I200" s="173">
        <v>12665.32</v>
      </c>
      <c r="J200" s="174">
        <v>23.35</v>
      </c>
      <c r="K200" s="173">
        <v>295735.21999999997</v>
      </c>
    </row>
    <row r="201" spans="1:22" ht="14.25" x14ac:dyDescent="0.2">
      <c r="A201" s="179"/>
      <c r="B201" s="178"/>
      <c r="C201" s="178" t="s">
        <v>184</v>
      </c>
      <c r="D201" s="177"/>
      <c r="E201" s="174"/>
      <c r="F201" s="176">
        <v>3.74</v>
      </c>
      <c r="G201" s="175" t="s">
        <v>1549</v>
      </c>
      <c r="H201" s="174">
        <v>1</v>
      </c>
      <c r="I201" s="173">
        <v>27.08</v>
      </c>
      <c r="J201" s="174">
        <v>10.74</v>
      </c>
      <c r="K201" s="173">
        <v>290.83999999999997</v>
      </c>
    </row>
    <row r="202" spans="1:22" ht="14.25" x14ac:dyDescent="0.2">
      <c r="A202" s="179"/>
      <c r="B202" s="178"/>
      <c r="C202" s="178" t="s">
        <v>189</v>
      </c>
      <c r="D202" s="177"/>
      <c r="E202" s="174"/>
      <c r="F202" s="176">
        <v>1.1200000000000001</v>
      </c>
      <c r="G202" s="175" t="s">
        <v>1549</v>
      </c>
      <c r="H202" s="174">
        <v>1</v>
      </c>
      <c r="I202" s="180">
        <v>8.11</v>
      </c>
      <c r="J202" s="174">
        <v>23.35</v>
      </c>
      <c r="K202" s="180">
        <v>189.37</v>
      </c>
    </row>
    <row r="203" spans="1:22" ht="14.25" x14ac:dyDescent="0.2">
      <c r="A203" s="179"/>
      <c r="B203" s="178"/>
      <c r="C203" s="178" t="s">
        <v>205</v>
      </c>
      <c r="D203" s="177"/>
      <c r="E203" s="174"/>
      <c r="F203" s="176">
        <v>953.15</v>
      </c>
      <c r="G203" s="175" t="s">
        <v>195</v>
      </c>
      <c r="H203" s="174">
        <v>1</v>
      </c>
      <c r="I203" s="173">
        <v>5520.36</v>
      </c>
      <c r="J203" s="174">
        <v>2.4300000000000002</v>
      </c>
      <c r="K203" s="173">
        <v>13414.47</v>
      </c>
    </row>
    <row r="204" spans="1:22" ht="28.5" x14ac:dyDescent="0.2">
      <c r="A204" s="179" t="s">
        <v>1604</v>
      </c>
      <c r="B204" s="178" t="s">
        <v>1564</v>
      </c>
      <c r="C204" s="178" t="s">
        <v>323</v>
      </c>
      <c r="D204" s="177" t="s">
        <v>1533</v>
      </c>
      <c r="E204" s="174">
        <v>9.2666999999999999E-2</v>
      </c>
      <c r="F204" s="176">
        <v>33030.400000000001</v>
      </c>
      <c r="G204" s="182" t="s">
        <v>195</v>
      </c>
      <c r="H204" s="174">
        <v>1</v>
      </c>
      <c r="I204" s="173">
        <v>3060.83</v>
      </c>
      <c r="J204" s="174">
        <v>1.8</v>
      </c>
      <c r="K204" s="173">
        <v>5509.49</v>
      </c>
      <c r="Q204" s="160">
        <f>[2]Source!X180</f>
        <v>0</v>
      </c>
      <c r="R204" s="160">
        <f>[2]Source!X181</f>
        <v>0</v>
      </c>
      <c r="S204" s="160">
        <f>[2]Source!Y180</f>
        <v>0</v>
      </c>
      <c r="T204" s="160">
        <f>[2]Source!Y181</f>
        <v>0</v>
      </c>
      <c r="U204" s="160">
        <f>ROUND((175/100)*ROUND([2]Source!R180, 2), 2)</f>
        <v>0</v>
      </c>
      <c r="V204" s="160">
        <f>ROUND((157/100)*ROUND([2]Source!R181, 2), 2)</f>
        <v>0</v>
      </c>
    </row>
    <row r="205" spans="1:22" ht="42.75" x14ac:dyDescent="0.2">
      <c r="A205" s="179" t="s">
        <v>1605</v>
      </c>
      <c r="B205" s="178" t="s">
        <v>1583</v>
      </c>
      <c r="C205" s="178" t="s">
        <v>327</v>
      </c>
      <c r="D205" s="177" t="s">
        <v>1584</v>
      </c>
      <c r="E205" s="174">
        <v>695.00400000000002</v>
      </c>
      <c r="F205" s="176">
        <v>9.1</v>
      </c>
      <c r="G205" s="182" t="s">
        <v>195</v>
      </c>
      <c r="H205" s="174">
        <v>1</v>
      </c>
      <c r="I205" s="173">
        <v>6324.54</v>
      </c>
      <c r="J205" s="174">
        <v>2.0699999999999998</v>
      </c>
      <c r="K205" s="173">
        <v>13091.8</v>
      </c>
      <c r="Q205" s="160">
        <f>[2]Source!X182</f>
        <v>0</v>
      </c>
      <c r="R205" s="160">
        <f>[2]Source!X183</f>
        <v>0</v>
      </c>
      <c r="S205" s="160">
        <f>[2]Source!Y182</f>
        <v>0</v>
      </c>
      <c r="T205" s="160">
        <f>[2]Source!Y183</f>
        <v>0</v>
      </c>
      <c r="U205" s="160">
        <f>ROUND((175/100)*ROUND([2]Source!R182, 2), 2)</f>
        <v>0</v>
      </c>
      <c r="V205" s="160">
        <f>ROUND((157/100)*ROUND([2]Source!R183, 2), 2)</f>
        <v>0</v>
      </c>
    </row>
    <row r="206" spans="1:22" ht="28.5" x14ac:dyDescent="0.2">
      <c r="A206" s="179" t="s">
        <v>1606</v>
      </c>
      <c r="B206" s="178" t="s">
        <v>1586</v>
      </c>
      <c r="C206" s="178" t="s">
        <v>326</v>
      </c>
      <c r="D206" s="177" t="s">
        <v>1557</v>
      </c>
      <c r="E206" s="174">
        <v>648.67039999999997</v>
      </c>
      <c r="F206" s="176">
        <v>16.38</v>
      </c>
      <c r="G206" s="182" t="s">
        <v>195</v>
      </c>
      <c r="H206" s="174">
        <v>1</v>
      </c>
      <c r="I206" s="173">
        <v>10625.22</v>
      </c>
      <c r="J206" s="174">
        <v>3.38</v>
      </c>
      <c r="K206" s="173">
        <v>35913.24</v>
      </c>
      <c r="Q206" s="160">
        <f>[2]Source!X184</f>
        <v>0</v>
      </c>
      <c r="R206" s="160">
        <f>[2]Source!X185</f>
        <v>0</v>
      </c>
      <c r="S206" s="160">
        <f>[2]Source!Y184</f>
        <v>0</v>
      </c>
      <c r="T206" s="160">
        <f>[2]Source!Y185</f>
        <v>0</v>
      </c>
      <c r="U206" s="160">
        <f>ROUND((175/100)*ROUND([2]Source!R184, 2), 2)</f>
        <v>0</v>
      </c>
      <c r="V206" s="160">
        <f>ROUND((157/100)*ROUND([2]Source!R185, 2), 2)</f>
        <v>0</v>
      </c>
    </row>
    <row r="207" spans="1:22" ht="14.25" x14ac:dyDescent="0.2">
      <c r="A207" s="179"/>
      <c r="B207" s="178"/>
      <c r="C207" s="178" t="s">
        <v>194</v>
      </c>
      <c r="D207" s="177" t="s">
        <v>187</v>
      </c>
      <c r="E207" s="174">
        <v>100</v>
      </c>
      <c r="F207" s="176"/>
      <c r="G207" s="175"/>
      <c r="H207" s="174"/>
      <c r="I207" s="173">
        <v>12665.32</v>
      </c>
      <c r="J207" s="174">
        <v>81</v>
      </c>
      <c r="K207" s="173">
        <v>239545.53</v>
      </c>
    </row>
    <row r="208" spans="1:22" ht="14.25" x14ac:dyDescent="0.2">
      <c r="A208" s="179"/>
      <c r="B208" s="178"/>
      <c r="C208" s="178" t="s">
        <v>193</v>
      </c>
      <c r="D208" s="177" t="s">
        <v>187</v>
      </c>
      <c r="E208" s="174">
        <v>64</v>
      </c>
      <c r="F208" s="176"/>
      <c r="G208" s="175"/>
      <c r="H208" s="174"/>
      <c r="I208" s="173">
        <v>8105.8</v>
      </c>
      <c r="J208" s="174">
        <v>41</v>
      </c>
      <c r="K208" s="173">
        <v>121251.44</v>
      </c>
    </row>
    <row r="209" spans="1:22" ht="14.25" x14ac:dyDescent="0.2">
      <c r="A209" s="179"/>
      <c r="B209" s="178"/>
      <c r="C209" s="178" t="s">
        <v>188</v>
      </c>
      <c r="D209" s="177" t="s">
        <v>187</v>
      </c>
      <c r="E209" s="174">
        <v>175</v>
      </c>
      <c r="F209" s="176"/>
      <c r="G209" s="175"/>
      <c r="H209" s="174"/>
      <c r="I209" s="173">
        <v>14.19</v>
      </c>
      <c r="J209" s="174">
        <v>157</v>
      </c>
      <c r="K209" s="173">
        <v>297.31</v>
      </c>
    </row>
    <row r="210" spans="1:22" ht="14.25" x14ac:dyDescent="0.2">
      <c r="A210" s="172"/>
      <c r="B210" s="171"/>
      <c r="C210" s="171" t="s">
        <v>192</v>
      </c>
      <c r="D210" s="170" t="s">
        <v>191</v>
      </c>
      <c r="E210" s="167">
        <v>157</v>
      </c>
      <c r="F210" s="169"/>
      <c r="G210" s="168" t="s">
        <v>1548</v>
      </c>
      <c r="H210" s="167">
        <v>1</v>
      </c>
      <c r="I210" s="166">
        <v>1045.69</v>
      </c>
      <c r="J210" s="167"/>
      <c r="K210" s="166"/>
    </row>
    <row r="211" spans="1:22" ht="15" x14ac:dyDescent="0.25">
      <c r="A211" s="164"/>
      <c r="B211" s="164"/>
      <c r="C211" s="165" t="s">
        <v>183</v>
      </c>
      <c r="D211" s="164"/>
      <c r="E211" s="164"/>
      <c r="F211" s="164"/>
      <c r="G211" s="164"/>
      <c r="H211" s="414">
        <v>59008.66</v>
      </c>
      <c r="I211" s="414"/>
      <c r="J211" s="414">
        <v>725049.34</v>
      </c>
      <c r="K211" s="414"/>
      <c r="O211" s="163">
        <f>I200+I201+I203+I207+I208+I209+SUM(I204:I206)</f>
        <v>59008.66</v>
      </c>
      <c r="P211" s="163">
        <f>K200+K201+K203+K207+K208+K209+SUM(K204:K206)</f>
        <v>725049.34</v>
      </c>
    </row>
    <row r="213" spans="1:22" ht="71.25" x14ac:dyDescent="0.2">
      <c r="A213" s="179" t="s">
        <v>1607</v>
      </c>
      <c r="B213" s="178" t="s">
        <v>325</v>
      </c>
      <c r="C213" s="178" t="s">
        <v>324</v>
      </c>
      <c r="D213" s="177" t="s">
        <v>1561</v>
      </c>
      <c r="E213" s="174">
        <v>5.7916999999999996</v>
      </c>
      <c r="F213" s="176"/>
      <c r="G213" s="175"/>
      <c r="H213" s="174"/>
      <c r="I213" s="173"/>
      <c r="J213" s="174"/>
      <c r="K213" s="173"/>
      <c r="Q213" s="160">
        <f>[2]Source!X186</f>
        <v>439.86</v>
      </c>
      <c r="R213" s="160">
        <f>[2]Source!X187</f>
        <v>8319.2900000000009</v>
      </c>
      <c r="S213" s="160">
        <f>[2]Source!Y186</f>
        <v>281.51</v>
      </c>
      <c r="T213" s="160">
        <f>[2]Source!Y187</f>
        <v>4211</v>
      </c>
      <c r="U213" s="160">
        <f>ROUND((175/100)*ROUND([2]Source!R186, 2), 2)</f>
        <v>0</v>
      </c>
      <c r="V213" s="160">
        <f>ROUND((157/100)*ROUND([2]Source!R187, 2), 2)</f>
        <v>0</v>
      </c>
    </row>
    <row r="214" spans="1:22" x14ac:dyDescent="0.2">
      <c r="C214" s="181" t="s">
        <v>1603</v>
      </c>
    </row>
    <row r="215" spans="1:22" ht="14.25" x14ac:dyDescent="0.2">
      <c r="A215" s="179"/>
      <c r="B215" s="178"/>
      <c r="C215" s="178" t="s">
        <v>197</v>
      </c>
      <c r="D215" s="177"/>
      <c r="E215" s="174"/>
      <c r="F215" s="176">
        <v>66.040000000000006</v>
      </c>
      <c r="G215" s="175" t="s">
        <v>1548</v>
      </c>
      <c r="H215" s="174">
        <v>1</v>
      </c>
      <c r="I215" s="173">
        <v>439.86</v>
      </c>
      <c r="J215" s="174">
        <v>23.35</v>
      </c>
      <c r="K215" s="173">
        <v>10270.73</v>
      </c>
    </row>
    <row r="216" spans="1:22" ht="28.5" x14ac:dyDescent="0.2">
      <c r="A216" s="179" t="s">
        <v>1608</v>
      </c>
      <c r="B216" s="178" t="s">
        <v>1564</v>
      </c>
      <c r="C216" s="178" t="s">
        <v>323</v>
      </c>
      <c r="D216" s="177" t="s">
        <v>1533</v>
      </c>
      <c r="E216" s="174">
        <v>8.6875999999999995E-2</v>
      </c>
      <c r="F216" s="176">
        <v>33030.400000000001</v>
      </c>
      <c r="G216" s="182" t="s">
        <v>195</v>
      </c>
      <c r="H216" s="174">
        <v>1</v>
      </c>
      <c r="I216" s="173">
        <v>2869.55</v>
      </c>
      <c r="J216" s="174">
        <v>1.8</v>
      </c>
      <c r="K216" s="173">
        <v>5165.1899999999996</v>
      </c>
      <c r="Q216" s="160">
        <f>[2]Source!X188</f>
        <v>0</v>
      </c>
      <c r="R216" s="160">
        <f>[2]Source!X189</f>
        <v>0</v>
      </c>
      <c r="S216" s="160">
        <f>[2]Source!Y188</f>
        <v>0</v>
      </c>
      <c r="T216" s="160">
        <f>[2]Source!Y189</f>
        <v>0</v>
      </c>
      <c r="U216" s="160">
        <f>ROUND((175/100)*ROUND([2]Source!R188, 2), 2)</f>
        <v>0</v>
      </c>
      <c r="V216" s="160">
        <f>ROUND((157/100)*ROUND([2]Source!R189, 2), 2)</f>
        <v>0</v>
      </c>
    </row>
    <row r="217" spans="1:22" ht="14.25" x14ac:dyDescent="0.2">
      <c r="A217" s="179"/>
      <c r="B217" s="178"/>
      <c r="C217" s="178" t="s">
        <v>194</v>
      </c>
      <c r="D217" s="177" t="s">
        <v>187</v>
      </c>
      <c r="E217" s="174">
        <v>100</v>
      </c>
      <c r="F217" s="176"/>
      <c r="G217" s="175"/>
      <c r="H217" s="174"/>
      <c r="I217" s="173">
        <v>439.86</v>
      </c>
      <c r="J217" s="174">
        <v>81</v>
      </c>
      <c r="K217" s="173">
        <v>8319.2900000000009</v>
      </c>
    </row>
    <row r="218" spans="1:22" ht="14.25" x14ac:dyDescent="0.2">
      <c r="A218" s="179"/>
      <c r="B218" s="178"/>
      <c r="C218" s="178" t="s">
        <v>193</v>
      </c>
      <c r="D218" s="177" t="s">
        <v>187</v>
      </c>
      <c r="E218" s="174">
        <v>64</v>
      </c>
      <c r="F218" s="176"/>
      <c r="G218" s="175"/>
      <c r="H218" s="174"/>
      <c r="I218" s="173">
        <v>281.51</v>
      </c>
      <c r="J218" s="174">
        <v>41</v>
      </c>
      <c r="K218" s="173">
        <v>4211</v>
      </c>
    </row>
    <row r="219" spans="1:22" ht="14.25" x14ac:dyDescent="0.2">
      <c r="A219" s="172"/>
      <c r="B219" s="171"/>
      <c r="C219" s="171" t="s">
        <v>192</v>
      </c>
      <c r="D219" s="170" t="s">
        <v>191</v>
      </c>
      <c r="E219" s="167">
        <v>5.49</v>
      </c>
      <c r="F219" s="169"/>
      <c r="G219" s="168" t="s">
        <v>1548</v>
      </c>
      <c r="H219" s="167">
        <v>1</v>
      </c>
      <c r="I219" s="166">
        <v>36.57</v>
      </c>
      <c r="J219" s="167"/>
      <c r="K219" s="166"/>
    </row>
    <row r="220" spans="1:22" ht="15" x14ac:dyDescent="0.25">
      <c r="A220" s="164"/>
      <c r="B220" s="164"/>
      <c r="C220" s="165" t="s">
        <v>183</v>
      </c>
      <c r="D220" s="164"/>
      <c r="E220" s="164"/>
      <c r="F220" s="164"/>
      <c r="G220" s="164"/>
      <c r="H220" s="414">
        <v>4030.78</v>
      </c>
      <c r="I220" s="414"/>
      <c r="J220" s="414">
        <v>27966.21</v>
      </c>
      <c r="K220" s="414"/>
      <c r="O220" s="163">
        <f>I215+I217+I218+SUM(I216:I216)</f>
        <v>4030.78</v>
      </c>
      <c r="P220" s="163">
        <f>K215+K217+K218+SUM(K216:K216)</f>
        <v>27966.21</v>
      </c>
    </row>
    <row r="222" spans="1:22" ht="57" x14ac:dyDescent="0.2">
      <c r="A222" s="179" t="s">
        <v>1609</v>
      </c>
      <c r="B222" s="178" t="s">
        <v>318</v>
      </c>
      <c r="C222" s="178" t="s">
        <v>337</v>
      </c>
      <c r="D222" s="177" t="s">
        <v>1540</v>
      </c>
      <c r="E222" s="174">
        <v>7.81</v>
      </c>
      <c r="F222" s="176"/>
      <c r="G222" s="175"/>
      <c r="H222" s="174"/>
      <c r="I222" s="173"/>
      <c r="J222" s="174"/>
      <c r="K222" s="173"/>
      <c r="Q222" s="160">
        <f>[2]Source!X190</f>
        <v>12234.51</v>
      </c>
      <c r="R222" s="160">
        <f>[2]Source!X191</f>
        <v>231397.41</v>
      </c>
      <c r="S222" s="160">
        <f>[2]Source!Y190</f>
        <v>7830.09</v>
      </c>
      <c r="T222" s="160">
        <f>[2]Source!Y191</f>
        <v>117127.08</v>
      </c>
      <c r="U222" s="160">
        <f>ROUND((175/100)*ROUND([2]Source!R190, 2), 2)</f>
        <v>65.78</v>
      </c>
      <c r="V222" s="160">
        <f>ROUND((157/100)*ROUND([2]Source!R191, 2), 2)</f>
        <v>1378.04</v>
      </c>
    </row>
    <row r="223" spans="1:22" x14ac:dyDescent="0.2">
      <c r="C223" s="181" t="s">
        <v>1610</v>
      </c>
    </row>
    <row r="224" spans="1:22" ht="14.25" x14ac:dyDescent="0.2">
      <c r="A224" s="179"/>
      <c r="B224" s="178"/>
      <c r="C224" s="178" t="s">
        <v>197</v>
      </c>
      <c r="D224" s="177"/>
      <c r="E224" s="174"/>
      <c r="F224" s="176">
        <v>1362.19</v>
      </c>
      <c r="G224" s="175" t="s">
        <v>1548</v>
      </c>
      <c r="H224" s="174">
        <v>1</v>
      </c>
      <c r="I224" s="173">
        <v>12234.51</v>
      </c>
      <c r="J224" s="174">
        <v>23.35</v>
      </c>
      <c r="K224" s="173">
        <v>285675.81</v>
      </c>
    </row>
    <row r="225" spans="1:22" ht="14.25" x14ac:dyDescent="0.2">
      <c r="A225" s="179"/>
      <c r="B225" s="178"/>
      <c r="C225" s="178" t="s">
        <v>184</v>
      </c>
      <c r="D225" s="177"/>
      <c r="E225" s="174"/>
      <c r="F225" s="176">
        <v>21.72</v>
      </c>
      <c r="G225" s="175" t="s">
        <v>1549</v>
      </c>
      <c r="H225" s="174">
        <v>1</v>
      </c>
      <c r="I225" s="173">
        <v>212.04</v>
      </c>
      <c r="J225" s="174">
        <v>9.48</v>
      </c>
      <c r="K225" s="173">
        <v>2010.14</v>
      </c>
    </row>
    <row r="226" spans="1:22" ht="14.25" x14ac:dyDescent="0.2">
      <c r="A226" s="179"/>
      <c r="B226" s="178"/>
      <c r="C226" s="178" t="s">
        <v>189</v>
      </c>
      <c r="D226" s="177"/>
      <c r="E226" s="174"/>
      <c r="F226" s="176">
        <v>3.85</v>
      </c>
      <c r="G226" s="175" t="s">
        <v>1549</v>
      </c>
      <c r="H226" s="174">
        <v>1</v>
      </c>
      <c r="I226" s="180">
        <v>37.590000000000003</v>
      </c>
      <c r="J226" s="174">
        <v>23.35</v>
      </c>
      <c r="K226" s="180">
        <v>877.73</v>
      </c>
    </row>
    <row r="227" spans="1:22" ht="14.25" x14ac:dyDescent="0.2">
      <c r="A227" s="179"/>
      <c r="B227" s="178"/>
      <c r="C227" s="178" t="s">
        <v>205</v>
      </c>
      <c r="D227" s="177"/>
      <c r="E227" s="174"/>
      <c r="F227" s="176">
        <v>83.42</v>
      </c>
      <c r="G227" s="175" t="s">
        <v>195</v>
      </c>
      <c r="H227" s="174">
        <v>1</v>
      </c>
      <c r="I227" s="173">
        <v>651.51</v>
      </c>
      <c r="J227" s="174">
        <v>1.79</v>
      </c>
      <c r="K227" s="173">
        <v>1166.2</v>
      </c>
    </row>
    <row r="228" spans="1:22" ht="57" x14ac:dyDescent="0.2">
      <c r="A228" s="179" t="s">
        <v>1611</v>
      </c>
      <c r="B228" s="178" t="s">
        <v>1612</v>
      </c>
      <c r="C228" s="178" t="s">
        <v>225</v>
      </c>
      <c r="D228" s="177" t="s">
        <v>1533</v>
      </c>
      <c r="E228" s="174">
        <v>0.46860000000000002</v>
      </c>
      <c r="F228" s="176">
        <v>5986.03</v>
      </c>
      <c r="G228" s="182" t="s">
        <v>195</v>
      </c>
      <c r="H228" s="174">
        <v>1</v>
      </c>
      <c r="I228" s="173">
        <v>2805.05</v>
      </c>
      <c r="J228" s="174">
        <v>4.4800000000000004</v>
      </c>
      <c r="K228" s="173">
        <v>12566.62</v>
      </c>
      <c r="Q228" s="160">
        <f>[2]Source!X192</f>
        <v>0</v>
      </c>
      <c r="R228" s="160">
        <f>[2]Source!X193</f>
        <v>0</v>
      </c>
      <c r="S228" s="160">
        <f>[2]Source!Y192</f>
        <v>0</v>
      </c>
      <c r="T228" s="160">
        <f>[2]Source!Y193</f>
        <v>0</v>
      </c>
      <c r="U228" s="160">
        <f>ROUND((175/100)*ROUND([2]Source!R192, 2), 2)</f>
        <v>0</v>
      </c>
      <c r="V228" s="160">
        <f>ROUND((157/100)*ROUND([2]Source!R193, 2), 2)</f>
        <v>0</v>
      </c>
    </row>
    <row r="229" spans="1:22" ht="71.25" x14ac:dyDescent="0.2">
      <c r="A229" s="179" t="s">
        <v>1613</v>
      </c>
      <c r="B229" s="178" t="s">
        <v>1614</v>
      </c>
      <c r="C229" s="178" t="s">
        <v>224</v>
      </c>
      <c r="D229" s="177" t="s">
        <v>1533</v>
      </c>
      <c r="E229" s="174">
        <v>2.92875</v>
      </c>
      <c r="F229" s="176">
        <v>3374.81</v>
      </c>
      <c r="G229" s="182" t="s">
        <v>195</v>
      </c>
      <c r="H229" s="174">
        <v>1</v>
      </c>
      <c r="I229" s="173">
        <v>9883.9699999999993</v>
      </c>
      <c r="J229" s="174">
        <v>4.5</v>
      </c>
      <c r="K229" s="173">
        <v>44477.87</v>
      </c>
      <c r="Q229" s="160">
        <f>[2]Source!X194</f>
        <v>0</v>
      </c>
      <c r="R229" s="160">
        <f>[2]Source!X195</f>
        <v>0</v>
      </c>
      <c r="S229" s="160">
        <f>[2]Source!Y194</f>
        <v>0</v>
      </c>
      <c r="T229" s="160">
        <f>[2]Source!Y195</f>
        <v>0</v>
      </c>
      <c r="U229" s="160">
        <f>ROUND((175/100)*ROUND([2]Source!R194, 2), 2)</f>
        <v>0</v>
      </c>
      <c r="V229" s="160">
        <f>ROUND((157/100)*ROUND([2]Source!R195, 2), 2)</f>
        <v>0</v>
      </c>
    </row>
    <row r="230" spans="1:22" ht="57" x14ac:dyDescent="0.2">
      <c r="A230" s="179" t="s">
        <v>1615</v>
      </c>
      <c r="B230" s="178" t="s">
        <v>1616</v>
      </c>
      <c r="C230" s="178" t="s">
        <v>316</v>
      </c>
      <c r="D230" s="177" t="s">
        <v>1557</v>
      </c>
      <c r="E230" s="174">
        <v>781</v>
      </c>
      <c r="F230" s="176">
        <v>52.32</v>
      </c>
      <c r="G230" s="182" t="s">
        <v>195</v>
      </c>
      <c r="H230" s="174">
        <v>1</v>
      </c>
      <c r="I230" s="173">
        <v>40861.919999999998</v>
      </c>
      <c r="J230" s="174">
        <v>4.84</v>
      </c>
      <c r="K230" s="173">
        <v>197771.69</v>
      </c>
      <c r="Q230" s="160">
        <f>[2]Source!X196</f>
        <v>0</v>
      </c>
      <c r="R230" s="160">
        <f>[2]Source!X197</f>
        <v>0</v>
      </c>
      <c r="S230" s="160">
        <f>[2]Source!Y196</f>
        <v>0</v>
      </c>
      <c r="T230" s="160">
        <f>[2]Source!Y197</f>
        <v>0</v>
      </c>
      <c r="U230" s="160">
        <f>ROUND((175/100)*ROUND([2]Source!R196, 2), 2)</f>
        <v>0</v>
      </c>
      <c r="V230" s="160">
        <f>ROUND((157/100)*ROUND([2]Source!R197, 2), 2)</f>
        <v>0</v>
      </c>
    </row>
    <row r="231" spans="1:22" ht="14.25" x14ac:dyDescent="0.2">
      <c r="A231" s="179"/>
      <c r="B231" s="178"/>
      <c r="C231" s="178" t="s">
        <v>194</v>
      </c>
      <c r="D231" s="177" t="s">
        <v>187</v>
      </c>
      <c r="E231" s="174">
        <v>100</v>
      </c>
      <c r="F231" s="176"/>
      <c r="G231" s="175"/>
      <c r="H231" s="174"/>
      <c r="I231" s="173">
        <v>12234.51</v>
      </c>
      <c r="J231" s="174">
        <v>81</v>
      </c>
      <c r="K231" s="173">
        <v>231397.41</v>
      </c>
    </row>
    <row r="232" spans="1:22" ht="14.25" x14ac:dyDescent="0.2">
      <c r="A232" s="179"/>
      <c r="B232" s="178"/>
      <c r="C232" s="178" t="s">
        <v>193</v>
      </c>
      <c r="D232" s="177" t="s">
        <v>187</v>
      </c>
      <c r="E232" s="174">
        <v>64</v>
      </c>
      <c r="F232" s="176"/>
      <c r="G232" s="175"/>
      <c r="H232" s="174"/>
      <c r="I232" s="173">
        <v>7830.09</v>
      </c>
      <c r="J232" s="174">
        <v>41</v>
      </c>
      <c r="K232" s="173">
        <v>117127.08</v>
      </c>
    </row>
    <row r="233" spans="1:22" ht="14.25" x14ac:dyDescent="0.2">
      <c r="A233" s="179"/>
      <c r="B233" s="178"/>
      <c r="C233" s="178" t="s">
        <v>188</v>
      </c>
      <c r="D233" s="177" t="s">
        <v>187</v>
      </c>
      <c r="E233" s="174">
        <v>175</v>
      </c>
      <c r="F233" s="176"/>
      <c r="G233" s="175"/>
      <c r="H233" s="174"/>
      <c r="I233" s="173">
        <v>65.78</v>
      </c>
      <c r="J233" s="174">
        <v>157</v>
      </c>
      <c r="K233" s="173">
        <v>1378.04</v>
      </c>
    </row>
    <row r="234" spans="1:22" ht="14.25" x14ac:dyDescent="0.2">
      <c r="A234" s="172"/>
      <c r="B234" s="171"/>
      <c r="C234" s="171" t="s">
        <v>192</v>
      </c>
      <c r="D234" s="170" t="s">
        <v>191</v>
      </c>
      <c r="E234" s="167">
        <v>115.26</v>
      </c>
      <c r="F234" s="169"/>
      <c r="G234" s="168" t="s">
        <v>1548</v>
      </c>
      <c r="H234" s="167">
        <v>1</v>
      </c>
      <c r="I234" s="166">
        <v>1035.21</v>
      </c>
      <c r="J234" s="167"/>
      <c r="K234" s="166"/>
    </row>
    <row r="235" spans="1:22" ht="15" x14ac:dyDescent="0.25">
      <c r="A235" s="164"/>
      <c r="B235" s="164"/>
      <c r="C235" s="165" t="s">
        <v>183</v>
      </c>
      <c r="D235" s="164"/>
      <c r="E235" s="164"/>
      <c r="F235" s="164"/>
      <c r="G235" s="164"/>
      <c r="H235" s="414">
        <v>86779.38</v>
      </c>
      <c r="I235" s="414"/>
      <c r="J235" s="414">
        <v>893570.86</v>
      </c>
      <c r="K235" s="414"/>
      <c r="O235" s="163">
        <f>I224+I225+I227+I231+I232+I233+SUM(I228:I230)</f>
        <v>86779.38</v>
      </c>
      <c r="P235" s="163">
        <f>K224+K225+K227+K231+K232+K233+SUM(K228:K230)</f>
        <v>893570.86</v>
      </c>
    </row>
    <row r="237" spans="1:22" ht="85.5" x14ac:dyDescent="0.2">
      <c r="A237" s="179" t="s">
        <v>1617</v>
      </c>
      <c r="B237" s="178" t="s">
        <v>336</v>
      </c>
      <c r="C237" s="178" t="s">
        <v>335</v>
      </c>
      <c r="D237" s="177" t="s">
        <v>1590</v>
      </c>
      <c r="E237" s="174">
        <v>3.5476999999999999</v>
      </c>
      <c r="F237" s="176"/>
      <c r="G237" s="175"/>
      <c r="H237" s="174"/>
      <c r="I237" s="173"/>
      <c r="J237" s="174"/>
      <c r="K237" s="173"/>
      <c r="Q237" s="160">
        <f>[2]Source!X198</f>
        <v>3924.82</v>
      </c>
      <c r="R237" s="160">
        <f>[2]Source!X199</f>
        <v>74232.09</v>
      </c>
      <c r="S237" s="160">
        <f>[2]Source!Y198</f>
        <v>2511.88</v>
      </c>
      <c r="T237" s="160">
        <f>[2]Source!Y199</f>
        <v>37574.269999999997</v>
      </c>
      <c r="U237" s="160">
        <f>ROUND((175/100)*ROUND([2]Source!R198, 2), 2)</f>
        <v>545.65</v>
      </c>
      <c r="V237" s="160">
        <f>ROUND((157/100)*ROUND([2]Source!R199, 2), 2)</f>
        <v>11430.43</v>
      </c>
    </row>
    <row r="238" spans="1:22" x14ac:dyDescent="0.2">
      <c r="C238" s="181" t="s">
        <v>1618</v>
      </c>
    </row>
    <row r="239" spans="1:22" ht="14.25" x14ac:dyDescent="0.2">
      <c r="A239" s="179"/>
      <c r="B239" s="178"/>
      <c r="C239" s="178" t="s">
        <v>197</v>
      </c>
      <c r="D239" s="177"/>
      <c r="E239" s="174"/>
      <c r="F239" s="176">
        <v>962</v>
      </c>
      <c r="G239" s="175" t="s">
        <v>1548</v>
      </c>
      <c r="H239" s="174">
        <v>1</v>
      </c>
      <c r="I239" s="173">
        <v>3924.82</v>
      </c>
      <c r="J239" s="174">
        <v>23.35</v>
      </c>
      <c r="K239" s="173">
        <v>91644.55</v>
      </c>
    </row>
    <row r="240" spans="1:22" ht="14.25" x14ac:dyDescent="0.2">
      <c r="A240" s="179"/>
      <c r="B240" s="178"/>
      <c r="C240" s="178" t="s">
        <v>184</v>
      </c>
      <c r="D240" s="177"/>
      <c r="E240" s="174"/>
      <c r="F240" s="176">
        <v>283.85000000000002</v>
      </c>
      <c r="G240" s="175" t="s">
        <v>1549</v>
      </c>
      <c r="H240" s="174">
        <v>1</v>
      </c>
      <c r="I240" s="173">
        <v>1258.77</v>
      </c>
      <c r="J240" s="174">
        <v>9.68</v>
      </c>
      <c r="K240" s="173">
        <v>12184.89</v>
      </c>
    </row>
    <row r="241" spans="1:22" ht="14.25" x14ac:dyDescent="0.2">
      <c r="A241" s="179"/>
      <c r="B241" s="178"/>
      <c r="C241" s="178" t="s">
        <v>189</v>
      </c>
      <c r="D241" s="177"/>
      <c r="E241" s="174"/>
      <c r="F241" s="176">
        <v>70.31</v>
      </c>
      <c r="G241" s="175" t="s">
        <v>1549</v>
      </c>
      <c r="H241" s="174">
        <v>1</v>
      </c>
      <c r="I241" s="180">
        <v>311.8</v>
      </c>
      <c r="J241" s="174">
        <v>23.35</v>
      </c>
      <c r="K241" s="180">
        <v>7280.53</v>
      </c>
    </row>
    <row r="242" spans="1:22" ht="14.25" x14ac:dyDescent="0.2">
      <c r="A242" s="179"/>
      <c r="B242" s="178"/>
      <c r="C242" s="178" t="s">
        <v>205</v>
      </c>
      <c r="D242" s="177"/>
      <c r="E242" s="174"/>
      <c r="F242" s="176">
        <v>190.13</v>
      </c>
      <c r="G242" s="175" t="s">
        <v>195</v>
      </c>
      <c r="H242" s="174">
        <v>1</v>
      </c>
      <c r="I242" s="173">
        <v>674.52</v>
      </c>
      <c r="J242" s="174">
        <v>19.09</v>
      </c>
      <c r="K242" s="173">
        <v>12876.59</v>
      </c>
    </row>
    <row r="243" spans="1:22" ht="14.25" x14ac:dyDescent="0.2">
      <c r="A243" s="179" t="s">
        <v>1619</v>
      </c>
      <c r="B243" s="178" t="s">
        <v>1593</v>
      </c>
      <c r="C243" s="178" t="s">
        <v>274</v>
      </c>
      <c r="D243" s="177" t="s">
        <v>1594</v>
      </c>
      <c r="E243" s="174">
        <v>0.37151499999999998</v>
      </c>
      <c r="F243" s="176">
        <v>7.07</v>
      </c>
      <c r="G243" s="182" t="s">
        <v>195</v>
      </c>
      <c r="H243" s="174">
        <v>1</v>
      </c>
      <c r="I243" s="173">
        <v>2.63</v>
      </c>
      <c r="J243" s="174">
        <v>4.7699999999999996</v>
      </c>
      <c r="K243" s="173">
        <v>12.55</v>
      </c>
      <c r="Q243" s="160">
        <f>[2]Source!X200</f>
        <v>0</v>
      </c>
      <c r="R243" s="160">
        <f>[2]Source!X201</f>
        <v>0</v>
      </c>
      <c r="S243" s="160">
        <f>[2]Source!Y200</f>
        <v>0</v>
      </c>
      <c r="T243" s="160">
        <f>[2]Source!Y201</f>
        <v>0</v>
      </c>
      <c r="U243" s="160">
        <f>ROUND((175/100)*ROUND([2]Source!R200, 2), 2)</f>
        <v>0</v>
      </c>
      <c r="V243" s="160">
        <f>ROUND((157/100)*ROUND([2]Source!R201, 2), 2)</f>
        <v>0</v>
      </c>
    </row>
    <row r="244" spans="1:22" ht="71.25" x14ac:dyDescent="0.2">
      <c r="A244" s="179" t="s">
        <v>1620</v>
      </c>
      <c r="B244" s="178" t="s">
        <v>1596</v>
      </c>
      <c r="C244" s="178" t="s">
        <v>334</v>
      </c>
      <c r="D244" s="177" t="s">
        <v>1533</v>
      </c>
      <c r="E244" s="174">
        <v>2.1229439999999999</v>
      </c>
      <c r="F244" s="176">
        <v>1517.68</v>
      </c>
      <c r="G244" s="182" t="s">
        <v>195</v>
      </c>
      <c r="H244" s="174">
        <v>1</v>
      </c>
      <c r="I244" s="173">
        <v>3221.95</v>
      </c>
      <c r="J244" s="174">
        <v>3.14</v>
      </c>
      <c r="K244" s="173">
        <v>10116.92</v>
      </c>
      <c r="Q244" s="160">
        <f>[2]Source!X202</f>
        <v>0</v>
      </c>
      <c r="R244" s="160">
        <f>[2]Source!X203</f>
        <v>0</v>
      </c>
      <c r="S244" s="160">
        <f>[2]Source!Y202</f>
        <v>0</v>
      </c>
      <c r="T244" s="160">
        <f>[2]Source!Y203</f>
        <v>0</v>
      </c>
      <c r="U244" s="160">
        <f>ROUND((175/100)*ROUND([2]Source!R202, 2), 2)</f>
        <v>0</v>
      </c>
      <c r="V244" s="160">
        <f>ROUND((157/100)*ROUND([2]Source!R203, 2), 2)</f>
        <v>0</v>
      </c>
    </row>
    <row r="245" spans="1:22" ht="28.5" x14ac:dyDescent="0.2">
      <c r="A245" s="179" t="s">
        <v>1621</v>
      </c>
      <c r="B245" s="178" t="s">
        <v>1598</v>
      </c>
      <c r="C245" s="178" t="s">
        <v>272</v>
      </c>
      <c r="D245" s="177" t="s">
        <v>1594</v>
      </c>
      <c r="E245" s="174">
        <v>5.3073589999999999</v>
      </c>
      <c r="F245" s="176">
        <v>481.69</v>
      </c>
      <c r="G245" s="182" t="s">
        <v>195</v>
      </c>
      <c r="H245" s="174">
        <v>1</v>
      </c>
      <c r="I245" s="173">
        <v>2556.5</v>
      </c>
      <c r="J245" s="174">
        <v>6.45</v>
      </c>
      <c r="K245" s="173">
        <v>16489.43</v>
      </c>
      <c r="Q245" s="160">
        <f>[2]Source!X204</f>
        <v>0</v>
      </c>
      <c r="R245" s="160">
        <f>[2]Source!X205</f>
        <v>0</v>
      </c>
      <c r="S245" s="160">
        <f>[2]Source!Y204</f>
        <v>0</v>
      </c>
      <c r="T245" s="160">
        <f>[2]Source!Y205</f>
        <v>0</v>
      </c>
      <c r="U245" s="160">
        <f>ROUND((175/100)*ROUND([2]Source!R204, 2), 2)</f>
        <v>0</v>
      </c>
      <c r="V245" s="160">
        <f>ROUND((157/100)*ROUND([2]Source!R205, 2), 2)</f>
        <v>0</v>
      </c>
    </row>
    <row r="246" spans="1:22" ht="14.25" x14ac:dyDescent="0.2">
      <c r="A246" s="179"/>
      <c r="B246" s="178"/>
      <c r="C246" s="178" t="s">
        <v>194</v>
      </c>
      <c r="D246" s="177" t="s">
        <v>187</v>
      </c>
      <c r="E246" s="174">
        <v>100</v>
      </c>
      <c r="F246" s="176"/>
      <c r="G246" s="175"/>
      <c r="H246" s="174"/>
      <c r="I246" s="173">
        <v>3924.82</v>
      </c>
      <c r="J246" s="174">
        <v>81</v>
      </c>
      <c r="K246" s="173">
        <v>74232.09</v>
      </c>
    </row>
    <row r="247" spans="1:22" ht="14.25" x14ac:dyDescent="0.2">
      <c r="A247" s="179"/>
      <c r="B247" s="178"/>
      <c r="C247" s="178" t="s">
        <v>193</v>
      </c>
      <c r="D247" s="177" t="s">
        <v>187</v>
      </c>
      <c r="E247" s="174">
        <v>64</v>
      </c>
      <c r="F247" s="176"/>
      <c r="G247" s="175"/>
      <c r="H247" s="174"/>
      <c r="I247" s="173">
        <v>2511.88</v>
      </c>
      <c r="J247" s="174">
        <v>41</v>
      </c>
      <c r="K247" s="173">
        <v>37574.269999999997</v>
      </c>
    </row>
    <row r="248" spans="1:22" ht="14.25" x14ac:dyDescent="0.2">
      <c r="A248" s="179"/>
      <c r="B248" s="178"/>
      <c r="C248" s="178" t="s">
        <v>188</v>
      </c>
      <c r="D248" s="177" t="s">
        <v>187</v>
      </c>
      <c r="E248" s="174">
        <v>175</v>
      </c>
      <c r="F248" s="176"/>
      <c r="G248" s="175"/>
      <c r="H248" s="174"/>
      <c r="I248" s="173">
        <v>545.65</v>
      </c>
      <c r="J248" s="174">
        <v>157</v>
      </c>
      <c r="K248" s="173">
        <v>11430.43</v>
      </c>
    </row>
    <row r="249" spans="1:22" ht="14.25" x14ac:dyDescent="0.2">
      <c r="A249" s="172"/>
      <c r="B249" s="171"/>
      <c r="C249" s="171" t="s">
        <v>192</v>
      </c>
      <c r="D249" s="170" t="s">
        <v>191</v>
      </c>
      <c r="E249" s="167">
        <v>74</v>
      </c>
      <c r="F249" s="169"/>
      <c r="G249" s="168" t="s">
        <v>1548</v>
      </c>
      <c r="H249" s="167">
        <v>1</v>
      </c>
      <c r="I249" s="166">
        <v>301.91000000000003</v>
      </c>
      <c r="J249" s="167"/>
      <c r="K249" s="166"/>
    </row>
    <row r="250" spans="1:22" ht="15" x14ac:dyDescent="0.25">
      <c r="A250" s="164"/>
      <c r="B250" s="164"/>
      <c r="C250" s="165" t="s">
        <v>183</v>
      </c>
      <c r="D250" s="164"/>
      <c r="E250" s="164"/>
      <c r="F250" s="164"/>
      <c r="G250" s="164"/>
      <c r="H250" s="414">
        <v>18621.54</v>
      </c>
      <c r="I250" s="414"/>
      <c r="J250" s="414">
        <v>266561.71999999997</v>
      </c>
      <c r="K250" s="414"/>
      <c r="O250" s="163">
        <f>I239+I240+I242+I246+I247+I248+SUM(I243:I245)</f>
        <v>18621.54</v>
      </c>
      <c r="P250" s="163">
        <f>K239+K240+K242+K246+K247+K248+SUM(K243:K245)</f>
        <v>266561.71999999997</v>
      </c>
    </row>
    <row r="252" spans="1:22" ht="71.25" x14ac:dyDescent="0.2">
      <c r="A252" s="179" t="s">
        <v>1622</v>
      </c>
      <c r="B252" s="178" t="s">
        <v>270</v>
      </c>
      <c r="C252" s="178" t="s">
        <v>269</v>
      </c>
      <c r="D252" s="177" t="s">
        <v>1561</v>
      </c>
      <c r="E252" s="174">
        <v>3.5476999999999999</v>
      </c>
      <c r="F252" s="176"/>
      <c r="G252" s="175"/>
      <c r="H252" s="174"/>
      <c r="I252" s="173"/>
      <c r="J252" s="174"/>
      <c r="K252" s="173"/>
      <c r="Q252" s="160">
        <f>[2]Source!X210</f>
        <v>1871.18</v>
      </c>
      <c r="R252" s="160">
        <f>[2]Source!X211</f>
        <v>35390.559999999998</v>
      </c>
      <c r="S252" s="160">
        <f>[2]Source!Y210</f>
        <v>1197.56</v>
      </c>
      <c r="T252" s="160">
        <f>[2]Source!Y211</f>
        <v>17913.740000000002</v>
      </c>
      <c r="U252" s="160">
        <f>ROUND((175/100)*ROUND([2]Source!R210, 2), 2)</f>
        <v>53.24</v>
      </c>
      <c r="V252" s="160">
        <f>ROUND((157/100)*ROUND([2]Source!R211, 2), 2)</f>
        <v>1115.19</v>
      </c>
    </row>
    <row r="253" spans="1:22" x14ac:dyDescent="0.2">
      <c r="C253" s="181" t="s">
        <v>1618</v>
      </c>
    </row>
    <row r="254" spans="1:22" ht="14.25" x14ac:dyDescent="0.2">
      <c r="A254" s="179"/>
      <c r="B254" s="178"/>
      <c r="C254" s="178" t="s">
        <v>197</v>
      </c>
      <c r="D254" s="177"/>
      <c r="E254" s="174"/>
      <c r="F254" s="176">
        <v>458.64</v>
      </c>
      <c r="G254" s="175" t="s">
        <v>1548</v>
      </c>
      <c r="H254" s="174">
        <v>1</v>
      </c>
      <c r="I254" s="173">
        <v>1871.18</v>
      </c>
      <c r="J254" s="174">
        <v>23.35</v>
      </c>
      <c r="K254" s="173">
        <v>43692.05</v>
      </c>
    </row>
    <row r="255" spans="1:22" ht="14.25" x14ac:dyDescent="0.2">
      <c r="A255" s="179"/>
      <c r="B255" s="178"/>
      <c r="C255" s="178" t="s">
        <v>184</v>
      </c>
      <c r="D255" s="177"/>
      <c r="E255" s="174"/>
      <c r="F255" s="176">
        <v>29.03</v>
      </c>
      <c r="G255" s="175" t="s">
        <v>1549</v>
      </c>
      <c r="H255" s="174">
        <v>1</v>
      </c>
      <c r="I255" s="173">
        <v>128.74</v>
      </c>
      <c r="J255" s="174">
        <v>9.6</v>
      </c>
      <c r="K255" s="173">
        <v>1235.9000000000001</v>
      </c>
    </row>
    <row r="256" spans="1:22" ht="14.25" x14ac:dyDescent="0.2">
      <c r="A256" s="179"/>
      <c r="B256" s="178"/>
      <c r="C256" s="178" t="s">
        <v>189</v>
      </c>
      <c r="D256" s="177"/>
      <c r="E256" s="174"/>
      <c r="F256" s="176">
        <v>6.86</v>
      </c>
      <c r="G256" s="175" t="s">
        <v>1549</v>
      </c>
      <c r="H256" s="174">
        <v>1</v>
      </c>
      <c r="I256" s="180">
        <v>30.42</v>
      </c>
      <c r="J256" s="174">
        <v>23.35</v>
      </c>
      <c r="K256" s="180">
        <v>710.31</v>
      </c>
    </row>
    <row r="257" spans="1:22" ht="14.25" x14ac:dyDescent="0.2">
      <c r="A257" s="179"/>
      <c r="B257" s="178"/>
      <c r="C257" s="178" t="s">
        <v>205</v>
      </c>
      <c r="D257" s="177"/>
      <c r="E257" s="174"/>
      <c r="F257" s="176">
        <v>6.09</v>
      </c>
      <c r="G257" s="175" t="s">
        <v>195</v>
      </c>
      <c r="H257" s="174">
        <v>1</v>
      </c>
      <c r="I257" s="173">
        <v>21.61</v>
      </c>
      <c r="J257" s="174">
        <v>5.42</v>
      </c>
      <c r="K257" s="173">
        <v>117.13</v>
      </c>
    </row>
    <row r="258" spans="1:22" ht="14.25" x14ac:dyDescent="0.2">
      <c r="A258" s="179" t="s">
        <v>1623</v>
      </c>
      <c r="B258" s="178" t="s">
        <v>1559</v>
      </c>
      <c r="C258" s="178" t="s">
        <v>333</v>
      </c>
      <c r="D258" s="177" t="s">
        <v>1533</v>
      </c>
      <c r="E258" s="174">
        <v>0.18093300000000001</v>
      </c>
      <c r="F258" s="176">
        <v>6976.8</v>
      </c>
      <c r="G258" s="182" t="s">
        <v>195</v>
      </c>
      <c r="H258" s="174">
        <v>1</v>
      </c>
      <c r="I258" s="173">
        <v>1262.33</v>
      </c>
      <c r="J258" s="174">
        <v>2.97</v>
      </c>
      <c r="K258" s="173">
        <v>3749.12</v>
      </c>
      <c r="Q258" s="160">
        <f>[2]Source!X212</f>
        <v>0</v>
      </c>
      <c r="R258" s="160">
        <f>[2]Source!X213</f>
        <v>0</v>
      </c>
      <c r="S258" s="160">
        <f>[2]Source!Y212</f>
        <v>0</v>
      </c>
      <c r="T258" s="160">
        <f>[2]Source!Y213</f>
        <v>0</v>
      </c>
      <c r="U258" s="160">
        <f>ROUND((175/100)*ROUND([2]Source!R212, 2), 2)</f>
        <v>0</v>
      </c>
      <c r="V258" s="160">
        <f>ROUND((157/100)*ROUND([2]Source!R213, 2), 2)</f>
        <v>0</v>
      </c>
    </row>
    <row r="259" spans="1:22" ht="28.5" x14ac:dyDescent="0.2">
      <c r="A259" s="179" t="s">
        <v>1624</v>
      </c>
      <c r="B259" s="178" t="s">
        <v>1564</v>
      </c>
      <c r="C259" s="178" t="s">
        <v>323</v>
      </c>
      <c r="D259" s="177" t="s">
        <v>1533</v>
      </c>
      <c r="E259" s="174">
        <v>0.22350500000000001</v>
      </c>
      <c r="F259" s="176">
        <v>33030.400000000001</v>
      </c>
      <c r="G259" s="182" t="s">
        <v>195</v>
      </c>
      <c r="H259" s="174">
        <v>1</v>
      </c>
      <c r="I259" s="173">
        <v>7382.46</v>
      </c>
      <c r="J259" s="174">
        <v>1.8</v>
      </c>
      <c r="K259" s="173">
        <v>13288.43</v>
      </c>
      <c r="Q259" s="160">
        <f>[2]Source!X214</f>
        <v>0</v>
      </c>
      <c r="R259" s="160">
        <f>[2]Source!X215</f>
        <v>0</v>
      </c>
      <c r="S259" s="160">
        <f>[2]Source!Y214</f>
        <v>0</v>
      </c>
      <c r="T259" s="160">
        <f>[2]Source!Y215</f>
        <v>0</v>
      </c>
      <c r="U259" s="160">
        <f>ROUND((175/100)*ROUND([2]Source!R214, 2), 2)</f>
        <v>0</v>
      </c>
      <c r="V259" s="160">
        <f>ROUND((157/100)*ROUND([2]Source!R215, 2), 2)</f>
        <v>0</v>
      </c>
    </row>
    <row r="260" spans="1:22" ht="14.25" x14ac:dyDescent="0.2">
      <c r="A260" s="179"/>
      <c r="B260" s="178"/>
      <c r="C260" s="178" t="s">
        <v>194</v>
      </c>
      <c r="D260" s="177" t="s">
        <v>187</v>
      </c>
      <c r="E260" s="174">
        <v>100</v>
      </c>
      <c r="F260" s="176"/>
      <c r="G260" s="175"/>
      <c r="H260" s="174"/>
      <c r="I260" s="173">
        <v>1871.18</v>
      </c>
      <c r="J260" s="174">
        <v>81</v>
      </c>
      <c r="K260" s="173">
        <v>35390.559999999998</v>
      </c>
    </row>
    <row r="261" spans="1:22" ht="14.25" x14ac:dyDescent="0.2">
      <c r="A261" s="179"/>
      <c r="B261" s="178"/>
      <c r="C261" s="178" t="s">
        <v>193</v>
      </c>
      <c r="D261" s="177" t="s">
        <v>187</v>
      </c>
      <c r="E261" s="174">
        <v>64</v>
      </c>
      <c r="F261" s="176"/>
      <c r="G261" s="175"/>
      <c r="H261" s="174"/>
      <c r="I261" s="173">
        <v>1197.56</v>
      </c>
      <c r="J261" s="174">
        <v>41</v>
      </c>
      <c r="K261" s="173">
        <v>17913.740000000002</v>
      </c>
    </row>
    <row r="262" spans="1:22" ht="14.25" x14ac:dyDescent="0.2">
      <c r="A262" s="179"/>
      <c r="B262" s="178"/>
      <c r="C262" s="178" t="s">
        <v>188</v>
      </c>
      <c r="D262" s="177" t="s">
        <v>187</v>
      </c>
      <c r="E262" s="174">
        <v>175</v>
      </c>
      <c r="F262" s="176"/>
      <c r="G262" s="175"/>
      <c r="H262" s="174"/>
      <c r="I262" s="173">
        <v>53.24</v>
      </c>
      <c r="J262" s="174">
        <v>157</v>
      </c>
      <c r="K262" s="173">
        <v>1115.19</v>
      </c>
    </row>
    <row r="263" spans="1:22" ht="14.25" x14ac:dyDescent="0.2">
      <c r="A263" s="172"/>
      <c r="B263" s="171"/>
      <c r="C263" s="171" t="s">
        <v>192</v>
      </c>
      <c r="D263" s="170" t="s">
        <v>191</v>
      </c>
      <c r="E263" s="167">
        <v>39</v>
      </c>
      <c r="F263" s="169"/>
      <c r="G263" s="168" t="s">
        <v>1548</v>
      </c>
      <c r="H263" s="167">
        <v>1</v>
      </c>
      <c r="I263" s="166">
        <v>159.11000000000001</v>
      </c>
      <c r="J263" s="167"/>
      <c r="K263" s="166"/>
    </row>
    <row r="264" spans="1:22" ht="15" x14ac:dyDescent="0.25">
      <c r="A264" s="164"/>
      <c r="B264" s="164"/>
      <c r="C264" s="165" t="s">
        <v>183</v>
      </c>
      <c r="D264" s="164"/>
      <c r="E264" s="164"/>
      <c r="F264" s="164"/>
      <c r="G264" s="164"/>
      <c r="H264" s="414">
        <v>13788.3</v>
      </c>
      <c r="I264" s="414"/>
      <c r="J264" s="414">
        <v>116502.12</v>
      </c>
      <c r="K264" s="414"/>
      <c r="O264" s="163">
        <f>I254+I255+I257+I260+I261+I262+SUM(I258:I259)</f>
        <v>13788.3</v>
      </c>
      <c r="P264" s="163">
        <f>K254+K255+K257+K260+K261+K262+SUM(K258:K259)</f>
        <v>116502.12</v>
      </c>
    </row>
    <row r="266" spans="1:22" ht="85.5" x14ac:dyDescent="0.2">
      <c r="A266" s="179" t="s">
        <v>1625</v>
      </c>
      <c r="B266" s="178" t="s">
        <v>332</v>
      </c>
      <c r="C266" s="178" t="s">
        <v>331</v>
      </c>
      <c r="D266" s="177" t="s">
        <v>1590</v>
      </c>
      <c r="E266" s="174">
        <v>22.629000000000001</v>
      </c>
      <c r="F266" s="176"/>
      <c r="G266" s="175"/>
      <c r="H266" s="174"/>
      <c r="I266" s="173"/>
      <c r="J266" s="174"/>
      <c r="K266" s="173"/>
      <c r="Q266" s="160">
        <f>[2]Source!X216</f>
        <v>35846.379999999997</v>
      </c>
      <c r="R266" s="160">
        <f>[2]Source!X217</f>
        <v>677980.51</v>
      </c>
      <c r="S266" s="160">
        <f>[2]Source!Y216</f>
        <v>22941.68</v>
      </c>
      <c r="T266" s="160">
        <f>[2]Source!Y217</f>
        <v>343175.32</v>
      </c>
      <c r="U266" s="160">
        <f>ROUND((175/100)*ROUND([2]Source!R216, 2), 2)</f>
        <v>708.37</v>
      </c>
      <c r="V266" s="160">
        <f>ROUND((157/100)*ROUND([2]Source!R217, 2), 2)</f>
        <v>14839.03</v>
      </c>
    </row>
    <row r="267" spans="1:22" x14ac:dyDescent="0.2">
      <c r="C267" s="181" t="s">
        <v>1626</v>
      </c>
    </row>
    <row r="268" spans="1:22" ht="14.25" x14ac:dyDescent="0.2">
      <c r="A268" s="179"/>
      <c r="B268" s="178"/>
      <c r="C268" s="178" t="s">
        <v>197</v>
      </c>
      <c r="D268" s="177"/>
      <c r="E268" s="174"/>
      <c r="F268" s="176">
        <v>1377.47</v>
      </c>
      <c r="G268" s="175" t="s">
        <v>1548</v>
      </c>
      <c r="H268" s="174">
        <v>1</v>
      </c>
      <c r="I268" s="173">
        <v>35846.379999999997</v>
      </c>
      <c r="J268" s="174">
        <v>23.35</v>
      </c>
      <c r="K268" s="173">
        <v>837012.97</v>
      </c>
    </row>
    <row r="269" spans="1:22" ht="14.25" x14ac:dyDescent="0.2">
      <c r="A269" s="179"/>
      <c r="B269" s="178"/>
      <c r="C269" s="178" t="s">
        <v>184</v>
      </c>
      <c r="D269" s="177"/>
      <c r="E269" s="174"/>
      <c r="F269" s="176">
        <v>48.78</v>
      </c>
      <c r="G269" s="175" t="s">
        <v>1549</v>
      </c>
      <c r="H269" s="174">
        <v>1</v>
      </c>
      <c r="I269" s="173">
        <v>1379.8</v>
      </c>
      <c r="J269" s="174">
        <v>10.48</v>
      </c>
      <c r="K269" s="173">
        <v>14460.3</v>
      </c>
    </row>
    <row r="270" spans="1:22" ht="14.25" x14ac:dyDescent="0.2">
      <c r="A270" s="179"/>
      <c r="B270" s="178"/>
      <c r="C270" s="178" t="s">
        <v>189</v>
      </c>
      <c r="D270" s="177"/>
      <c r="E270" s="174"/>
      <c r="F270" s="176">
        <v>14.31</v>
      </c>
      <c r="G270" s="175" t="s">
        <v>1549</v>
      </c>
      <c r="H270" s="174">
        <v>1</v>
      </c>
      <c r="I270" s="180">
        <v>404.78</v>
      </c>
      <c r="J270" s="174">
        <v>23.35</v>
      </c>
      <c r="K270" s="180">
        <v>9451.61</v>
      </c>
    </row>
    <row r="271" spans="1:22" ht="14.25" x14ac:dyDescent="0.2">
      <c r="A271" s="179"/>
      <c r="B271" s="178"/>
      <c r="C271" s="178" t="s">
        <v>205</v>
      </c>
      <c r="D271" s="177"/>
      <c r="E271" s="174"/>
      <c r="F271" s="176">
        <v>990.51</v>
      </c>
      <c r="G271" s="175" t="s">
        <v>195</v>
      </c>
      <c r="H271" s="174">
        <v>1</v>
      </c>
      <c r="I271" s="173">
        <v>22414.25</v>
      </c>
      <c r="J271" s="174">
        <v>1.48</v>
      </c>
      <c r="K271" s="173">
        <v>33173.089999999997</v>
      </c>
    </row>
    <row r="272" spans="1:22" ht="99.75" x14ac:dyDescent="0.2">
      <c r="A272" s="179" t="s">
        <v>1627</v>
      </c>
      <c r="B272" s="178" t="s">
        <v>1628</v>
      </c>
      <c r="C272" s="178" t="s">
        <v>330</v>
      </c>
      <c r="D272" s="177" t="s">
        <v>1533</v>
      </c>
      <c r="E272" s="174">
        <v>39.827039999999997</v>
      </c>
      <c r="F272" s="176">
        <v>3102.01</v>
      </c>
      <c r="G272" s="182" t="s">
        <v>195</v>
      </c>
      <c r="H272" s="174">
        <v>1</v>
      </c>
      <c r="I272" s="173">
        <v>123543.88</v>
      </c>
      <c r="J272" s="174">
        <v>1.73</v>
      </c>
      <c r="K272" s="173">
        <v>213730.91</v>
      </c>
      <c r="Q272" s="160">
        <f>[2]Source!X218</f>
        <v>0</v>
      </c>
      <c r="R272" s="160">
        <f>[2]Source!X219</f>
        <v>0</v>
      </c>
      <c r="S272" s="160">
        <f>[2]Source!Y218</f>
        <v>0</v>
      </c>
      <c r="T272" s="160">
        <f>[2]Source!Y219</f>
        <v>0</v>
      </c>
      <c r="U272" s="160">
        <f>ROUND((175/100)*ROUND([2]Source!R218, 2), 2)</f>
        <v>0</v>
      </c>
      <c r="V272" s="160">
        <f>ROUND((157/100)*ROUND([2]Source!R219, 2), 2)</f>
        <v>0</v>
      </c>
    </row>
    <row r="273" spans="1:22" ht="14.25" x14ac:dyDescent="0.2">
      <c r="A273" s="179"/>
      <c r="B273" s="178"/>
      <c r="C273" s="178" t="s">
        <v>194</v>
      </c>
      <c r="D273" s="177" t="s">
        <v>187</v>
      </c>
      <c r="E273" s="174">
        <v>100</v>
      </c>
      <c r="F273" s="176"/>
      <c r="G273" s="175"/>
      <c r="H273" s="174"/>
      <c r="I273" s="173">
        <v>35846.379999999997</v>
      </c>
      <c r="J273" s="174">
        <v>81</v>
      </c>
      <c r="K273" s="173">
        <v>677980.51</v>
      </c>
    </row>
    <row r="274" spans="1:22" ht="14.25" x14ac:dyDescent="0.2">
      <c r="A274" s="179"/>
      <c r="B274" s="178"/>
      <c r="C274" s="178" t="s">
        <v>193</v>
      </c>
      <c r="D274" s="177" t="s">
        <v>187</v>
      </c>
      <c r="E274" s="174">
        <v>64</v>
      </c>
      <c r="F274" s="176"/>
      <c r="G274" s="175"/>
      <c r="H274" s="174"/>
      <c r="I274" s="173">
        <v>22941.68</v>
      </c>
      <c r="J274" s="174">
        <v>41</v>
      </c>
      <c r="K274" s="173">
        <v>343175.32</v>
      </c>
    </row>
    <row r="275" spans="1:22" ht="14.25" x14ac:dyDescent="0.2">
      <c r="A275" s="179"/>
      <c r="B275" s="178"/>
      <c r="C275" s="178" t="s">
        <v>188</v>
      </c>
      <c r="D275" s="177" t="s">
        <v>187</v>
      </c>
      <c r="E275" s="174">
        <v>175</v>
      </c>
      <c r="F275" s="176"/>
      <c r="G275" s="175"/>
      <c r="H275" s="174"/>
      <c r="I275" s="173">
        <v>708.37</v>
      </c>
      <c r="J275" s="174">
        <v>157</v>
      </c>
      <c r="K275" s="173">
        <v>14839.03</v>
      </c>
    </row>
    <row r="276" spans="1:22" ht="14.25" x14ac:dyDescent="0.2">
      <c r="A276" s="172"/>
      <c r="B276" s="171"/>
      <c r="C276" s="171" t="s">
        <v>192</v>
      </c>
      <c r="D276" s="170" t="s">
        <v>191</v>
      </c>
      <c r="E276" s="167">
        <v>113</v>
      </c>
      <c r="F276" s="169"/>
      <c r="G276" s="168" t="s">
        <v>1548</v>
      </c>
      <c r="H276" s="167">
        <v>1</v>
      </c>
      <c r="I276" s="166">
        <v>2940.64</v>
      </c>
      <c r="J276" s="167"/>
      <c r="K276" s="166"/>
    </row>
    <row r="277" spans="1:22" ht="15" x14ac:dyDescent="0.25">
      <c r="A277" s="164"/>
      <c r="B277" s="164"/>
      <c r="C277" s="165" t="s">
        <v>183</v>
      </c>
      <c r="D277" s="164"/>
      <c r="E277" s="164"/>
      <c r="F277" s="164"/>
      <c r="G277" s="164"/>
      <c r="H277" s="414">
        <v>242680.74</v>
      </c>
      <c r="I277" s="414"/>
      <c r="J277" s="414">
        <v>2134372.13</v>
      </c>
      <c r="K277" s="414"/>
      <c r="O277" s="163">
        <f>I268+I269+I271+I273+I274+I275+SUM(I272:I272)</f>
        <v>242680.74</v>
      </c>
      <c r="P277" s="163">
        <f>K268+K269+K271+K273+K274+K275+SUM(K272:K272)</f>
        <v>2134372.13</v>
      </c>
    </row>
    <row r="279" spans="1:22" ht="71.25" x14ac:dyDescent="0.2">
      <c r="A279" s="179" t="s">
        <v>1629</v>
      </c>
      <c r="B279" s="178" t="s">
        <v>329</v>
      </c>
      <c r="C279" s="178" t="s">
        <v>328</v>
      </c>
      <c r="D279" s="177" t="s">
        <v>1579</v>
      </c>
      <c r="E279" s="174">
        <v>22.629000000000001</v>
      </c>
      <c r="F279" s="176"/>
      <c r="G279" s="175"/>
      <c r="H279" s="174"/>
      <c r="I279" s="173"/>
      <c r="J279" s="174"/>
      <c r="K279" s="173"/>
      <c r="Q279" s="160">
        <f>[2]Source!X220</f>
        <v>49485.22</v>
      </c>
      <c r="R279" s="160">
        <f>[2]Source!X221</f>
        <v>935938.71</v>
      </c>
      <c r="S279" s="160">
        <f>[2]Source!Y220</f>
        <v>31670.54</v>
      </c>
      <c r="T279" s="160">
        <f>[2]Source!Y221</f>
        <v>473746.75</v>
      </c>
      <c r="U279" s="160">
        <f>ROUND((175/100)*ROUND([2]Source!R220, 2), 2)</f>
        <v>55.44</v>
      </c>
      <c r="V279" s="160">
        <f>ROUND((157/100)*ROUND([2]Source!R221, 2), 2)</f>
        <v>1161.3800000000001</v>
      </c>
    </row>
    <row r="280" spans="1:22" x14ac:dyDescent="0.2">
      <c r="C280" s="181" t="s">
        <v>1626</v>
      </c>
    </row>
    <row r="281" spans="1:22" ht="14.25" x14ac:dyDescent="0.2">
      <c r="A281" s="179"/>
      <c r="B281" s="178"/>
      <c r="C281" s="178" t="s">
        <v>197</v>
      </c>
      <c r="D281" s="177"/>
      <c r="E281" s="174"/>
      <c r="F281" s="176">
        <v>1901.57</v>
      </c>
      <c r="G281" s="175" t="s">
        <v>1548</v>
      </c>
      <c r="H281" s="174">
        <v>1</v>
      </c>
      <c r="I281" s="173">
        <v>49485.22</v>
      </c>
      <c r="J281" s="174">
        <v>23.35</v>
      </c>
      <c r="K281" s="173">
        <v>1155479.8899999999</v>
      </c>
    </row>
    <row r="282" spans="1:22" ht="14.25" x14ac:dyDescent="0.2">
      <c r="A282" s="179"/>
      <c r="B282" s="178"/>
      <c r="C282" s="178" t="s">
        <v>184</v>
      </c>
      <c r="D282" s="177"/>
      <c r="E282" s="174"/>
      <c r="F282" s="176">
        <v>3.74</v>
      </c>
      <c r="G282" s="175" t="s">
        <v>1549</v>
      </c>
      <c r="H282" s="174">
        <v>1</v>
      </c>
      <c r="I282" s="173">
        <v>105.79</v>
      </c>
      <c r="J282" s="174">
        <v>10.74</v>
      </c>
      <c r="K282" s="173">
        <v>1136.18</v>
      </c>
    </row>
    <row r="283" spans="1:22" ht="14.25" x14ac:dyDescent="0.2">
      <c r="A283" s="179"/>
      <c r="B283" s="178"/>
      <c r="C283" s="178" t="s">
        <v>189</v>
      </c>
      <c r="D283" s="177"/>
      <c r="E283" s="174"/>
      <c r="F283" s="176">
        <v>1.1200000000000001</v>
      </c>
      <c r="G283" s="175" t="s">
        <v>1549</v>
      </c>
      <c r="H283" s="174">
        <v>1</v>
      </c>
      <c r="I283" s="180">
        <v>31.68</v>
      </c>
      <c r="J283" s="174">
        <v>23.35</v>
      </c>
      <c r="K283" s="180">
        <v>739.73</v>
      </c>
    </row>
    <row r="284" spans="1:22" ht="14.25" x14ac:dyDescent="0.2">
      <c r="A284" s="179"/>
      <c r="B284" s="178"/>
      <c r="C284" s="178" t="s">
        <v>205</v>
      </c>
      <c r="D284" s="177"/>
      <c r="E284" s="174"/>
      <c r="F284" s="176">
        <v>953.15</v>
      </c>
      <c r="G284" s="175" t="s">
        <v>195</v>
      </c>
      <c r="H284" s="174">
        <v>1</v>
      </c>
      <c r="I284" s="173">
        <v>21568.83</v>
      </c>
      <c r="J284" s="174">
        <v>2.4300000000000002</v>
      </c>
      <c r="K284" s="173">
        <v>52412.26</v>
      </c>
    </row>
    <row r="285" spans="1:22" ht="28.5" x14ac:dyDescent="0.2">
      <c r="A285" s="179" t="s">
        <v>1630</v>
      </c>
      <c r="B285" s="178" t="s">
        <v>1564</v>
      </c>
      <c r="C285" s="178" t="s">
        <v>323</v>
      </c>
      <c r="D285" s="177" t="s">
        <v>1533</v>
      </c>
      <c r="E285" s="174">
        <v>0.362064</v>
      </c>
      <c r="F285" s="176">
        <v>33030.400000000001</v>
      </c>
      <c r="G285" s="182" t="s">
        <v>195</v>
      </c>
      <c r="H285" s="174">
        <v>1</v>
      </c>
      <c r="I285" s="173">
        <v>11959.12</v>
      </c>
      <c r="J285" s="174">
        <v>1.8</v>
      </c>
      <c r="K285" s="173">
        <v>21526.42</v>
      </c>
      <c r="Q285" s="160">
        <f>[2]Source!X222</f>
        <v>0</v>
      </c>
      <c r="R285" s="160">
        <f>[2]Source!X223</f>
        <v>0</v>
      </c>
      <c r="S285" s="160">
        <f>[2]Source!Y222</f>
        <v>0</v>
      </c>
      <c r="T285" s="160">
        <f>[2]Source!Y223</f>
        <v>0</v>
      </c>
      <c r="U285" s="160">
        <f>ROUND((175/100)*ROUND([2]Source!R222, 2), 2)</f>
        <v>0</v>
      </c>
      <c r="V285" s="160">
        <f>ROUND((157/100)*ROUND([2]Source!R223, 2), 2)</f>
        <v>0</v>
      </c>
    </row>
    <row r="286" spans="1:22" ht="42.75" x14ac:dyDescent="0.2">
      <c r="A286" s="179" t="s">
        <v>1631</v>
      </c>
      <c r="B286" s="178" t="s">
        <v>1583</v>
      </c>
      <c r="C286" s="178" t="s">
        <v>327</v>
      </c>
      <c r="D286" s="177" t="s">
        <v>1584</v>
      </c>
      <c r="E286" s="174">
        <v>2715.48</v>
      </c>
      <c r="F286" s="176">
        <v>9.1</v>
      </c>
      <c r="G286" s="182" t="s">
        <v>195</v>
      </c>
      <c r="H286" s="174">
        <v>1</v>
      </c>
      <c r="I286" s="173">
        <v>24710.87</v>
      </c>
      <c r="J286" s="174">
        <v>2.0699999999999998</v>
      </c>
      <c r="K286" s="173">
        <v>51151.5</v>
      </c>
      <c r="Q286" s="160">
        <f>[2]Source!X224</f>
        <v>0</v>
      </c>
      <c r="R286" s="160">
        <f>[2]Source!X225</f>
        <v>0</v>
      </c>
      <c r="S286" s="160">
        <f>[2]Source!Y224</f>
        <v>0</v>
      </c>
      <c r="T286" s="160">
        <f>[2]Source!Y225</f>
        <v>0</v>
      </c>
      <c r="U286" s="160">
        <f>ROUND((175/100)*ROUND([2]Source!R224, 2), 2)</f>
        <v>0</v>
      </c>
      <c r="V286" s="160">
        <f>ROUND((157/100)*ROUND([2]Source!R225, 2), 2)</f>
        <v>0</v>
      </c>
    </row>
    <row r="287" spans="1:22" ht="28.5" x14ac:dyDescent="0.2">
      <c r="A287" s="179" t="s">
        <v>1632</v>
      </c>
      <c r="B287" s="178" t="s">
        <v>1586</v>
      </c>
      <c r="C287" s="178" t="s">
        <v>326</v>
      </c>
      <c r="D287" s="177" t="s">
        <v>1557</v>
      </c>
      <c r="E287" s="174">
        <v>2534.4479999999999</v>
      </c>
      <c r="F287" s="176">
        <v>16.38</v>
      </c>
      <c r="G287" s="182" t="s">
        <v>195</v>
      </c>
      <c r="H287" s="174">
        <v>1</v>
      </c>
      <c r="I287" s="173">
        <v>41514.26</v>
      </c>
      <c r="J287" s="174">
        <v>3.38</v>
      </c>
      <c r="K287" s="173">
        <v>140318.20000000001</v>
      </c>
      <c r="Q287" s="160">
        <f>[2]Source!X226</f>
        <v>0</v>
      </c>
      <c r="R287" s="160">
        <f>[2]Source!X227</f>
        <v>0</v>
      </c>
      <c r="S287" s="160">
        <f>[2]Source!Y226</f>
        <v>0</v>
      </c>
      <c r="T287" s="160">
        <f>[2]Source!Y227</f>
        <v>0</v>
      </c>
      <c r="U287" s="160">
        <f>ROUND((175/100)*ROUND([2]Source!R226, 2), 2)</f>
        <v>0</v>
      </c>
      <c r="V287" s="160">
        <f>ROUND((157/100)*ROUND([2]Source!R227, 2), 2)</f>
        <v>0</v>
      </c>
    </row>
    <row r="288" spans="1:22" ht="14.25" x14ac:dyDescent="0.2">
      <c r="A288" s="179"/>
      <c r="B288" s="178"/>
      <c r="C288" s="178" t="s">
        <v>194</v>
      </c>
      <c r="D288" s="177" t="s">
        <v>187</v>
      </c>
      <c r="E288" s="174">
        <v>100</v>
      </c>
      <c r="F288" s="176"/>
      <c r="G288" s="175"/>
      <c r="H288" s="174"/>
      <c r="I288" s="173">
        <v>49485.22</v>
      </c>
      <c r="J288" s="174">
        <v>81</v>
      </c>
      <c r="K288" s="173">
        <v>935938.71</v>
      </c>
    </row>
    <row r="289" spans="1:22" ht="14.25" x14ac:dyDescent="0.2">
      <c r="A289" s="179"/>
      <c r="B289" s="178"/>
      <c r="C289" s="178" t="s">
        <v>193</v>
      </c>
      <c r="D289" s="177" t="s">
        <v>187</v>
      </c>
      <c r="E289" s="174">
        <v>64</v>
      </c>
      <c r="F289" s="176"/>
      <c r="G289" s="175"/>
      <c r="H289" s="174"/>
      <c r="I289" s="173">
        <v>31670.54</v>
      </c>
      <c r="J289" s="174">
        <v>41</v>
      </c>
      <c r="K289" s="173">
        <v>473746.75</v>
      </c>
    </row>
    <row r="290" spans="1:22" ht="14.25" x14ac:dyDescent="0.2">
      <c r="A290" s="179"/>
      <c r="B290" s="178"/>
      <c r="C290" s="178" t="s">
        <v>188</v>
      </c>
      <c r="D290" s="177" t="s">
        <v>187</v>
      </c>
      <c r="E290" s="174">
        <v>175</v>
      </c>
      <c r="F290" s="176"/>
      <c r="G290" s="175"/>
      <c r="H290" s="174"/>
      <c r="I290" s="173">
        <v>55.44</v>
      </c>
      <c r="J290" s="174">
        <v>157</v>
      </c>
      <c r="K290" s="173">
        <v>1161.3800000000001</v>
      </c>
    </row>
    <row r="291" spans="1:22" ht="14.25" x14ac:dyDescent="0.2">
      <c r="A291" s="172"/>
      <c r="B291" s="171"/>
      <c r="C291" s="171" t="s">
        <v>192</v>
      </c>
      <c r="D291" s="170" t="s">
        <v>191</v>
      </c>
      <c r="E291" s="167">
        <v>157</v>
      </c>
      <c r="F291" s="169"/>
      <c r="G291" s="168" t="s">
        <v>1548</v>
      </c>
      <c r="H291" s="167">
        <v>1</v>
      </c>
      <c r="I291" s="166">
        <v>4085.67</v>
      </c>
      <c r="J291" s="167"/>
      <c r="K291" s="166"/>
    </row>
    <row r="292" spans="1:22" ht="15" x14ac:dyDescent="0.25">
      <c r="A292" s="164"/>
      <c r="B292" s="164"/>
      <c r="C292" s="165" t="s">
        <v>183</v>
      </c>
      <c r="D292" s="164"/>
      <c r="E292" s="164"/>
      <c r="F292" s="164"/>
      <c r="G292" s="164"/>
      <c r="H292" s="414">
        <v>230555.29</v>
      </c>
      <c r="I292" s="414"/>
      <c r="J292" s="414">
        <v>2832871.29</v>
      </c>
      <c r="K292" s="414"/>
      <c r="O292" s="163">
        <f>I281+I282+I284+I288+I289+I290+SUM(I285:I287)</f>
        <v>230555.29</v>
      </c>
      <c r="P292" s="163">
        <f>K281+K282+K284+K288+K289+K290+SUM(K285:K287)</f>
        <v>2832871.29</v>
      </c>
    </row>
    <row r="294" spans="1:22" ht="71.25" x14ac:dyDescent="0.2">
      <c r="A294" s="179" t="s">
        <v>1633</v>
      </c>
      <c r="B294" s="178" t="s">
        <v>325</v>
      </c>
      <c r="C294" s="178" t="s">
        <v>324</v>
      </c>
      <c r="D294" s="177" t="s">
        <v>1561</v>
      </c>
      <c r="E294" s="174">
        <v>22.629000000000001</v>
      </c>
      <c r="F294" s="176"/>
      <c r="G294" s="175"/>
      <c r="H294" s="174"/>
      <c r="I294" s="173"/>
      <c r="J294" s="174"/>
      <c r="K294" s="173"/>
      <c r="Q294" s="160">
        <f>[2]Source!X228</f>
        <v>1718.58</v>
      </c>
      <c r="R294" s="160">
        <f>[2]Source!X229</f>
        <v>32504.36</v>
      </c>
      <c r="S294" s="160">
        <f>[2]Source!Y228</f>
        <v>1099.8900000000001</v>
      </c>
      <c r="T294" s="160">
        <f>[2]Source!Y229</f>
        <v>16452.82</v>
      </c>
      <c r="U294" s="160">
        <f>ROUND((175/100)*ROUND([2]Source!R228, 2), 2)</f>
        <v>0</v>
      </c>
      <c r="V294" s="160">
        <f>ROUND((157/100)*ROUND([2]Source!R229, 2), 2)</f>
        <v>0</v>
      </c>
    </row>
    <row r="295" spans="1:22" x14ac:dyDescent="0.2">
      <c r="C295" s="181" t="s">
        <v>1626</v>
      </c>
    </row>
    <row r="296" spans="1:22" ht="14.25" x14ac:dyDescent="0.2">
      <c r="A296" s="179"/>
      <c r="B296" s="178"/>
      <c r="C296" s="178" t="s">
        <v>197</v>
      </c>
      <c r="D296" s="177"/>
      <c r="E296" s="174"/>
      <c r="F296" s="176">
        <v>66.040000000000006</v>
      </c>
      <c r="G296" s="175" t="s">
        <v>1548</v>
      </c>
      <c r="H296" s="174">
        <v>1</v>
      </c>
      <c r="I296" s="173">
        <v>1718.58</v>
      </c>
      <c r="J296" s="174">
        <v>23.35</v>
      </c>
      <c r="K296" s="173">
        <v>40128.839999999997</v>
      </c>
    </row>
    <row r="297" spans="1:22" ht="28.5" x14ac:dyDescent="0.2">
      <c r="A297" s="179" t="s">
        <v>1634</v>
      </c>
      <c r="B297" s="178" t="s">
        <v>1564</v>
      </c>
      <c r="C297" s="178" t="s">
        <v>323</v>
      </c>
      <c r="D297" s="177" t="s">
        <v>1533</v>
      </c>
      <c r="E297" s="174">
        <v>0.33943499999999999</v>
      </c>
      <c r="F297" s="176">
        <v>33030.400000000001</v>
      </c>
      <c r="G297" s="182" t="s">
        <v>195</v>
      </c>
      <c r="H297" s="174">
        <v>1</v>
      </c>
      <c r="I297" s="173">
        <v>11211.67</v>
      </c>
      <c r="J297" s="174">
        <v>1.8</v>
      </c>
      <c r="K297" s="173">
        <v>20181.009999999998</v>
      </c>
      <c r="Q297" s="160">
        <f>[2]Source!X230</f>
        <v>0</v>
      </c>
      <c r="R297" s="160">
        <f>[2]Source!X231</f>
        <v>0</v>
      </c>
      <c r="S297" s="160">
        <f>[2]Source!Y230</f>
        <v>0</v>
      </c>
      <c r="T297" s="160">
        <f>[2]Source!Y231</f>
        <v>0</v>
      </c>
      <c r="U297" s="160">
        <f>ROUND((175/100)*ROUND([2]Source!R230, 2), 2)</f>
        <v>0</v>
      </c>
      <c r="V297" s="160">
        <f>ROUND((157/100)*ROUND([2]Source!R231, 2), 2)</f>
        <v>0</v>
      </c>
    </row>
    <row r="298" spans="1:22" ht="14.25" x14ac:dyDescent="0.2">
      <c r="A298" s="179"/>
      <c r="B298" s="178"/>
      <c r="C298" s="178" t="s">
        <v>194</v>
      </c>
      <c r="D298" s="177" t="s">
        <v>187</v>
      </c>
      <c r="E298" s="174">
        <v>100</v>
      </c>
      <c r="F298" s="176"/>
      <c r="G298" s="175"/>
      <c r="H298" s="174"/>
      <c r="I298" s="173">
        <v>1718.58</v>
      </c>
      <c r="J298" s="174">
        <v>81</v>
      </c>
      <c r="K298" s="173">
        <v>32504.36</v>
      </c>
    </row>
    <row r="299" spans="1:22" ht="14.25" x14ac:dyDescent="0.2">
      <c r="A299" s="179"/>
      <c r="B299" s="178"/>
      <c r="C299" s="178" t="s">
        <v>193</v>
      </c>
      <c r="D299" s="177" t="s">
        <v>187</v>
      </c>
      <c r="E299" s="174">
        <v>64</v>
      </c>
      <c r="F299" s="176"/>
      <c r="G299" s="175"/>
      <c r="H299" s="174"/>
      <c r="I299" s="173">
        <v>1099.8900000000001</v>
      </c>
      <c r="J299" s="174">
        <v>41</v>
      </c>
      <c r="K299" s="173">
        <v>16452.82</v>
      </c>
    </row>
    <row r="300" spans="1:22" ht="14.25" x14ac:dyDescent="0.2">
      <c r="A300" s="172"/>
      <c r="B300" s="171"/>
      <c r="C300" s="171" t="s">
        <v>192</v>
      </c>
      <c r="D300" s="170" t="s">
        <v>191</v>
      </c>
      <c r="E300" s="167">
        <v>5.49</v>
      </c>
      <c r="F300" s="169"/>
      <c r="G300" s="168" t="s">
        <v>1548</v>
      </c>
      <c r="H300" s="167">
        <v>1</v>
      </c>
      <c r="I300" s="166">
        <v>142.87</v>
      </c>
      <c r="J300" s="167"/>
      <c r="K300" s="166"/>
    </row>
    <row r="301" spans="1:22" ht="15" x14ac:dyDescent="0.25">
      <c r="A301" s="164"/>
      <c r="B301" s="164"/>
      <c r="C301" s="165" t="s">
        <v>183</v>
      </c>
      <c r="D301" s="164"/>
      <c r="E301" s="164"/>
      <c r="F301" s="164"/>
      <c r="G301" s="164"/>
      <c r="H301" s="414">
        <v>15748.72</v>
      </c>
      <c r="I301" s="414"/>
      <c r="J301" s="414">
        <v>109267.03</v>
      </c>
      <c r="K301" s="414"/>
      <c r="O301" s="163">
        <f>I296+I298+I299+SUM(I297:I297)</f>
        <v>15748.72</v>
      </c>
      <c r="P301" s="163">
        <f>K296+K298+K299+SUM(K297:K297)</f>
        <v>109267.03</v>
      </c>
    </row>
    <row r="303" spans="1:22" ht="71.25" x14ac:dyDescent="0.2">
      <c r="A303" s="179" t="s">
        <v>1635</v>
      </c>
      <c r="B303" s="178" t="s">
        <v>322</v>
      </c>
      <c r="C303" s="178" t="s">
        <v>321</v>
      </c>
      <c r="D303" s="177" t="s">
        <v>1636</v>
      </c>
      <c r="E303" s="174">
        <v>4.9617000000000004</v>
      </c>
      <c r="F303" s="176"/>
      <c r="G303" s="175"/>
      <c r="H303" s="174"/>
      <c r="I303" s="173"/>
      <c r="J303" s="174"/>
      <c r="K303" s="173"/>
      <c r="Q303" s="160">
        <f>[2]Source!X232</f>
        <v>4127.12</v>
      </c>
      <c r="R303" s="160">
        <f>[2]Source!X233</f>
        <v>78058.28</v>
      </c>
      <c r="S303" s="160">
        <f>[2]Source!Y232</f>
        <v>2641.36</v>
      </c>
      <c r="T303" s="160">
        <f>[2]Source!Y233</f>
        <v>39510.980000000003</v>
      </c>
      <c r="U303" s="160">
        <f>ROUND((175/100)*ROUND([2]Source!R232, 2), 2)</f>
        <v>389.32</v>
      </c>
      <c r="V303" s="160">
        <f>ROUND((157/100)*ROUND([2]Source!R233, 2), 2)</f>
        <v>8155.63</v>
      </c>
    </row>
    <row r="304" spans="1:22" x14ac:dyDescent="0.2">
      <c r="C304" s="181" t="s">
        <v>1637</v>
      </c>
    </row>
    <row r="305" spans="1:22" ht="14.25" x14ac:dyDescent="0.2">
      <c r="A305" s="179"/>
      <c r="B305" s="178"/>
      <c r="C305" s="178" t="s">
        <v>197</v>
      </c>
      <c r="D305" s="177"/>
      <c r="E305" s="174"/>
      <c r="F305" s="176">
        <v>723.3</v>
      </c>
      <c r="G305" s="175" t="s">
        <v>1548</v>
      </c>
      <c r="H305" s="174">
        <v>1</v>
      </c>
      <c r="I305" s="173">
        <v>4127.12</v>
      </c>
      <c r="J305" s="174">
        <v>23.35</v>
      </c>
      <c r="K305" s="173">
        <v>96368.25</v>
      </c>
    </row>
    <row r="306" spans="1:22" ht="14.25" x14ac:dyDescent="0.2">
      <c r="A306" s="179"/>
      <c r="B306" s="178"/>
      <c r="C306" s="178" t="s">
        <v>184</v>
      </c>
      <c r="D306" s="177"/>
      <c r="E306" s="174"/>
      <c r="F306" s="176">
        <v>88.96</v>
      </c>
      <c r="G306" s="175" t="s">
        <v>1549</v>
      </c>
      <c r="H306" s="174">
        <v>1</v>
      </c>
      <c r="I306" s="173">
        <v>551.74</v>
      </c>
      <c r="J306" s="174">
        <v>12.48</v>
      </c>
      <c r="K306" s="173">
        <v>6885.72</v>
      </c>
    </row>
    <row r="307" spans="1:22" ht="14.25" x14ac:dyDescent="0.2">
      <c r="A307" s="179"/>
      <c r="B307" s="178"/>
      <c r="C307" s="178" t="s">
        <v>189</v>
      </c>
      <c r="D307" s="177"/>
      <c r="E307" s="174"/>
      <c r="F307" s="176">
        <v>35.869999999999997</v>
      </c>
      <c r="G307" s="175" t="s">
        <v>1549</v>
      </c>
      <c r="H307" s="174">
        <v>1</v>
      </c>
      <c r="I307" s="180">
        <v>222.47</v>
      </c>
      <c r="J307" s="174">
        <v>23.35</v>
      </c>
      <c r="K307" s="180">
        <v>5194.67</v>
      </c>
    </row>
    <row r="308" spans="1:22" ht="14.25" x14ac:dyDescent="0.2">
      <c r="A308" s="179"/>
      <c r="B308" s="178"/>
      <c r="C308" s="178" t="s">
        <v>205</v>
      </c>
      <c r="D308" s="177"/>
      <c r="E308" s="174"/>
      <c r="F308" s="176">
        <v>792.82</v>
      </c>
      <c r="G308" s="175" t="s">
        <v>195</v>
      </c>
      <c r="H308" s="174">
        <v>1</v>
      </c>
      <c r="I308" s="173">
        <v>3933.73</v>
      </c>
      <c r="J308" s="174">
        <v>5.24</v>
      </c>
      <c r="K308" s="173">
        <v>20612.75</v>
      </c>
    </row>
    <row r="309" spans="1:22" ht="14.25" x14ac:dyDescent="0.2">
      <c r="A309" s="179" t="s">
        <v>1638</v>
      </c>
      <c r="B309" s="178" t="s">
        <v>1593</v>
      </c>
      <c r="C309" s="178" t="s">
        <v>274</v>
      </c>
      <c r="D309" s="177" t="s">
        <v>1594</v>
      </c>
      <c r="E309" s="174">
        <v>1.6670999999999998E-2</v>
      </c>
      <c r="F309" s="176">
        <v>7.07</v>
      </c>
      <c r="G309" s="182" t="s">
        <v>195</v>
      </c>
      <c r="H309" s="174">
        <v>1</v>
      </c>
      <c r="I309" s="173">
        <v>0.12</v>
      </c>
      <c r="J309" s="174">
        <v>4.7699999999999996</v>
      </c>
      <c r="K309" s="173">
        <v>0.56999999999999995</v>
      </c>
      <c r="Q309" s="160">
        <f>[2]Source!X234</f>
        <v>0</v>
      </c>
      <c r="R309" s="160">
        <f>[2]Source!X235</f>
        <v>0</v>
      </c>
      <c r="S309" s="160">
        <f>[2]Source!Y234</f>
        <v>0</v>
      </c>
      <c r="T309" s="160">
        <f>[2]Source!Y235</f>
        <v>0</v>
      </c>
      <c r="U309" s="160">
        <f>ROUND((175/100)*ROUND([2]Source!R234, 2), 2)</f>
        <v>0</v>
      </c>
      <c r="V309" s="160">
        <f>ROUND((157/100)*ROUND([2]Source!R235, 2), 2)</f>
        <v>0</v>
      </c>
    </row>
    <row r="310" spans="1:22" ht="85.5" x14ac:dyDescent="0.2">
      <c r="A310" s="179" t="s">
        <v>1639</v>
      </c>
      <c r="B310" s="178" t="s">
        <v>1640</v>
      </c>
      <c r="C310" s="178" t="s">
        <v>320</v>
      </c>
      <c r="D310" s="177" t="s">
        <v>1533</v>
      </c>
      <c r="E310" s="174">
        <v>9.5265000000000002E-2</v>
      </c>
      <c r="F310" s="176">
        <v>1742.15</v>
      </c>
      <c r="G310" s="182" t="s">
        <v>195</v>
      </c>
      <c r="H310" s="174">
        <v>1</v>
      </c>
      <c r="I310" s="173">
        <v>165.97</v>
      </c>
      <c r="J310" s="174">
        <v>3.05</v>
      </c>
      <c r="K310" s="173">
        <v>506.21</v>
      </c>
      <c r="Q310" s="160">
        <f>[2]Source!X236</f>
        <v>0</v>
      </c>
      <c r="R310" s="160">
        <f>[2]Source!X237</f>
        <v>0</v>
      </c>
      <c r="S310" s="160">
        <f>[2]Source!Y236</f>
        <v>0</v>
      </c>
      <c r="T310" s="160">
        <f>[2]Source!Y237</f>
        <v>0</v>
      </c>
      <c r="U310" s="160">
        <f>ROUND((175/100)*ROUND([2]Source!R236, 2), 2)</f>
        <v>0</v>
      </c>
      <c r="V310" s="160">
        <f>ROUND((157/100)*ROUND([2]Source!R237, 2), 2)</f>
        <v>0</v>
      </c>
    </row>
    <row r="311" spans="1:22" ht="14.25" x14ac:dyDescent="0.2">
      <c r="A311" s="179" t="s">
        <v>1641</v>
      </c>
      <c r="B311" s="178" t="s">
        <v>1642</v>
      </c>
      <c r="C311" s="178" t="s">
        <v>271</v>
      </c>
      <c r="D311" s="177" t="s">
        <v>1594</v>
      </c>
      <c r="E311" s="174">
        <v>0.23816200000000001</v>
      </c>
      <c r="F311" s="176">
        <v>540.41999999999996</v>
      </c>
      <c r="G311" s="182" t="s">
        <v>195</v>
      </c>
      <c r="H311" s="174">
        <v>1</v>
      </c>
      <c r="I311" s="173">
        <v>128.71</v>
      </c>
      <c r="J311" s="174">
        <v>5.86</v>
      </c>
      <c r="K311" s="173">
        <v>754.24</v>
      </c>
      <c r="Q311" s="160">
        <f>[2]Source!X238</f>
        <v>0</v>
      </c>
      <c r="R311" s="160">
        <f>[2]Source!X239</f>
        <v>0</v>
      </c>
      <c r="S311" s="160">
        <f>[2]Source!Y238</f>
        <v>0</v>
      </c>
      <c r="T311" s="160">
        <f>[2]Source!Y239</f>
        <v>0</v>
      </c>
      <c r="U311" s="160">
        <f>ROUND((175/100)*ROUND([2]Source!R238, 2), 2)</f>
        <v>0</v>
      </c>
      <c r="V311" s="160">
        <f>ROUND((157/100)*ROUND([2]Source!R239, 2), 2)</f>
        <v>0</v>
      </c>
    </row>
    <row r="312" spans="1:22" ht="39.75" x14ac:dyDescent="0.2">
      <c r="A312" s="179" t="s">
        <v>1643</v>
      </c>
      <c r="B312" s="178" t="s">
        <v>1644</v>
      </c>
      <c r="C312" s="178" t="s">
        <v>319</v>
      </c>
      <c r="D312" s="177" t="s">
        <v>1557</v>
      </c>
      <c r="E312" s="174">
        <v>520.97850000000005</v>
      </c>
      <c r="F312" s="176">
        <v>262.95</v>
      </c>
      <c r="G312" s="182" t="s">
        <v>195</v>
      </c>
      <c r="H312" s="174">
        <v>1</v>
      </c>
      <c r="I312" s="173">
        <v>136991.29999999999</v>
      </c>
      <c r="J312" s="174">
        <v>5.42</v>
      </c>
      <c r="K312" s="173">
        <v>742492.85</v>
      </c>
      <c r="Q312" s="160">
        <f>[2]Source!X240</f>
        <v>0</v>
      </c>
      <c r="R312" s="160">
        <f>[2]Source!X241</f>
        <v>0</v>
      </c>
      <c r="S312" s="160">
        <f>[2]Source!Y240</f>
        <v>0</v>
      </c>
      <c r="T312" s="160">
        <f>[2]Source!Y241</f>
        <v>0</v>
      </c>
      <c r="U312" s="160">
        <f>ROUND((175/100)*ROUND([2]Source!R240, 2), 2)</f>
        <v>0</v>
      </c>
      <c r="V312" s="160">
        <f>ROUND((157/100)*ROUND([2]Source!R241, 2), 2)</f>
        <v>0</v>
      </c>
    </row>
    <row r="313" spans="1:22" ht="14.25" x14ac:dyDescent="0.2">
      <c r="A313" s="179"/>
      <c r="B313" s="178"/>
      <c r="C313" s="178" t="s">
        <v>194</v>
      </c>
      <c r="D313" s="177" t="s">
        <v>187</v>
      </c>
      <c r="E313" s="174">
        <v>100</v>
      </c>
      <c r="F313" s="176"/>
      <c r="G313" s="175"/>
      <c r="H313" s="174"/>
      <c r="I313" s="173">
        <v>4127.12</v>
      </c>
      <c r="J313" s="174">
        <v>81</v>
      </c>
      <c r="K313" s="173">
        <v>78058.28</v>
      </c>
    </row>
    <row r="314" spans="1:22" ht="14.25" x14ac:dyDescent="0.2">
      <c r="A314" s="179"/>
      <c r="B314" s="178"/>
      <c r="C314" s="178" t="s">
        <v>193</v>
      </c>
      <c r="D314" s="177" t="s">
        <v>187</v>
      </c>
      <c r="E314" s="174">
        <v>64</v>
      </c>
      <c r="F314" s="176"/>
      <c r="G314" s="175"/>
      <c r="H314" s="174"/>
      <c r="I314" s="173">
        <v>2641.36</v>
      </c>
      <c r="J314" s="174">
        <v>41</v>
      </c>
      <c r="K314" s="173">
        <v>39510.980000000003</v>
      </c>
    </row>
    <row r="315" spans="1:22" ht="14.25" x14ac:dyDescent="0.2">
      <c r="A315" s="179"/>
      <c r="B315" s="178"/>
      <c r="C315" s="178" t="s">
        <v>188</v>
      </c>
      <c r="D315" s="177" t="s">
        <v>187</v>
      </c>
      <c r="E315" s="174">
        <v>175</v>
      </c>
      <c r="F315" s="176"/>
      <c r="G315" s="175"/>
      <c r="H315" s="174"/>
      <c r="I315" s="173">
        <v>389.32</v>
      </c>
      <c r="J315" s="174">
        <v>157</v>
      </c>
      <c r="K315" s="173">
        <v>8155.63</v>
      </c>
    </row>
    <row r="316" spans="1:22" ht="14.25" x14ac:dyDescent="0.2">
      <c r="A316" s="172"/>
      <c r="B316" s="171"/>
      <c r="C316" s="171" t="s">
        <v>192</v>
      </c>
      <c r="D316" s="170" t="s">
        <v>191</v>
      </c>
      <c r="E316" s="167">
        <v>62.3</v>
      </c>
      <c r="F316" s="169"/>
      <c r="G316" s="168" t="s">
        <v>1548</v>
      </c>
      <c r="H316" s="167">
        <v>1</v>
      </c>
      <c r="I316" s="166">
        <v>355.48</v>
      </c>
      <c r="J316" s="167"/>
      <c r="K316" s="166"/>
    </row>
    <row r="317" spans="1:22" ht="15" x14ac:dyDescent="0.25">
      <c r="A317" s="164"/>
      <c r="B317" s="164"/>
      <c r="C317" s="165" t="s">
        <v>183</v>
      </c>
      <c r="D317" s="164"/>
      <c r="E317" s="164"/>
      <c r="F317" s="164"/>
      <c r="G317" s="164"/>
      <c r="H317" s="414">
        <v>153056.49</v>
      </c>
      <c r="I317" s="414"/>
      <c r="J317" s="414">
        <v>993345.48</v>
      </c>
      <c r="K317" s="414"/>
      <c r="O317" s="163">
        <f>I305+I306+I308+I313+I314+I315+SUM(I309:I312)</f>
        <v>153056.49</v>
      </c>
      <c r="P317" s="163">
        <f>K305+K306+K308+K313+K314+K315+SUM(K309:K312)</f>
        <v>993345.48</v>
      </c>
    </row>
    <row r="319" spans="1:22" ht="57" x14ac:dyDescent="0.2">
      <c r="A319" s="179" t="s">
        <v>1645</v>
      </c>
      <c r="B319" s="178" t="s">
        <v>318</v>
      </c>
      <c r="C319" s="178" t="s">
        <v>317</v>
      </c>
      <c r="D319" s="177" t="s">
        <v>1540</v>
      </c>
      <c r="E319" s="174">
        <v>0.67279999999999995</v>
      </c>
      <c r="F319" s="176"/>
      <c r="G319" s="175"/>
      <c r="H319" s="174"/>
      <c r="I319" s="173"/>
      <c r="J319" s="174"/>
      <c r="K319" s="173"/>
      <c r="Q319" s="160">
        <f>[2]Source!X242</f>
        <v>1053.95</v>
      </c>
      <c r="R319" s="160">
        <f>[2]Source!X243</f>
        <v>19933.88</v>
      </c>
      <c r="S319" s="160">
        <f>[2]Source!Y242</f>
        <v>674.53</v>
      </c>
      <c r="T319" s="160">
        <f>[2]Source!Y243</f>
        <v>10089.99</v>
      </c>
      <c r="U319" s="160">
        <f>ROUND((175/100)*ROUND([2]Source!R242, 2), 2)</f>
        <v>5.67</v>
      </c>
      <c r="V319" s="160">
        <f>ROUND((157/100)*ROUND([2]Source!R243, 2), 2)</f>
        <v>118.77</v>
      </c>
    </row>
    <row r="320" spans="1:22" x14ac:dyDescent="0.2">
      <c r="C320" s="181" t="s">
        <v>1646</v>
      </c>
    </row>
    <row r="321" spans="1:22" ht="14.25" x14ac:dyDescent="0.2">
      <c r="A321" s="179"/>
      <c r="B321" s="178"/>
      <c r="C321" s="178" t="s">
        <v>197</v>
      </c>
      <c r="D321" s="177"/>
      <c r="E321" s="174"/>
      <c r="F321" s="176">
        <v>1362.19</v>
      </c>
      <c r="G321" s="175" t="s">
        <v>1548</v>
      </c>
      <c r="H321" s="174">
        <v>1</v>
      </c>
      <c r="I321" s="173">
        <v>1053.95</v>
      </c>
      <c r="J321" s="174">
        <v>23.35</v>
      </c>
      <c r="K321" s="173">
        <v>24609.73</v>
      </c>
    </row>
    <row r="322" spans="1:22" ht="14.25" x14ac:dyDescent="0.2">
      <c r="A322" s="179"/>
      <c r="B322" s="178"/>
      <c r="C322" s="178" t="s">
        <v>184</v>
      </c>
      <c r="D322" s="177"/>
      <c r="E322" s="174"/>
      <c r="F322" s="176">
        <v>21.72</v>
      </c>
      <c r="G322" s="175" t="s">
        <v>1549</v>
      </c>
      <c r="H322" s="174">
        <v>1</v>
      </c>
      <c r="I322" s="173">
        <v>18.27</v>
      </c>
      <c r="J322" s="174">
        <v>9.48</v>
      </c>
      <c r="K322" s="173">
        <v>173.2</v>
      </c>
    </row>
    <row r="323" spans="1:22" ht="14.25" x14ac:dyDescent="0.2">
      <c r="A323" s="179"/>
      <c r="B323" s="178"/>
      <c r="C323" s="178" t="s">
        <v>189</v>
      </c>
      <c r="D323" s="177"/>
      <c r="E323" s="174"/>
      <c r="F323" s="176">
        <v>3.85</v>
      </c>
      <c r="G323" s="175" t="s">
        <v>1549</v>
      </c>
      <c r="H323" s="174">
        <v>1</v>
      </c>
      <c r="I323" s="180">
        <v>3.24</v>
      </c>
      <c r="J323" s="174">
        <v>23.35</v>
      </c>
      <c r="K323" s="180">
        <v>75.650000000000006</v>
      </c>
    </row>
    <row r="324" spans="1:22" ht="14.25" x14ac:dyDescent="0.2">
      <c r="A324" s="179"/>
      <c r="B324" s="178"/>
      <c r="C324" s="178" t="s">
        <v>205</v>
      </c>
      <c r="D324" s="177"/>
      <c r="E324" s="174"/>
      <c r="F324" s="176">
        <v>83.42</v>
      </c>
      <c r="G324" s="175" t="s">
        <v>195</v>
      </c>
      <c r="H324" s="174">
        <v>1</v>
      </c>
      <c r="I324" s="173">
        <v>56.12</v>
      </c>
      <c r="J324" s="174">
        <v>1.79</v>
      </c>
      <c r="K324" s="173">
        <v>100.45</v>
      </c>
    </row>
    <row r="325" spans="1:22" ht="57" x14ac:dyDescent="0.2">
      <c r="A325" s="179" t="s">
        <v>1647</v>
      </c>
      <c r="B325" s="178" t="s">
        <v>1612</v>
      </c>
      <c r="C325" s="178" t="s">
        <v>225</v>
      </c>
      <c r="D325" s="177" t="s">
        <v>1533</v>
      </c>
      <c r="E325" s="174">
        <v>4.0368000000000001E-2</v>
      </c>
      <c r="F325" s="176">
        <v>5986.03</v>
      </c>
      <c r="G325" s="182" t="s">
        <v>195</v>
      </c>
      <c r="H325" s="174">
        <v>1</v>
      </c>
      <c r="I325" s="173">
        <v>241.64</v>
      </c>
      <c r="J325" s="174">
        <v>4.4800000000000004</v>
      </c>
      <c r="K325" s="173">
        <v>1082.55</v>
      </c>
      <c r="Q325" s="160">
        <f>[2]Source!X244</f>
        <v>0</v>
      </c>
      <c r="R325" s="160">
        <f>[2]Source!X245</f>
        <v>0</v>
      </c>
      <c r="S325" s="160">
        <f>[2]Source!Y244</f>
        <v>0</v>
      </c>
      <c r="T325" s="160">
        <f>[2]Source!Y245</f>
        <v>0</v>
      </c>
      <c r="U325" s="160">
        <f>ROUND((175/100)*ROUND([2]Source!R244, 2), 2)</f>
        <v>0</v>
      </c>
      <c r="V325" s="160">
        <f>ROUND((157/100)*ROUND([2]Source!R245, 2), 2)</f>
        <v>0</v>
      </c>
    </row>
    <row r="326" spans="1:22" ht="71.25" x14ac:dyDescent="0.2">
      <c r="A326" s="179" t="s">
        <v>1648</v>
      </c>
      <c r="B326" s="178" t="s">
        <v>1614</v>
      </c>
      <c r="C326" s="178" t="s">
        <v>224</v>
      </c>
      <c r="D326" s="177" t="s">
        <v>1533</v>
      </c>
      <c r="E326" s="174">
        <v>0.25230000000000002</v>
      </c>
      <c r="F326" s="176">
        <v>3374.81</v>
      </c>
      <c r="G326" s="182" t="s">
        <v>195</v>
      </c>
      <c r="H326" s="174">
        <v>1</v>
      </c>
      <c r="I326" s="173">
        <v>851.46</v>
      </c>
      <c r="J326" s="174">
        <v>4.5</v>
      </c>
      <c r="K326" s="173">
        <v>3831.57</v>
      </c>
      <c r="Q326" s="160">
        <f>[2]Source!X246</f>
        <v>0</v>
      </c>
      <c r="R326" s="160">
        <f>[2]Source!X247</f>
        <v>0</v>
      </c>
      <c r="S326" s="160">
        <f>[2]Source!Y246</f>
        <v>0</v>
      </c>
      <c r="T326" s="160">
        <f>[2]Source!Y247</f>
        <v>0</v>
      </c>
      <c r="U326" s="160">
        <f>ROUND((175/100)*ROUND([2]Source!R246, 2), 2)</f>
        <v>0</v>
      </c>
      <c r="V326" s="160">
        <f>ROUND((157/100)*ROUND([2]Source!R247, 2), 2)</f>
        <v>0</v>
      </c>
    </row>
    <row r="327" spans="1:22" ht="57" x14ac:dyDescent="0.2">
      <c r="A327" s="179" t="s">
        <v>1649</v>
      </c>
      <c r="B327" s="178" t="s">
        <v>1616</v>
      </c>
      <c r="C327" s="178" t="s">
        <v>316</v>
      </c>
      <c r="D327" s="177" t="s">
        <v>1557</v>
      </c>
      <c r="E327" s="174">
        <v>67.28</v>
      </c>
      <c r="F327" s="176">
        <v>52.32</v>
      </c>
      <c r="G327" s="182" t="s">
        <v>195</v>
      </c>
      <c r="H327" s="174">
        <v>1</v>
      </c>
      <c r="I327" s="173">
        <v>3520.09</v>
      </c>
      <c r="J327" s="174">
        <v>4.84</v>
      </c>
      <c r="K327" s="173">
        <v>17037.240000000002</v>
      </c>
      <c r="Q327" s="160">
        <f>[2]Source!X248</f>
        <v>0</v>
      </c>
      <c r="R327" s="160">
        <f>[2]Source!X249</f>
        <v>0</v>
      </c>
      <c r="S327" s="160">
        <f>[2]Source!Y248</f>
        <v>0</v>
      </c>
      <c r="T327" s="160">
        <f>[2]Source!Y249</f>
        <v>0</v>
      </c>
      <c r="U327" s="160">
        <f>ROUND((175/100)*ROUND([2]Source!R248, 2), 2)</f>
        <v>0</v>
      </c>
      <c r="V327" s="160">
        <f>ROUND((157/100)*ROUND([2]Source!R249, 2), 2)</f>
        <v>0</v>
      </c>
    </row>
    <row r="328" spans="1:22" ht="14.25" x14ac:dyDescent="0.2">
      <c r="A328" s="179"/>
      <c r="B328" s="178"/>
      <c r="C328" s="178" t="s">
        <v>194</v>
      </c>
      <c r="D328" s="177" t="s">
        <v>187</v>
      </c>
      <c r="E328" s="174">
        <v>100</v>
      </c>
      <c r="F328" s="176"/>
      <c r="G328" s="175"/>
      <c r="H328" s="174"/>
      <c r="I328" s="173">
        <v>1053.95</v>
      </c>
      <c r="J328" s="174">
        <v>81</v>
      </c>
      <c r="K328" s="173">
        <v>19933.88</v>
      </c>
    </row>
    <row r="329" spans="1:22" ht="14.25" x14ac:dyDescent="0.2">
      <c r="A329" s="179"/>
      <c r="B329" s="178"/>
      <c r="C329" s="178" t="s">
        <v>193</v>
      </c>
      <c r="D329" s="177" t="s">
        <v>187</v>
      </c>
      <c r="E329" s="174">
        <v>64</v>
      </c>
      <c r="F329" s="176"/>
      <c r="G329" s="175"/>
      <c r="H329" s="174"/>
      <c r="I329" s="173">
        <v>674.53</v>
      </c>
      <c r="J329" s="174">
        <v>41</v>
      </c>
      <c r="K329" s="173">
        <v>10089.99</v>
      </c>
    </row>
    <row r="330" spans="1:22" ht="14.25" x14ac:dyDescent="0.2">
      <c r="A330" s="179"/>
      <c r="B330" s="178"/>
      <c r="C330" s="178" t="s">
        <v>188</v>
      </c>
      <c r="D330" s="177" t="s">
        <v>187</v>
      </c>
      <c r="E330" s="174">
        <v>175</v>
      </c>
      <c r="F330" s="176"/>
      <c r="G330" s="175"/>
      <c r="H330" s="174"/>
      <c r="I330" s="173">
        <v>5.67</v>
      </c>
      <c r="J330" s="174">
        <v>157</v>
      </c>
      <c r="K330" s="173">
        <v>118.77</v>
      </c>
    </row>
    <row r="331" spans="1:22" ht="14.25" x14ac:dyDescent="0.2">
      <c r="A331" s="172"/>
      <c r="B331" s="171"/>
      <c r="C331" s="171" t="s">
        <v>192</v>
      </c>
      <c r="D331" s="170" t="s">
        <v>191</v>
      </c>
      <c r="E331" s="167">
        <v>115.26</v>
      </c>
      <c r="F331" s="169"/>
      <c r="G331" s="168" t="s">
        <v>1548</v>
      </c>
      <c r="H331" s="167">
        <v>1</v>
      </c>
      <c r="I331" s="166">
        <v>89.18</v>
      </c>
      <c r="J331" s="167"/>
      <c r="K331" s="166"/>
    </row>
    <row r="332" spans="1:22" ht="15" x14ac:dyDescent="0.25">
      <c r="A332" s="164"/>
      <c r="B332" s="164"/>
      <c r="C332" s="165" t="s">
        <v>183</v>
      </c>
      <c r="D332" s="164"/>
      <c r="E332" s="164"/>
      <c r="F332" s="164"/>
      <c r="G332" s="164"/>
      <c r="H332" s="414">
        <v>7475.68</v>
      </c>
      <c r="I332" s="414"/>
      <c r="J332" s="414">
        <v>76977.38</v>
      </c>
      <c r="K332" s="414"/>
      <c r="O332" s="163">
        <f>I321+I322+I324+I328+I329+I330+SUM(I325:I327)</f>
        <v>7475.68</v>
      </c>
      <c r="P332" s="163">
        <f>K321+K322+K324+K328+K329+K330+SUM(K325:K327)</f>
        <v>76977.38</v>
      </c>
    </row>
    <row r="335" spans="1:22" ht="15" x14ac:dyDescent="0.25">
      <c r="A335" s="417" t="s">
        <v>1650</v>
      </c>
      <c r="B335" s="417"/>
      <c r="C335" s="417"/>
      <c r="D335" s="417"/>
      <c r="E335" s="417"/>
      <c r="F335" s="417"/>
      <c r="G335" s="417"/>
      <c r="H335" s="415">
        <v>1386831.42</v>
      </c>
      <c r="I335" s="416"/>
      <c r="J335" s="415">
        <v>14779403.52</v>
      </c>
      <c r="K335" s="416"/>
    </row>
    <row r="336" spans="1:22" hidden="1" x14ac:dyDescent="0.2">
      <c r="A336" s="160" t="s">
        <v>182</v>
      </c>
      <c r="I336" s="160">
        <v>0</v>
      </c>
      <c r="J336" s="160">
        <v>0</v>
      </c>
    </row>
    <row r="337" spans="1:22" hidden="1" x14ac:dyDescent="0.2">
      <c r="A337" s="160" t="s">
        <v>181</v>
      </c>
      <c r="I337" s="160">
        <v>0</v>
      </c>
      <c r="J337" s="160">
        <v>0</v>
      </c>
    </row>
    <row r="339" spans="1:22" ht="16.5" x14ac:dyDescent="0.25">
      <c r="A339" s="413" t="s">
        <v>1651</v>
      </c>
      <c r="B339" s="413"/>
      <c r="C339" s="413"/>
      <c r="D339" s="413"/>
      <c r="E339" s="413"/>
      <c r="F339" s="413"/>
      <c r="G339" s="413"/>
      <c r="H339" s="413"/>
      <c r="I339" s="413"/>
      <c r="J339" s="413"/>
      <c r="K339" s="413"/>
    </row>
    <row r="340" spans="1:22" ht="85.5" x14ac:dyDescent="0.2">
      <c r="A340" s="179" t="s">
        <v>1652</v>
      </c>
      <c r="B340" s="178" t="s">
        <v>315</v>
      </c>
      <c r="C340" s="178" t="s">
        <v>314</v>
      </c>
      <c r="D340" s="177" t="s">
        <v>1653</v>
      </c>
      <c r="E340" s="174">
        <v>6.9139999999999997</v>
      </c>
      <c r="F340" s="176"/>
      <c r="G340" s="175"/>
      <c r="H340" s="174"/>
      <c r="I340" s="173"/>
      <c r="J340" s="174"/>
      <c r="K340" s="173"/>
      <c r="Q340" s="160">
        <f>[2]Source!X285</f>
        <v>12580.8</v>
      </c>
      <c r="R340" s="160">
        <f>[2]Source!X286</f>
        <v>235654.89</v>
      </c>
      <c r="S340" s="160">
        <f>[2]Source!Y285</f>
        <v>9677.5400000000009</v>
      </c>
      <c r="T340" s="160">
        <f>[2]Source!Y286</f>
        <v>132354.12</v>
      </c>
      <c r="U340" s="160">
        <f>ROUND((175/100)*ROUND([2]Source!R285, 2), 2)</f>
        <v>510.44</v>
      </c>
      <c r="V340" s="160">
        <f>ROUND((157/100)*ROUND([2]Source!R286, 2), 2)</f>
        <v>10692.85</v>
      </c>
    </row>
    <row r="341" spans="1:22" x14ac:dyDescent="0.2">
      <c r="C341" s="181" t="s">
        <v>1654</v>
      </c>
    </row>
    <row r="342" spans="1:22" ht="14.25" x14ac:dyDescent="0.2">
      <c r="A342" s="179"/>
      <c r="B342" s="178"/>
      <c r="C342" s="178" t="s">
        <v>197</v>
      </c>
      <c r="D342" s="177"/>
      <c r="E342" s="174"/>
      <c r="F342" s="176">
        <v>1738.76</v>
      </c>
      <c r="G342" s="175" t="s">
        <v>1548</v>
      </c>
      <c r="H342" s="174">
        <v>1</v>
      </c>
      <c r="I342" s="173">
        <v>13825.05</v>
      </c>
      <c r="J342" s="174">
        <v>23.35</v>
      </c>
      <c r="K342" s="173">
        <v>322814.92</v>
      </c>
    </row>
    <row r="343" spans="1:22" ht="14.25" x14ac:dyDescent="0.2">
      <c r="A343" s="179"/>
      <c r="B343" s="178"/>
      <c r="C343" s="178" t="s">
        <v>184</v>
      </c>
      <c r="D343" s="177"/>
      <c r="E343" s="174"/>
      <c r="F343" s="176">
        <v>124.44</v>
      </c>
      <c r="G343" s="175" t="s">
        <v>1549</v>
      </c>
      <c r="H343" s="174">
        <v>1</v>
      </c>
      <c r="I343" s="173">
        <v>1075.47</v>
      </c>
      <c r="J343" s="174">
        <v>7.94</v>
      </c>
      <c r="K343" s="173">
        <v>8539.23</v>
      </c>
    </row>
    <row r="344" spans="1:22" ht="14.25" x14ac:dyDescent="0.2">
      <c r="A344" s="179"/>
      <c r="B344" s="178"/>
      <c r="C344" s="178" t="s">
        <v>189</v>
      </c>
      <c r="D344" s="177"/>
      <c r="E344" s="174"/>
      <c r="F344" s="176">
        <v>33.75</v>
      </c>
      <c r="G344" s="175" t="s">
        <v>1549</v>
      </c>
      <c r="H344" s="174">
        <v>1</v>
      </c>
      <c r="I344" s="180">
        <v>291.68</v>
      </c>
      <c r="J344" s="174">
        <v>23.35</v>
      </c>
      <c r="K344" s="180">
        <v>6810.73</v>
      </c>
    </row>
    <row r="345" spans="1:22" ht="14.25" x14ac:dyDescent="0.2">
      <c r="A345" s="179"/>
      <c r="B345" s="178"/>
      <c r="C345" s="178" t="s">
        <v>205</v>
      </c>
      <c r="D345" s="177"/>
      <c r="E345" s="174"/>
      <c r="F345" s="176">
        <v>2613.41</v>
      </c>
      <c r="G345" s="175" t="s">
        <v>195</v>
      </c>
      <c r="H345" s="174">
        <v>1</v>
      </c>
      <c r="I345" s="173">
        <v>18069.12</v>
      </c>
      <c r="J345" s="174">
        <v>3.94</v>
      </c>
      <c r="K345" s="173">
        <v>71192.33</v>
      </c>
    </row>
    <row r="346" spans="1:22" ht="57" x14ac:dyDescent="0.2">
      <c r="A346" s="179" t="s">
        <v>1655</v>
      </c>
      <c r="B346" s="178" t="s">
        <v>1551</v>
      </c>
      <c r="C346" s="178" t="s">
        <v>313</v>
      </c>
      <c r="D346" s="177" t="s">
        <v>1552</v>
      </c>
      <c r="E346" s="174">
        <v>808.93799999999999</v>
      </c>
      <c r="F346" s="176">
        <v>1.35</v>
      </c>
      <c r="G346" s="182" t="s">
        <v>195</v>
      </c>
      <c r="H346" s="174">
        <v>1</v>
      </c>
      <c r="I346" s="173">
        <v>1092.07</v>
      </c>
      <c r="J346" s="174">
        <v>6.36</v>
      </c>
      <c r="K346" s="173">
        <v>6945.57</v>
      </c>
      <c r="Q346" s="160">
        <f>[2]Source!X287</f>
        <v>0</v>
      </c>
      <c r="R346" s="160">
        <f>[2]Source!X288</f>
        <v>0</v>
      </c>
      <c r="S346" s="160">
        <f>[2]Source!Y287</f>
        <v>0</v>
      </c>
      <c r="T346" s="160">
        <f>[2]Source!Y288</f>
        <v>0</v>
      </c>
      <c r="U346" s="160">
        <f>ROUND((175/100)*ROUND([2]Source!R287, 2), 2)</f>
        <v>0</v>
      </c>
      <c r="V346" s="160">
        <f>ROUND((157/100)*ROUND([2]Source!R288, 2), 2)</f>
        <v>0</v>
      </c>
    </row>
    <row r="347" spans="1:22" ht="57" x14ac:dyDescent="0.2">
      <c r="A347" s="179" t="s">
        <v>1656</v>
      </c>
      <c r="B347" s="178" t="s">
        <v>1657</v>
      </c>
      <c r="C347" s="178" t="s">
        <v>312</v>
      </c>
      <c r="D347" s="177" t="s">
        <v>1552</v>
      </c>
      <c r="E347" s="174">
        <v>1756.1559999999999</v>
      </c>
      <c r="F347" s="176">
        <v>25.67</v>
      </c>
      <c r="G347" s="182" t="s">
        <v>195</v>
      </c>
      <c r="H347" s="174">
        <v>1</v>
      </c>
      <c r="I347" s="173">
        <v>45080.52</v>
      </c>
      <c r="J347" s="174">
        <v>3</v>
      </c>
      <c r="K347" s="173">
        <v>135241.56</v>
      </c>
      <c r="Q347" s="160">
        <f>[2]Source!X289</f>
        <v>0</v>
      </c>
      <c r="R347" s="160">
        <f>[2]Source!X290</f>
        <v>0</v>
      </c>
      <c r="S347" s="160">
        <f>[2]Source!Y289</f>
        <v>0</v>
      </c>
      <c r="T347" s="160">
        <f>[2]Source!Y290</f>
        <v>0</v>
      </c>
      <c r="U347" s="160">
        <f>ROUND((175/100)*ROUND([2]Source!R289, 2), 2)</f>
        <v>0</v>
      </c>
      <c r="V347" s="160">
        <f>ROUND((157/100)*ROUND([2]Source!R290, 2), 2)</f>
        <v>0</v>
      </c>
    </row>
    <row r="348" spans="1:22" ht="57" x14ac:dyDescent="0.2">
      <c r="A348" s="179" t="s">
        <v>1658</v>
      </c>
      <c r="B348" s="178" t="s">
        <v>1657</v>
      </c>
      <c r="C348" s="178" t="s">
        <v>312</v>
      </c>
      <c r="D348" s="177" t="s">
        <v>1552</v>
      </c>
      <c r="E348" s="174">
        <v>594.60400000000004</v>
      </c>
      <c r="F348" s="176">
        <v>25.67</v>
      </c>
      <c r="G348" s="182" t="s">
        <v>195</v>
      </c>
      <c r="H348" s="174">
        <v>1</v>
      </c>
      <c r="I348" s="173">
        <v>15263.48</v>
      </c>
      <c r="J348" s="174">
        <v>3</v>
      </c>
      <c r="K348" s="173">
        <v>45790.44</v>
      </c>
      <c r="Q348" s="160">
        <f>[2]Source!X291</f>
        <v>0</v>
      </c>
      <c r="R348" s="160">
        <f>[2]Source!X292</f>
        <v>0</v>
      </c>
      <c r="S348" s="160">
        <f>[2]Source!Y291</f>
        <v>0</v>
      </c>
      <c r="T348" s="160">
        <f>[2]Source!Y292</f>
        <v>0</v>
      </c>
      <c r="U348" s="160">
        <f>ROUND((175/100)*ROUND([2]Source!R291, 2), 2)</f>
        <v>0</v>
      </c>
      <c r="V348" s="160">
        <f>ROUND((157/100)*ROUND([2]Source!R292, 2), 2)</f>
        <v>0</v>
      </c>
    </row>
    <row r="349" spans="1:22" ht="57" x14ac:dyDescent="0.2">
      <c r="A349" s="179" t="s">
        <v>1659</v>
      </c>
      <c r="B349" s="178" t="s">
        <v>1660</v>
      </c>
      <c r="C349" s="178" t="s">
        <v>311</v>
      </c>
      <c r="D349" s="177" t="s">
        <v>1661</v>
      </c>
      <c r="E349" s="174">
        <v>193.59200000000001</v>
      </c>
      <c r="F349" s="176">
        <v>17.09</v>
      </c>
      <c r="G349" s="182" t="s">
        <v>195</v>
      </c>
      <c r="H349" s="174">
        <v>1</v>
      </c>
      <c r="I349" s="173">
        <v>3308.49</v>
      </c>
      <c r="J349" s="174">
        <v>3.23</v>
      </c>
      <c r="K349" s="173">
        <v>10686.42</v>
      </c>
      <c r="Q349" s="160">
        <f>[2]Source!X293</f>
        <v>0</v>
      </c>
      <c r="R349" s="160">
        <f>[2]Source!X294</f>
        <v>0</v>
      </c>
      <c r="S349" s="160">
        <f>[2]Source!Y293</f>
        <v>0</v>
      </c>
      <c r="T349" s="160">
        <f>[2]Source!Y294</f>
        <v>0</v>
      </c>
      <c r="U349" s="160">
        <f>ROUND((175/100)*ROUND([2]Source!R293, 2), 2)</f>
        <v>0</v>
      </c>
      <c r="V349" s="160">
        <f>ROUND((157/100)*ROUND([2]Source!R294, 2), 2)</f>
        <v>0</v>
      </c>
    </row>
    <row r="350" spans="1:22" ht="28.5" x14ac:dyDescent="0.2">
      <c r="A350" s="179" t="s">
        <v>1662</v>
      </c>
      <c r="B350" s="178" t="s">
        <v>1556</v>
      </c>
      <c r="C350" s="178" t="s">
        <v>310</v>
      </c>
      <c r="D350" s="177" t="s">
        <v>1557</v>
      </c>
      <c r="E350" s="174">
        <v>3104.386</v>
      </c>
      <c r="F350" s="176">
        <v>34.68</v>
      </c>
      <c r="G350" s="182" t="s">
        <v>195</v>
      </c>
      <c r="H350" s="174">
        <v>1</v>
      </c>
      <c r="I350" s="173">
        <v>107660.11</v>
      </c>
      <c r="J350" s="174">
        <v>1.73</v>
      </c>
      <c r="K350" s="173">
        <v>186251.99</v>
      </c>
      <c r="Q350" s="160">
        <f>[2]Source!X295</f>
        <v>0</v>
      </c>
      <c r="R350" s="160">
        <f>[2]Source!X296</f>
        <v>0</v>
      </c>
      <c r="S350" s="160">
        <f>[2]Source!Y295</f>
        <v>0</v>
      </c>
      <c r="T350" s="160">
        <f>[2]Source!Y296</f>
        <v>0</v>
      </c>
      <c r="U350" s="160">
        <f>ROUND((175/100)*ROUND([2]Source!R295, 2), 2)</f>
        <v>0</v>
      </c>
      <c r="V350" s="160">
        <f>ROUND((157/100)*ROUND([2]Source!R296, 2), 2)</f>
        <v>0</v>
      </c>
    </row>
    <row r="351" spans="1:22" ht="42.75" x14ac:dyDescent="0.2">
      <c r="A351" s="179" t="s">
        <v>1663</v>
      </c>
      <c r="B351" s="178" t="s">
        <v>1664</v>
      </c>
      <c r="C351" s="178" t="s">
        <v>309</v>
      </c>
      <c r="D351" s="177" t="s">
        <v>1594</v>
      </c>
      <c r="E351" s="174">
        <v>35.607100000000003</v>
      </c>
      <c r="F351" s="176">
        <v>806.26</v>
      </c>
      <c r="G351" s="182" t="s">
        <v>195</v>
      </c>
      <c r="H351" s="174">
        <v>1</v>
      </c>
      <c r="I351" s="173">
        <v>28708.58</v>
      </c>
      <c r="J351" s="174">
        <v>3.51</v>
      </c>
      <c r="K351" s="173">
        <v>100767.12</v>
      </c>
      <c r="Q351" s="160">
        <f>[2]Source!X297</f>
        <v>0</v>
      </c>
      <c r="R351" s="160">
        <f>[2]Source!X298</f>
        <v>0</v>
      </c>
      <c r="S351" s="160">
        <f>[2]Source!Y297</f>
        <v>0</v>
      </c>
      <c r="T351" s="160">
        <f>[2]Source!Y298</f>
        <v>0</v>
      </c>
      <c r="U351" s="160">
        <f>ROUND((175/100)*ROUND([2]Source!R297, 2), 2)</f>
        <v>0</v>
      </c>
      <c r="V351" s="160">
        <f>ROUND((157/100)*ROUND([2]Source!R298, 2), 2)</f>
        <v>0</v>
      </c>
    </row>
    <row r="352" spans="1:22" ht="14.25" x14ac:dyDescent="0.2">
      <c r="A352" s="179"/>
      <c r="B352" s="178"/>
      <c r="C352" s="178" t="s">
        <v>194</v>
      </c>
      <c r="D352" s="177" t="s">
        <v>187</v>
      </c>
      <c r="E352" s="174">
        <v>91</v>
      </c>
      <c r="F352" s="176"/>
      <c r="G352" s="175"/>
      <c r="H352" s="174"/>
      <c r="I352" s="173">
        <v>12580.8</v>
      </c>
      <c r="J352" s="174">
        <v>73</v>
      </c>
      <c r="K352" s="173">
        <v>235654.89</v>
      </c>
    </row>
    <row r="353" spans="1:22" ht="14.25" x14ac:dyDescent="0.2">
      <c r="A353" s="179"/>
      <c r="B353" s="178"/>
      <c r="C353" s="178" t="s">
        <v>193</v>
      </c>
      <c r="D353" s="177" t="s">
        <v>187</v>
      </c>
      <c r="E353" s="174">
        <v>70</v>
      </c>
      <c r="F353" s="176"/>
      <c r="G353" s="175"/>
      <c r="H353" s="174"/>
      <c r="I353" s="173">
        <v>9677.5400000000009</v>
      </c>
      <c r="J353" s="174">
        <v>41</v>
      </c>
      <c r="K353" s="173">
        <v>132354.12</v>
      </c>
    </row>
    <row r="354" spans="1:22" ht="14.25" x14ac:dyDescent="0.2">
      <c r="A354" s="179"/>
      <c r="B354" s="178"/>
      <c r="C354" s="178" t="s">
        <v>188</v>
      </c>
      <c r="D354" s="177" t="s">
        <v>187</v>
      </c>
      <c r="E354" s="174">
        <v>175</v>
      </c>
      <c r="F354" s="176"/>
      <c r="G354" s="175"/>
      <c r="H354" s="174"/>
      <c r="I354" s="173">
        <v>510.44</v>
      </c>
      <c r="J354" s="174">
        <v>157</v>
      </c>
      <c r="K354" s="173">
        <v>10692.85</v>
      </c>
    </row>
    <row r="355" spans="1:22" ht="14.25" x14ac:dyDescent="0.2">
      <c r="A355" s="172"/>
      <c r="B355" s="171"/>
      <c r="C355" s="171" t="s">
        <v>192</v>
      </c>
      <c r="D355" s="170" t="s">
        <v>191</v>
      </c>
      <c r="E355" s="167">
        <v>148.01</v>
      </c>
      <c r="F355" s="169"/>
      <c r="G355" s="168" t="s">
        <v>1548</v>
      </c>
      <c r="H355" s="167">
        <v>1</v>
      </c>
      <c r="I355" s="166">
        <v>1176.8399999999999</v>
      </c>
      <c r="J355" s="167"/>
      <c r="K355" s="166"/>
    </row>
    <row r="356" spans="1:22" ht="15" x14ac:dyDescent="0.25">
      <c r="A356" s="164"/>
      <c r="B356" s="164"/>
      <c r="C356" s="165" t="s">
        <v>183</v>
      </c>
      <c r="D356" s="164"/>
      <c r="E356" s="164"/>
      <c r="F356" s="164"/>
      <c r="G356" s="164"/>
      <c r="H356" s="414">
        <v>256851.67</v>
      </c>
      <c r="I356" s="414"/>
      <c r="J356" s="414">
        <v>1266931.44</v>
      </c>
      <c r="K356" s="414"/>
      <c r="O356" s="163">
        <f>I342+I343+I345+I352+I353+I354+SUM(I346:I351)</f>
        <v>256851.67</v>
      </c>
      <c r="P356" s="163">
        <f>K342+K343+K345+K352+K353+K354+SUM(K346:K351)</f>
        <v>1266931.44</v>
      </c>
    </row>
    <row r="358" spans="1:22" ht="52.5" x14ac:dyDescent="0.2">
      <c r="A358" s="179" t="s">
        <v>1665</v>
      </c>
      <c r="B358" s="178" t="s">
        <v>308</v>
      </c>
      <c r="C358" s="178" t="s">
        <v>307</v>
      </c>
      <c r="D358" s="177" t="s">
        <v>1529</v>
      </c>
      <c r="E358" s="174">
        <v>184.61199999999999</v>
      </c>
      <c r="F358" s="176"/>
      <c r="G358" s="175"/>
      <c r="H358" s="174"/>
      <c r="I358" s="173"/>
      <c r="J358" s="174"/>
      <c r="K358" s="173"/>
      <c r="Q358" s="160">
        <f>[2]Source!X299</f>
        <v>8135.5</v>
      </c>
      <c r="R358" s="160">
        <f>[2]Source!X300</f>
        <v>152388.65</v>
      </c>
      <c r="S358" s="160">
        <f>[2]Source!Y299</f>
        <v>6258.08</v>
      </c>
      <c r="T358" s="160">
        <f>[2]Source!Y300</f>
        <v>85588.14</v>
      </c>
      <c r="U358" s="160">
        <f>ROUND((175/100)*ROUND([2]Source!R299, 2), 2)</f>
        <v>0</v>
      </c>
      <c r="V358" s="160">
        <f>ROUND((157/100)*ROUND([2]Source!R300, 2), 2)</f>
        <v>0</v>
      </c>
    </row>
    <row r="359" spans="1:22" x14ac:dyDescent="0.2">
      <c r="C359" s="181" t="s">
        <v>1666</v>
      </c>
    </row>
    <row r="360" spans="1:22" ht="14.25" x14ac:dyDescent="0.2">
      <c r="A360" s="179"/>
      <c r="B360" s="178"/>
      <c r="C360" s="178" t="s">
        <v>197</v>
      </c>
      <c r="D360" s="177"/>
      <c r="E360" s="174"/>
      <c r="F360" s="176">
        <v>42.11</v>
      </c>
      <c r="G360" s="175" t="s">
        <v>1548</v>
      </c>
      <c r="H360" s="174">
        <v>1</v>
      </c>
      <c r="I360" s="173">
        <v>8940.11</v>
      </c>
      <c r="J360" s="174">
        <v>23.35</v>
      </c>
      <c r="K360" s="173">
        <v>208751.57</v>
      </c>
    </row>
    <row r="361" spans="1:22" ht="14.25" x14ac:dyDescent="0.2">
      <c r="A361" s="179"/>
      <c r="B361" s="178"/>
      <c r="C361" s="178" t="s">
        <v>205</v>
      </c>
      <c r="D361" s="177"/>
      <c r="E361" s="174"/>
      <c r="F361" s="176">
        <v>3.07</v>
      </c>
      <c r="G361" s="175" t="s">
        <v>195</v>
      </c>
      <c r="H361" s="174">
        <v>1</v>
      </c>
      <c r="I361" s="173">
        <v>566.76</v>
      </c>
      <c r="J361" s="174">
        <v>4.0599999999999996</v>
      </c>
      <c r="K361" s="173">
        <v>2301.0500000000002</v>
      </c>
    </row>
    <row r="362" spans="1:22" ht="28.5" x14ac:dyDescent="0.2">
      <c r="A362" s="179" t="s">
        <v>1667</v>
      </c>
      <c r="B362" s="178" t="s">
        <v>1598</v>
      </c>
      <c r="C362" s="178" t="s">
        <v>272</v>
      </c>
      <c r="D362" s="177" t="s">
        <v>1594</v>
      </c>
      <c r="E362" s="174">
        <v>20.307320000000001</v>
      </c>
      <c r="F362" s="176">
        <v>481.69</v>
      </c>
      <c r="G362" s="182" t="s">
        <v>195</v>
      </c>
      <c r="H362" s="174">
        <v>1</v>
      </c>
      <c r="I362" s="173">
        <v>9781.83</v>
      </c>
      <c r="J362" s="174">
        <v>6.45</v>
      </c>
      <c r="K362" s="173">
        <v>63092.800000000003</v>
      </c>
      <c r="Q362" s="160">
        <f>[2]Source!X301</f>
        <v>0</v>
      </c>
      <c r="R362" s="160">
        <f>[2]Source!X302</f>
        <v>0</v>
      </c>
      <c r="S362" s="160">
        <f>[2]Source!Y301</f>
        <v>0</v>
      </c>
      <c r="T362" s="160">
        <f>[2]Source!Y302</f>
        <v>0</v>
      </c>
      <c r="U362" s="160">
        <f>ROUND((175/100)*ROUND([2]Source!R301, 2), 2)</f>
        <v>0</v>
      </c>
      <c r="V362" s="160">
        <f>ROUND((157/100)*ROUND([2]Source!R302, 2), 2)</f>
        <v>0</v>
      </c>
    </row>
    <row r="363" spans="1:22" ht="14.25" x14ac:dyDescent="0.2">
      <c r="A363" s="179" t="s">
        <v>1668</v>
      </c>
      <c r="B363" s="178" t="s">
        <v>1669</v>
      </c>
      <c r="C363" s="178" t="s">
        <v>306</v>
      </c>
      <c r="D363" s="177" t="s">
        <v>1594</v>
      </c>
      <c r="E363" s="174">
        <v>169.84304</v>
      </c>
      <c r="F363" s="176">
        <v>1181.2</v>
      </c>
      <c r="G363" s="182" t="s">
        <v>195</v>
      </c>
      <c r="H363" s="174">
        <v>1</v>
      </c>
      <c r="I363" s="173">
        <v>200618.6</v>
      </c>
      <c r="J363" s="174">
        <v>2.0699999999999998</v>
      </c>
      <c r="K363" s="173">
        <v>415280.5</v>
      </c>
      <c r="Q363" s="160">
        <f>[2]Source!X303</f>
        <v>0</v>
      </c>
      <c r="R363" s="160">
        <f>[2]Source!X304</f>
        <v>0</v>
      </c>
      <c r="S363" s="160">
        <f>[2]Source!Y303</f>
        <v>0</v>
      </c>
      <c r="T363" s="160">
        <f>[2]Source!Y304</f>
        <v>0</v>
      </c>
      <c r="U363" s="160">
        <f>ROUND((175/100)*ROUND([2]Source!R303, 2), 2)</f>
        <v>0</v>
      </c>
      <c r="V363" s="160">
        <f>ROUND((157/100)*ROUND([2]Source!R304, 2), 2)</f>
        <v>0</v>
      </c>
    </row>
    <row r="364" spans="1:22" ht="14.25" x14ac:dyDescent="0.2">
      <c r="A364" s="179"/>
      <c r="B364" s="178"/>
      <c r="C364" s="178" t="s">
        <v>194</v>
      </c>
      <c r="D364" s="177" t="s">
        <v>187</v>
      </c>
      <c r="E364" s="174">
        <v>91</v>
      </c>
      <c r="F364" s="176"/>
      <c r="G364" s="175"/>
      <c r="H364" s="174"/>
      <c r="I364" s="173">
        <v>8135.5</v>
      </c>
      <c r="J364" s="174">
        <v>73</v>
      </c>
      <c r="K364" s="173">
        <v>152388.65</v>
      </c>
    </row>
    <row r="365" spans="1:22" ht="14.25" x14ac:dyDescent="0.2">
      <c r="A365" s="179"/>
      <c r="B365" s="178"/>
      <c r="C365" s="178" t="s">
        <v>193</v>
      </c>
      <c r="D365" s="177" t="s">
        <v>187</v>
      </c>
      <c r="E365" s="174">
        <v>70</v>
      </c>
      <c r="F365" s="176"/>
      <c r="G365" s="175"/>
      <c r="H365" s="174"/>
      <c r="I365" s="173">
        <v>6258.08</v>
      </c>
      <c r="J365" s="174">
        <v>41</v>
      </c>
      <c r="K365" s="173">
        <v>85588.14</v>
      </c>
    </row>
    <row r="366" spans="1:22" ht="14.25" x14ac:dyDescent="0.2">
      <c r="A366" s="172"/>
      <c r="B366" s="171"/>
      <c r="C366" s="171" t="s">
        <v>192</v>
      </c>
      <c r="D366" s="170" t="s">
        <v>191</v>
      </c>
      <c r="E366" s="167">
        <v>3.72</v>
      </c>
      <c r="F366" s="169"/>
      <c r="G366" s="168" t="s">
        <v>1548</v>
      </c>
      <c r="H366" s="167">
        <v>1</v>
      </c>
      <c r="I366" s="166">
        <v>789.77</v>
      </c>
      <c r="J366" s="167"/>
      <c r="K366" s="166"/>
    </row>
    <row r="367" spans="1:22" ht="15" x14ac:dyDescent="0.25">
      <c r="A367" s="164"/>
      <c r="B367" s="164"/>
      <c r="C367" s="165" t="s">
        <v>183</v>
      </c>
      <c r="D367" s="164"/>
      <c r="E367" s="164"/>
      <c r="F367" s="164"/>
      <c r="G367" s="164"/>
      <c r="H367" s="414">
        <v>234300.88</v>
      </c>
      <c r="I367" s="414"/>
      <c r="J367" s="414">
        <v>927402.71</v>
      </c>
      <c r="K367" s="414"/>
      <c r="O367" s="163">
        <f>I360+I361+I364+I365+SUM(I362:I363)</f>
        <v>234300.88</v>
      </c>
      <c r="P367" s="163">
        <f>K360+K361+K364+K365+SUM(K362:K363)</f>
        <v>927402.71</v>
      </c>
    </row>
    <row r="370" spans="1:22" ht="15" x14ac:dyDescent="0.25">
      <c r="A370" s="417" t="s">
        <v>1670</v>
      </c>
      <c r="B370" s="417"/>
      <c r="C370" s="417"/>
      <c r="D370" s="417"/>
      <c r="E370" s="417"/>
      <c r="F370" s="417"/>
      <c r="G370" s="417"/>
      <c r="H370" s="415">
        <v>491152.55</v>
      </c>
      <c r="I370" s="416"/>
      <c r="J370" s="415">
        <v>2194334.15</v>
      </c>
      <c r="K370" s="416"/>
    </row>
    <row r="371" spans="1:22" hidden="1" x14ac:dyDescent="0.2">
      <c r="A371" s="160" t="s">
        <v>182</v>
      </c>
      <c r="I371" s="160">
        <v>0</v>
      </c>
      <c r="J371" s="160">
        <v>0</v>
      </c>
    </row>
    <row r="372" spans="1:22" hidden="1" x14ac:dyDescent="0.2">
      <c r="A372" s="160" t="s">
        <v>181</v>
      </c>
      <c r="I372" s="160">
        <v>0</v>
      </c>
      <c r="J372" s="160">
        <v>0</v>
      </c>
    </row>
    <row r="374" spans="1:22" ht="16.5" x14ac:dyDescent="0.25">
      <c r="A374" s="413" t="s">
        <v>1671</v>
      </c>
      <c r="B374" s="413"/>
      <c r="C374" s="413"/>
      <c r="D374" s="413"/>
      <c r="E374" s="413"/>
      <c r="F374" s="413"/>
      <c r="G374" s="413"/>
      <c r="H374" s="413"/>
      <c r="I374" s="413"/>
      <c r="J374" s="413"/>
      <c r="K374" s="413"/>
    </row>
    <row r="375" spans="1:22" ht="52.5" x14ac:dyDescent="0.2">
      <c r="A375" s="179" t="s">
        <v>1672</v>
      </c>
      <c r="B375" s="178" t="s">
        <v>305</v>
      </c>
      <c r="C375" s="178" t="s">
        <v>304</v>
      </c>
      <c r="D375" s="177" t="s">
        <v>1673</v>
      </c>
      <c r="E375" s="174">
        <v>12.132099999999999</v>
      </c>
      <c r="F375" s="176"/>
      <c r="G375" s="175"/>
      <c r="H375" s="174"/>
      <c r="I375" s="173"/>
      <c r="J375" s="174"/>
      <c r="K375" s="173"/>
      <c r="Q375" s="160">
        <f>[2]Source!X340</f>
        <v>1163.55</v>
      </c>
      <c r="R375" s="160">
        <f>[2]Source!X341</f>
        <v>22205.38</v>
      </c>
      <c r="S375" s="160">
        <f>[2]Source!Y340</f>
        <v>783.16</v>
      </c>
      <c r="T375" s="160">
        <f>[2]Source!Y341</f>
        <v>10710.83</v>
      </c>
      <c r="U375" s="160">
        <f>ROUND((175/100)*ROUND([2]Source!R340, 2), 2)</f>
        <v>16.989999999999998</v>
      </c>
      <c r="V375" s="160">
        <f>ROUND((157/100)*ROUND([2]Source!R341, 2), 2)</f>
        <v>355.97</v>
      </c>
    </row>
    <row r="376" spans="1:22" x14ac:dyDescent="0.2">
      <c r="C376" s="181" t="s">
        <v>1674</v>
      </c>
    </row>
    <row r="377" spans="1:22" ht="14.25" x14ac:dyDescent="0.2">
      <c r="A377" s="179"/>
      <c r="B377" s="178"/>
      <c r="C377" s="178" t="s">
        <v>197</v>
      </c>
      <c r="D377" s="177"/>
      <c r="E377" s="174"/>
      <c r="F377" s="176">
        <v>80.19</v>
      </c>
      <c r="G377" s="175" t="s">
        <v>1548</v>
      </c>
      <c r="H377" s="174">
        <v>1</v>
      </c>
      <c r="I377" s="173">
        <v>1118.8</v>
      </c>
      <c r="J377" s="174">
        <v>23.35</v>
      </c>
      <c r="K377" s="173">
        <v>26123.98</v>
      </c>
    </row>
    <row r="378" spans="1:22" ht="14.25" x14ac:dyDescent="0.2">
      <c r="A378" s="179"/>
      <c r="B378" s="178"/>
      <c r="C378" s="178" t="s">
        <v>184</v>
      </c>
      <c r="D378" s="177"/>
      <c r="E378" s="174"/>
      <c r="F378" s="176">
        <v>6.73</v>
      </c>
      <c r="G378" s="175" t="s">
        <v>1549</v>
      </c>
      <c r="H378" s="174">
        <v>1</v>
      </c>
      <c r="I378" s="173">
        <v>102.06</v>
      </c>
      <c r="J378" s="174">
        <v>10.54</v>
      </c>
      <c r="K378" s="173">
        <v>1075.71</v>
      </c>
    </row>
    <row r="379" spans="1:22" ht="14.25" x14ac:dyDescent="0.2">
      <c r="A379" s="179"/>
      <c r="B379" s="178"/>
      <c r="C379" s="178" t="s">
        <v>189</v>
      </c>
      <c r="D379" s="177"/>
      <c r="E379" s="174"/>
      <c r="F379" s="176">
        <v>0.64</v>
      </c>
      <c r="G379" s="175" t="s">
        <v>1549</v>
      </c>
      <c r="H379" s="174">
        <v>1</v>
      </c>
      <c r="I379" s="180">
        <v>9.7100000000000009</v>
      </c>
      <c r="J379" s="174">
        <v>23.35</v>
      </c>
      <c r="K379" s="180">
        <v>226.73</v>
      </c>
    </row>
    <row r="380" spans="1:22" ht="14.25" x14ac:dyDescent="0.2">
      <c r="A380" s="179"/>
      <c r="B380" s="178"/>
      <c r="C380" s="178" t="s">
        <v>205</v>
      </c>
      <c r="D380" s="177"/>
      <c r="E380" s="174"/>
      <c r="F380" s="176">
        <v>196.67</v>
      </c>
      <c r="G380" s="175" t="s">
        <v>195</v>
      </c>
      <c r="H380" s="174">
        <v>1</v>
      </c>
      <c r="I380" s="173">
        <v>2386.02</v>
      </c>
      <c r="J380" s="174">
        <v>1.45</v>
      </c>
      <c r="K380" s="173">
        <v>3459.73</v>
      </c>
    </row>
    <row r="381" spans="1:22" ht="28.5" x14ac:dyDescent="0.2">
      <c r="A381" s="179" t="s">
        <v>1675</v>
      </c>
      <c r="B381" s="178" t="s">
        <v>1676</v>
      </c>
      <c r="C381" s="178" t="s">
        <v>303</v>
      </c>
      <c r="D381" s="177" t="s">
        <v>1536</v>
      </c>
      <c r="E381" s="174">
        <v>2.1</v>
      </c>
      <c r="F381" s="176">
        <v>153.49</v>
      </c>
      <c r="G381" s="182" t="s">
        <v>195</v>
      </c>
      <c r="H381" s="174">
        <v>1</v>
      </c>
      <c r="I381" s="173">
        <v>322.33</v>
      </c>
      <c r="J381" s="174">
        <v>3.46</v>
      </c>
      <c r="K381" s="173">
        <v>1115.26</v>
      </c>
      <c r="Q381" s="160">
        <f>[2]Source!X342</f>
        <v>0</v>
      </c>
      <c r="R381" s="160">
        <f>[2]Source!X343</f>
        <v>0</v>
      </c>
      <c r="S381" s="160">
        <f>[2]Source!Y342</f>
        <v>0</v>
      </c>
      <c r="T381" s="160">
        <f>[2]Source!Y343</f>
        <v>0</v>
      </c>
      <c r="U381" s="160">
        <f>ROUND((175/100)*ROUND([2]Source!R342, 2), 2)</f>
        <v>0</v>
      </c>
      <c r="V381" s="160">
        <f>ROUND((157/100)*ROUND([2]Source!R343, 2), 2)</f>
        <v>0</v>
      </c>
    </row>
    <row r="382" spans="1:22" ht="28.5" x14ac:dyDescent="0.2">
      <c r="A382" s="179" t="s">
        <v>1677</v>
      </c>
      <c r="B382" s="178" t="s">
        <v>1678</v>
      </c>
      <c r="C382" s="178" t="s">
        <v>302</v>
      </c>
      <c r="D382" s="177" t="s">
        <v>1536</v>
      </c>
      <c r="E382" s="174">
        <v>2.1</v>
      </c>
      <c r="F382" s="176">
        <v>136.44</v>
      </c>
      <c r="G382" s="182" t="s">
        <v>195</v>
      </c>
      <c r="H382" s="174">
        <v>1</v>
      </c>
      <c r="I382" s="173">
        <v>286.52</v>
      </c>
      <c r="J382" s="174">
        <v>4.9800000000000004</v>
      </c>
      <c r="K382" s="173">
        <v>1426.87</v>
      </c>
      <c r="Q382" s="160">
        <f>[2]Source!X344</f>
        <v>0</v>
      </c>
      <c r="R382" s="160">
        <f>[2]Source!X345</f>
        <v>0</v>
      </c>
      <c r="S382" s="160">
        <f>[2]Source!Y344</f>
        <v>0</v>
      </c>
      <c r="T382" s="160">
        <f>[2]Source!Y345</f>
        <v>0</v>
      </c>
      <c r="U382" s="160">
        <f>ROUND((175/100)*ROUND([2]Source!R344, 2), 2)</f>
        <v>0</v>
      </c>
      <c r="V382" s="160">
        <f>ROUND((157/100)*ROUND([2]Source!R345, 2), 2)</f>
        <v>0</v>
      </c>
    </row>
    <row r="383" spans="1:22" ht="28.5" x14ac:dyDescent="0.2">
      <c r="A383" s="179" t="s">
        <v>1679</v>
      </c>
      <c r="B383" s="178" t="s">
        <v>1680</v>
      </c>
      <c r="C383" s="178" t="s">
        <v>301</v>
      </c>
      <c r="D383" s="177" t="s">
        <v>1536</v>
      </c>
      <c r="E383" s="174">
        <v>2.1</v>
      </c>
      <c r="F383" s="176">
        <v>170.56</v>
      </c>
      <c r="G383" s="182" t="s">
        <v>195</v>
      </c>
      <c r="H383" s="174">
        <v>1</v>
      </c>
      <c r="I383" s="173">
        <v>358.18</v>
      </c>
      <c r="J383" s="174">
        <v>3.32</v>
      </c>
      <c r="K383" s="173">
        <v>1189.1600000000001</v>
      </c>
      <c r="Q383" s="160">
        <f>[2]Source!X346</f>
        <v>0</v>
      </c>
      <c r="R383" s="160">
        <f>[2]Source!X347</f>
        <v>0</v>
      </c>
      <c r="S383" s="160">
        <f>[2]Source!Y346</f>
        <v>0</v>
      </c>
      <c r="T383" s="160">
        <f>[2]Source!Y347</f>
        <v>0</v>
      </c>
      <c r="U383" s="160">
        <f>ROUND((175/100)*ROUND([2]Source!R346, 2), 2)</f>
        <v>0</v>
      </c>
      <c r="V383" s="160">
        <f>ROUND((157/100)*ROUND([2]Source!R347, 2), 2)</f>
        <v>0</v>
      </c>
    </row>
    <row r="384" spans="1:22" ht="28.5" x14ac:dyDescent="0.2">
      <c r="A384" s="179" t="s">
        <v>1681</v>
      </c>
      <c r="B384" s="178" t="s">
        <v>1682</v>
      </c>
      <c r="C384" s="178" t="s">
        <v>300</v>
      </c>
      <c r="D384" s="177" t="s">
        <v>1536</v>
      </c>
      <c r="E384" s="174">
        <v>2.1</v>
      </c>
      <c r="F384" s="176">
        <v>170.58</v>
      </c>
      <c r="G384" s="182" t="s">
        <v>195</v>
      </c>
      <c r="H384" s="174">
        <v>1</v>
      </c>
      <c r="I384" s="173">
        <v>358.22</v>
      </c>
      <c r="J384" s="174">
        <v>3.09</v>
      </c>
      <c r="K384" s="173">
        <v>1106.9000000000001</v>
      </c>
      <c r="Q384" s="160">
        <f>[2]Source!X348</f>
        <v>0</v>
      </c>
      <c r="R384" s="160">
        <f>[2]Source!X349</f>
        <v>0</v>
      </c>
      <c r="S384" s="160">
        <f>[2]Source!Y348</f>
        <v>0</v>
      </c>
      <c r="T384" s="160">
        <f>[2]Source!Y349</f>
        <v>0</v>
      </c>
      <c r="U384" s="160">
        <f>ROUND((175/100)*ROUND([2]Source!R348, 2), 2)</f>
        <v>0</v>
      </c>
      <c r="V384" s="160">
        <f>ROUND((157/100)*ROUND([2]Source!R349, 2), 2)</f>
        <v>0</v>
      </c>
    </row>
    <row r="385" spans="1:22" ht="28.5" x14ac:dyDescent="0.2">
      <c r="A385" s="179" t="s">
        <v>1683</v>
      </c>
      <c r="B385" s="178" t="s">
        <v>1684</v>
      </c>
      <c r="C385" s="178" t="s">
        <v>299</v>
      </c>
      <c r="D385" s="177" t="s">
        <v>1552</v>
      </c>
      <c r="E385" s="174">
        <v>1225.3421000000001</v>
      </c>
      <c r="F385" s="176">
        <v>22.18</v>
      </c>
      <c r="G385" s="182" t="s">
        <v>195</v>
      </c>
      <c r="H385" s="174">
        <v>1</v>
      </c>
      <c r="I385" s="173">
        <v>27178.09</v>
      </c>
      <c r="J385" s="174">
        <v>1.57</v>
      </c>
      <c r="K385" s="173">
        <v>42669.599999999999</v>
      </c>
      <c r="Q385" s="160">
        <f>[2]Source!X350</f>
        <v>0</v>
      </c>
      <c r="R385" s="160">
        <f>[2]Source!X351</f>
        <v>0</v>
      </c>
      <c r="S385" s="160">
        <f>[2]Source!Y350</f>
        <v>0</v>
      </c>
      <c r="T385" s="160">
        <f>[2]Source!Y351</f>
        <v>0</v>
      </c>
      <c r="U385" s="160">
        <f>ROUND((175/100)*ROUND([2]Source!R350, 2), 2)</f>
        <v>0</v>
      </c>
      <c r="V385" s="160">
        <f>ROUND((157/100)*ROUND([2]Source!R351, 2), 2)</f>
        <v>0</v>
      </c>
    </row>
    <row r="386" spans="1:22" ht="14.25" x14ac:dyDescent="0.2">
      <c r="A386" s="179"/>
      <c r="B386" s="178"/>
      <c r="C386" s="178" t="s">
        <v>194</v>
      </c>
      <c r="D386" s="177" t="s">
        <v>187</v>
      </c>
      <c r="E386" s="174">
        <v>104</v>
      </c>
      <c r="F386" s="176"/>
      <c r="G386" s="175"/>
      <c r="H386" s="174"/>
      <c r="I386" s="173">
        <v>1163.55</v>
      </c>
      <c r="J386" s="174">
        <v>85</v>
      </c>
      <c r="K386" s="173">
        <v>22205.38</v>
      </c>
    </row>
    <row r="387" spans="1:22" ht="14.25" x14ac:dyDescent="0.2">
      <c r="A387" s="179"/>
      <c r="B387" s="178"/>
      <c r="C387" s="178" t="s">
        <v>193</v>
      </c>
      <c r="D387" s="177" t="s">
        <v>187</v>
      </c>
      <c r="E387" s="174">
        <v>70</v>
      </c>
      <c r="F387" s="176"/>
      <c r="G387" s="175"/>
      <c r="H387" s="174"/>
      <c r="I387" s="173">
        <v>783.16</v>
      </c>
      <c r="J387" s="174">
        <v>41</v>
      </c>
      <c r="K387" s="173">
        <v>10710.83</v>
      </c>
    </row>
    <row r="388" spans="1:22" ht="14.25" x14ac:dyDescent="0.2">
      <c r="A388" s="179"/>
      <c r="B388" s="178"/>
      <c r="C388" s="178" t="s">
        <v>188</v>
      </c>
      <c r="D388" s="177" t="s">
        <v>187</v>
      </c>
      <c r="E388" s="174">
        <v>175</v>
      </c>
      <c r="F388" s="176"/>
      <c r="G388" s="175"/>
      <c r="H388" s="174"/>
      <c r="I388" s="173">
        <v>16.989999999999998</v>
      </c>
      <c r="J388" s="174">
        <v>157</v>
      </c>
      <c r="K388" s="173">
        <v>355.97</v>
      </c>
    </row>
    <row r="389" spans="1:22" ht="14.25" x14ac:dyDescent="0.2">
      <c r="A389" s="172"/>
      <c r="B389" s="171"/>
      <c r="C389" s="171" t="s">
        <v>192</v>
      </c>
      <c r="D389" s="170" t="s">
        <v>191</v>
      </c>
      <c r="E389" s="167">
        <v>6.66</v>
      </c>
      <c r="F389" s="169"/>
      <c r="G389" s="168" t="s">
        <v>1548</v>
      </c>
      <c r="H389" s="167">
        <v>1</v>
      </c>
      <c r="I389" s="166">
        <v>92.92</v>
      </c>
      <c r="J389" s="167"/>
      <c r="K389" s="166"/>
    </row>
    <row r="390" spans="1:22" ht="15" x14ac:dyDescent="0.25">
      <c r="A390" s="164"/>
      <c r="B390" s="164"/>
      <c r="C390" s="165" t="s">
        <v>183</v>
      </c>
      <c r="D390" s="164"/>
      <c r="E390" s="164"/>
      <c r="F390" s="164"/>
      <c r="G390" s="164"/>
      <c r="H390" s="414">
        <v>34073.919999999998</v>
      </c>
      <c r="I390" s="414"/>
      <c r="J390" s="414">
        <v>111439.39</v>
      </c>
      <c r="K390" s="414"/>
      <c r="O390" s="163">
        <f>I377+I378+I380+I386+I387+I388+SUM(I381:I385)</f>
        <v>34073.919999999998</v>
      </c>
      <c r="P390" s="163">
        <f>K377+K378+K380+K386+K387+K388+SUM(K381:K385)</f>
        <v>111439.39</v>
      </c>
    </row>
    <row r="392" spans="1:22" ht="52.5" x14ac:dyDescent="0.2">
      <c r="A392" s="179" t="s">
        <v>1685</v>
      </c>
      <c r="B392" s="178" t="s">
        <v>298</v>
      </c>
      <c r="C392" s="178" t="s">
        <v>297</v>
      </c>
      <c r="D392" s="177" t="s">
        <v>1686</v>
      </c>
      <c r="E392" s="174">
        <v>5.7140000000000004</v>
      </c>
      <c r="F392" s="176"/>
      <c r="G392" s="175"/>
      <c r="H392" s="174"/>
      <c r="I392" s="173"/>
      <c r="J392" s="174"/>
      <c r="K392" s="173"/>
      <c r="Q392" s="160">
        <f>[2]Source!X352</f>
        <v>2456.25</v>
      </c>
      <c r="R392" s="160">
        <f>[2]Source!X353</f>
        <v>46875.43</v>
      </c>
      <c r="S392" s="160">
        <f>[2]Source!Y352</f>
        <v>1653.25</v>
      </c>
      <c r="T392" s="160">
        <f>[2]Source!Y353</f>
        <v>22610.5</v>
      </c>
      <c r="U392" s="160">
        <f>ROUND((175/100)*ROUND([2]Source!R352, 2), 2)</f>
        <v>5.13</v>
      </c>
      <c r="V392" s="160">
        <f>ROUND((157/100)*ROUND([2]Source!R353, 2), 2)</f>
        <v>107.42</v>
      </c>
    </row>
    <row r="393" spans="1:22" x14ac:dyDescent="0.2">
      <c r="C393" s="181" t="s">
        <v>1687</v>
      </c>
    </row>
    <row r="394" spans="1:22" ht="14.25" x14ac:dyDescent="0.2">
      <c r="A394" s="179"/>
      <c r="B394" s="178"/>
      <c r="C394" s="178" t="s">
        <v>197</v>
      </c>
      <c r="D394" s="177"/>
      <c r="E394" s="174"/>
      <c r="F394" s="176">
        <v>359.42</v>
      </c>
      <c r="G394" s="175" t="s">
        <v>1548</v>
      </c>
      <c r="H394" s="174">
        <v>1</v>
      </c>
      <c r="I394" s="173">
        <v>2361.7800000000002</v>
      </c>
      <c r="J394" s="174">
        <v>23.35</v>
      </c>
      <c r="K394" s="173">
        <v>55147.56</v>
      </c>
    </row>
    <row r="395" spans="1:22" ht="14.25" x14ac:dyDescent="0.2">
      <c r="A395" s="179"/>
      <c r="B395" s="178"/>
      <c r="C395" s="178" t="s">
        <v>184</v>
      </c>
      <c r="D395" s="177"/>
      <c r="E395" s="174"/>
      <c r="F395" s="176">
        <v>2.36</v>
      </c>
      <c r="G395" s="175" t="s">
        <v>1549</v>
      </c>
      <c r="H395" s="174">
        <v>1</v>
      </c>
      <c r="I395" s="173">
        <v>16.86</v>
      </c>
      <c r="J395" s="174">
        <v>9.5500000000000007</v>
      </c>
      <c r="K395" s="173">
        <v>161.01</v>
      </c>
    </row>
    <row r="396" spans="1:22" ht="14.25" x14ac:dyDescent="0.2">
      <c r="A396" s="179"/>
      <c r="B396" s="178"/>
      <c r="C396" s="178" t="s">
        <v>189</v>
      </c>
      <c r="D396" s="177"/>
      <c r="E396" s="174"/>
      <c r="F396" s="176">
        <v>0.41</v>
      </c>
      <c r="G396" s="175" t="s">
        <v>1549</v>
      </c>
      <c r="H396" s="174">
        <v>1</v>
      </c>
      <c r="I396" s="180">
        <v>2.93</v>
      </c>
      <c r="J396" s="174">
        <v>23.35</v>
      </c>
      <c r="K396" s="180">
        <v>68.42</v>
      </c>
    </row>
    <row r="397" spans="1:22" ht="14.25" x14ac:dyDescent="0.2">
      <c r="A397" s="179"/>
      <c r="B397" s="178"/>
      <c r="C397" s="178" t="s">
        <v>205</v>
      </c>
      <c r="D397" s="177"/>
      <c r="E397" s="174"/>
      <c r="F397" s="176">
        <v>7.0000000000000007E-2</v>
      </c>
      <c r="G397" s="175" t="s">
        <v>195</v>
      </c>
      <c r="H397" s="174">
        <v>1</v>
      </c>
      <c r="I397" s="173">
        <v>0.4</v>
      </c>
      <c r="J397" s="174">
        <v>4.8600000000000003</v>
      </c>
      <c r="K397" s="173">
        <v>1.94</v>
      </c>
    </row>
    <row r="398" spans="1:22" ht="28.5" x14ac:dyDescent="0.2">
      <c r="A398" s="179" t="s">
        <v>1688</v>
      </c>
      <c r="B398" s="178" t="s">
        <v>1689</v>
      </c>
      <c r="C398" s="178" t="s">
        <v>296</v>
      </c>
      <c r="D398" s="177" t="s">
        <v>1584</v>
      </c>
      <c r="E398" s="174">
        <v>34.283999999999999</v>
      </c>
      <c r="F398" s="176">
        <v>16.64</v>
      </c>
      <c r="G398" s="182" t="s">
        <v>195</v>
      </c>
      <c r="H398" s="174">
        <v>1</v>
      </c>
      <c r="I398" s="173">
        <v>570.49</v>
      </c>
      <c r="J398" s="174">
        <v>2.5499999999999998</v>
      </c>
      <c r="K398" s="173">
        <v>1454.75</v>
      </c>
      <c r="Q398" s="160">
        <f>[2]Source!X354</f>
        <v>0</v>
      </c>
      <c r="R398" s="160">
        <f>[2]Source!X355</f>
        <v>0</v>
      </c>
      <c r="S398" s="160">
        <f>[2]Source!Y354</f>
        <v>0</v>
      </c>
      <c r="T398" s="160">
        <f>[2]Source!Y355</f>
        <v>0</v>
      </c>
      <c r="U398" s="160">
        <f>ROUND((175/100)*ROUND([2]Source!R354, 2), 2)</f>
        <v>0</v>
      </c>
      <c r="V398" s="160">
        <f>ROUND((157/100)*ROUND([2]Source!R355, 2), 2)</f>
        <v>0</v>
      </c>
    </row>
    <row r="399" spans="1:22" ht="99.75" x14ac:dyDescent="0.2">
      <c r="A399" s="179" t="s">
        <v>1690</v>
      </c>
      <c r="B399" s="178" t="s">
        <v>1691</v>
      </c>
      <c r="C399" s="178" t="s">
        <v>295</v>
      </c>
      <c r="D399" s="177" t="s">
        <v>1533</v>
      </c>
      <c r="E399" s="174">
        <v>0.245702</v>
      </c>
      <c r="F399" s="176">
        <v>3971.63</v>
      </c>
      <c r="G399" s="182" t="s">
        <v>195</v>
      </c>
      <c r="H399" s="174">
        <v>1</v>
      </c>
      <c r="I399" s="173">
        <v>975.84</v>
      </c>
      <c r="J399" s="174">
        <v>2.1</v>
      </c>
      <c r="K399" s="173">
        <v>2049.2600000000002</v>
      </c>
      <c r="Q399" s="160">
        <f>[2]Source!X356</f>
        <v>0</v>
      </c>
      <c r="R399" s="160">
        <f>[2]Source!X357</f>
        <v>0</v>
      </c>
      <c r="S399" s="160">
        <f>[2]Source!Y356</f>
        <v>0</v>
      </c>
      <c r="T399" s="160">
        <f>[2]Source!Y357</f>
        <v>0</v>
      </c>
      <c r="U399" s="160">
        <f>ROUND((175/100)*ROUND([2]Source!R356, 2), 2)</f>
        <v>0</v>
      </c>
      <c r="V399" s="160">
        <f>ROUND((157/100)*ROUND([2]Source!R357, 2), 2)</f>
        <v>0</v>
      </c>
    </row>
    <row r="400" spans="1:22" ht="71.25" x14ac:dyDescent="0.2">
      <c r="A400" s="179" t="s">
        <v>1692</v>
      </c>
      <c r="B400" s="178" t="s">
        <v>1693</v>
      </c>
      <c r="C400" s="178" t="s">
        <v>294</v>
      </c>
      <c r="D400" s="177" t="s">
        <v>1557</v>
      </c>
      <c r="E400" s="174">
        <v>58.282800000000002</v>
      </c>
      <c r="F400" s="176">
        <v>92.02</v>
      </c>
      <c r="G400" s="182" t="s">
        <v>195</v>
      </c>
      <c r="H400" s="174">
        <v>1</v>
      </c>
      <c r="I400" s="173">
        <v>5363.18</v>
      </c>
      <c r="J400" s="174">
        <v>4.42</v>
      </c>
      <c r="K400" s="173">
        <v>23705.26</v>
      </c>
      <c r="Q400" s="160">
        <f>[2]Source!X358</f>
        <v>0</v>
      </c>
      <c r="R400" s="160">
        <f>[2]Source!X359</f>
        <v>0</v>
      </c>
      <c r="S400" s="160">
        <f>[2]Source!Y358</f>
        <v>0</v>
      </c>
      <c r="T400" s="160">
        <f>[2]Source!Y359</f>
        <v>0</v>
      </c>
      <c r="U400" s="160">
        <f>ROUND((175/100)*ROUND([2]Source!R358, 2), 2)</f>
        <v>0</v>
      </c>
      <c r="V400" s="160">
        <f>ROUND((157/100)*ROUND([2]Source!R359, 2), 2)</f>
        <v>0</v>
      </c>
    </row>
    <row r="401" spans="1:22" ht="14.25" x14ac:dyDescent="0.2">
      <c r="A401" s="179"/>
      <c r="B401" s="178"/>
      <c r="C401" s="178" t="s">
        <v>194</v>
      </c>
      <c r="D401" s="177" t="s">
        <v>187</v>
      </c>
      <c r="E401" s="174">
        <v>104</v>
      </c>
      <c r="F401" s="176"/>
      <c r="G401" s="175"/>
      <c r="H401" s="174"/>
      <c r="I401" s="173">
        <v>2456.25</v>
      </c>
      <c r="J401" s="174">
        <v>85</v>
      </c>
      <c r="K401" s="173">
        <v>46875.43</v>
      </c>
    </row>
    <row r="402" spans="1:22" ht="14.25" x14ac:dyDescent="0.2">
      <c r="A402" s="179"/>
      <c r="B402" s="178"/>
      <c r="C402" s="178" t="s">
        <v>193</v>
      </c>
      <c r="D402" s="177" t="s">
        <v>187</v>
      </c>
      <c r="E402" s="174">
        <v>70</v>
      </c>
      <c r="F402" s="176"/>
      <c r="G402" s="175"/>
      <c r="H402" s="174"/>
      <c r="I402" s="173">
        <v>1653.25</v>
      </c>
      <c r="J402" s="174">
        <v>41</v>
      </c>
      <c r="K402" s="173">
        <v>22610.5</v>
      </c>
    </row>
    <row r="403" spans="1:22" ht="14.25" x14ac:dyDescent="0.2">
      <c r="A403" s="179"/>
      <c r="B403" s="178"/>
      <c r="C403" s="178" t="s">
        <v>188</v>
      </c>
      <c r="D403" s="177" t="s">
        <v>187</v>
      </c>
      <c r="E403" s="174">
        <v>175</v>
      </c>
      <c r="F403" s="176"/>
      <c r="G403" s="175"/>
      <c r="H403" s="174"/>
      <c r="I403" s="173">
        <v>5.13</v>
      </c>
      <c r="J403" s="174">
        <v>157</v>
      </c>
      <c r="K403" s="173">
        <v>107.42</v>
      </c>
    </row>
    <row r="404" spans="1:22" ht="14.25" x14ac:dyDescent="0.2">
      <c r="A404" s="172"/>
      <c r="B404" s="171"/>
      <c r="C404" s="171" t="s">
        <v>192</v>
      </c>
      <c r="D404" s="170" t="s">
        <v>191</v>
      </c>
      <c r="E404" s="167">
        <v>29.18</v>
      </c>
      <c r="F404" s="169"/>
      <c r="G404" s="168" t="s">
        <v>1548</v>
      </c>
      <c r="H404" s="167">
        <v>1</v>
      </c>
      <c r="I404" s="166">
        <v>191.74</v>
      </c>
      <c r="J404" s="167"/>
      <c r="K404" s="166"/>
    </row>
    <row r="405" spans="1:22" ht="15" x14ac:dyDescent="0.25">
      <c r="A405" s="164"/>
      <c r="B405" s="164"/>
      <c r="C405" s="165" t="s">
        <v>183</v>
      </c>
      <c r="D405" s="164"/>
      <c r="E405" s="164"/>
      <c r="F405" s="164"/>
      <c r="G405" s="164"/>
      <c r="H405" s="414">
        <v>13403.18</v>
      </c>
      <c r="I405" s="414"/>
      <c r="J405" s="414">
        <v>152113.13</v>
      </c>
      <c r="K405" s="414"/>
      <c r="O405" s="163">
        <f>I394+I395+I397+I401+I402+I403+SUM(I398:I400)</f>
        <v>13403.18</v>
      </c>
      <c r="P405" s="163">
        <f>K394+K395+K397+K401+K402+K403+SUM(K398:K400)</f>
        <v>152113.13</v>
      </c>
    </row>
    <row r="408" spans="1:22" ht="15" x14ac:dyDescent="0.25">
      <c r="A408" s="417" t="s">
        <v>1694</v>
      </c>
      <c r="B408" s="417"/>
      <c r="C408" s="417"/>
      <c r="D408" s="417"/>
      <c r="E408" s="417"/>
      <c r="F408" s="417"/>
      <c r="G408" s="417"/>
      <c r="H408" s="415">
        <v>47477.1</v>
      </c>
      <c r="I408" s="416"/>
      <c r="J408" s="415">
        <v>263552.52</v>
      </c>
      <c r="K408" s="416"/>
    </row>
    <row r="409" spans="1:22" hidden="1" x14ac:dyDescent="0.2">
      <c r="A409" s="160" t="s">
        <v>182</v>
      </c>
      <c r="I409" s="160">
        <v>0</v>
      </c>
      <c r="J409" s="160">
        <v>0</v>
      </c>
    </row>
    <row r="410" spans="1:22" hidden="1" x14ac:dyDescent="0.2">
      <c r="A410" s="160" t="s">
        <v>181</v>
      </c>
      <c r="I410" s="160">
        <v>0</v>
      </c>
      <c r="J410" s="160">
        <v>0</v>
      </c>
    </row>
    <row r="412" spans="1:22" ht="16.5" x14ac:dyDescent="0.25">
      <c r="A412" s="413" t="s">
        <v>1695</v>
      </c>
      <c r="B412" s="413"/>
      <c r="C412" s="413"/>
      <c r="D412" s="413"/>
      <c r="E412" s="413"/>
      <c r="F412" s="413"/>
      <c r="G412" s="413"/>
      <c r="H412" s="413"/>
      <c r="I412" s="413"/>
      <c r="J412" s="413"/>
      <c r="K412" s="413"/>
    </row>
    <row r="413" spans="1:22" ht="52.5" x14ac:dyDescent="0.2">
      <c r="A413" s="179" t="s">
        <v>1696</v>
      </c>
      <c r="B413" s="178" t="s">
        <v>293</v>
      </c>
      <c r="C413" s="178" t="s">
        <v>292</v>
      </c>
      <c r="D413" s="177" t="s">
        <v>1697</v>
      </c>
      <c r="E413" s="174">
        <v>25.8</v>
      </c>
      <c r="F413" s="176"/>
      <c r="G413" s="175"/>
      <c r="H413" s="174"/>
      <c r="I413" s="173"/>
      <c r="J413" s="174"/>
      <c r="K413" s="173"/>
      <c r="Q413" s="160">
        <f>[2]Source!X395</f>
        <v>516.54999999999995</v>
      </c>
      <c r="R413" s="160">
        <f>[2]Source!X396</f>
        <v>9769.77</v>
      </c>
      <c r="S413" s="160">
        <f>[2]Source!Y395</f>
        <v>330.59</v>
      </c>
      <c r="T413" s="160">
        <f>[2]Source!Y396</f>
        <v>4945.1899999999996</v>
      </c>
      <c r="U413" s="160">
        <f>ROUND((175/100)*ROUND([2]Source!R395, 2), 2)</f>
        <v>1.1399999999999999</v>
      </c>
      <c r="V413" s="160">
        <f>ROUND((157/100)*ROUND([2]Source!R396, 2), 2)</f>
        <v>23.83</v>
      </c>
    </row>
    <row r="414" spans="1:22" x14ac:dyDescent="0.2">
      <c r="C414" s="181" t="s">
        <v>1698</v>
      </c>
    </row>
    <row r="415" spans="1:22" ht="14.25" x14ac:dyDescent="0.2">
      <c r="A415" s="179"/>
      <c r="B415" s="178"/>
      <c r="C415" s="178" t="s">
        <v>197</v>
      </c>
      <c r="D415" s="177"/>
      <c r="E415" s="174"/>
      <c r="F415" s="176">
        <v>17.41</v>
      </c>
      <c r="G415" s="175" t="s">
        <v>1548</v>
      </c>
      <c r="H415" s="174">
        <v>1</v>
      </c>
      <c r="I415" s="173">
        <v>516.54999999999995</v>
      </c>
      <c r="J415" s="174">
        <v>23.35</v>
      </c>
      <c r="K415" s="173">
        <v>12061.44</v>
      </c>
    </row>
    <row r="416" spans="1:22" ht="14.25" x14ac:dyDescent="0.2">
      <c r="A416" s="179"/>
      <c r="B416" s="178"/>
      <c r="C416" s="178" t="s">
        <v>184</v>
      </c>
      <c r="D416" s="177"/>
      <c r="E416" s="174"/>
      <c r="F416" s="176">
        <v>0.8</v>
      </c>
      <c r="G416" s="175" t="s">
        <v>1549</v>
      </c>
      <c r="H416" s="174">
        <v>1</v>
      </c>
      <c r="I416" s="173">
        <v>25.8</v>
      </c>
      <c r="J416" s="174">
        <v>6.88</v>
      </c>
      <c r="K416" s="173">
        <v>177.5</v>
      </c>
    </row>
    <row r="417" spans="1:22" ht="14.25" x14ac:dyDescent="0.2">
      <c r="A417" s="179"/>
      <c r="B417" s="178"/>
      <c r="C417" s="178" t="s">
        <v>189</v>
      </c>
      <c r="D417" s="177"/>
      <c r="E417" s="174"/>
      <c r="F417" s="176">
        <v>0.02</v>
      </c>
      <c r="G417" s="175" t="s">
        <v>1549</v>
      </c>
      <c r="H417" s="174">
        <v>1</v>
      </c>
      <c r="I417" s="180">
        <v>0.65</v>
      </c>
      <c r="J417" s="174">
        <v>23.35</v>
      </c>
      <c r="K417" s="180">
        <v>15.18</v>
      </c>
    </row>
    <row r="418" spans="1:22" ht="14.25" x14ac:dyDescent="0.2">
      <c r="A418" s="179"/>
      <c r="B418" s="178"/>
      <c r="C418" s="178" t="s">
        <v>205</v>
      </c>
      <c r="D418" s="177"/>
      <c r="E418" s="174"/>
      <c r="F418" s="176">
        <v>50.64</v>
      </c>
      <c r="G418" s="175" t="s">
        <v>195</v>
      </c>
      <c r="H418" s="174">
        <v>1</v>
      </c>
      <c r="I418" s="173">
        <v>1306.51</v>
      </c>
      <c r="J418" s="174">
        <v>4.62</v>
      </c>
      <c r="K418" s="173">
        <v>6036.08</v>
      </c>
    </row>
    <row r="419" spans="1:22" ht="39.75" x14ac:dyDescent="0.2">
      <c r="A419" s="179" t="s">
        <v>1699</v>
      </c>
      <c r="B419" s="178" t="s">
        <v>1700</v>
      </c>
      <c r="C419" s="178" t="s">
        <v>291</v>
      </c>
      <c r="D419" s="177" t="s">
        <v>1552</v>
      </c>
      <c r="E419" s="174">
        <v>258</v>
      </c>
      <c r="F419" s="176">
        <v>263.47000000000003</v>
      </c>
      <c r="G419" s="182" t="s">
        <v>195</v>
      </c>
      <c r="H419" s="174">
        <v>1</v>
      </c>
      <c r="I419" s="173">
        <v>67975.259999999995</v>
      </c>
      <c r="J419" s="174">
        <v>5.42</v>
      </c>
      <c r="K419" s="173">
        <v>368425.91</v>
      </c>
      <c r="Q419" s="160">
        <f>[2]Source!X397</f>
        <v>0</v>
      </c>
      <c r="R419" s="160">
        <f>[2]Source!X398</f>
        <v>0</v>
      </c>
      <c r="S419" s="160">
        <f>[2]Source!Y397</f>
        <v>0</v>
      </c>
      <c r="T419" s="160">
        <f>[2]Source!Y398</f>
        <v>0</v>
      </c>
      <c r="U419" s="160">
        <f>ROUND((175/100)*ROUND([2]Source!R397, 2), 2)</f>
        <v>0</v>
      </c>
      <c r="V419" s="160">
        <f>ROUND((157/100)*ROUND([2]Source!R398, 2), 2)</f>
        <v>0</v>
      </c>
    </row>
    <row r="420" spans="1:22" ht="54" x14ac:dyDescent="0.2">
      <c r="A420" s="179" t="s">
        <v>1701</v>
      </c>
      <c r="B420" s="178" t="s">
        <v>1700</v>
      </c>
      <c r="C420" s="178" t="s">
        <v>290</v>
      </c>
      <c r="D420" s="177" t="s">
        <v>1661</v>
      </c>
      <c r="E420" s="174">
        <v>176</v>
      </c>
      <c r="F420" s="176">
        <v>103.51</v>
      </c>
      <c r="G420" s="182" t="s">
        <v>195</v>
      </c>
      <c r="H420" s="174">
        <v>1</v>
      </c>
      <c r="I420" s="173">
        <v>18217.759999999998</v>
      </c>
      <c r="J420" s="174">
        <v>5.42</v>
      </c>
      <c r="K420" s="173">
        <v>98740.26</v>
      </c>
      <c r="Q420" s="160">
        <f>[2]Source!X399</f>
        <v>0</v>
      </c>
      <c r="R420" s="160">
        <f>[2]Source!X400</f>
        <v>0</v>
      </c>
      <c r="S420" s="160">
        <f>[2]Source!Y399</f>
        <v>0</v>
      </c>
      <c r="T420" s="160">
        <f>[2]Source!Y400</f>
        <v>0</v>
      </c>
      <c r="U420" s="160">
        <f>ROUND((175/100)*ROUND([2]Source!R399, 2), 2)</f>
        <v>0</v>
      </c>
      <c r="V420" s="160">
        <f>ROUND((157/100)*ROUND([2]Source!R400, 2), 2)</f>
        <v>0</v>
      </c>
    </row>
    <row r="421" spans="1:22" ht="39.75" x14ac:dyDescent="0.2">
      <c r="A421" s="179" t="s">
        <v>1702</v>
      </c>
      <c r="B421" s="178" t="s">
        <v>1700</v>
      </c>
      <c r="C421" s="178" t="s">
        <v>289</v>
      </c>
      <c r="D421" s="177" t="s">
        <v>1661</v>
      </c>
      <c r="E421" s="174">
        <v>516</v>
      </c>
      <c r="F421" s="176">
        <v>68.22</v>
      </c>
      <c r="G421" s="182" t="s">
        <v>195</v>
      </c>
      <c r="H421" s="174">
        <v>1</v>
      </c>
      <c r="I421" s="173">
        <v>35201.519999999997</v>
      </c>
      <c r="J421" s="174">
        <v>5.42</v>
      </c>
      <c r="K421" s="173">
        <v>190792.24</v>
      </c>
      <c r="Q421" s="160">
        <f>[2]Source!X401</f>
        <v>0</v>
      </c>
      <c r="R421" s="160">
        <f>[2]Source!X402</f>
        <v>0</v>
      </c>
      <c r="S421" s="160">
        <f>[2]Source!Y401</f>
        <v>0</v>
      </c>
      <c r="T421" s="160">
        <f>[2]Source!Y402</f>
        <v>0</v>
      </c>
      <c r="U421" s="160">
        <f>ROUND((175/100)*ROUND([2]Source!R401, 2), 2)</f>
        <v>0</v>
      </c>
      <c r="V421" s="160">
        <f>ROUND((157/100)*ROUND([2]Source!R402, 2), 2)</f>
        <v>0</v>
      </c>
    </row>
    <row r="422" spans="1:22" ht="39.75" x14ac:dyDescent="0.2">
      <c r="A422" s="179" t="s">
        <v>1703</v>
      </c>
      <c r="B422" s="178" t="s">
        <v>1700</v>
      </c>
      <c r="C422" s="178" t="s">
        <v>288</v>
      </c>
      <c r="D422" s="177" t="s">
        <v>1661</v>
      </c>
      <c r="E422" s="174">
        <v>37</v>
      </c>
      <c r="F422" s="176">
        <v>29.79</v>
      </c>
      <c r="G422" s="182" t="s">
        <v>195</v>
      </c>
      <c r="H422" s="174">
        <v>1</v>
      </c>
      <c r="I422" s="173">
        <v>1102.23</v>
      </c>
      <c r="J422" s="174">
        <v>5.42</v>
      </c>
      <c r="K422" s="173">
        <v>5974.09</v>
      </c>
      <c r="Q422" s="160">
        <f>[2]Source!X403</f>
        <v>0</v>
      </c>
      <c r="R422" s="160">
        <f>[2]Source!X404</f>
        <v>0</v>
      </c>
      <c r="S422" s="160">
        <f>[2]Source!Y403</f>
        <v>0</v>
      </c>
      <c r="T422" s="160">
        <f>[2]Source!Y404</f>
        <v>0</v>
      </c>
      <c r="U422" s="160">
        <f>ROUND((175/100)*ROUND([2]Source!R403, 2), 2)</f>
        <v>0</v>
      </c>
      <c r="V422" s="160">
        <f>ROUND((157/100)*ROUND([2]Source!R404, 2), 2)</f>
        <v>0</v>
      </c>
    </row>
    <row r="423" spans="1:22" ht="39.75" x14ac:dyDescent="0.2">
      <c r="A423" s="179" t="s">
        <v>1704</v>
      </c>
      <c r="B423" s="178" t="s">
        <v>1700</v>
      </c>
      <c r="C423" s="178" t="s">
        <v>287</v>
      </c>
      <c r="D423" s="177" t="s">
        <v>1661</v>
      </c>
      <c r="E423" s="174">
        <v>156</v>
      </c>
      <c r="F423" s="176">
        <v>89.39</v>
      </c>
      <c r="G423" s="182" t="s">
        <v>195</v>
      </c>
      <c r="H423" s="174">
        <v>1</v>
      </c>
      <c r="I423" s="173">
        <v>13944.84</v>
      </c>
      <c r="J423" s="174">
        <v>5.42</v>
      </c>
      <c r="K423" s="173">
        <v>75581.03</v>
      </c>
      <c r="Q423" s="160">
        <f>[2]Source!X405</f>
        <v>0</v>
      </c>
      <c r="R423" s="160">
        <f>[2]Source!X406</f>
        <v>0</v>
      </c>
      <c r="S423" s="160">
        <f>[2]Source!Y405</f>
        <v>0</v>
      </c>
      <c r="T423" s="160">
        <f>[2]Source!Y406</f>
        <v>0</v>
      </c>
      <c r="U423" s="160">
        <f>ROUND((175/100)*ROUND([2]Source!R405, 2), 2)</f>
        <v>0</v>
      </c>
      <c r="V423" s="160">
        <f>ROUND((157/100)*ROUND([2]Source!R406, 2), 2)</f>
        <v>0</v>
      </c>
    </row>
    <row r="424" spans="1:22" ht="14.25" x14ac:dyDescent="0.2">
      <c r="A424" s="179"/>
      <c r="B424" s="178"/>
      <c r="C424" s="178" t="s">
        <v>194</v>
      </c>
      <c r="D424" s="177" t="s">
        <v>187</v>
      </c>
      <c r="E424" s="174">
        <v>100</v>
      </c>
      <c r="F424" s="176"/>
      <c r="G424" s="175"/>
      <c r="H424" s="174"/>
      <c r="I424" s="173">
        <v>516.54999999999995</v>
      </c>
      <c r="J424" s="174">
        <v>81</v>
      </c>
      <c r="K424" s="173">
        <v>9769.77</v>
      </c>
    </row>
    <row r="425" spans="1:22" ht="14.25" x14ac:dyDescent="0.2">
      <c r="A425" s="179"/>
      <c r="B425" s="178"/>
      <c r="C425" s="178" t="s">
        <v>193</v>
      </c>
      <c r="D425" s="177" t="s">
        <v>187</v>
      </c>
      <c r="E425" s="174">
        <v>64</v>
      </c>
      <c r="F425" s="176"/>
      <c r="G425" s="175"/>
      <c r="H425" s="174"/>
      <c r="I425" s="173">
        <v>330.59</v>
      </c>
      <c r="J425" s="174">
        <v>41</v>
      </c>
      <c r="K425" s="173">
        <v>4945.1899999999996</v>
      </c>
    </row>
    <row r="426" spans="1:22" ht="14.25" x14ac:dyDescent="0.2">
      <c r="A426" s="179"/>
      <c r="B426" s="178"/>
      <c r="C426" s="178" t="s">
        <v>188</v>
      </c>
      <c r="D426" s="177" t="s">
        <v>187</v>
      </c>
      <c r="E426" s="174">
        <v>175</v>
      </c>
      <c r="F426" s="176"/>
      <c r="G426" s="175"/>
      <c r="H426" s="174"/>
      <c r="I426" s="173">
        <v>1.1399999999999999</v>
      </c>
      <c r="J426" s="174">
        <v>157</v>
      </c>
      <c r="K426" s="173">
        <v>23.83</v>
      </c>
    </row>
    <row r="427" spans="1:22" ht="14.25" x14ac:dyDescent="0.2">
      <c r="A427" s="172"/>
      <c r="B427" s="171"/>
      <c r="C427" s="171" t="s">
        <v>192</v>
      </c>
      <c r="D427" s="170" t="s">
        <v>191</v>
      </c>
      <c r="E427" s="167">
        <v>1.49</v>
      </c>
      <c r="F427" s="169"/>
      <c r="G427" s="168" t="s">
        <v>1548</v>
      </c>
      <c r="H427" s="167">
        <v>1</v>
      </c>
      <c r="I427" s="166">
        <v>44.21</v>
      </c>
      <c r="J427" s="167"/>
      <c r="K427" s="166"/>
    </row>
    <row r="428" spans="1:22" ht="15" x14ac:dyDescent="0.25">
      <c r="A428" s="164"/>
      <c r="B428" s="164"/>
      <c r="C428" s="165" t="s">
        <v>183</v>
      </c>
      <c r="D428" s="164"/>
      <c r="E428" s="164"/>
      <c r="F428" s="164"/>
      <c r="G428" s="164"/>
      <c r="H428" s="414">
        <v>139138.75</v>
      </c>
      <c r="I428" s="414"/>
      <c r="J428" s="414">
        <v>772527.34</v>
      </c>
      <c r="K428" s="414"/>
      <c r="O428" s="163">
        <f>I415+I416+I418+I424+I425+I426+SUM(I419:I423)</f>
        <v>139138.75</v>
      </c>
      <c r="P428" s="163">
        <f>K415+K416+K418+K424+K425+K426+SUM(K419:K423)</f>
        <v>772527.34</v>
      </c>
    </row>
    <row r="430" spans="1:22" ht="52.5" x14ac:dyDescent="0.2">
      <c r="A430" s="179" t="s">
        <v>1705</v>
      </c>
      <c r="B430" s="178" t="s">
        <v>286</v>
      </c>
      <c r="C430" s="178" t="s">
        <v>285</v>
      </c>
      <c r="D430" s="177" t="s">
        <v>1697</v>
      </c>
      <c r="E430" s="174">
        <v>90.6</v>
      </c>
      <c r="F430" s="176"/>
      <c r="G430" s="175"/>
      <c r="H430" s="174"/>
      <c r="I430" s="173"/>
      <c r="J430" s="174"/>
      <c r="K430" s="173"/>
      <c r="Q430" s="160">
        <f>[2]Source!X407</f>
        <v>2072.34</v>
      </c>
      <c r="R430" s="160">
        <f>[2]Source!X408</f>
        <v>39195.199999999997</v>
      </c>
      <c r="S430" s="160">
        <f>[2]Source!Y407</f>
        <v>1326.3</v>
      </c>
      <c r="T430" s="160">
        <f>[2]Source!Y408</f>
        <v>19839.55</v>
      </c>
      <c r="U430" s="160">
        <f>ROUND((175/100)*ROUND([2]Source!R407, 2), 2)</f>
        <v>3.97</v>
      </c>
      <c r="V430" s="160">
        <f>ROUND((157/100)*ROUND([2]Source!R408, 2), 2)</f>
        <v>83.21</v>
      </c>
    </row>
    <row r="431" spans="1:22" x14ac:dyDescent="0.2">
      <c r="C431" s="181" t="s">
        <v>1706</v>
      </c>
    </row>
    <row r="432" spans="1:22" ht="14.25" x14ac:dyDescent="0.2">
      <c r="A432" s="179"/>
      <c r="B432" s="178"/>
      <c r="C432" s="178" t="s">
        <v>197</v>
      </c>
      <c r="D432" s="177"/>
      <c r="E432" s="174"/>
      <c r="F432" s="176">
        <v>19.89</v>
      </c>
      <c r="G432" s="175" t="s">
        <v>1548</v>
      </c>
      <c r="H432" s="174">
        <v>1</v>
      </c>
      <c r="I432" s="173">
        <v>2072.34</v>
      </c>
      <c r="J432" s="174">
        <v>23.35</v>
      </c>
      <c r="K432" s="173">
        <v>48389.14</v>
      </c>
    </row>
    <row r="433" spans="1:22" ht="14.25" x14ac:dyDescent="0.2">
      <c r="A433" s="179"/>
      <c r="B433" s="178"/>
      <c r="C433" s="178" t="s">
        <v>184</v>
      </c>
      <c r="D433" s="177"/>
      <c r="E433" s="174"/>
      <c r="F433" s="176">
        <v>0.93</v>
      </c>
      <c r="G433" s="175" t="s">
        <v>1549</v>
      </c>
      <c r="H433" s="174">
        <v>1</v>
      </c>
      <c r="I433" s="173">
        <v>105.32</v>
      </c>
      <c r="J433" s="174">
        <v>6.74</v>
      </c>
      <c r="K433" s="173">
        <v>709.86</v>
      </c>
    </row>
    <row r="434" spans="1:22" ht="14.25" x14ac:dyDescent="0.2">
      <c r="A434" s="179"/>
      <c r="B434" s="178"/>
      <c r="C434" s="178" t="s">
        <v>189</v>
      </c>
      <c r="D434" s="177"/>
      <c r="E434" s="174"/>
      <c r="F434" s="176">
        <v>0.02</v>
      </c>
      <c r="G434" s="175" t="s">
        <v>1549</v>
      </c>
      <c r="H434" s="174">
        <v>1</v>
      </c>
      <c r="I434" s="180">
        <v>2.27</v>
      </c>
      <c r="J434" s="174">
        <v>23.35</v>
      </c>
      <c r="K434" s="180">
        <v>53</v>
      </c>
    </row>
    <row r="435" spans="1:22" ht="14.25" x14ac:dyDescent="0.2">
      <c r="A435" s="179"/>
      <c r="B435" s="178"/>
      <c r="C435" s="178" t="s">
        <v>205</v>
      </c>
      <c r="D435" s="177"/>
      <c r="E435" s="174"/>
      <c r="F435" s="176">
        <v>26.29</v>
      </c>
      <c r="G435" s="175" t="s">
        <v>195</v>
      </c>
      <c r="H435" s="174">
        <v>1</v>
      </c>
      <c r="I435" s="173">
        <v>2381.87</v>
      </c>
      <c r="J435" s="174">
        <v>1.05</v>
      </c>
      <c r="K435" s="173">
        <v>2500.96</v>
      </c>
    </row>
    <row r="436" spans="1:22" ht="39.75" x14ac:dyDescent="0.2">
      <c r="A436" s="179" t="s">
        <v>1707</v>
      </c>
      <c r="B436" s="178" t="s">
        <v>1700</v>
      </c>
      <c r="C436" s="178" t="s">
        <v>284</v>
      </c>
      <c r="D436" s="177" t="s">
        <v>1552</v>
      </c>
      <c r="E436" s="174">
        <v>906</v>
      </c>
      <c r="F436" s="176">
        <v>147.41999999999999</v>
      </c>
      <c r="G436" s="182" t="s">
        <v>195</v>
      </c>
      <c r="H436" s="174">
        <v>1</v>
      </c>
      <c r="I436" s="173">
        <v>133562.51999999999</v>
      </c>
      <c r="J436" s="174">
        <v>5.42</v>
      </c>
      <c r="K436" s="173">
        <v>723908.86</v>
      </c>
      <c r="Q436" s="160">
        <f>[2]Source!X409</f>
        <v>0</v>
      </c>
      <c r="R436" s="160">
        <f>[2]Source!X410</f>
        <v>0</v>
      </c>
      <c r="S436" s="160">
        <f>[2]Source!Y409</f>
        <v>0</v>
      </c>
      <c r="T436" s="160">
        <f>[2]Source!Y410</f>
        <v>0</v>
      </c>
      <c r="U436" s="160">
        <f>ROUND((175/100)*ROUND([2]Source!R409, 2), 2)</f>
        <v>0</v>
      </c>
      <c r="V436" s="160">
        <f>ROUND((157/100)*ROUND([2]Source!R410, 2), 2)</f>
        <v>0</v>
      </c>
    </row>
    <row r="437" spans="1:22" ht="54" x14ac:dyDescent="0.2">
      <c r="A437" s="179" t="s">
        <v>1708</v>
      </c>
      <c r="B437" s="178" t="s">
        <v>1700</v>
      </c>
      <c r="C437" s="178" t="s">
        <v>283</v>
      </c>
      <c r="D437" s="177" t="s">
        <v>1661</v>
      </c>
      <c r="E437" s="174">
        <v>438</v>
      </c>
      <c r="F437" s="176">
        <v>50.18</v>
      </c>
      <c r="G437" s="182" t="s">
        <v>195</v>
      </c>
      <c r="H437" s="174">
        <v>1</v>
      </c>
      <c r="I437" s="173">
        <v>21978.84</v>
      </c>
      <c r="J437" s="174">
        <v>5.42</v>
      </c>
      <c r="K437" s="173">
        <v>119125.31</v>
      </c>
      <c r="Q437" s="160">
        <f>[2]Source!X411</f>
        <v>0</v>
      </c>
      <c r="R437" s="160">
        <f>[2]Source!X412</f>
        <v>0</v>
      </c>
      <c r="S437" s="160">
        <f>[2]Source!Y411</f>
        <v>0</v>
      </c>
      <c r="T437" s="160">
        <f>[2]Source!Y412</f>
        <v>0</v>
      </c>
      <c r="U437" s="160">
        <f>ROUND((175/100)*ROUND([2]Source!R411, 2), 2)</f>
        <v>0</v>
      </c>
      <c r="V437" s="160">
        <f>ROUND((157/100)*ROUND([2]Source!R412, 2), 2)</f>
        <v>0</v>
      </c>
    </row>
    <row r="438" spans="1:22" ht="39.75" x14ac:dyDescent="0.2">
      <c r="A438" s="179" t="s">
        <v>1709</v>
      </c>
      <c r="B438" s="178" t="s">
        <v>1700</v>
      </c>
      <c r="C438" s="178" t="s">
        <v>282</v>
      </c>
      <c r="D438" s="177" t="s">
        <v>1661</v>
      </c>
      <c r="E438" s="174">
        <v>1812</v>
      </c>
      <c r="F438" s="176">
        <v>17.25</v>
      </c>
      <c r="G438" s="182" t="s">
        <v>195</v>
      </c>
      <c r="H438" s="174">
        <v>1</v>
      </c>
      <c r="I438" s="173">
        <v>31257</v>
      </c>
      <c r="J438" s="174">
        <v>5.42</v>
      </c>
      <c r="K438" s="173">
        <v>169412.94</v>
      </c>
      <c r="Q438" s="160">
        <f>[2]Source!X413</f>
        <v>0</v>
      </c>
      <c r="R438" s="160">
        <f>[2]Source!X414</f>
        <v>0</v>
      </c>
      <c r="S438" s="160">
        <f>[2]Source!Y413</f>
        <v>0</v>
      </c>
      <c r="T438" s="160">
        <f>[2]Source!Y414</f>
        <v>0</v>
      </c>
      <c r="U438" s="160">
        <f>ROUND((175/100)*ROUND([2]Source!R413, 2), 2)</f>
        <v>0</v>
      </c>
      <c r="V438" s="160">
        <f>ROUND((157/100)*ROUND([2]Source!R414, 2), 2)</f>
        <v>0</v>
      </c>
    </row>
    <row r="439" spans="1:22" ht="14.25" x14ac:dyDescent="0.2">
      <c r="A439" s="179"/>
      <c r="B439" s="178"/>
      <c r="C439" s="178" t="s">
        <v>194</v>
      </c>
      <c r="D439" s="177" t="s">
        <v>187</v>
      </c>
      <c r="E439" s="174">
        <v>100</v>
      </c>
      <c r="F439" s="176"/>
      <c r="G439" s="175"/>
      <c r="H439" s="174"/>
      <c r="I439" s="173">
        <v>2072.34</v>
      </c>
      <c r="J439" s="174">
        <v>81</v>
      </c>
      <c r="K439" s="173">
        <v>39195.199999999997</v>
      </c>
    </row>
    <row r="440" spans="1:22" ht="14.25" x14ac:dyDescent="0.2">
      <c r="A440" s="179"/>
      <c r="B440" s="178"/>
      <c r="C440" s="178" t="s">
        <v>193</v>
      </c>
      <c r="D440" s="177" t="s">
        <v>187</v>
      </c>
      <c r="E440" s="174">
        <v>64</v>
      </c>
      <c r="F440" s="176"/>
      <c r="G440" s="175"/>
      <c r="H440" s="174"/>
      <c r="I440" s="173">
        <v>1326.3</v>
      </c>
      <c r="J440" s="174">
        <v>41</v>
      </c>
      <c r="K440" s="173">
        <v>19839.55</v>
      </c>
    </row>
    <row r="441" spans="1:22" ht="14.25" x14ac:dyDescent="0.2">
      <c r="A441" s="179"/>
      <c r="B441" s="178"/>
      <c r="C441" s="178" t="s">
        <v>188</v>
      </c>
      <c r="D441" s="177" t="s">
        <v>187</v>
      </c>
      <c r="E441" s="174">
        <v>175</v>
      </c>
      <c r="F441" s="176"/>
      <c r="G441" s="175"/>
      <c r="H441" s="174"/>
      <c r="I441" s="173">
        <v>3.97</v>
      </c>
      <c r="J441" s="174">
        <v>157</v>
      </c>
      <c r="K441" s="173">
        <v>83.21</v>
      </c>
    </row>
    <row r="442" spans="1:22" ht="14.25" x14ac:dyDescent="0.2">
      <c r="A442" s="172"/>
      <c r="B442" s="171"/>
      <c r="C442" s="171" t="s">
        <v>192</v>
      </c>
      <c r="D442" s="170" t="s">
        <v>191</v>
      </c>
      <c r="E442" s="167">
        <v>1.7</v>
      </c>
      <c r="F442" s="169"/>
      <c r="G442" s="168" t="s">
        <v>1548</v>
      </c>
      <c r="H442" s="167">
        <v>1</v>
      </c>
      <c r="I442" s="166">
        <v>177.12</v>
      </c>
      <c r="J442" s="167"/>
      <c r="K442" s="166"/>
    </row>
    <row r="443" spans="1:22" ht="15" x14ac:dyDescent="0.25">
      <c r="A443" s="164"/>
      <c r="B443" s="164"/>
      <c r="C443" s="165" t="s">
        <v>183</v>
      </c>
      <c r="D443" s="164"/>
      <c r="E443" s="164"/>
      <c r="F443" s="164"/>
      <c r="G443" s="164"/>
      <c r="H443" s="414">
        <v>194760.5</v>
      </c>
      <c r="I443" s="414"/>
      <c r="J443" s="414">
        <v>1123165.03</v>
      </c>
      <c r="K443" s="414"/>
      <c r="O443" s="163">
        <f>I432+I433+I435+I439+I440+I441+SUM(I436:I438)</f>
        <v>194760.5</v>
      </c>
      <c r="P443" s="163">
        <f>K432+K433+K435+K439+K440+K441+SUM(K436:K438)</f>
        <v>1123165.03</v>
      </c>
    </row>
    <row r="446" spans="1:22" ht="15" x14ac:dyDescent="0.25">
      <c r="A446" s="417" t="s">
        <v>1710</v>
      </c>
      <c r="B446" s="417"/>
      <c r="C446" s="417"/>
      <c r="D446" s="417"/>
      <c r="E446" s="417"/>
      <c r="F446" s="417"/>
      <c r="G446" s="417"/>
      <c r="H446" s="415">
        <v>333899.25</v>
      </c>
      <c r="I446" s="416"/>
      <c r="J446" s="415">
        <v>1895692.37</v>
      </c>
      <c r="K446" s="416"/>
    </row>
    <row r="447" spans="1:22" hidden="1" x14ac:dyDescent="0.2">
      <c r="A447" s="160" t="s">
        <v>182</v>
      </c>
      <c r="I447" s="160">
        <v>0</v>
      </c>
      <c r="J447" s="160">
        <v>0</v>
      </c>
    </row>
    <row r="448" spans="1:22" hidden="1" x14ac:dyDescent="0.2">
      <c r="A448" s="160" t="s">
        <v>181</v>
      </c>
      <c r="I448" s="160">
        <v>0</v>
      </c>
      <c r="J448" s="160">
        <v>0</v>
      </c>
    </row>
    <row r="450" spans="1:22" ht="16.5" x14ac:dyDescent="0.25">
      <c r="A450" s="413" t="s">
        <v>1711</v>
      </c>
      <c r="B450" s="413"/>
      <c r="C450" s="413"/>
      <c r="D450" s="413"/>
      <c r="E450" s="413"/>
      <c r="F450" s="413"/>
      <c r="G450" s="413"/>
      <c r="H450" s="413"/>
      <c r="I450" s="413"/>
      <c r="J450" s="413"/>
      <c r="K450" s="413"/>
    </row>
    <row r="451" spans="1:22" ht="57" x14ac:dyDescent="0.2">
      <c r="A451" s="179" t="s">
        <v>1712</v>
      </c>
      <c r="B451" s="178" t="s">
        <v>281</v>
      </c>
      <c r="C451" s="178" t="s">
        <v>280</v>
      </c>
      <c r="D451" s="177" t="s">
        <v>1713</v>
      </c>
      <c r="E451" s="174">
        <v>0.80700000000000005</v>
      </c>
      <c r="F451" s="176"/>
      <c r="G451" s="175"/>
      <c r="H451" s="174"/>
      <c r="I451" s="173"/>
      <c r="J451" s="174"/>
      <c r="K451" s="173"/>
      <c r="Q451" s="160">
        <f>[2]Source!X450</f>
        <v>374.78</v>
      </c>
      <c r="R451" s="160">
        <f>[2]Source!X451</f>
        <v>7088.4</v>
      </c>
      <c r="S451" s="160">
        <f>[2]Source!Y450</f>
        <v>239.86</v>
      </c>
      <c r="T451" s="160">
        <f>[2]Source!Y451</f>
        <v>3587.96</v>
      </c>
      <c r="U451" s="160">
        <f>ROUND((175/100)*ROUND([2]Source!R450, 2), 2)</f>
        <v>3.41</v>
      </c>
      <c r="V451" s="160">
        <f>ROUND((157/100)*ROUND([2]Source!R451, 2), 2)</f>
        <v>71.48</v>
      </c>
    </row>
    <row r="452" spans="1:22" x14ac:dyDescent="0.2">
      <c r="C452" s="181" t="s">
        <v>1714</v>
      </c>
    </row>
    <row r="453" spans="1:22" ht="14.25" x14ac:dyDescent="0.2">
      <c r="A453" s="179"/>
      <c r="B453" s="178"/>
      <c r="C453" s="178" t="s">
        <v>197</v>
      </c>
      <c r="D453" s="177"/>
      <c r="E453" s="174"/>
      <c r="F453" s="176">
        <v>403.84</v>
      </c>
      <c r="G453" s="175" t="s">
        <v>1548</v>
      </c>
      <c r="H453" s="174">
        <v>1</v>
      </c>
      <c r="I453" s="173">
        <v>374.78</v>
      </c>
      <c r="J453" s="174">
        <v>23.35</v>
      </c>
      <c r="K453" s="173">
        <v>8751.11</v>
      </c>
    </row>
    <row r="454" spans="1:22" ht="14.25" x14ac:dyDescent="0.2">
      <c r="A454" s="179"/>
      <c r="B454" s="178"/>
      <c r="C454" s="178" t="s">
        <v>184</v>
      </c>
      <c r="D454" s="177"/>
      <c r="E454" s="174"/>
      <c r="F454" s="176">
        <v>8.19</v>
      </c>
      <c r="G454" s="175" t="s">
        <v>1549</v>
      </c>
      <c r="H454" s="174">
        <v>1</v>
      </c>
      <c r="I454" s="173">
        <v>8.26</v>
      </c>
      <c r="J454" s="174">
        <v>9.59</v>
      </c>
      <c r="K454" s="173">
        <v>79.209999999999994</v>
      </c>
    </row>
    <row r="455" spans="1:22" ht="14.25" x14ac:dyDescent="0.2">
      <c r="A455" s="179"/>
      <c r="B455" s="178"/>
      <c r="C455" s="178" t="s">
        <v>189</v>
      </c>
      <c r="D455" s="177"/>
      <c r="E455" s="174"/>
      <c r="F455" s="176">
        <v>1.93</v>
      </c>
      <c r="G455" s="175" t="s">
        <v>1549</v>
      </c>
      <c r="H455" s="174">
        <v>1</v>
      </c>
      <c r="I455" s="180">
        <v>1.95</v>
      </c>
      <c r="J455" s="174">
        <v>23.35</v>
      </c>
      <c r="K455" s="180">
        <v>45.53</v>
      </c>
    </row>
    <row r="456" spans="1:22" ht="14.25" x14ac:dyDescent="0.2">
      <c r="A456" s="179"/>
      <c r="B456" s="178"/>
      <c r="C456" s="178" t="s">
        <v>205</v>
      </c>
      <c r="D456" s="177"/>
      <c r="E456" s="174"/>
      <c r="F456" s="176">
        <v>625.55999999999995</v>
      </c>
      <c r="G456" s="175" t="s">
        <v>195</v>
      </c>
      <c r="H456" s="174">
        <v>1</v>
      </c>
      <c r="I456" s="173">
        <v>504.83</v>
      </c>
      <c r="J456" s="174">
        <v>1.48</v>
      </c>
      <c r="K456" s="173">
        <v>747.15</v>
      </c>
    </row>
    <row r="457" spans="1:22" ht="14.25" x14ac:dyDescent="0.2">
      <c r="A457" s="179" t="s">
        <v>1715</v>
      </c>
      <c r="B457" s="178" t="s">
        <v>1593</v>
      </c>
      <c r="C457" s="178" t="s">
        <v>274</v>
      </c>
      <c r="D457" s="177" t="s">
        <v>1594</v>
      </c>
      <c r="E457" s="174">
        <v>3.0279E-2</v>
      </c>
      <c r="F457" s="176">
        <v>7.07</v>
      </c>
      <c r="G457" s="182" t="s">
        <v>195</v>
      </c>
      <c r="H457" s="174">
        <v>1</v>
      </c>
      <c r="I457" s="173">
        <v>0.21</v>
      </c>
      <c r="J457" s="174">
        <v>4.7699999999999996</v>
      </c>
      <c r="K457" s="173">
        <v>1</v>
      </c>
      <c r="Q457" s="160">
        <f>[2]Source!X452</f>
        <v>0</v>
      </c>
      <c r="R457" s="160">
        <f>[2]Source!X453</f>
        <v>0</v>
      </c>
      <c r="S457" s="160">
        <f>[2]Source!Y452</f>
        <v>0</v>
      </c>
      <c r="T457" s="160">
        <f>[2]Source!Y453</f>
        <v>0</v>
      </c>
      <c r="U457" s="160">
        <f>ROUND((175/100)*ROUND([2]Source!R452, 2), 2)</f>
        <v>0</v>
      </c>
      <c r="V457" s="160">
        <f>ROUND((157/100)*ROUND([2]Source!R453, 2), 2)</f>
        <v>0</v>
      </c>
    </row>
    <row r="458" spans="1:22" ht="71.25" x14ac:dyDescent="0.2">
      <c r="A458" s="179" t="s">
        <v>1716</v>
      </c>
      <c r="B458" s="178" t="s">
        <v>1717</v>
      </c>
      <c r="C458" s="178" t="s">
        <v>279</v>
      </c>
      <c r="D458" s="177" t="s">
        <v>1533</v>
      </c>
      <c r="E458" s="174">
        <v>0.17302100000000001</v>
      </c>
      <c r="F458" s="176">
        <v>796.76</v>
      </c>
      <c r="G458" s="182" t="s">
        <v>195</v>
      </c>
      <c r="H458" s="174">
        <v>1</v>
      </c>
      <c r="I458" s="173">
        <v>137.86000000000001</v>
      </c>
      <c r="J458" s="174">
        <v>5.24</v>
      </c>
      <c r="K458" s="173">
        <v>722.39</v>
      </c>
      <c r="Q458" s="160">
        <f>[2]Source!X454</f>
        <v>0</v>
      </c>
      <c r="R458" s="160">
        <f>[2]Source!X455</f>
        <v>0</v>
      </c>
      <c r="S458" s="160">
        <f>[2]Source!Y454</f>
        <v>0</v>
      </c>
      <c r="T458" s="160">
        <f>[2]Source!Y455</f>
        <v>0</v>
      </c>
      <c r="U458" s="160">
        <f>ROUND((175/100)*ROUND([2]Source!R454, 2), 2)</f>
        <v>0</v>
      </c>
      <c r="V458" s="160">
        <f>ROUND((157/100)*ROUND([2]Source!R455, 2), 2)</f>
        <v>0</v>
      </c>
    </row>
    <row r="459" spans="1:22" ht="28.5" x14ac:dyDescent="0.2">
      <c r="A459" s="179" t="s">
        <v>1718</v>
      </c>
      <c r="B459" s="178" t="s">
        <v>1598</v>
      </c>
      <c r="C459" s="178" t="s">
        <v>272</v>
      </c>
      <c r="D459" s="177" t="s">
        <v>1594</v>
      </c>
      <c r="E459" s="174">
        <v>0.43255199999999999</v>
      </c>
      <c r="F459" s="176">
        <v>481.69</v>
      </c>
      <c r="G459" s="182" t="s">
        <v>195</v>
      </c>
      <c r="H459" s="174">
        <v>1</v>
      </c>
      <c r="I459" s="173">
        <v>208.36</v>
      </c>
      <c r="J459" s="174">
        <v>6.45</v>
      </c>
      <c r="K459" s="173">
        <v>1343.92</v>
      </c>
      <c r="Q459" s="160">
        <f>[2]Source!X456</f>
        <v>0</v>
      </c>
      <c r="R459" s="160">
        <f>[2]Source!X457</f>
        <v>0</v>
      </c>
      <c r="S459" s="160">
        <f>[2]Source!Y456</f>
        <v>0</v>
      </c>
      <c r="T459" s="160">
        <f>[2]Source!Y457</f>
        <v>0</v>
      </c>
      <c r="U459" s="160">
        <f>ROUND((175/100)*ROUND([2]Source!R456, 2), 2)</f>
        <v>0</v>
      </c>
      <c r="V459" s="160">
        <f>ROUND((157/100)*ROUND([2]Source!R457, 2), 2)</f>
        <v>0</v>
      </c>
    </row>
    <row r="460" spans="1:22" ht="14.25" x14ac:dyDescent="0.2">
      <c r="A460" s="179"/>
      <c r="B460" s="178"/>
      <c r="C460" s="178" t="s">
        <v>194</v>
      </c>
      <c r="D460" s="177" t="s">
        <v>187</v>
      </c>
      <c r="E460" s="174">
        <v>100</v>
      </c>
      <c r="F460" s="176"/>
      <c r="G460" s="175"/>
      <c r="H460" s="174"/>
      <c r="I460" s="173">
        <v>374.78</v>
      </c>
      <c r="J460" s="174">
        <v>81</v>
      </c>
      <c r="K460" s="173">
        <v>7088.4</v>
      </c>
    </row>
    <row r="461" spans="1:22" ht="14.25" x14ac:dyDescent="0.2">
      <c r="A461" s="179"/>
      <c r="B461" s="178"/>
      <c r="C461" s="178" t="s">
        <v>193</v>
      </c>
      <c r="D461" s="177" t="s">
        <v>187</v>
      </c>
      <c r="E461" s="174">
        <v>64</v>
      </c>
      <c r="F461" s="176"/>
      <c r="G461" s="175"/>
      <c r="H461" s="174"/>
      <c r="I461" s="173">
        <v>239.86</v>
      </c>
      <c r="J461" s="174">
        <v>41</v>
      </c>
      <c r="K461" s="173">
        <v>3587.96</v>
      </c>
    </row>
    <row r="462" spans="1:22" ht="14.25" x14ac:dyDescent="0.2">
      <c r="A462" s="179"/>
      <c r="B462" s="178"/>
      <c r="C462" s="178" t="s">
        <v>188</v>
      </c>
      <c r="D462" s="177" t="s">
        <v>187</v>
      </c>
      <c r="E462" s="174">
        <v>175</v>
      </c>
      <c r="F462" s="176"/>
      <c r="G462" s="175"/>
      <c r="H462" s="174"/>
      <c r="I462" s="173">
        <v>3.41</v>
      </c>
      <c r="J462" s="174">
        <v>157</v>
      </c>
      <c r="K462" s="173">
        <v>71.48</v>
      </c>
    </row>
    <row r="463" spans="1:22" ht="14.25" x14ac:dyDescent="0.2">
      <c r="A463" s="172"/>
      <c r="B463" s="171"/>
      <c r="C463" s="171" t="s">
        <v>192</v>
      </c>
      <c r="D463" s="170" t="s">
        <v>191</v>
      </c>
      <c r="E463" s="167">
        <v>32</v>
      </c>
      <c r="F463" s="169"/>
      <c r="G463" s="168" t="s">
        <v>1548</v>
      </c>
      <c r="H463" s="167">
        <v>1</v>
      </c>
      <c r="I463" s="166">
        <v>29.7</v>
      </c>
      <c r="J463" s="167"/>
      <c r="K463" s="166"/>
    </row>
    <row r="464" spans="1:22" ht="15" x14ac:dyDescent="0.25">
      <c r="A464" s="164"/>
      <c r="B464" s="164"/>
      <c r="C464" s="165" t="s">
        <v>183</v>
      </c>
      <c r="D464" s="164"/>
      <c r="E464" s="164"/>
      <c r="F464" s="164"/>
      <c r="G464" s="164"/>
      <c r="H464" s="414">
        <v>1852.35</v>
      </c>
      <c r="I464" s="414"/>
      <c r="J464" s="414">
        <v>22392.62</v>
      </c>
      <c r="K464" s="414"/>
      <c r="O464" s="163">
        <f>I453+I454+I456+I460+I461+I462+SUM(I457:I459)</f>
        <v>1852.35</v>
      </c>
      <c r="P464" s="163">
        <f>K453+K454+K456+K460+K461+K462+SUM(K457:K459)</f>
        <v>22392.62</v>
      </c>
    </row>
    <row r="466" spans="1:22" ht="71.25" x14ac:dyDescent="0.2">
      <c r="A466" s="179" t="s">
        <v>1719</v>
      </c>
      <c r="B466" s="178" t="s">
        <v>278</v>
      </c>
      <c r="C466" s="178" t="s">
        <v>277</v>
      </c>
      <c r="D466" s="177" t="s">
        <v>1561</v>
      </c>
      <c r="E466" s="174">
        <v>0.80700000000000005</v>
      </c>
      <c r="F466" s="176"/>
      <c r="G466" s="175"/>
      <c r="H466" s="174"/>
      <c r="I466" s="173"/>
      <c r="J466" s="174"/>
      <c r="K466" s="173"/>
      <c r="Q466" s="160">
        <f>[2]Source!X458</f>
        <v>96.04</v>
      </c>
      <c r="R466" s="160">
        <f>[2]Source!X459</f>
        <v>1816.45</v>
      </c>
      <c r="S466" s="160">
        <f>[2]Source!Y458</f>
        <v>61.47</v>
      </c>
      <c r="T466" s="160">
        <f>[2]Source!Y459</f>
        <v>919.44</v>
      </c>
      <c r="U466" s="160">
        <f>ROUND((175/100)*ROUND([2]Source!R458, 2), 2)</f>
        <v>1.49</v>
      </c>
      <c r="V466" s="160">
        <f>ROUND((157/100)*ROUND([2]Source!R459, 2), 2)</f>
        <v>31.16</v>
      </c>
    </row>
    <row r="467" spans="1:22" x14ac:dyDescent="0.2">
      <c r="C467" s="181" t="s">
        <v>1714</v>
      </c>
    </row>
    <row r="468" spans="1:22" ht="14.25" x14ac:dyDescent="0.2">
      <c r="A468" s="179"/>
      <c r="B468" s="178"/>
      <c r="C468" s="178" t="s">
        <v>197</v>
      </c>
      <c r="D468" s="177"/>
      <c r="E468" s="174"/>
      <c r="F468" s="176">
        <v>103.49</v>
      </c>
      <c r="G468" s="175" t="s">
        <v>1548</v>
      </c>
      <c r="H468" s="174">
        <v>1</v>
      </c>
      <c r="I468" s="173">
        <v>96.04</v>
      </c>
      <c r="J468" s="174">
        <v>23.35</v>
      </c>
      <c r="K468" s="173">
        <v>2242.5300000000002</v>
      </c>
    </row>
    <row r="469" spans="1:22" ht="14.25" x14ac:dyDescent="0.2">
      <c r="A469" s="179"/>
      <c r="B469" s="178"/>
      <c r="C469" s="178" t="s">
        <v>184</v>
      </c>
      <c r="D469" s="177"/>
      <c r="E469" s="174"/>
      <c r="F469" s="176">
        <v>4.07</v>
      </c>
      <c r="G469" s="175" t="s">
        <v>1549</v>
      </c>
      <c r="H469" s="174">
        <v>1</v>
      </c>
      <c r="I469" s="173">
        <v>4.1100000000000003</v>
      </c>
      <c r="J469" s="174">
        <v>9.2100000000000009</v>
      </c>
      <c r="K469" s="173">
        <v>37.85</v>
      </c>
    </row>
    <row r="470" spans="1:22" ht="14.25" x14ac:dyDescent="0.2">
      <c r="A470" s="179"/>
      <c r="B470" s="178"/>
      <c r="C470" s="178" t="s">
        <v>189</v>
      </c>
      <c r="D470" s="177"/>
      <c r="E470" s="174"/>
      <c r="F470" s="176">
        <v>0.84</v>
      </c>
      <c r="G470" s="175" t="s">
        <v>1549</v>
      </c>
      <c r="H470" s="174">
        <v>1</v>
      </c>
      <c r="I470" s="180">
        <v>0.85</v>
      </c>
      <c r="J470" s="174">
        <v>23.35</v>
      </c>
      <c r="K470" s="180">
        <v>19.850000000000001</v>
      </c>
    </row>
    <row r="471" spans="1:22" ht="14.25" x14ac:dyDescent="0.2">
      <c r="A471" s="179"/>
      <c r="B471" s="178"/>
      <c r="C471" s="178" t="s">
        <v>205</v>
      </c>
      <c r="D471" s="177"/>
      <c r="E471" s="174"/>
      <c r="F471" s="176">
        <v>28.95</v>
      </c>
      <c r="G471" s="175" t="s">
        <v>195</v>
      </c>
      <c r="H471" s="174">
        <v>1</v>
      </c>
      <c r="I471" s="173">
        <v>23.36</v>
      </c>
      <c r="J471" s="174">
        <v>6.47</v>
      </c>
      <c r="K471" s="173">
        <v>151.13999999999999</v>
      </c>
    </row>
    <row r="472" spans="1:22" ht="42.75" x14ac:dyDescent="0.2">
      <c r="A472" s="179" t="s">
        <v>1720</v>
      </c>
      <c r="B472" s="178" t="s">
        <v>1721</v>
      </c>
      <c r="C472" s="178" t="s">
        <v>267</v>
      </c>
      <c r="D472" s="177" t="s">
        <v>1533</v>
      </c>
      <c r="E472" s="174">
        <v>3.0665999999999999E-2</v>
      </c>
      <c r="F472" s="176">
        <v>22652.13</v>
      </c>
      <c r="G472" s="182" t="s">
        <v>195</v>
      </c>
      <c r="H472" s="174">
        <v>1</v>
      </c>
      <c r="I472" s="173">
        <v>694.65</v>
      </c>
      <c r="J472" s="174">
        <v>1.31</v>
      </c>
      <c r="K472" s="173">
        <v>909.99</v>
      </c>
      <c r="Q472" s="160">
        <f>[2]Source!X460</f>
        <v>0</v>
      </c>
      <c r="R472" s="160">
        <f>[2]Source!X461</f>
        <v>0</v>
      </c>
      <c r="S472" s="160">
        <f>[2]Source!Y460</f>
        <v>0</v>
      </c>
      <c r="T472" s="160">
        <f>[2]Source!Y461</f>
        <v>0</v>
      </c>
      <c r="U472" s="160">
        <f>ROUND((175/100)*ROUND([2]Source!R460, 2), 2)</f>
        <v>0</v>
      </c>
      <c r="V472" s="160">
        <f>ROUND((157/100)*ROUND([2]Source!R461, 2), 2)</f>
        <v>0</v>
      </c>
    </row>
    <row r="473" spans="1:22" ht="14.25" x14ac:dyDescent="0.2">
      <c r="A473" s="179"/>
      <c r="B473" s="178"/>
      <c r="C473" s="178" t="s">
        <v>194</v>
      </c>
      <c r="D473" s="177" t="s">
        <v>187</v>
      </c>
      <c r="E473" s="174">
        <v>100</v>
      </c>
      <c r="F473" s="176"/>
      <c r="G473" s="175"/>
      <c r="H473" s="174"/>
      <c r="I473" s="173">
        <v>96.04</v>
      </c>
      <c r="J473" s="174">
        <v>81</v>
      </c>
      <c r="K473" s="173">
        <v>1816.45</v>
      </c>
    </row>
    <row r="474" spans="1:22" ht="14.25" x14ac:dyDescent="0.2">
      <c r="A474" s="179"/>
      <c r="B474" s="178"/>
      <c r="C474" s="178" t="s">
        <v>193</v>
      </c>
      <c r="D474" s="177" t="s">
        <v>187</v>
      </c>
      <c r="E474" s="174">
        <v>64</v>
      </c>
      <c r="F474" s="176"/>
      <c r="G474" s="175"/>
      <c r="H474" s="174"/>
      <c r="I474" s="173">
        <v>61.47</v>
      </c>
      <c r="J474" s="174">
        <v>41</v>
      </c>
      <c r="K474" s="173">
        <v>919.44</v>
      </c>
    </row>
    <row r="475" spans="1:22" ht="14.25" x14ac:dyDescent="0.2">
      <c r="A475" s="179"/>
      <c r="B475" s="178"/>
      <c r="C475" s="178" t="s">
        <v>188</v>
      </c>
      <c r="D475" s="177" t="s">
        <v>187</v>
      </c>
      <c r="E475" s="174">
        <v>175</v>
      </c>
      <c r="F475" s="176"/>
      <c r="G475" s="175"/>
      <c r="H475" s="174"/>
      <c r="I475" s="173">
        <v>1.49</v>
      </c>
      <c r="J475" s="174">
        <v>157</v>
      </c>
      <c r="K475" s="173">
        <v>31.16</v>
      </c>
    </row>
    <row r="476" spans="1:22" ht="14.25" x14ac:dyDescent="0.2">
      <c r="A476" s="172"/>
      <c r="B476" s="171"/>
      <c r="C476" s="171" t="s">
        <v>192</v>
      </c>
      <c r="D476" s="170" t="s">
        <v>191</v>
      </c>
      <c r="E476" s="167">
        <v>8.8000000000000007</v>
      </c>
      <c r="F476" s="169"/>
      <c r="G476" s="168" t="s">
        <v>1548</v>
      </c>
      <c r="H476" s="167">
        <v>1</v>
      </c>
      <c r="I476" s="166">
        <v>8.17</v>
      </c>
      <c r="J476" s="167"/>
      <c r="K476" s="166"/>
    </row>
    <row r="477" spans="1:22" ht="15" x14ac:dyDescent="0.25">
      <c r="A477" s="164"/>
      <c r="B477" s="164"/>
      <c r="C477" s="165" t="s">
        <v>183</v>
      </c>
      <c r="D477" s="164"/>
      <c r="E477" s="164"/>
      <c r="F477" s="164"/>
      <c r="G477" s="164"/>
      <c r="H477" s="414">
        <v>977.16</v>
      </c>
      <c r="I477" s="414"/>
      <c r="J477" s="414">
        <v>6108.56</v>
      </c>
      <c r="K477" s="414"/>
      <c r="O477" s="163">
        <f>I468+I469+I471+I473+I474+I475+SUM(I472:I472)</f>
        <v>977.16</v>
      </c>
      <c r="P477" s="163">
        <f>K468+K469+K471+K473+K474+K475+SUM(K472:K472)</f>
        <v>6108.56</v>
      </c>
    </row>
    <row r="479" spans="1:22" ht="85.5" x14ac:dyDescent="0.2">
      <c r="A479" s="179" t="s">
        <v>1722</v>
      </c>
      <c r="B479" s="178" t="s">
        <v>276</v>
      </c>
      <c r="C479" s="178" t="s">
        <v>275</v>
      </c>
      <c r="D479" s="177" t="s">
        <v>1590</v>
      </c>
      <c r="E479" s="174">
        <v>0.96899999999999997</v>
      </c>
      <c r="F479" s="176"/>
      <c r="G479" s="175"/>
      <c r="H479" s="174"/>
      <c r="I479" s="173"/>
      <c r="J479" s="174"/>
      <c r="K479" s="173"/>
      <c r="Q479" s="160">
        <f>[2]Source!X468</f>
        <v>2491.36</v>
      </c>
      <c r="R479" s="160">
        <f>[2]Source!X469</f>
        <v>47120.34</v>
      </c>
      <c r="S479" s="160">
        <f>[2]Source!Y468</f>
        <v>1594.47</v>
      </c>
      <c r="T479" s="160">
        <f>[2]Source!Y469</f>
        <v>23851.040000000001</v>
      </c>
      <c r="U479" s="160">
        <f>ROUND((175/100)*ROUND([2]Source!R468, 2), 2)</f>
        <v>43.63</v>
      </c>
      <c r="V479" s="160">
        <f>ROUND((157/100)*ROUND([2]Source!R469, 2), 2)</f>
        <v>913.93</v>
      </c>
    </row>
    <row r="480" spans="1:22" x14ac:dyDescent="0.2">
      <c r="C480" s="181" t="s">
        <v>1723</v>
      </c>
    </row>
    <row r="481" spans="1:22" ht="14.25" x14ac:dyDescent="0.2">
      <c r="A481" s="179"/>
      <c r="B481" s="178"/>
      <c r="C481" s="178" t="s">
        <v>197</v>
      </c>
      <c r="D481" s="177"/>
      <c r="E481" s="174"/>
      <c r="F481" s="176">
        <v>2235.71</v>
      </c>
      <c r="G481" s="175" t="s">
        <v>1548</v>
      </c>
      <c r="H481" s="174">
        <v>1</v>
      </c>
      <c r="I481" s="173">
        <v>2491.36</v>
      </c>
      <c r="J481" s="174">
        <v>23.35</v>
      </c>
      <c r="K481" s="173">
        <v>58173.26</v>
      </c>
    </row>
    <row r="482" spans="1:22" ht="14.25" x14ac:dyDescent="0.2">
      <c r="A482" s="179"/>
      <c r="B482" s="178"/>
      <c r="C482" s="178" t="s">
        <v>184</v>
      </c>
      <c r="D482" s="177"/>
      <c r="E482" s="174"/>
      <c r="F482" s="176">
        <v>87.09</v>
      </c>
      <c r="G482" s="175" t="s">
        <v>1549</v>
      </c>
      <c r="H482" s="174">
        <v>1</v>
      </c>
      <c r="I482" s="173">
        <v>105.49</v>
      </c>
      <c r="J482" s="174">
        <v>9.6</v>
      </c>
      <c r="K482" s="173">
        <v>1012.7</v>
      </c>
    </row>
    <row r="483" spans="1:22" ht="14.25" x14ac:dyDescent="0.2">
      <c r="A483" s="179"/>
      <c r="B483" s="178"/>
      <c r="C483" s="178" t="s">
        <v>189</v>
      </c>
      <c r="D483" s="177"/>
      <c r="E483" s="174"/>
      <c r="F483" s="176">
        <v>20.58</v>
      </c>
      <c r="G483" s="175" t="s">
        <v>1549</v>
      </c>
      <c r="H483" s="174">
        <v>1</v>
      </c>
      <c r="I483" s="180">
        <v>24.93</v>
      </c>
      <c r="J483" s="174">
        <v>23.35</v>
      </c>
      <c r="K483" s="180">
        <v>582.12</v>
      </c>
    </row>
    <row r="484" spans="1:22" ht="14.25" x14ac:dyDescent="0.2">
      <c r="A484" s="179"/>
      <c r="B484" s="178"/>
      <c r="C484" s="178" t="s">
        <v>205</v>
      </c>
      <c r="D484" s="177"/>
      <c r="E484" s="174"/>
      <c r="F484" s="176">
        <v>0.71</v>
      </c>
      <c r="G484" s="175" t="s">
        <v>195</v>
      </c>
      <c r="H484" s="174">
        <v>1</v>
      </c>
      <c r="I484" s="173">
        <v>0.69</v>
      </c>
      <c r="J484" s="174">
        <v>5.42</v>
      </c>
      <c r="K484" s="173">
        <v>3.74</v>
      </c>
    </row>
    <row r="485" spans="1:22" ht="14.25" x14ac:dyDescent="0.2">
      <c r="A485" s="179" t="s">
        <v>1724</v>
      </c>
      <c r="B485" s="178" t="s">
        <v>1593</v>
      </c>
      <c r="C485" s="178" t="s">
        <v>274</v>
      </c>
      <c r="D485" s="177" t="s">
        <v>1594</v>
      </c>
      <c r="E485" s="174">
        <v>0.238762</v>
      </c>
      <c r="F485" s="176">
        <v>7.07</v>
      </c>
      <c r="G485" s="182" t="s">
        <v>195</v>
      </c>
      <c r="H485" s="174">
        <v>1</v>
      </c>
      <c r="I485" s="173">
        <v>1.69</v>
      </c>
      <c r="J485" s="174">
        <v>4.7699999999999996</v>
      </c>
      <c r="K485" s="173">
        <v>8.06</v>
      </c>
      <c r="Q485" s="160">
        <f>[2]Source!X470</f>
        <v>0</v>
      </c>
      <c r="R485" s="160">
        <f>[2]Source!X471</f>
        <v>0</v>
      </c>
      <c r="S485" s="160">
        <f>[2]Source!Y470</f>
        <v>0</v>
      </c>
      <c r="T485" s="160">
        <f>[2]Source!Y471</f>
        <v>0</v>
      </c>
      <c r="U485" s="160">
        <f>ROUND((175/100)*ROUND([2]Source!R470, 2), 2)</f>
        <v>0</v>
      </c>
      <c r="V485" s="160">
        <f>ROUND((157/100)*ROUND([2]Source!R471, 2), 2)</f>
        <v>0</v>
      </c>
    </row>
    <row r="486" spans="1:22" ht="85.5" x14ac:dyDescent="0.2">
      <c r="A486" s="179" t="s">
        <v>1725</v>
      </c>
      <c r="B486" s="178" t="s">
        <v>1726</v>
      </c>
      <c r="C486" s="178" t="s">
        <v>273</v>
      </c>
      <c r="D486" s="177" t="s">
        <v>1533</v>
      </c>
      <c r="E486" s="174">
        <v>1.364352</v>
      </c>
      <c r="F486" s="176">
        <v>1823.55</v>
      </c>
      <c r="G486" s="182" t="s">
        <v>195</v>
      </c>
      <c r="H486" s="174">
        <v>1</v>
      </c>
      <c r="I486" s="173">
        <v>2487.96</v>
      </c>
      <c r="J486" s="174">
        <v>2.57</v>
      </c>
      <c r="K486" s="173">
        <v>6394.06</v>
      </c>
      <c r="Q486" s="160">
        <f>[2]Source!X472</f>
        <v>0</v>
      </c>
      <c r="R486" s="160">
        <f>[2]Source!X473</f>
        <v>0</v>
      </c>
      <c r="S486" s="160">
        <f>[2]Source!Y472</f>
        <v>0</v>
      </c>
      <c r="T486" s="160">
        <f>[2]Source!Y473</f>
        <v>0</v>
      </c>
      <c r="U486" s="160">
        <f>ROUND((175/100)*ROUND([2]Source!R472, 2), 2)</f>
        <v>0</v>
      </c>
      <c r="V486" s="160">
        <f>ROUND((157/100)*ROUND([2]Source!R473, 2), 2)</f>
        <v>0</v>
      </c>
    </row>
    <row r="487" spans="1:22" ht="28.5" x14ac:dyDescent="0.2">
      <c r="A487" s="179" t="s">
        <v>1727</v>
      </c>
      <c r="B487" s="178" t="s">
        <v>1598</v>
      </c>
      <c r="C487" s="178" t="s">
        <v>272</v>
      </c>
      <c r="D487" s="177" t="s">
        <v>1594</v>
      </c>
      <c r="E487" s="174">
        <v>7.7520000000000006E-2</v>
      </c>
      <c r="F487" s="176">
        <v>481.69</v>
      </c>
      <c r="G487" s="182" t="s">
        <v>195</v>
      </c>
      <c r="H487" s="174">
        <v>1</v>
      </c>
      <c r="I487" s="173">
        <v>37.340000000000003</v>
      </c>
      <c r="J487" s="174">
        <v>6.45</v>
      </c>
      <c r="K487" s="173">
        <v>240.84</v>
      </c>
      <c r="Q487" s="160">
        <f>[2]Source!X474</f>
        <v>0</v>
      </c>
      <c r="R487" s="160">
        <f>[2]Source!X475</f>
        <v>0</v>
      </c>
      <c r="S487" s="160">
        <f>[2]Source!Y474</f>
        <v>0</v>
      </c>
      <c r="T487" s="160">
        <f>[2]Source!Y475</f>
        <v>0</v>
      </c>
      <c r="U487" s="160">
        <f>ROUND((175/100)*ROUND([2]Source!R474, 2), 2)</f>
        <v>0</v>
      </c>
      <c r="V487" s="160">
        <f>ROUND((157/100)*ROUND([2]Source!R475, 2), 2)</f>
        <v>0</v>
      </c>
    </row>
    <row r="488" spans="1:22" ht="14.25" x14ac:dyDescent="0.2">
      <c r="A488" s="179" t="s">
        <v>1728</v>
      </c>
      <c r="B488" s="178" t="s">
        <v>1642</v>
      </c>
      <c r="C488" s="178" t="s">
        <v>271</v>
      </c>
      <c r="D488" s="177" t="s">
        <v>1594</v>
      </c>
      <c r="E488" s="174">
        <v>3.3333599999999999</v>
      </c>
      <c r="F488" s="176">
        <v>540.41999999999996</v>
      </c>
      <c r="G488" s="182" t="s">
        <v>195</v>
      </c>
      <c r="H488" s="174">
        <v>1</v>
      </c>
      <c r="I488" s="173">
        <v>1801.41</v>
      </c>
      <c r="J488" s="174">
        <v>5.86</v>
      </c>
      <c r="K488" s="173">
        <v>10556.26</v>
      </c>
      <c r="Q488" s="160">
        <f>[2]Source!X476</f>
        <v>0</v>
      </c>
      <c r="R488" s="160">
        <f>[2]Source!X477</f>
        <v>0</v>
      </c>
      <c r="S488" s="160">
        <f>[2]Source!Y476</f>
        <v>0</v>
      </c>
      <c r="T488" s="160">
        <f>[2]Source!Y477</f>
        <v>0</v>
      </c>
      <c r="U488" s="160">
        <f>ROUND((175/100)*ROUND([2]Source!R476, 2), 2)</f>
        <v>0</v>
      </c>
      <c r="V488" s="160">
        <f>ROUND((157/100)*ROUND([2]Source!R477, 2), 2)</f>
        <v>0</v>
      </c>
    </row>
    <row r="489" spans="1:22" ht="14.25" x14ac:dyDescent="0.2">
      <c r="A489" s="179"/>
      <c r="B489" s="178"/>
      <c r="C489" s="178" t="s">
        <v>194</v>
      </c>
      <c r="D489" s="177" t="s">
        <v>187</v>
      </c>
      <c r="E489" s="174">
        <v>100</v>
      </c>
      <c r="F489" s="176"/>
      <c r="G489" s="175"/>
      <c r="H489" s="174"/>
      <c r="I489" s="173">
        <v>2491.36</v>
      </c>
      <c r="J489" s="174">
        <v>81</v>
      </c>
      <c r="K489" s="173">
        <v>47120.34</v>
      </c>
    </row>
    <row r="490" spans="1:22" ht="14.25" x14ac:dyDescent="0.2">
      <c r="A490" s="179"/>
      <c r="B490" s="178"/>
      <c r="C490" s="178" t="s">
        <v>193</v>
      </c>
      <c r="D490" s="177" t="s">
        <v>187</v>
      </c>
      <c r="E490" s="174">
        <v>64</v>
      </c>
      <c r="F490" s="176"/>
      <c r="G490" s="175"/>
      <c r="H490" s="174"/>
      <c r="I490" s="173">
        <v>1594.47</v>
      </c>
      <c r="J490" s="174">
        <v>41</v>
      </c>
      <c r="K490" s="173">
        <v>23851.040000000001</v>
      </c>
    </row>
    <row r="491" spans="1:22" ht="14.25" x14ac:dyDescent="0.2">
      <c r="A491" s="179"/>
      <c r="B491" s="178"/>
      <c r="C491" s="178" t="s">
        <v>188</v>
      </c>
      <c r="D491" s="177" t="s">
        <v>187</v>
      </c>
      <c r="E491" s="174">
        <v>175</v>
      </c>
      <c r="F491" s="176"/>
      <c r="G491" s="175"/>
      <c r="H491" s="174"/>
      <c r="I491" s="173">
        <v>43.63</v>
      </c>
      <c r="J491" s="174">
        <v>157</v>
      </c>
      <c r="K491" s="173">
        <v>913.93</v>
      </c>
    </row>
    <row r="492" spans="1:22" ht="14.25" x14ac:dyDescent="0.2">
      <c r="A492" s="172"/>
      <c r="B492" s="171"/>
      <c r="C492" s="171" t="s">
        <v>192</v>
      </c>
      <c r="D492" s="170" t="s">
        <v>191</v>
      </c>
      <c r="E492" s="167">
        <v>179</v>
      </c>
      <c r="F492" s="169"/>
      <c r="G492" s="168" t="s">
        <v>1548</v>
      </c>
      <c r="H492" s="167">
        <v>1</v>
      </c>
      <c r="I492" s="166">
        <v>199.47</v>
      </c>
      <c r="J492" s="167"/>
      <c r="K492" s="166"/>
    </row>
    <row r="493" spans="1:22" ht="15" x14ac:dyDescent="0.25">
      <c r="A493" s="164"/>
      <c r="B493" s="164"/>
      <c r="C493" s="165" t="s">
        <v>183</v>
      </c>
      <c r="D493" s="164"/>
      <c r="E493" s="164"/>
      <c r="F493" s="164"/>
      <c r="G493" s="164"/>
      <c r="H493" s="414">
        <v>11055.4</v>
      </c>
      <c r="I493" s="414"/>
      <c r="J493" s="414">
        <v>148274.23000000001</v>
      </c>
      <c r="K493" s="414"/>
      <c r="O493" s="163">
        <f>I481+I482+I484+I489+I490+I491+SUM(I485:I488)</f>
        <v>11055.4</v>
      </c>
      <c r="P493" s="163">
        <f>K481+K482+K484+K489+K490+K491+SUM(K485:K488)</f>
        <v>148274.23000000001</v>
      </c>
    </row>
    <row r="495" spans="1:22" ht="71.25" x14ac:dyDescent="0.2">
      <c r="A495" s="179" t="s">
        <v>1729</v>
      </c>
      <c r="B495" s="178" t="s">
        <v>270</v>
      </c>
      <c r="C495" s="178" t="s">
        <v>269</v>
      </c>
      <c r="D495" s="177" t="s">
        <v>1561</v>
      </c>
      <c r="E495" s="174">
        <v>0.96899999999999997</v>
      </c>
      <c r="F495" s="176"/>
      <c r="G495" s="175"/>
      <c r="H495" s="174"/>
      <c r="I495" s="173"/>
      <c r="J495" s="174"/>
      <c r="K495" s="173"/>
      <c r="Q495" s="160">
        <f>[2]Source!X478</f>
        <v>511.09</v>
      </c>
      <c r="R495" s="160">
        <f>[2]Source!X479</f>
        <v>9666.5</v>
      </c>
      <c r="S495" s="160">
        <f>[2]Source!Y478</f>
        <v>327.10000000000002</v>
      </c>
      <c r="T495" s="160">
        <f>[2]Source!Y479</f>
        <v>4892.92</v>
      </c>
      <c r="U495" s="160">
        <f>ROUND((175/100)*ROUND([2]Source!R478, 2), 2)</f>
        <v>14.54</v>
      </c>
      <c r="V495" s="160">
        <f>ROUND((157/100)*ROUND([2]Source!R479, 2), 2)</f>
        <v>304.64</v>
      </c>
    </row>
    <row r="496" spans="1:22" x14ac:dyDescent="0.2">
      <c r="C496" s="181" t="s">
        <v>1723</v>
      </c>
    </row>
    <row r="497" spans="1:22" ht="14.25" x14ac:dyDescent="0.2">
      <c r="A497" s="179"/>
      <c r="B497" s="178"/>
      <c r="C497" s="178" t="s">
        <v>197</v>
      </c>
      <c r="D497" s="177"/>
      <c r="E497" s="174"/>
      <c r="F497" s="176">
        <v>458.64</v>
      </c>
      <c r="G497" s="175" t="s">
        <v>1548</v>
      </c>
      <c r="H497" s="174">
        <v>1</v>
      </c>
      <c r="I497" s="173">
        <v>511.09</v>
      </c>
      <c r="J497" s="174">
        <v>23.35</v>
      </c>
      <c r="K497" s="173">
        <v>11933.95</v>
      </c>
    </row>
    <row r="498" spans="1:22" ht="14.25" x14ac:dyDescent="0.2">
      <c r="A498" s="179"/>
      <c r="B498" s="178"/>
      <c r="C498" s="178" t="s">
        <v>184</v>
      </c>
      <c r="D498" s="177"/>
      <c r="E498" s="174"/>
      <c r="F498" s="176">
        <v>29.03</v>
      </c>
      <c r="G498" s="175" t="s">
        <v>1549</v>
      </c>
      <c r="H498" s="174">
        <v>1</v>
      </c>
      <c r="I498" s="173">
        <v>35.159999999999997</v>
      </c>
      <c r="J498" s="174">
        <v>9.6</v>
      </c>
      <c r="K498" s="173">
        <v>337.54</v>
      </c>
    </row>
    <row r="499" spans="1:22" ht="14.25" x14ac:dyDescent="0.2">
      <c r="A499" s="179"/>
      <c r="B499" s="178"/>
      <c r="C499" s="178" t="s">
        <v>189</v>
      </c>
      <c r="D499" s="177"/>
      <c r="E499" s="174"/>
      <c r="F499" s="176">
        <v>6.86</v>
      </c>
      <c r="G499" s="175" t="s">
        <v>1549</v>
      </c>
      <c r="H499" s="174">
        <v>1</v>
      </c>
      <c r="I499" s="180">
        <v>8.31</v>
      </c>
      <c r="J499" s="174">
        <v>23.35</v>
      </c>
      <c r="K499" s="180">
        <v>194.04</v>
      </c>
    </row>
    <row r="500" spans="1:22" ht="14.25" x14ac:dyDescent="0.2">
      <c r="A500" s="179"/>
      <c r="B500" s="178"/>
      <c r="C500" s="178" t="s">
        <v>205</v>
      </c>
      <c r="D500" s="177"/>
      <c r="E500" s="174"/>
      <c r="F500" s="176">
        <v>6.09</v>
      </c>
      <c r="G500" s="175" t="s">
        <v>195</v>
      </c>
      <c r="H500" s="174">
        <v>1</v>
      </c>
      <c r="I500" s="173">
        <v>5.9</v>
      </c>
      <c r="J500" s="174">
        <v>5.42</v>
      </c>
      <c r="K500" s="173">
        <v>31.98</v>
      </c>
    </row>
    <row r="501" spans="1:22" ht="28.5" x14ac:dyDescent="0.2">
      <c r="A501" s="179" t="s">
        <v>1730</v>
      </c>
      <c r="B501" s="178" t="s">
        <v>1731</v>
      </c>
      <c r="C501" s="178" t="s">
        <v>268</v>
      </c>
      <c r="D501" s="177" t="s">
        <v>1533</v>
      </c>
      <c r="E501" s="174">
        <v>4.9418999999999998E-2</v>
      </c>
      <c r="F501" s="176">
        <v>2278.84</v>
      </c>
      <c r="G501" s="182" t="s">
        <v>195</v>
      </c>
      <c r="H501" s="174">
        <v>1</v>
      </c>
      <c r="I501" s="173">
        <v>112.62</v>
      </c>
      <c r="J501" s="174">
        <v>5.21</v>
      </c>
      <c r="K501" s="173">
        <v>586.75</v>
      </c>
      <c r="Q501" s="160">
        <f>[2]Source!X480</f>
        <v>0</v>
      </c>
      <c r="R501" s="160">
        <f>[2]Source!X481</f>
        <v>0</v>
      </c>
      <c r="S501" s="160">
        <f>[2]Source!Y480</f>
        <v>0</v>
      </c>
      <c r="T501" s="160">
        <f>[2]Source!Y481</f>
        <v>0</v>
      </c>
      <c r="U501" s="160">
        <f>ROUND((175/100)*ROUND([2]Source!R480, 2), 2)</f>
        <v>0</v>
      </c>
      <c r="V501" s="160">
        <f>ROUND((157/100)*ROUND([2]Source!R481, 2), 2)</f>
        <v>0</v>
      </c>
    </row>
    <row r="502" spans="1:22" ht="42.75" x14ac:dyDescent="0.2">
      <c r="A502" s="179" t="s">
        <v>1732</v>
      </c>
      <c r="B502" s="178" t="s">
        <v>1721</v>
      </c>
      <c r="C502" s="178" t="s">
        <v>267</v>
      </c>
      <c r="D502" s="177" t="s">
        <v>1533</v>
      </c>
      <c r="E502" s="174">
        <v>6.1046999999999997E-2</v>
      </c>
      <c r="F502" s="176">
        <v>22652.13</v>
      </c>
      <c r="G502" s="182" t="s">
        <v>195</v>
      </c>
      <c r="H502" s="174">
        <v>1</v>
      </c>
      <c r="I502" s="173">
        <v>1382.84</v>
      </c>
      <c r="J502" s="174">
        <v>1.31</v>
      </c>
      <c r="K502" s="173">
        <v>1811.52</v>
      </c>
      <c r="Q502" s="160">
        <f>[2]Source!X482</f>
        <v>0</v>
      </c>
      <c r="R502" s="160">
        <f>[2]Source!X483</f>
        <v>0</v>
      </c>
      <c r="S502" s="160">
        <f>[2]Source!Y482</f>
        <v>0</v>
      </c>
      <c r="T502" s="160">
        <f>[2]Source!Y483</f>
        <v>0</v>
      </c>
      <c r="U502" s="160">
        <f>ROUND((175/100)*ROUND([2]Source!R482, 2), 2)</f>
        <v>0</v>
      </c>
      <c r="V502" s="160">
        <f>ROUND((157/100)*ROUND([2]Source!R483, 2), 2)</f>
        <v>0</v>
      </c>
    </row>
    <row r="503" spans="1:22" ht="14.25" x14ac:dyDescent="0.2">
      <c r="A503" s="179"/>
      <c r="B503" s="178"/>
      <c r="C503" s="178" t="s">
        <v>194</v>
      </c>
      <c r="D503" s="177" t="s">
        <v>187</v>
      </c>
      <c r="E503" s="174">
        <v>100</v>
      </c>
      <c r="F503" s="176"/>
      <c r="G503" s="175"/>
      <c r="H503" s="174"/>
      <c r="I503" s="173">
        <v>511.09</v>
      </c>
      <c r="J503" s="174">
        <v>81</v>
      </c>
      <c r="K503" s="173">
        <v>9666.5</v>
      </c>
    </row>
    <row r="504" spans="1:22" ht="14.25" x14ac:dyDescent="0.2">
      <c r="A504" s="179"/>
      <c r="B504" s="178"/>
      <c r="C504" s="178" t="s">
        <v>193</v>
      </c>
      <c r="D504" s="177" t="s">
        <v>187</v>
      </c>
      <c r="E504" s="174">
        <v>64</v>
      </c>
      <c r="F504" s="176"/>
      <c r="G504" s="175"/>
      <c r="H504" s="174"/>
      <c r="I504" s="173">
        <v>327.10000000000002</v>
      </c>
      <c r="J504" s="174">
        <v>41</v>
      </c>
      <c r="K504" s="173">
        <v>4892.92</v>
      </c>
    </row>
    <row r="505" spans="1:22" ht="14.25" x14ac:dyDescent="0.2">
      <c r="A505" s="179"/>
      <c r="B505" s="178"/>
      <c r="C505" s="178" t="s">
        <v>188</v>
      </c>
      <c r="D505" s="177" t="s">
        <v>187</v>
      </c>
      <c r="E505" s="174">
        <v>175</v>
      </c>
      <c r="F505" s="176"/>
      <c r="G505" s="175"/>
      <c r="H505" s="174"/>
      <c r="I505" s="173">
        <v>14.54</v>
      </c>
      <c r="J505" s="174">
        <v>157</v>
      </c>
      <c r="K505" s="173">
        <v>304.64</v>
      </c>
    </row>
    <row r="506" spans="1:22" ht="14.25" x14ac:dyDescent="0.2">
      <c r="A506" s="172"/>
      <c r="B506" s="171"/>
      <c r="C506" s="171" t="s">
        <v>192</v>
      </c>
      <c r="D506" s="170" t="s">
        <v>191</v>
      </c>
      <c r="E506" s="167">
        <v>39</v>
      </c>
      <c r="F506" s="169"/>
      <c r="G506" s="168" t="s">
        <v>1548</v>
      </c>
      <c r="H506" s="167">
        <v>1</v>
      </c>
      <c r="I506" s="166">
        <v>43.46</v>
      </c>
      <c r="J506" s="167"/>
      <c r="K506" s="166"/>
    </row>
    <row r="507" spans="1:22" ht="15" x14ac:dyDescent="0.25">
      <c r="A507" s="164"/>
      <c r="B507" s="164"/>
      <c r="C507" s="165" t="s">
        <v>183</v>
      </c>
      <c r="D507" s="164"/>
      <c r="E507" s="164"/>
      <c r="F507" s="164"/>
      <c r="G507" s="164"/>
      <c r="H507" s="414">
        <v>2900.34</v>
      </c>
      <c r="I507" s="414"/>
      <c r="J507" s="414">
        <v>29565.8</v>
      </c>
      <c r="K507" s="414"/>
      <c r="O507" s="163">
        <f>I497+I498+I500+I503+I504+I505+SUM(I501:I502)</f>
        <v>2900.34</v>
      </c>
      <c r="P507" s="163">
        <f>K497+K498+K500+K503+K504+K505+SUM(K501:K502)</f>
        <v>29565.8</v>
      </c>
    </row>
    <row r="510" spans="1:22" ht="15" x14ac:dyDescent="0.25">
      <c r="A510" s="417" t="s">
        <v>1733</v>
      </c>
      <c r="B510" s="417"/>
      <c r="C510" s="417"/>
      <c r="D510" s="417"/>
      <c r="E510" s="417"/>
      <c r="F510" s="417"/>
      <c r="G510" s="417"/>
      <c r="H510" s="415">
        <v>16785.25</v>
      </c>
      <c r="I510" s="416"/>
      <c r="J510" s="415">
        <v>206341.21</v>
      </c>
      <c r="K510" s="416"/>
    </row>
    <row r="511" spans="1:22" hidden="1" x14ac:dyDescent="0.2">
      <c r="A511" s="160" t="s">
        <v>182</v>
      </c>
      <c r="I511" s="160">
        <v>0</v>
      </c>
      <c r="J511" s="160">
        <v>0</v>
      </c>
    </row>
    <row r="512" spans="1:22" hidden="1" x14ac:dyDescent="0.2">
      <c r="A512" s="160" t="s">
        <v>181</v>
      </c>
      <c r="I512" s="160">
        <v>0</v>
      </c>
      <c r="J512" s="160">
        <v>0</v>
      </c>
    </row>
    <row r="514" spans="1:22" ht="15" x14ac:dyDescent="0.25">
      <c r="A514" s="417" t="s">
        <v>1734</v>
      </c>
      <c r="B514" s="417"/>
      <c r="C514" s="417"/>
      <c r="D514" s="417"/>
      <c r="E514" s="417"/>
      <c r="F514" s="417"/>
      <c r="G514" s="417"/>
      <c r="H514" s="415">
        <v>2698354.78</v>
      </c>
      <c r="I514" s="416"/>
      <c r="J514" s="415">
        <v>22446585.879999999</v>
      </c>
      <c r="K514" s="416"/>
    </row>
    <row r="515" spans="1:22" hidden="1" x14ac:dyDescent="0.2">
      <c r="A515" s="160" t="s">
        <v>182</v>
      </c>
      <c r="I515" s="160">
        <v>0</v>
      </c>
      <c r="J515" s="160">
        <v>0</v>
      </c>
    </row>
    <row r="516" spans="1:22" hidden="1" x14ac:dyDescent="0.2">
      <c r="A516" s="160" t="s">
        <v>181</v>
      </c>
      <c r="I516" s="160">
        <v>0</v>
      </c>
      <c r="J516" s="160">
        <v>0</v>
      </c>
    </row>
    <row r="518" spans="1:22" ht="16.5" x14ac:dyDescent="0.25">
      <c r="A518" s="413" t="s">
        <v>1735</v>
      </c>
      <c r="B518" s="413"/>
      <c r="C518" s="413"/>
      <c r="D518" s="413"/>
      <c r="E518" s="413"/>
      <c r="F518" s="413"/>
      <c r="G518" s="413"/>
      <c r="H518" s="413"/>
      <c r="I518" s="413"/>
      <c r="J518" s="413"/>
      <c r="K518" s="413"/>
    </row>
    <row r="520" spans="1:22" ht="16.5" x14ac:dyDescent="0.25">
      <c r="A520" s="413" t="s">
        <v>1736</v>
      </c>
      <c r="B520" s="413"/>
      <c r="C520" s="413"/>
      <c r="D520" s="413"/>
      <c r="E520" s="413"/>
      <c r="F520" s="413"/>
      <c r="G520" s="413"/>
      <c r="H520" s="413"/>
      <c r="I520" s="413"/>
      <c r="J520" s="413"/>
      <c r="K520" s="413"/>
    </row>
    <row r="521" spans="1:22" ht="52.5" x14ac:dyDescent="0.2">
      <c r="A521" s="179" t="s">
        <v>1737</v>
      </c>
      <c r="B521" s="178" t="s">
        <v>266</v>
      </c>
      <c r="C521" s="178" t="s">
        <v>265</v>
      </c>
      <c r="D521" s="177" t="s">
        <v>1738</v>
      </c>
      <c r="E521" s="174">
        <v>1.5804</v>
      </c>
      <c r="F521" s="176"/>
      <c r="G521" s="175"/>
      <c r="H521" s="174"/>
      <c r="I521" s="173"/>
      <c r="J521" s="174"/>
      <c r="K521" s="173"/>
      <c r="Q521" s="160">
        <f>[2]Source!X553</f>
        <v>531.91</v>
      </c>
      <c r="R521" s="160">
        <f>[2]Source!X554</f>
        <v>10151.01</v>
      </c>
      <c r="S521" s="160">
        <f>[2]Source!Y553</f>
        <v>358.02</v>
      </c>
      <c r="T521" s="160">
        <f>[2]Source!Y554</f>
        <v>4896.37</v>
      </c>
      <c r="U521" s="160">
        <f>ROUND((175/100)*ROUND([2]Source!R553, 2), 2)</f>
        <v>211.82</v>
      </c>
      <c r="V521" s="160">
        <f>ROUND((157/100)*ROUND([2]Source!R554, 2), 2)</f>
        <v>4437.26</v>
      </c>
    </row>
    <row r="522" spans="1:22" x14ac:dyDescent="0.2">
      <c r="C522" s="181" t="s">
        <v>1739</v>
      </c>
    </row>
    <row r="523" spans="1:22" ht="14.25" x14ac:dyDescent="0.2">
      <c r="A523" s="179"/>
      <c r="B523" s="178"/>
      <c r="C523" s="178" t="s">
        <v>197</v>
      </c>
      <c r="D523" s="177"/>
      <c r="E523" s="174"/>
      <c r="F523" s="176">
        <v>281.41000000000003</v>
      </c>
      <c r="G523" s="175" t="s">
        <v>1548</v>
      </c>
      <c r="H523" s="174">
        <v>1</v>
      </c>
      <c r="I523" s="173">
        <v>511.45</v>
      </c>
      <c r="J523" s="174">
        <v>23.35</v>
      </c>
      <c r="K523" s="173">
        <v>11942.36</v>
      </c>
    </row>
    <row r="524" spans="1:22" ht="14.25" x14ac:dyDescent="0.2">
      <c r="A524" s="179"/>
      <c r="B524" s="178"/>
      <c r="C524" s="178" t="s">
        <v>184</v>
      </c>
      <c r="D524" s="177"/>
      <c r="E524" s="174"/>
      <c r="F524" s="176">
        <v>245.48</v>
      </c>
      <c r="G524" s="175" t="s">
        <v>1549</v>
      </c>
      <c r="H524" s="174">
        <v>1</v>
      </c>
      <c r="I524" s="173">
        <v>484.95</v>
      </c>
      <c r="J524" s="174">
        <v>9.56</v>
      </c>
      <c r="K524" s="173">
        <v>4636.12</v>
      </c>
    </row>
    <row r="525" spans="1:22" ht="14.25" x14ac:dyDescent="0.2">
      <c r="A525" s="179"/>
      <c r="B525" s="178"/>
      <c r="C525" s="178" t="s">
        <v>189</v>
      </c>
      <c r="D525" s="177"/>
      <c r="E525" s="174"/>
      <c r="F525" s="176">
        <v>61.27</v>
      </c>
      <c r="G525" s="175" t="s">
        <v>1549</v>
      </c>
      <c r="H525" s="174">
        <v>1</v>
      </c>
      <c r="I525" s="180">
        <v>121.04</v>
      </c>
      <c r="J525" s="174">
        <v>23.35</v>
      </c>
      <c r="K525" s="180">
        <v>2826.28</v>
      </c>
    </row>
    <row r="526" spans="1:22" ht="14.25" x14ac:dyDescent="0.2">
      <c r="A526" s="179"/>
      <c r="B526" s="178"/>
      <c r="C526" s="178" t="s">
        <v>205</v>
      </c>
      <c r="D526" s="177"/>
      <c r="E526" s="174"/>
      <c r="F526" s="176">
        <v>5357.37</v>
      </c>
      <c r="G526" s="175" t="s">
        <v>195</v>
      </c>
      <c r="H526" s="174">
        <v>1</v>
      </c>
      <c r="I526" s="173">
        <v>8466.7900000000009</v>
      </c>
      <c r="J526" s="174">
        <v>7.18</v>
      </c>
      <c r="K526" s="173">
        <v>60791.55</v>
      </c>
    </row>
    <row r="527" spans="1:22" ht="14.25" x14ac:dyDescent="0.2">
      <c r="A527" s="179"/>
      <c r="B527" s="178"/>
      <c r="C527" s="178" t="s">
        <v>194</v>
      </c>
      <c r="D527" s="177" t="s">
        <v>187</v>
      </c>
      <c r="E527" s="174">
        <v>104</v>
      </c>
      <c r="F527" s="176"/>
      <c r="G527" s="175"/>
      <c r="H527" s="174"/>
      <c r="I527" s="173">
        <v>531.91</v>
      </c>
      <c r="J527" s="174">
        <v>85</v>
      </c>
      <c r="K527" s="173">
        <v>10151.01</v>
      </c>
    </row>
    <row r="528" spans="1:22" ht="14.25" x14ac:dyDescent="0.2">
      <c r="A528" s="179"/>
      <c r="B528" s="178"/>
      <c r="C528" s="178" t="s">
        <v>193</v>
      </c>
      <c r="D528" s="177" t="s">
        <v>187</v>
      </c>
      <c r="E528" s="174">
        <v>70</v>
      </c>
      <c r="F528" s="176"/>
      <c r="G528" s="175"/>
      <c r="H528" s="174"/>
      <c r="I528" s="173">
        <v>358.02</v>
      </c>
      <c r="J528" s="174">
        <v>41</v>
      </c>
      <c r="K528" s="173">
        <v>4896.37</v>
      </c>
    </row>
    <row r="529" spans="1:22" ht="14.25" x14ac:dyDescent="0.2">
      <c r="A529" s="179"/>
      <c r="B529" s="178"/>
      <c r="C529" s="178" t="s">
        <v>188</v>
      </c>
      <c r="D529" s="177" t="s">
        <v>187</v>
      </c>
      <c r="E529" s="174">
        <v>175</v>
      </c>
      <c r="F529" s="176"/>
      <c r="G529" s="175"/>
      <c r="H529" s="174"/>
      <c r="I529" s="173">
        <v>211.82</v>
      </c>
      <c r="J529" s="174">
        <v>157</v>
      </c>
      <c r="K529" s="173">
        <v>4437.26</v>
      </c>
    </row>
    <row r="530" spans="1:22" ht="14.25" x14ac:dyDescent="0.2">
      <c r="A530" s="172"/>
      <c r="B530" s="171"/>
      <c r="C530" s="171" t="s">
        <v>192</v>
      </c>
      <c r="D530" s="170" t="s">
        <v>191</v>
      </c>
      <c r="E530" s="167">
        <v>26.3</v>
      </c>
      <c r="F530" s="169"/>
      <c r="G530" s="168" t="s">
        <v>1548</v>
      </c>
      <c r="H530" s="167">
        <v>1</v>
      </c>
      <c r="I530" s="166">
        <v>47.8</v>
      </c>
      <c r="J530" s="167"/>
      <c r="K530" s="166"/>
    </row>
    <row r="531" spans="1:22" ht="15" x14ac:dyDescent="0.25">
      <c r="A531" s="164"/>
      <c r="B531" s="164"/>
      <c r="C531" s="165" t="s">
        <v>183</v>
      </c>
      <c r="D531" s="164"/>
      <c r="E531" s="164"/>
      <c r="F531" s="164"/>
      <c r="G531" s="164"/>
      <c r="H531" s="414">
        <v>10564.94</v>
      </c>
      <c r="I531" s="414"/>
      <c r="J531" s="414">
        <v>96854.67</v>
      </c>
      <c r="K531" s="414"/>
      <c r="O531" s="163">
        <f>I523+I524+I526+I527+I528+I529</f>
        <v>10564.94</v>
      </c>
      <c r="P531" s="163">
        <f>K523+K524+K526+K527+K528+K529</f>
        <v>96854.67</v>
      </c>
    </row>
    <row r="533" spans="1:22" ht="52.5" x14ac:dyDescent="0.2">
      <c r="A533" s="179" t="s">
        <v>1740</v>
      </c>
      <c r="B533" s="178" t="s">
        <v>255</v>
      </c>
      <c r="C533" s="178" t="s">
        <v>254</v>
      </c>
      <c r="D533" s="177" t="s">
        <v>1741</v>
      </c>
      <c r="E533" s="174">
        <v>1.5804</v>
      </c>
      <c r="F533" s="176"/>
      <c r="G533" s="175"/>
      <c r="H533" s="174"/>
      <c r="I533" s="173"/>
      <c r="J533" s="174"/>
      <c r="K533" s="173"/>
      <c r="Q533" s="160">
        <f>[2]Source!X559</f>
        <v>650.82000000000005</v>
      </c>
      <c r="R533" s="160">
        <f>[2]Source!X560</f>
        <v>12420.37</v>
      </c>
      <c r="S533" s="160">
        <f>[2]Source!Y559</f>
        <v>438.05</v>
      </c>
      <c r="T533" s="160">
        <f>[2]Source!Y560</f>
        <v>5991</v>
      </c>
      <c r="U533" s="160">
        <f>ROUND((175/100)*ROUND([2]Source!R559, 2), 2)</f>
        <v>1.1399999999999999</v>
      </c>
      <c r="V533" s="160">
        <f>ROUND((157/100)*ROUND([2]Source!R560, 2), 2)</f>
        <v>23.83</v>
      </c>
    </row>
    <row r="534" spans="1:22" x14ac:dyDescent="0.2">
      <c r="C534" s="181" t="s">
        <v>1739</v>
      </c>
    </row>
    <row r="535" spans="1:22" ht="14.25" x14ac:dyDescent="0.2">
      <c r="A535" s="179"/>
      <c r="B535" s="178"/>
      <c r="C535" s="178" t="s">
        <v>197</v>
      </c>
      <c r="D535" s="177"/>
      <c r="E535" s="174"/>
      <c r="F535" s="176">
        <v>344.32</v>
      </c>
      <c r="G535" s="175" t="s">
        <v>1548</v>
      </c>
      <c r="H535" s="174">
        <v>1</v>
      </c>
      <c r="I535" s="173">
        <v>625.79</v>
      </c>
      <c r="J535" s="174">
        <v>23.35</v>
      </c>
      <c r="K535" s="173">
        <v>14612.2</v>
      </c>
    </row>
    <row r="536" spans="1:22" ht="14.25" x14ac:dyDescent="0.2">
      <c r="A536" s="179"/>
      <c r="B536" s="178"/>
      <c r="C536" s="178" t="s">
        <v>184</v>
      </c>
      <c r="D536" s="177"/>
      <c r="E536" s="174"/>
      <c r="F536" s="176">
        <v>13.09</v>
      </c>
      <c r="G536" s="175" t="s">
        <v>1549</v>
      </c>
      <c r="H536" s="174">
        <v>1</v>
      </c>
      <c r="I536" s="173">
        <v>25.86</v>
      </c>
      <c r="J536" s="174">
        <v>1.58</v>
      </c>
      <c r="K536" s="173">
        <v>40.86</v>
      </c>
    </row>
    <row r="537" spans="1:22" ht="14.25" x14ac:dyDescent="0.2">
      <c r="A537" s="179"/>
      <c r="B537" s="178"/>
      <c r="C537" s="178" t="s">
        <v>189</v>
      </c>
      <c r="D537" s="177"/>
      <c r="E537" s="174"/>
      <c r="F537" s="176">
        <v>0.33</v>
      </c>
      <c r="G537" s="175" t="s">
        <v>1549</v>
      </c>
      <c r="H537" s="174">
        <v>1</v>
      </c>
      <c r="I537" s="180">
        <v>0.65</v>
      </c>
      <c r="J537" s="174">
        <v>23.35</v>
      </c>
      <c r="K537" s="180">
        <v>15.18</v>
      </c>
    </row>
    <row r="538" spans="1:22" ht="14.25" x14ac:dyDescent="0.2">
      <c r="A538" s="179"/>
      <c r="B538" s="178"/>
      <c r="C538" s="178" t="s">
        <v>205</v>
      </c>
      <c r="D538" s="177"/>
      <c r="E538" s="174"/>
      <c r="F538" s="176">
        <v>24.75</v>
      </c>
      <c r="G538" s="175" t="s">
        <v>195</v>
      </c>
      <c r="H538" s="174">
        <v>1</v>
      </c>
      <c r="I538" s="173">
        <v>39.11</v>
      </c>
      <c r="J538" s="174">
        <v>4.7699999999999996</v>
      </c>
      <c r="K538" s="173">
        <v>186.55</v>
      </c>
    </row>
    <row r="539" spans="1:22" ht="57" x14ac:dyDescent="0.2">
      <c r="A539" s="179" t="s">
        <v>1742</v>
      </c>
      <c r="B539" s="178" t="s">
        <v>1743</v>
      </c>
      <c r="C539" s="178" t="s">
        <v>250</v>
      </c>
      <c r="D539" s="177" t="s">
        <v>1594</v>
      </c>
      <c r="E539" s="174">
        <v>3.2240160000000002</v>
      </c>
      <c r="F539" s="176">
        <v>494.49</v>
      </c>
      <c r="G539" s="182" t="s">
        <v>195</v>
      </c>
      <c r="H539" s="174">
        <v>1</v>
      </c>
      <c r="I539" s="173">
        <v>1594.24</v>
      </c>
      <c r="J539" s="174">
        <v>6.62</v>
      </c>
      <c r="K539" s="173">
        <v>10553.87</v>
      </c>
      <c r="Q539" s="160">
        <f>[2]Source!X561</f>
        <v>0</v>
      </c>
      <c r="R539" s="160">
        <f>[2]Source!X562</f>
        <v>0</v>
      </c>
      <c r="S539" s="160">
        <f>[2]Source!Y561</f>
        <v>0</v>
      </c>
      <c r="T539" s="160">
        <f>[2]Source!Y562</f>
        <v>0</v>
      </c>
      <c r="U539" s="160">
        <f>ROUND((175/100)*ROUND([2]Source!R561, 2), 2)</f>
        <v>0</v>
      </c>
      <c r="V539" s="160">
        <f>ROUND((157/100)*ROUND([2]Source!R562, 2), 2)</f>
        <v>0</v>
      </c>
    </row>
    <row r="540" spans="1:22" ht="14.25" x14ac:dyDescent="0.2">
      <c r="A540" s="179"/>
      <c r="B540" s="178"/>
      <c r="C540" s="178" t="s">
        <v>194</v>
      </c>
      <c r="D540" s="177" t="s">
        <v>187</v>
      </c>
      <c r="E540" s="174">
        <v>104</v>
      </c>
      <c r="F540" s="176"/>
      <c r="G540" s="175"/>
      <c r="H540" s="174"/>
      <c r="I540" s="173">
        <v>650.82000000000005</v>
      </c>
      <c r="J540" s="174">
        <v>85</v>
      </c>
      <c r="K540" s="173">
        <v>12420.37</v>
      </c>
    </row>
    <row r="541" spans="1:22" ht="14.25" x14ac:dyDescent="0.2">
      <c r="A541" s="179"/>
      <c r="B541" s="178"/>
      <c r="C541" s="178" t="s">
        <v>193</v>
      </c>
      <c r="D541" s="177" t="s">
        <v>187</v>
      </c>
      <c r="E541" s="174">
        <v>70</v>
      </c>
      <c r="F541" s="176"/>
      <c r="G541" s="175"/>
      <c r="H541" s="174"/>
      <c r="I541" s="173">
        <v>438.05</v>
      </c>
      <c r="J541" s="174">
        <v>41</v>
      </c>
      <c r="K541" s="173">
        <v>5991</v>
      </c>
    </row>
    <row r="542" spans="1:22" ht="14.25" x14ac:dyDescent="0.2">
      <c r="A542" s="179"/>
      <c r="B542" s="178"/>
      <c r="C542" s="178" t="s">
        <v>188</v>
      </c>
      <c r="D542" s="177" t="s">
        <v>187</v>
      </c>
      <c r="E542" s="174">
        <v>175</v>
      </c>
      <c r="F542" s="176"/>
      <c r="G542" s="175"/>
      <c r="H542" s="174"/>
      <c r="I542" s="173">
        <v>1.1399999999999999</v>
      </c>
      <c r="J542" s="174">
        <v>157</v>
      </c>
      <c r="K542" s="173">
        <v>23.83</v>
      </c>
    </row>
    <row r="543" spans="1:22" ht="14.25" x14ac:dyDescent="0.2">
      <c r="A543" s="172"/>
      <c r="B543" s="171"/>
      <c r="C543" s="171" t="s">
        <v>192</v>
      </c>
      <c r="D543" s="170" t="s">
        <v>191</v>
      </c>
      <c r="E543" s="167">
        <v>32.729999999999997</v>
      </c>
      <c r="F543" s="169"/>
      <c r="G543" s="168" t="s">
        <v>1548</v>
      </c>
      <c r="H543" s="167">
        <v>1</v>
      </c>
      <c r="I543" s="166">
        <v>59.49</v>
      </c>
      <c r="J543" s="167"/>
      <c r="K543" s="166"/>
    </row>
    <row r="544" spans="1:22" ht="15" x14ac:dyDescent="0.25">
      <c r="A544" s="164"/>
      <c r="B544" s="164"/>
      <c r="C544" s="165" t="s">
        <v>183</v>
      </c>
      <c r="D544" s="164"/>
      <c r="E544" s="164"/>
      <c r="F544" s="164"/>
      <c r="G544" s="164"/>
      <c r="H544" s="414">
        <v>3375.01</v>
      </c>
      <c r="I544" s="414"/>
      <c r="J544" s="414">
        <v>43828.68</v>
      </c>
      <c r="K544" s="414"/>
      <c r="O544" s="163">
        <f>I535+I536+I538+I540+I541+I542+SUM(I539:I539)</f>
        <v>3375.01</v>
      </c>
      <c r="P544" s="163">
        <f>K535+K536+K538+K540+K541+K542+SUM(K539:K539)</f>
        <v>43828.68</v>
      </c>
    </row>
    <row r="546" spans="1:22" ht="52.5" x14ac:dyDescent="0.2">
      <c r="A546" s="179" t="s">
        <v>1744</v>
      </c>
      <c r="B546" s="178" t="s">
        <v>253</v>
      </c>
      <c r="C546" s="178" t="s">
        <v>252</v>
      </c>
      <c r="D546" s="177" t="s">
        <v>1741</v>
      </c>
      <c r="E546" s="174">
        <v>1.5804</v>
      </c>
      <c r="F546" s="176"/>
      <c r="G546" s="175"/>
      <c r="H546" s="174"/>
      <c r="I546" s="173"/>
      <c r="J546" s="174"/>
      <c r="K546" s="173"/>
      <c r="Q546" s="160">
        <f>[2]Source!X563</f>
        <v>102.07</v>
      </c>
      <c r="R546" s="160">
        <f>[2]Source!X564</f>
        <v>1947.83</v>
      </c>
      <c r="S546" s="160">
        <f>[2]Source!Y563</f>
        <v>68.7</v>
      </c>
      <c r="T546" s="160">
        <f>[2]Source!Y564</f>
        <v>939.54</v>
      </c>
      <c r="U546" s="160">
        <f>ROUND((175/100)*ROUND([2]Source!R563, 2), 2)</f>
        <v>3.33</v>
      </c>
      <c r="V546" s="160">
        <f>ROUND((157/100)*ROUND([2]Source!R564, 2), 2)</f>
        <v>69.66</v>
      </c>
    </row>
    <row r="547" spans="1:22" x14ac:dyDescent="0.2">
      <c r="C547" s="181" t="s">
        <v>1739</v>
      </c>
    </row>
    <row r="548" spans="1:22" ht="14.25" x14ac:dyDescent="0.2">
      <c r="A548" s="179"/>
      <c r="B548" s="178"/>
      <c r="C548" s="178" t="s">
        <v>197</v>
      </c>
      <c r="D548" s="177"/>
      <c r="E548" s="174"/>
      <c r="F548" s="176">
        <v>4.5</v>
      </c>
      <c r="G548" s="175" t="s">
        <v>1745</v>
      </c>
      <c r="H548" s="174">
        <v>1</v>
      </c>
      <c r="I548" s="173">
        <v>98.14</v>
      </c>
      <c r="J548" s="174">
        <v>23.35</v>
      </c>
      <c r="K548" s="173">
        <v>2291.5700000000002</v>
      </c>
    </row>
    <row r="549" spans="1:22" ht="14.25" x14ac:dyDescent="0.2">
      <c r="A549" s="179"/>
      <c r="B549" s="178"/>
      <c r="C549" s="178" t="s">
        <v>184</v>
      </c>
      <c r="D549" s="177"/>
      <c r="E549" s="174"/>
      <c r="F549" s="176">
        <v>3.22</v>
      </c>
      <c r="G549" s="175" t="s">
        <v>1746</v>
      </c>
      <c r="H549" s="174">
        <v>1</v>
      </c>
      <c r="I549" s="173">
        <v>76.33</v>
      </c>
      <c r="J549" s="174">
        <v>1.58</v>
      </c>
      <c r="K549" s="173">
        <v>120.6</v>
      </c>
    </row>
    <row r="550" spans="1:22" ht="14.25" x14ac:dyDescent="0.2">
      <c r="A550" s="179"/>
      <c r="B550" s="178"/>
      <c r="C550" s="178" t="s">
        <v>189</v>
      </c>
      <c r="D550" s="177"/>
      <c r="E550" s="174"/>
      <c r="F550" s="176">
        <v>0.08</v>
      </c>
      <c r="G550" s="175" t="s">
        <v>1746</v>
      </c>
      <c r="H550" s="174">
        <v>1</v>
      </c>
      <c r="I550" s="180">
        <v>1.9</v>
      </c>
      <c r="J550" s="174">
        <v>23.35</v>
      </c>
      <c r="K550" s="180">
        <v>44.37</v>
      </c>
    </row>
    <row r="551" spans="1:22" ht="57" x14ac:dyDescent="0.2">
      <c r="A551" s="179" t="s">
        <v>1747</v>
      </c>
      <c r="B551" s="178" t="s">
        <v>251</v>
      </c>
      <c r="C551" s="178" t="s">
        <v>250</v>
      </c>
      <c r="D551" s="177" t="s">
        <v>1594</v>
      </c>
      <c r="E551" s="174">
        <v>9.6720480000000002</v>
      </c>
      <c r="F551" s="176">
        <v>494.49</v>
      </c>
      <c r="G551" s="182" t="s">
        <v>264</v>
      </c>
      <c r="H551" s="174">
        <v>1</v>
      </c>
      <c r="I551" s="173">
        <v>4782.7299999999996</v>
      </c>
      <c r="J551" s="174">
        <v>6.62</v>
      </c>
      <c r="K551" s="173">
        <v>31661.67</v>
      </c>
      <c r="Q551" s="160">
        <f>[2]Source!X565</f>
        <v>0</v>
      </c>
      <c r="R551" s="160">
        <f>[2]Source!X566</f>
        <v>0</v>
      </c>
      <c r="S551" s="160">
        <f>[2]Source!Y565</f>
        <v>0</v>
      </c>
      <c r="T551" s="160">
        <f>[2]Source!Y566</f>
        <v>0</v>
      </c>
      <c r="U551" s="160">
        <f>ROUND((175/100)*ROUND([2]Source!R565, 2), 2)</f>
        <v>0</v>
      </c>
      <c r="V551" s="160">
        <f>ROUND((157/100)*ROUND([2]Source!R566, 2), 2)</f>
        <v>0</v>
      </c>
    </row>
    <row r="552" spans="1:22" ht="14.25" x14ac:dyDescent="0.2">
      <c r="A552" s="179"/>
      <c r="B552" s="178"/>
      <c r="C552" s="178" t="s">
        <v>194</v>
      </c>
      <c r="D552" s="177" t="s">
        <v>187</v>
      </c>
      <c r="E552" s="174">
        <v>104</v>
      </c>
      <c r="F552" s="176"/>
      <c r="G552" s="175"/>
      <c r="H552" s="174"/>
      <c r="I552" s="173">
        <v>102.07</v>
      </c>
      <c r="J552" s="174">
        <v>85</v>
      </c>
      <c r="K552" s="173">
        <v>1947.83</v>
      </c>
    </row>
    <row r="553" spans="1:22" ht="14.25" x14ac:dyDescent="0.2">
      <c r="A553" s="179"/>
      <c r="B553" s="178"/>
      <c r="C553" s="178" t="s">
        <v>193</v>
      </c>
      <c r="D553" s="177" t="s">
        <v>187</v>
      </c>
      <c r="E553" s="174">
        <v>70</v>
      </c>
      <c r="F553" s="176"/>
      <c r="G553" s="175"/>
      <c r="H553" s="174"/>
      <c r="I553" s="173">
        <v>68.7</v>
      </c>
      <c r="J553" s="174">
        <v>41</v>
      </c>
      <c r="K553" s="173">
        <v>939.54</v>
      </c>
    </row>
    <row r="554" spans="1:22" ht="14.25" x14ac:dyDescent="0.2">
      <c r="A554" s="179"/>
      <c r="B554" s="178"/>
      <c r="C554" s="178" t="s">
        <v>188</v>
      </c>
      <c r="D554" s="177" t="s">
        <v>187</v>
      </c>
      <c r="E554" s="174">
        <v>175</v>
      </c>
      <c r="F554" s="176"/>
      <c r="G554" s="175"/>
      <c r="H554" s="174"/>
      <c r="I554" s="173">
        <v>3.33</v>
      </c>
      <c r="J554" s="174">
        <v>157</v>
      </c>
      <c r="K554" s="173">
        <v>69.66</v>
      </c>
    </row>
    <row r="555" spans="1:22" ht="14.25" x14ac:dyDescent="0.2">
      <c r="A555" s="172"/>
      <c r="B555" s="171"/>
      <c r="C555" s="171" t="s">
        <v>192</v>
      </c>
      <c r="D555" s="170" t="s">
        <v>191</v>
      </c>
      <c r="E555" s="167">
        <v>0.44</v>
      </c>
      <c r="F555" s="169"/>
      <c r="G555" s="168" t="s">
        <v>1745</v>
      </c>
      <c r="H555" s="167">
        <v>1</v>
      </c>
      <c r="I555" s="166">
        <v>9.6</v>
      </c>
      <c r="J555" s="167"/>
      <c r="K555" s="166"/>
    </row>
    <row r="556" spans="1:22" ht="15" x14ac:dyDescent="0.25">
      <c r="A556" s="164"/>
      <c r="B556" s="164"/>
      <c r="C556" s="165" t="s">
        <v>183</v>
      </c>
      <c r="D556" s="164"/>
      <c r="E556" s="164"/>
      <c r="F556" s="164"/>
      <c r="G556" s="164"/>
      <c r="H556" s="414">
        <v>5131.3</v>
      </c>
      <c r="I556" s="414"/>
      <c r="J556" s="414">
        <v>37030.870000000003</v>
      </c>
      <c r="K556" s="414"/>
      <c r="O556" s="163">
        <f>I548+I549+I552+I553+I554+SUM(I551:I551)</f>
        <v>5131.3</v>
      </c>
      <c r="P556" s="163">
        <f>K548+K549+K552+K553+K554+SUM(K551:K551)</f>
        <v>37030.870000000003</v>
      </c>
    </row>
    <row r="558" spans="1:22" ht="52.5" x14ac:dyDescent="0.2">
      <c r="A558" s="179" t="s">
        <v>1748</v>
      </c>
      <c r="B558" s="178" t="s">
        <v>263</v>
      </c>
      <c r="C558" s="178" t="s">
        <v>262</v>
      </c>
      <c r="D558" s="177" t="s">
        <v>1749</v>
      </c>
      <c r="E558" s="174">
        <v>0.12643199999999999</v>
      </c>
      <c r="F558" s="176"/>
      <c r="G558" s="175"/>
      <c r="H558" s="174"/>
      <c r="I558" s="173"/>
      <c r="J558" s="174"/>
      <c r="K558" s="173"/>
      <c r="Q558" s="160">
        <f>[2]Source!X569</f>
        <v>170.51</v>
      </c>
      <c r="R558" s="160">
        <f>[2]Source!X570</f>
        <v>3185.13</v>
      </c>
      <c r="S558" s="160">
        <f>[2]Source!Y569</f>
        <v>140.41999999999999</v>
      </c>
      <c r="T558" s="160">
        <f>[2]Source!Y570</f>
        <v>1920.44</v>
      </c>
      <c r="U558" s="160">
        <f>ROUND((175/100)*ROUND([2]Source!R569, 2), 2)</f>
        <v>0.57999999999999996</v>
      </c>
      <c r="V558" s="160">
        <f>ROUND((157/100)*ROUND([2]Source!R570, 2), 2)</f>
        <v>12.1</v>
      </c>
    </row>
    <row r="559" spans="1:22" x14ac:dyDescent="0.2">
      <c r="C559" s="181" t="s">
        <v>1750</v>
      </c>
    </row>
    <row r="560" spans="1:22" ht="14.25" x14ac:dyDescent="0.2">
      <c r="A560" s="179"/>
      <c r="B560" s="178"/>
      <c r="C560" s="178" t="s">
        <v>197</v>
      </c>
      <c r="D560" s="177"/>
      <c r="E560" s="174"/>
      <c r="F560" s="176">
        <v>1379.7</v>
      </c>
      <c r="G560" s="175" t="s">
        <v>1548</v>
      </c>
      <c r="H560" s="174">
        <v>1</v>
      </c>
      <c r="I560" s="173">
        <v>200.6</v>
      </c>
      <c r="J560" s="174">
        <v>23.35</v>
      </c>
      <c r="K560" s="173">
        <v>4684.01</v>
      </c>
    </row>
    <row r="561" spans="1:22" ht="14.25" x14ac:dyDescent="0.2">
      <c r="A561" s="179"/>
      <c r="B561" s="178"/>
      <c r="C561" s="178" t="s">
        <v>184</v>
      </c>
      <c r="D561" s="177"/>
      <c r="E561" s="174"/>
      <c r="F561" s="176">
        <v>22.6</v>
      </c>
      <c r="G561" s="175" t="s">
        <v>1549</v>
      </c>
      <c r="H561" s="174">
        <v>1</v>
      </c>
      <c r="I561" s="173">
        <v>3.57</v>
      </c>
      <c r="J561" s="174">
        <v>5.49</v>
      </c>
      <c r="K561" s="173">
        <v>19.600000000000001</v>
      </c>
    </row>
    <row r="562" spans="1:22" ht="14.25" x14ac:dyDescent="0.2">
      <c r="A562" s="179"/>
      <c r="B562" s="178"/>
      <c r="C562" s="178" t="s">
        <v>189</v>
      </c>
      <c r="D562" s="177"/>
      <c r="E562" s="174"/>
      <c r="F562" s="176">
        <v>2.09</v>
      </c>
      <c r="G562" s="175" t="s">
        <v>1549</v>
      </c>
      <c r="H562" s="174">
        <v>1</v>
      </c>
      <c r="I562" s="180">
        <v>0.33</v>
      </c>
      <c r="J562" s="174">
        <v>23.35</v>
      </c>
      <c r="K562" s="180">
        <v>7.71</v>
      </c>
    </row>
    <row r="563" spans="1:22" ht="14.25" x14ac:dyDescent="0.2">
      <c r="A563" s="179"/>
      <c r="B563" s="178"/>
      <c r="C563" s="178" t="s">
        <v>205</v>
      </c>
      <c r="D563" s="177"/>
      <c r="E563" s="174"/>
      <c r="F563" s="176">
        <v>1859.87</v>
      </c>
      <c r="G563" s="175" t="s">
        <v>195</v>
      </c>
      <c r="H563" s="174">
        <v>1</v>
      </c>
      <c r="I563" s="173">
        <v>235.15</v>
      </c>
      <c r="J563" s="174">
        <v>3.05</v>
      </c>
      <c r="K563" s="173">
        <v>717.21</v>
      </c>
    </row>
    <row r="564" spans="1:22" ht="57" x14ac:dyDescent="0.2">
      <c r="A564" s="179" t="s">
        <v>1751</v>
      </c>
      <c r="B564" s="178" t="s">
        <v>1752</v>
      </c>
      <c r="C564" s="178" t="s">
        <v>261</v>
      </c>
      <c r="D564" s="177" t="s">
        <v>1594</v>
      </c>
      <c r="E564" s="174">
        <v>12.896064000000001</v>
      </c>
      <c r="F564" s="176">
        <v>548.04</v>
      </c>
      <c r="G564" s="182" t="s">
        <v>195</v>
      </c>
      <c r="H564" s="174">
        <v>1</v>
      </c>
      <c r="I564" s="173">
        <v>7067.56</v>
      </c>
      <c r="J564" s="174">
        <v>7.27</v>
      </c>
      <c r="K564" s="173">
        <v>51381.16</v>
      </c>
      <c r="Q564" s="160">
        <f>[2]Source!X571</f>
        <v>0</v>
      </c>
      <c r="R564" s="160">
        <f>[2]Source!X572</f>
        <v>0</v>
      </c>
      <c r="S564" s="160">
        <f>[2]Source!Y571</f>
        <v>0</v>
      </c>
      <c r="T564" s="160">
        <f>[2]Source!Y572</f>
        <v>0</v>
      </c>
      <c r="U564" s="160">
        <f>ROUND((175/100)*ROUND([2]Source!R571, 2), 2)</f>
        <v>0</v>
      </c>
      <c r="V564" s="160">
        <f>ROUND((157/100)*ROUND([2]Source!R572, 2), 2)</f>
        <v>0</v>
      </c>
    </row>
    <row r="565" spans="1:22" ht="14.25" x14ac:dyDescent="0.2">
      <c r="A565" s="179"/>
      <c r="B565" s="178"/>
      <c r="C565" s="178" t="s">
        <v>194</v>
      </c>
      <c r="D565" s="177" t="s">
        <v>187</v>
      </c>
      <c r="E565" s="174">
        <v>85</v>
      </c>
      <c r="F565" s="176"/>
      <c r="G565" s="175"/>
      <c r="H565" s="174"/>
      <c r="I565" s="173">
        <v>170.51</v>
      </c>
      <c r="J565" s="174">
        <v>68</v>
      </c>
      <c r="K565" s="173">
        <v>3185.13</v>
      </c>
    </row>
    <row r="566" spans="1:22" ht="14.25" x14ac:dyDescent="0.2">
      <c r="A566" s="179"/>
      <c r="B566" s="178"/>
      <c r="C566" s="178" t="s">
        <v>193</v>
      </c>
      <c r="D566" s="177" t="s">
        <v>187</v>
      </c>
      <c r="E566" s="174">
        <v>70</v>
      </c>
      <c r="F566" s="176"/>
      <c r="G566" s="175"/>
      <c r="H566" s="174"/>
      <c r="I566" s="173">
        <v>140.41999999999999</v>
      </c>
      <c r="J566" s="174">
        <v>41</v>
      </c>
      <c r="K566" s="173">
        <v>1920.44</v>
      </c>
    </row>
    <row r="567" spans="1:22" ht="14.25" x14ac:dyDescent="0.2">
      <c r="A567" s="179"/>
      <c r="B567" s="178"/>
      <c r="C567" s="178" t="s">
        <v>188</v>
      </c>
      <c r="D567" s="177" t="s">
        <v>187</v>
      </c>
      <c r="E567" s="174">
        <v>175</v>
      </c>
      <c r="F567" s="176"/>
      <c r="G567" s="175"/>
      <c r="H567" s="174"/>
      <c r="I567" s="173">
        <v>0.57999999999999996</v>
      </c>
      <c r="J567" s="174">
        <v>157</v>
      </c>
      <c r="K567" s="173">
        <v>12.1</v>
      </c>
    </row>
    <row r="568" spans="1:22" ht="14.25" x14ac:dyDescent="0.2">
      <c r="A568" s="172"/>
      <c r="B568" s="171"/>
      <c r="C568" s="171" t="s">
        <v>192</v>
      </c>
      <c r="D568" s="170" t="s">
        <v>191</v>
      </c>
      <c r="E568" s="167">
        <v>135</v>
      </c>
      <c r="F568" s="169"/>
      <c r="G568" s="168" t="s">
        <v>1548</v>
      </c>
      <c r="H568" s="167">
        <v>1</v>
      </c>
      <c r="I568" s="166">
        <v>19.63</v>
      </c>
      <c r="J568" s="167"/>
      <c r="K568" s="166"/>
    </row>
    <row r="569" spans="1:22" ht="15" x14ac:dyDescent="0.25">
      <c r="A569" s="164"/>
      <c r="B569" s="164"/>
      <c r="C569" s="165" t="s">
        <v>183</v>
      </c>
      <c r="D569" s="164"/>
      <c r="E569" s="164"/>
      <c r="F569" s="164"/>
      <c r="G569" s="164"/>
      <c r="H569" s="414">
        <v>7818.39</v>
      </c>
      <c r="I569" s="414"/>
      <c r="J569" s="414">
        <v>61919.65</v>
      </c>
      <c r="K569" s="414"/>
      <c r="O569" s="163">
        <f>I560+I561+I563+I565+I566+I567+SUM(I564:I564)</f>
        <v>7818.39</v>
      </c>
      <c r="P569" s="163">
        <f>K560+K561+K563+K565+K566+K567+SUM(K564:K564)</f>
        <v>61919.65</v>
      </c>
    </row>
    <row r="571" spans="1:22" ht="52.5" x14ac:dyDescent="0.2">
      <c r="A571" s="179" t="s">
        <v>1753</v>
      </c>
      <c r="B571" s="178" t="s">
        <v>237</v>
      </c>
      <c r="C571" s="178" t="s">
        <v>236</v>
      </c>
      <c r="D571" s="177" t="s">
        <v>1741</v>
      </c>
      <c r="E571" s="174">
        <v>1.5804</v>
      </c>
      <c r="F571" s="176"/>
      <c r="G571" s="175"/>
      <c r="H571" s="174"/>
      <c r="I571" s="173"/>
      <c r="J571" s="174"/>
      <c r="K571" s="173"/>
      <c r="Q571" s="160">
        <f>[2]Source!X573</f>
        <v>459.07</v>
      </c>
      <c r="R571" s="160">
        <f>[2]Source!X574</f>
        <v>8760.8799999999992</v>
      </c>
      <c r="S571" s="160">
        <f>[2]Source!Y573</f>
        <v>308.99</v>
      </c>
      <c r="T571" s="160">
        <f>[2]Source!Y574</f>
        <v>4225.84</v>
      </c>
      <c r="U571" s="160">
        <f>ROUND((175/100)*ROUND([2]Source!R573, 2), 2)</f>
        <v>1.07</v>
      </c>
      <c r="V571" s="160">
        <f>ROUND((157/100)*ROUND([2]Source!R574, 2), 2)</f>
        <v>22.36</v>
      </c>
    </row>
    <row r="572" spans="1:22" x14ac:dyDescent="0.2">
      <c r="C572" s="181" t="s">
        <v>1739</v>
      </c>
    </row>
    <row r="573" spans="1:22" ht="14.25" x14ac:dyDescent="0.2">
      <c r="A573" s="179"/>
      <c r="B573" s="178"/>
      <c r="C573" s="178" t="s">
        <v>197</v>
      </c>
      <c r="D573" s="177"/>
      <c r="E573" s="174"/>
      <c r="F573" s="176">
        <v>242.87</v>
      </c>
      <c r="G573" s="175" t="s">
        <v>1548</v>
      </c>
      <c r="H573" s="174">
        <v>1</v>
      </c>
      <c r="I573" s="173">
        <v>441.41</v>
      </c>
      <c r="J573" s="174">
        <v>23.35</v>
      </c>
      <c r="K573" s="173">
        <v>10306.92</v>
      </c>
    </row>
    <row r="574" spans="1:22" ht="14.25" x14ac:dyDescent="0.2">
      <c r="A574" s="179"/>
      <c r="B574" s="178"/>
      <c r="C574" s="178" t="s">
        <v>184</v>
      </c>
      <c r="D574" s="177"/>
      <c r="E574" s="174"/>
      <c r="F574" s="176">
        <v>12.59</v>
      </c>
      <c r="G574" s="175" t="s">
        <v>1549</v>
      </c>
      <c r="H574" s="174">
        <v>1</v>
      </c>
      <c r="I574" s="173">
        <v>24.87</v>
      </c>
      <c r="J574" s="174">
        <v>1.58</v>
      </c>
      <c r="K574" s="173">
        <v>39.29</v>
      </c>
    </row>
    <row r="575" spans="1:22" ht="14.25" x14ac:dyDescent="0.2">
      <c r="A575" s="179"/>
      <c r="B575" s="178"/>
      <c r="C575" s="178" t="s">
        <v>189</v>
      </c>
      <c r="D575" s="177"/>
      <c r="E575" s="174"/>
      <c r="F575" s="176">
        <v>0.31</v>
      </c>
      <c r="G575" s="175" t="s">
        <v>1549</v>
      </c>
      <c r="H575" s="174">
        <v>1</v>
      </c>
      <c r="I575" s="180">
        <v>0.61</v>
      </c>
      <c r="J575" s="174">
        <v>23.35</v>
      </c>
      <c r="K575" s="180">
        <v>14.24</v>
      </c>
    </row>
    <row r="576" spans="1:22" ht="14.25" x14ac:dyDescent="0.2">
      <c r="A576" s="179"/>
      <c r="B576" s="178"/>
      <c r="C576" s="178" t="s">
        <v>205</v>
      </c>
      <c r="D576" s="177"/>
      <c r="E576" s="174"/>
      <c r="F576" s="176">
        <v>24.75</v>
      </c>
      <c r="G576" s="175" t="s">
        <v>195</v>
      </c>
      <c r="H576" s="174">
        <v>1</v>
      </c>
      <c r="I576" s="173">
        <v>39.11</v>
      </c>
      <c r="J576" s="174">
        <v>4.7699999999999996</v>
      </c>
      <c r="K576" s="173">
        <v>186.55</v>
      </c>
    </row>
    <row r="577" spans="1:22" ht="14.25" x14ac:dyDescent="0.2">
      <c r="A577" s="179" t="s">
        <v>1754</v>
      </c>
      <c r="B577" s="178" t="s">
        <v>1755</v>
      </c>
      <c r="C577" s="178" t="s">
        <v>232</v>
      </c>
      <c r="D577" s="177" t="s">
        <v>1594</v>
      </c>
      <c r="E577" s="174">
        <v>3.2240160000000002</v>
      </c>
      <c r="F577" s="176">
        <v>478.96</v>
      </c>
      <c r="G577" s="182" t="s">
        <v>195</v>
      </c>
      <c r="H577" s="174">
        <v>1</v>
      </c>
      <c r="I577" s="173">
        <v>1544.17</v>
      </c>
      <c r="J577" s="174">
        <v>6.89</v>
      </c>
      <c r="K577" s="173">
        <v>10639.33</v>
      </c>
      <c r="Q577" s="160">
        <f>[2]Source!X575</f>
        <v>0</v>
      </c>
      <c r="R577" s="160">
        <f>[2]Source!X576</f>
        <v>0</v>
      </c>
      <c r="S577" s="160">
        <f>[2]Source!Y575</f>
        <v>0</v>
      </c>
      <c r="T577" s="160">
        <f>[2]Source!Y576</f>
        <v>0</v>
      </c>
      <c r="U577" s="160">
        <f>ROUND((175/100)*ROUND([2]Source!R575, 2), 2)</f>
        <v>0</v>
      </c>
      <c r="V577" s="160">
        <f>ROUND((157/100)*ROUND([2]Source!R576, 2), 2)</f>
        <v>0</v>
      </c>
    </row>
    <row r="578" spans="1:22" ht="14.25" x14ac:dyDescent="0.2">
      <c r="A578" s="179"/>
      <c r="B578" s="178"/>
      <c r="C578" s="178" t="s">
        <v>194</v>
      </c>
      <c r="D578" s="177" t="s">
        <v>187</v>
      </c>
      <c r="E578" s="174">
        <v>104</v>
      </c>
      <c r="F578" s="176"/>
      <c r="G578" s="175"/>
      <c r="H578" s="174"/>
      <c r="I578" s="173">
        <v>459.07</v>
      </c>
      <c r="J578" s="174">
        <v>85</v>
      </c>
      <c r="K578" s="173">
        <v>8760.8799999999992</v>
      </c>
    </row>
    <row r="579" spans="1:22" ht="14.25" x14ac:dyDescent="0.2">
      <c r="A579" s="179"/>
      <c r="B579" s="178"/>
      <c r="C579" s="178" t="s">
        <v>193</v>
      </c>
      <c r="D579" s="177" t="s">
        <v>187</v>
      </c>
      <c r="E579" s="174">
        <v>70</v>
      </c>
      <c r="F579" s="176"/>
      <c r="G579" s="175"/>
      <c r="H579" s="174"/>
      <c r="I579" s="173">
        <v>308.99</v>
      </c>
      <c r="J579" s="174">
        <v>41</v>
      </c>
      <c r="K579" s="173">
        <v>4225.84</v>
      </c>
    </row>
    <row r="580" spans="1:22" ht="14.25" x14ac:dyDescent="0.2">
      <c r="A580" s="179"/>
      <c r="B580" s="178"/>
      <c r="C580" s="178" t="s">
        <v>188</v>
      </c>
      <c r="D580" s="177" t="s">
        <v>187</v>
      </c>
      <c r="E580" s="174">
        <v>175</v>
      </c>
      <c r="F580" s="176"/>
      <c r="G580" s="175"/>
      <c r="H580" s="174"/>
      <c r="I580" s="173">
        <v>1.07</v>
      </c>
      <c r="J580" s="174">
        <v>157</v>
      </c>
      <c r="K580" s="173">
        <v>22.36</v>
      </c>
    </row>
    <row r="581" spans="1:22" ht="14.25" x14ac:dyDescent="0.2">
      <c r="A581" s="172"/>
      <c r="B581" s="171"/>
      <c r="C581" s="171" t="s">
        <v>192</v>
      </c>
      <c r="D581" s="170" t="s">
        <v>191</v>
      </c>
      <c r="E581" s="167">
        <v>23.33</v>
      </c>
      <c r="F581" s="169"/>
      <c r="G581" s="168" t="s">
        <v>1548</v>
      </c>
      <c r="H581" s="167">
        <v>1</v>
      </c>
      <c r="I581" s="166">
        <v>42.4</v>
      </c>
      <c r="J581" s="167"/>
      <c r="K581" s="166"/>
    </row>
    <row r="582" spans="1:22" ht="15" x14ac:dyDescent="0.25">
      <c r="A582" s="164"/>
      <c r="B582" s="164"/>
      <c r="C582" s="165" t="s">
        <v>183</v>
      </c>
      <c r="D582" s="164"/>
      <c r="E582" s="164"/>
      <c r="F582" s="164"/>
      <c r="G582" s="164"/>
      <c r="H582" s="414">
        <v>2818.69</v>
      </c>
      <c r="I582" s="414"/>
      <c r="J582" s="414">
        <v>34181.17</v>
      </c>
      <c r="K582" s="414"/>
      <c r="O582" s="163">
        <f>I573+I574+I576+I578+I579+I580+SUM(I577:I577)</f>
        <v>2818.69</v>
      </c>
      <c r="P582" s="163">
        <f>K573+K574+K576+K578+K579+K580+SUM(K577:K577)</f>
        <v>34181.17</v>
      </c>
    </row>
    <row r="584" spans="1:22" ht="52.5" x14ac:dyDescent="0.2">
      <c r="A584" s="179" t="s">
        <v>1756</v>
      </c>
      <c r="B584" s="178" t="s">
        <v>235</v>
      </c>
      <c r="C584" s="178" t="s">
        <v>234</v>
      </c>
      <c r="D584" s="177" t="s">
        <v>1741</v>
      </c>
      <c r="E584" s="174">
        <v>1.5804</v>
      </c>
      <c r="F584" s="176"/>
      <c r="G584" s="175"/>
      <c r="H584" s="174"/>
      <c r="I584" s="173"/>
      <c r="J584" s="174"/>
      <c r="K584" s="173"/>
      <c r="Q584" s="160">
        <f>[2]Source!X577</f>
        <v>17.010000000000002</v>
      </c>
      <c r="R584" s="160">
        <f>[2]Source!X578</f>
        <v>324.70999999999998</v>
      </c>
      <c r="S584" s="160">
        <f>[2]Source!Y577</f>
        <v>11.45</v>
      </c>
      <c r="T584" s="160">
        <f>[2]Source!Y578</f>
        <v>156.62</v>
      </c>
      <c r="U584" s="160">
        <f>ROUND((175/100)*ROUND([2]Source!R577, 2), 2)</f>
        <v>0.56000000000000005</v>
      </c>
      <c r="V584" s="160">
        <f>ROUND((157/100)*ROUND([2]Source!R578, 2), 2)</f>
        <v>11.73</v>
      </c>
    </row>
    <row r="585" spans="1:22" x14ac:dyDescent="0.2">
      <c r="C585" s="181" t="s">
        <v>1739</v>
      </c>
    </row>
    <row r="586" spans="1:22" ht="14.25" x14ac:dyDescent="0.2">
      <c r="A586" s="179"/>
      <c r="B586" s="178"/>
      <c r="C586" s="178" t="s">
        <v>197</v>
      </c>
      <c r="D586" s="177"/>
      <c r="E586" s="174"/>
      <c r="F586" s="176">
        <v>4.5</v>
      </c>
      <c r="G586" s="175" t="s">
        <v>1757</v>
      </c>
      <c r="H586" s="174">
        <v>1</v>
      </c>
      <c r="I586" s="173">
        <v>16.36</v>
      </c>
      <c r="J586" s="174">
        <v>23.35</v>
      </c>
      <c r="K586" s="173">
        <v>382.01</v>
      </c>
    </row>
    <row r="587" spans="1:22" ht="14.25" x14ac:dyDescent="0.2">
      <c r="A587" s="179"/>
      <c r="B587" s="178"/>
      <c r="C587" s="178" t="s">
        <v>184</v>
      </c>
      <c r="D587" s="177"/>
      <c r="E587" s="174"/>
      <c r="F587" s="176">
        <v>3.22</v>
      </c>
      <c r="G587" s="175" t="s">
        <v>1758</v>
      </c>
      <c r="H587" s="174">
        <v>1</v>
      </c>
      <c r="I587" s="173">
        <v>12.72</v>
      </c>
      <c r="J587" s="174">
        <v>1.58</v>
      </c>
      <c r="K587" s="173">
        <v>20.100000000000001</v>
      </c>
    </row>
    <row r="588" spans="1:22" ht="14.25" x14ac:dyDescent="0.2">
      <c r="A588" s="179"/>
      <c r="B588" s="178"/>
      <c r="C588" s="178" t="s">
        <v>189</v>
      </c>
      <c r="D588" s="177"/>
      <c r="E588" s="174"/>
      <c r="F588" s="176">
        <v>0.08</v>
      </c>
      <c r="G588" s="175" t="s">
        <v>1758</v>
      </c>
      <c r="H588" s="174">
        <v>1</v>
      </c>
      <c r="I588" s="180">
        <v>0.32</v>
      </c>
      <c r="J588" s="174">
        <v>23.35</v>
      </c>
      <c r="K588" s="180">
        <v>7.47</v>
      </c>
    </row>
    <row r="589" spans="1:22" ht="52.5" x14ac:dyDescent="0.2">
      <c r="A589" s="179" t="s">
        <v>1759</v>
      </c>
      <c r="B589" s="178" t="s">
        <v>233</v>
      </c>
      <c r="C589" s="178" t="s">
        <v>232</v>
      </c>
      <c r="D589" s="177" t="s">
        <v>1594</v>
      </c>
      <c r="E589" s="174">
        <v>1.6120080000000001</v>
      </c>
      <c r="F589" s="176">
        <v>478.96</v>
      </c>
      <c r="G589" s="182" t="s">
        <v>260</v>
      </c>
      <c r="H589" s="174">
        <v>1</v>
      </c>
      <c r="I589" s="173">
        <v>772.09</v>
      </c>
      <c r="J589" s="174">
        <v>6.89</v>
      </c>
      <c r="K589" s="173">
        <v>5319.7</v>
      </c>
      <c r="Q589" s="160">
        <f>[2]Source!X579</f>
        <v>0</v>
      </c>
      <c r="R589" s="160">
        <f>[2]Source!X580</f>
        <v>0</v>
      </c>
      <c r="S589" s="160">
        <f>[2]Source!Y579</f>
        <v>0</v>
      </c>
      <c r="T589" s="160">
        <f>[2]Source!Y580</f>
        <v>0</v>
      </c>
      <c r="U589" s="160">
        <f>ROUND((175/100)*ROUND([2]Source!R579, 2), 2)</f>
        <v>0</v>
      </c>
      <c r="V589" s="160">
        <f>ROUND((157/100)*ROUND([2]Source!R580, 2), 2)</f>
        <v>0</v>
      </c>
    </row>
    <row r="590" spans="1:22" ht="14.25" x14ac:dyDescent="0.2">
      <c r="A590" s="179"/>
      <c r="B590" s="178"/>
      <c r="C590" s="178" t="s">
        <v>194</v>
      </c>
      <c r="D590" s="177" t="s">
        <v>187</v>
      </c>
      <c r="E590" s="174">
        <v>104</v>
      </c>
      <c r="F590" s="176"/>
      <c r="G590" s="175"/>
      <c r="H590" s="174"/>
      <c r="I590" s="173">
        <v>17.010000000000002</v>
      </c>
      <c r="J590" s="174">
        <v>85</v>
      </c>
      <c r="K590" s="173">
        <v>324.70999999999998</v>
      </c>
    </row>
    <row r="591" spans="1:22" ht="14.25" x14ac:dyDescent="0.2">
      <c r="A591" s="179"/>
      <c r="B591" s="178"/>
      <c r="C591" s="178" t="s">
        <v>193</v>
      </c>
      <c r="D591" s="177" t="s">
        <v>187</v>
      </c>
      <c r="E591" s="174">
        <v>70</v>
      </c>
      <c r="F591" s="176"/>
      <c r="G591" s="175"/>
      <c r="H591" s="174"/>
      <c r="I591" s="173">
        <v>11.45</v>
      </c>
      <c r="J591" s="174">
        <v>41</v>
      </c>
      <c r="K591" s="173">
        <v>156.62</v>
      </c>
    </row>
    <row r="592" spans="1:22" ht="14.25" x14ac:dyDescent="0.2">
      <c r="A592" s="179"/>
      <c r="B592" s="178"/>
      <c r="C592" s="178" t="s">
        <v>188</v>
      </c>
      <c r="D592" s="177" t="s">
        <v>187</v>
      </c>
      <c r="E592" s="174">
        <v>175</v>
      </c>
      <c r="F592" s="176"/>
      <c r="G592" s="175"/>
      <c r="H592" s="174"/>
      <c r="I592" s="173">
        <v>0.56000000000000005</v>
      </c>
      <c r="J592" s="174">
        <v>157</v>
      </c>
      <c r="K592" s="173">
        <v>11.73</v>
      </c>
    </row>
    <row r="593" spans="1:22" ht="14.25" x14ac:dyDescent="0.2">
      <c r="A593" s="172"/>
      <c r="B593" s="171"/>
      <c r="C593" s="171" t="s">
        <v>192</v>
      </c>
      <c r="D593" s="170" t="s">
        <v>191</v>
      </c>
      <c r="E593" s="167">
        <v>0.44</v>
      </c>
      <c r="F593" s="169"/>
      <c r="G593" s="168" t="s">
        <v>1757</v>
      </c>
      <c r="H593" s="167">
        <v>1</v>
      </c>
      <c r="I593" s="166">
        <v>1.6</v>
      </c>
      <c r="J593" s="167"/>
      <c r="K593" s="166"/>
    </row>
    <row r="594" spans="1:22" ht="15" x14ac:dyDescent="0.25">
      <c r="A594" s="164"/>
      <c r="B594" s="164"/>
      <c r="C594" s="165" t="s">
        <v>183</v>
      </c>
      <c r="D594" s="164"/>
      <c r="E594" s="164"/>
      <c r="F594" s="164"/>
      <c r="G594" s="164"/>
      <c r="H594" s="414">
        <v>830.19</v>
      </c>
      <c r="I594" s="414"/>
      <c r="J594" s="414">
        <v>6214.87</v>
      </c>
      <c r="K594" s="414"/>
      <c r="O594" s="163">
        <f>I586+I587+I590+I591+I592+SUM(I589:I589)</f>
        <v>830.19</v>
      </c>
      <c r="P594" s="163">
        <f>K586+K587+K590+K591+K592+SUM(K589:K589)</f>
        <v>6214.87</v>
      </c>
    </row>
    <row r="596" spans="1:22" ht="57" x14ac:dyDescent="0.2">
      <c r="A596" s="179" t="s">
        <v>1760</v>
      </c>
      <c r="B596" s="178" t="s">
        <v>227</v>
      </c>
      <c r="C596" s="178" t="s">
        <v>226</v>
      </c>
      <c r="D596" s="177" t="s">
        <v>1761</v>
      </c>
      <c r="E596" s="174">
        <v>1.5804</v>
      </c>
      <c r="F596" s="176"/>
      <c r="G596" s="175"/>
      <c r="H596" s="174"/>
      <c r="I596" s="173"/>
      <c r="J596" s="174"/>
      <c r="K596" s="173"/>
      <c r="Q596" s="160">
        <f>[2]Source!X585</f>
        <v>1865.55</v>
      </c>
      <c r="R596" s="160">
        <f>[2]Source!X586</f>
        <v>35602.449999999997</v>
      </c>
      <c r="S596" s="160">
        <f>[2]Source!Y585</f>
        <v>1255.6600000000001</v>
      </c>
      <c r="T596" s="160">
        <f>[2]Source!Y586</f>
        <v>17172.939999999999</v>
      </c>
      <c r="U596" s="160">
        <f>ROUND((175/100)*ROUND([2]Source!R585, 2), 2)</f>
        <v>43.24</v>
      </c>
      <c r="V596" s="160">
        <f>ROUND((157/100)*ROUND([2]Source!R586, 2), 2)</f>
        <v>905.86</v>
      </c>
    </row>
    <row r="597" spans="1:22" x14ac:dyDescent="0.2">
      <c r="C597" s="181" t="s">
        <v>1739</v>
      </c>
    </row>
    <row r="598" spans="1:22" ht="14.25" x14ac:dyDescent="0.2">
      <c r="A598" s="179"/>
      <c r="B598" s="178"/>
      <c r="C598" s="178" t="s">
        <v>197</v>
      </c>
      <c r="D598" s="177"/>
      <c r="E598" s="174"/>
      <c r="F598" s="176">
        <v>986.98</v>
      </c>
      <c r="G598" s="175" t="s">
        <v>1548</v>
      </c>
      <c r="H598" s="174">
        <v>1</v>
      </c>
      <c r="I598" s="173">
        <v>1793.8</v>
      </c>
      <c r="J598" s="174">
        <v>23.35</v>
      </c>
      <c r="K598" s="173">
        <v>41885.230000000003</v>
      </c>
    </row>
    <row r="599" spans="1:22" ht="14.25" x14ac:dyDescent="0.2">
      <c r="A599" s="179"/>
      <c r="B599" s="178"/>
      <c r="C599" s="178" t="s">
        <v>184</v>
      </c>
      <c r="D599" s="177"/>
      <c r="E599" s="174"/>
      <c r="F599" s="176">
        <v>99.77</v>
      </c>
      <c r="G599" s="175" t="s">
        <v>1549</v>
      </c>
      <c r="H599" s="174">
        <v>1</v>
      </c>
      <c r="I599" s="173">
        <v>197.1</v>
      </c>
      <c r="J599" s="174">
        <v>11.81</v>
      </c>
      <c r="K599" s="173">
        <v>2327.75</v>
      </c>
    </row>
    <row r="600" spans="1:22" ht="14.25" x14ac:dyDescent="0.2">
      <c r="A600" s="179"/>
      <c r="B600" s="178"/>
      <c r="C600" s="178" t="s">
        <v>189</v>
      </c>
      <c r="D600" s="177"/>
      <c r="E600" s="174"/>
      <c r="F600" s="176">
        <v>12.51</v>
      </c>
      <c r="G600" s="175" t="s">
        <v>1549</v>
      </c>
      <c r="H600" s="174">
        <v>1</v>
      </c>
      <c r="I600" s="180">
        <v>24.71</v>
      </c>
      <c r="J600" s="174">
        <v>23.35</v>
      </c>
      <c r="K600" s="180">
        <v>576.98</v>
      </c>
    </row>
    <row r="601" spans="1:22" ht="14.25" x14ac:dyDescent="0.2">
      <c r="A601" s="179"/>
      <c r="B601" s="178"/>
      <c r="C601" s="178" t="s">
        <v>205</v>
      </c>
      <c r="D601" s="177"/>
      <c r="E601" s="174"/>
      <c r="F601" s="176">
        <v>699.78</v>
      </c>
      <c r="G601" s="175" t="s">
        <v>195</v>
      </c>
      <c r="H601" s="174">
        <v>1</v>
      </c>
      <c r="I601" s="173">
        <v>1105.93</v>
      </c>
      <c r="J601" s="174">
        <v>0.9</v>
      </c>
      <c r="K601" s="173">
        <v>995.34</v>
      </c>
    </row>
    <row r="602" spans="1:22" ht="57" x14ac:dyDescent="0.2">
      <c r="A602" s="179" t="s">
        <v>1762</v>
      </c>
      <c r="B602" s="178" t="s">
        <v>1612</v>
      </c>
      <c r="C602" s="178" t="s">
        <v>225</v>
      </c>
      <c r="D602" s="177" t="s">
        <v>1533</v>
      </c>
      <c r="E602" s="174">
        <v>9.4824000000000006E-2</v>
      </c>
      <c r="F602" s="176">
        <v>5986.03</v>
      </c>
      <c r="G602" s="182" t="s">
        <v>195</v>
      </c>
      <c r="H602" s="174">
        <v>1</v>
      </c>
      <c r="I602" s="173">
        <v>567.62</v>
      </c>
      <c r="J602" s="174">
        <v>4.4800000000000004</v>
      </c>
      <c r="K602" s="173">
        <v>2542.94</v>
      </c>
      <c r="Q602" s="160">
        <f>[2]Source!X587</f>
        <v>0</v>
      </c>
      <c r="R602" s="160">
        <f>[2]Source!X588</f>
        <v>0</v>
      </c>
      <c r="S602" s="160">
        <f>[2]Source!Y587</f>
        <v>0</v>
      </c>
      <c r="T602" s="160">
        <f>[2]Source!Y588</f>
        <v>0</v>
      </c>
      <c r="U602" s="160">
        <f>ROUND((175/100)*ROUND([2]Source!R587, 2), 2)</f>
        <v>0</v>
      </c>
      <c r="V602" s="160">
        <f>ROUND((157/100)*ROUND([2]Source!R588, 2), 2)</f>
        <v>0</v>
      </c>
    </row>
    <row r="603" spans="1:22" ht="71.25" x14ac:dyDescent="0.2">
      <c r="A603" s="179" t="s">
        <v>1763</v>
      </c>
      <c r="B603" s="178" t="s">
        <v>1614</v>
      </c>
      <c r="C603" s="178" t="s">
        <v>224</v>
      </c>
      <c r="D603" s="177" t="s">
        <v>1533</v>
      </c>
      <c r="E603" s="174">
        <v>0.742788</v>
      </c>
      <c r="F603" s="176">
        <v>3374.81</v>
      </c>
      <c r="G603" s="182" t="s">
        <v>195</v>
      </c>
      <c r="H603" s="174">
        <v>1</v>
      </c>
      <c r="I603" s="173">
        <v>2506.77</v>
      </c>
      <c r="J603" s="174">
        <v>4.5</v>
      </c>
      <c r="K603" s="173">
        <v>11280.47</v>
      </c>
      <c r="Q603" s="160">
        <f>[2]Source!X589</f>
        <v>0</v>
      </c>
      <c r="R603" s="160">
        <f>[2]Source!X590</f>
        <v>0</v>
      </c>
      <c r="S603" s="160">
        <f>[2]Source!Y589</f>
        <v>0</v>
      </c>
      <c r="T603" s="160">
        <f>[2]Source!Y590</f>
        <v>0</v>
      </c>
      <c r="U603" s="160">
        <f>ROUND((175/100)*ROUND([2]Source!R589, 2), 2)</f>
        <v>0</v>
      </c>
      <c r="V603" s="160">
        <f>ROUND((157/100)*ROUND([2]Source!R590, 2), 2)</f>
        <v>0</v>
      </c>
    </row>
    <row r="604" spans="1:22" ht="57" x14ac:dyDescent="0.2">
      <c r="A604" s="179" t="s">
        <v>1764</v>
      </c>
      <c r="B604" s="178" t="s">
        <v>1765</v>
      </c>
      <c r="C604" s="178" t="s">
        <v>223</v>
      </c>
      <c r="D604" s="177" t="s">
        <v>1557</v>
      </c>
      <c r="E604" s="174">
        <v>161.20079999999999</v>
      </c>
      <c r="F604" s="176">
        <v>198.81</v>
      </c>
      <c r="G604" s="182" t="s">
        <v>195</v>
      </c>
      <c r="H604" s="174">
        <v>1</v>
      </c>
      <c r="I604" s="173">
        <v>32048.33</v>
      </c>
      <c r="J604" s="174">
        <v>3.35</v>
      </c>
      <c r="K604" s="173">
        <v>107361.91</v>
      </c>
      <c r="Q604" s="160">
        <f>[2]Source!X591</f>
        <v>0</v>
      </c>
      <c r="R604" s="160">
        <f>[2]Source!X592</f>
        <v>0</v>
      </c>
      <c r="S604" s="160">
        <f>[2]Source!Y591</f>
        <v>0</v>
      </c>
      <c r="T604" s="160">
        <f>[2]Source!Y592</f>
        <v>0</v>
      </c>
      <c r="U604" s="160">
        <f>ROUND((175/100)*ROUND([2]Source!R591, 2), 2)</f>
        <v>0</v>
      </c>
      <c r="V604" s="160">
        <f>ROUND((157/100)*ROUND([2]Source!R592, 2), 2)</f>
        <v>0</v>
      </c>
    </row>
    <row r="605" spans="1:22" ht="14.25" x14ac:dyDescent="0.2">
      <c r="A605" s="179"/>
      <c r="B605" s="178"/>
      <c r="C605" s="178" t="s">
        <v>194</v>
      </c>
      <c r="D605" s="177" t="s">
        <v>187</v>
      </c>
      <c r="E605" s="174">
        <v>104</v>
      </c>
      <c r="F605" s="176"/>
      <c r="G605" s="175"/>
      <c r="H605" s="174"/>
      <c r="I605" s="173">
        <v>1865.55</v>
      </c>
      <c r="J605" s="174">
        <v>85</v>
      </c>
      <c r="K605" s="173">
        <v>35602.449999999997</v>
      </c>
    </row>
    <row r="606" spans="1:22" ht="14.25" x14ac:dyDescent="0.2">
      <c r="A606" s="179"/>
      <c r="B606" s="178"/>
      <c r="C606" s="178" t="s">
        <v>193</v>
      </c>
      <c r="D606" s="177" t="s">
        <v>187</v>
      </c>
      <c r="E606" s="174">
        <v>70</v>
      </c>
      <c r="F606" s="176"/>
      <c r="G606" s="175"/>
      <c r="H606" s="174"/>
      <c r="I606" s="173">
        <v>1255.6600000000001</v>
      </c>
      <c r="J606" s="174">
        <v>41</v>
      </c>
      <c r="K606" s="173">
        <v>17172.939999999999</v>
      </c>
    </row>
    <row r="607" spans="1:22" ht="14.25" x14ac:dyDescent="0.2">
      <c r="A607" s="179"/>
      <c r="B607" s="178"/>
      <c r="C607" s="178" t="s">
        <v>188</v>
      </c>
      <c r="D607" s="177" t="s">
        <v>187</v>
      </c>
      <c r="E607" s="174">
        <v>175</v>
      </c>
      <c r="F607" s="176"/>
      <c r="G607" s="175"/>
      <c r="H607" s="174"/>
      <c r="I607" s="173">
        <v>43.24</v>
      </c>
      <c r="J607" s="174">
        <v>157</v>
      </c>
      <c r="K607" s="173">
        <v>905.86</v>
      </c>
    </row>
    <row r="608" spans="1:22" ht="14.25" x14ac:dyDescent="0.2">
      <c r="A608" s="172"/>
      <c r="B608" s="171"/>
      <c r="C608" s="171" t="s">
        <v>192</v>
      </c>
      <c r="D608" s="170" t="s">
        <v>191</v>
      </c>
      <c r="E608" s="167">
        <v>84.08</v>
      </c>
      <c r="F608" s="169"/>
      <c r="G608" s="168" t="s">
        <v>1548</v>
      </c>
      <c r="H608" s="167">
        <v>1</v>
      </c>
      <c r="I608" s="166">
        <v>152.81</v>
      </c>
      <c r="J608" s="167"/>
      <c r="K608" s="166"/>
    </row>
    <row r="609" spans="1:22" ht="15" x14ac:dyDescent="0.25">
      <c r="A609" s="164"/>
      <c r="B609" s="164"/>
      <c r="C609" s="165" t="s">
        <v>183</v>
      </c>
      <c r="D609" s="164"/>
      <c r="E609" s="164"/>
      <c r="F609" s="164"/>
      <c r="G609" s="164"/>
      <c r="H609" s="414">
        <v>41384</v>
      </c>
      <c r="I609" s="414"/>
      <c r="J609" s="414">
        <v>220074.89</v>
      </c>
      <c r="K609" s="414"/>
      <c r="O609" s="163">
        <f>I598+I599+I601+I605+I606+I607+SUM(I602:I604)</f>
        <v>41384</v>
      </c>
      <c r="P609" s="163">
        <f>K598+K599+K601+K605+K606+K607+SUM(K602:K604)</f>
        <v>220074.89</v>
      </c>
    </row>
    <row r="612" spans="1:22" ht="15" x14ac:dyDescent="0.25">
      <c r="A612" s="417" t="s">
        <v>1766</v>
      </c>
      <c r="B612" s="417"/>
      <c r="C612" s="417"/>
      <c r="D612" s="417"/>
      <c r="E612" s="417"/>
      <c r="F612" s="417"/>
      <c r="G612" s="417"/>
      <c r="H612" s="415">
        <v>71922.52</v>
      </c>
      <c r="I612" s="416"/>
      <c r="J612" s="415">
        <v>500104.8</v>
      </c>
      <c r="K612" s="416"/>
    </row>
    <row r="613" spans="1:22" hidden="1" x14ac:dyDescent="0.2">
      <c r="A613" s="160" t="s">
        <v>182</v>
      </c>
      <c r="I613" s="160">
        <v>0</v>
      </c>
      <c r="J613" s="160">
        <v>0</v>
      </c>
    </row>
    <row r="614" spans="1:22" hidden="1" x14ac:dyDescent="0.2">
      <c r="A614" s="160" t="s">
        <v>181</v>
      </c>
      <c r="I614" s="160">
        <v>0</v>
      </c>
      <c r="J614" s="160">
        <v>0</v>
      </c>
    </row>
    <row r="616" spans="1:22" ht="16.5" x14ac:dyDescent="0.25">
      <c r="A616" s="413" t="s">
        <v>1767</v>
      </c>
      <c r="B616" s="413"/>
      <c r="C616" s="413"/>
      <c r="D616" s="413"/>
      <c r="E616" s="413"/>
      <c r="F616" s="413"/>
      <c r="G616" s="413"/>
      <c r="H616" s="413"/>
      <c r="I616" s="413"/>
      <c r="J616" s="413"/>
      <c r="K616" s="413"/>
    </row>
    <row r="617" spans="1:22" ht="52.5" x14ac:dyDescent="0.2">
      <c r="A617" s="179" t="s">
        <v>1768</v>
      </c>
      <c r="B617" s="178" t="s">
        <v>255</v>
      </c>
      <c r="C617" s="178" t="s">
        <v>254</v>
      </c>
      <c r="D617" s="177" t="s">
        <v>1741</v>
      </c>
      <c r="E617" s="174">
        <v>6.7201000000000004</v>
      </c>
      <c r="F617" s="176"/>
      <c r="G617" s="175"/>
      <c r="H617" s="174"/>
      <c r="I617" s="173"/>
      <c r="J617" s="174"/>
      <c r="K617" s="173"/>
      <c r="Q617" s="160">
        <f>[2]Source!X632</f>
        <v>2767.38</v>
      </c>
      <c r="R617" s="160">
        <f>[2]Source!X633</f>
        <v>52813.01</v>
      </c>
      <c r="S617" s="160">
        <f>[2]Source!Y632</f>
        <v>1862.66</v>
      </c>
      <c r="T617" s="160">
        <f>[2]Source!Y633</f>
        <v>25474.51</v>
      </c>
      <c r="U617" s="160">
        <f>ROUND((175/100)*ROUND([2]Source!R632, 2), 2)</f>
        <v>4.8499999999999996</v>
      </c>
      <c r="V617" s="160">
        <f>ROUND((157/100)*ROUND([2]Source!R633, 2), 2)</f>
        <v>101.55</v>
      </c>
    </row>
    <row r="618" spans="1:22" x14ac:dyDescent="0.2">
      <c r="C618" s="181" t="s">
        <v>1769</v>
      </c>
    </row>
    <row r="619" spans="1:22" ht="14.25" x14ac:dyDescent="0.2">
      <c r="A619" s="179"/>
      <c r="B619" s="178"/>
      <c r="C619" s="178" t="s">
        <v>197</v>
      </c>
      <c r="D619" s="177"/>
      <c r="E619" s="174"/>
      <c r="F619" s="176">
        <v>344.32</v>
      </c>
      <c r="G619" s="175" t="s">
        <v>1548</v>
      </c>
      <c r="H619" s="174">
        <v>1</v>
      </c>
      <c r="I619" s="173">
        <v>2660.94</v>
      </c>
      <c r="J619" s="174">
        <v>23.35</v>
      </c>
      <c r="K619" s="173">
        <v>62132.95</v>
      </c>
    </row>
    <row r="620" spans="1:22" ht="14.25" x14ac:dyDescent="0.2">
      <c r="A620" s="179"/>
      <c r="B620" s="178"/>
      <c r="C620" s="178" t="s">
        <v>184</v>
      </c>
      <c r="D620" s="177"/>
      <c r="E620" s="174"/>
      <c r="F620" s="176">
        <v>13.09</v>
      </c>
      <c r="G620" s="175" t="s">
        <v>1549</v>
      </c>
      <c r="H620" s="174">
        <v>1</v>
      </c>
      <c r="I620" s="173">
        <v>109.96</v>
      </c>
      <c r="J620" s="174">
        <v>1.58</v>
      </c>
      <c r="K620" s="173">
        <v>173.74</v>
      </c>
    </row>
    <row r="621" spans="1:22" ht="14.25" x14ac:dyDescent="0.2">
      <c r="A621" s="179"/>
      <c r="B621" s="178"/>
      <c r="C621" s="178" t="s">
        <v>189</v>
      </c>
      <c r="D621" s="177"/>
      <c r="E621" s="174"/>
      <c r="F621" s="176">
        <v>0.33</v>
      </c>
      <c r="G621" s="175" t="s">
        <v>1549</v>
      </c>
      <c r="H621" s="174">
        <v>1</v>
      </c>
      <c r="I621" s="180">
        <v>2.77</v>
      </c>
      <c r="J621" s="174">
        <v>23.35</v>
      </c>
      <c r="K621" s="180">
        <v>64.680000000000007</v>
      </c>
    </row>
    <row r="622" spans="1:22" ht="14.25" x14ac:dyDescent="0.2">
      <c r="A622" s="179"/>
      <c r="B622" s="178"/>
      <c r="C622" s="178" t="s">
        <v>205</v>
      </c>
      <c r="D622" s="177"/>
      <c r="E622" s="174"/>
      <c r="F622" s="176">
        <v>24.75</v>
      </c>
      <c r="G622" s="175" t="s">
        <v>195</v>
      </c>
      <c r="H622" s="174">
        <v>1</v>
      </c>
      <c r="I622" s="173">
        <v>166.32</v>
      </c>
      <c r="J622" s="174">
        <v>4.7699999999999996</v>
      </c>
      <c r="K622" s="173">
        <v>793.35</v>
      </c>
    </row>
    <row r="623" spans="1:22" ht="57" x14ac:dyDescent="0.2">
      <c r="A623" s="179" t="s">
        <v>1770</v>
      </c>
      <c r="B623" s="178" t="s">
        <v>1743</v>
      </c>
      <c r="C623" s="178" t="s">
        <v>250</v>
      </c>
      <c r="D623" s="177" t="s">
        <v>1594</v>
      </c>
      <c r="E623" s="174">
        <v>13.709004</v>
      </c>
      <c r="F623" s="176">
        <v>494.49</v>
      </c>
      <c r="G623" s="182" t="s">
        <v>195</v>
      </c>
      <c r="H623" s="174">
        <v>1</v>
      </c>
      <c r="I623" s="173">
        <v>6778.97</v>
      </c>
      <c r="J623" s="174">
        <v>6.62</v>
      </c>
      <c r="K623" s="173">
        <v>44876.78</v>
      </c>
      <c r="Q623" s="160">
        <f>[2]Source!X634</f>
        <v>0</v>
      </c>
      <c r="R623" s="160">
        <f>[2]Source!X635</f>
        <v>0</v>
      </c>
      <c r="S623" s="160">
        <f>[2]Source!Y634</f>
        <v>0</v>
      </c>
      <c r="T623" s="160">
        <f>[2]Source!Y635</f>
        <v>0</v>
      </c>
      <c r="U623" s="160">
        <f>ROUND((175/100)*ROUND([2]Source!R634, 2), 2)</f>
        <v>0</v>
      </c>
      <c r="V623" s="160">
        <f>ROUND((157/100)*ROUND([2]Source!R635, 2), 2)</f>
        <v>0</v>
      </c>
    </row>
    <row r="624" spans="1:22" ht="14.25" x14ac:dyDescent="0.2">
      <c r="A624" s="179"/>
      <c r="B624" s="178"/>
      <c r="C624" s="178" t="s">
        <v>194</v>
      </c>
      <c r="D624" s="177" t="s">
        <v>187</v>
      </c>
      <c r="E624" s="174">
        <v>104</v>
      </c>
      <c r="F624" s="176"/>
      <c r="G624" s="175"/>
      <c r="H624" s="174"/>
      <c r="I624" s="173">
        <v>2767.38</v>
      </c>
      <c r="J624" s="174">
        <v>85</v>
      </c>
      <c r="K624" s="173">
        <v>52813.01</v>
      </c>
    </row>
    <row r="625" spans="1:22" ht="14.25" x14ac:dyDescent="0.2">
      <c r="A625" s="179"/>
      <c r="B625" s="178"/>
      <c r="C625" s="178" t="s">
        <v>193</v>
      </c>
      <c r="D625" s="177" t="s">
        <v>187</v>
      </c>
      <c r="E625" s="174">
        <v>70</v>
      </c>
      <c r="F625" s="176"/>
      <c r="G625" s="175"/>
      <c r="H625" s="174"/>
      <c r="I625" s="173">
        <v>1862.66</v>
      </c>
      <c r="J625" s="174">
        <v>41</v>
      </c>
      <c r="K625" s="173">
        <v>25474.51</v>
      </c>
    </row>
    <row r="626" spans="1:22" ht="14.25" x14ac:dyDescent="0.2">
      <c r="A626" s="179"/>
      <c r="B626" s="178"/>
      <c r="C626" s="178" t="s">
        <v>188</v>
      </c>
      <c r="D626" s="177" t="s">
        <v>187</v>
      </c>
      <c r="E626" s="174">
        <v>175</v>
      </c>
      <c r="F626" s="176"/>
      <c r="G626" s="175"/>
      <c r="H626" s="174"/>
      <c r="I626" s="173">
        <v>4.8499999999999996</v>
      </c>
      <c r="J626" s="174">
        <v>157</v>
      </c>
      <c r="K626" s="173">
        <v>101.55</v>
      </c>
    </row>
    <row r="627" spans="1:22" ht="14.25" x14ac:dyDescent="0.2">
      <c r="A627" s="172"/>
      <c r="B627" s="171"/>
      <c r="C627" s="171" t="s">
        <v>192</v>
      </c>
      <c r="D627" s="170" t="s">
        <v>191</v>
      </c>
      <c r="E627" s="167">
        <v>32.729999999999997</v>
      </c>
      <c r="F627" s="169"/>
      <c r="G627" s="168" t="s">
        <v>1548</v>
      </c>
      <c r="H627" s="167">
        <v>1</v>
      </c>
      <c r="I627" s="166">
        <v>252.94</v>
      </c>
      <c r="J627" s="167"/>
      <c r="K627" s="166"/>
    </row>
    <row r="628" spans="1:22" ht="15" x14ac:dyDescent="0.25">
      <c r="A628" s="164"/>
      <c r="B628" s="164"/>
      <c r="C628" s="165" t="s">
        <v>183</v>
      </c>
      <c r="D628" s="164"/>
      <c r="E628" s="164"/>
      <c r="F628" s="164"/>
      <c r="G628" s="164"/>
      <c r="H628" s="414">
        <v>14351.08</v>
      </c>
      <c r="I628" s="414"/>
      <c r="J628" s="414">
        <v>186365.89</v>
      </c>
      <c r="K628" s="414"/>
      <c r="O628" s="163">
        <f>I619+I620+I622+I624+I625+I626+SUM(I623:I623)</f>
        <v>14351.08</v>
      </c>
      <c r="P628" s="163">
        <f>K619+K620+K622+K624+K625+K626+SUM(K623:K623)</f>
        <v>186365.89</v>
      </c>
    </row>
    <row r="630" spans="1:22" ht="52.5" x14ac:dyDescent="0.2">
      <c r="A630" s="179" t="s">
        <v>1771</v>
      </c>
      <c r="B630" s="178" t="s">
        <v>253</v>
      </c>
      <c r="C630" s="178" t="s">
        <v>252</v>
      </c>
      <c r="D630" s="177" t="s">
        <v>1741</v>
      </c>
      <c r="E630" s="174">
        <v>6.7201000000000004</v>
      </c>
      <c r="F630" s="176"/>
      <c r="G630" s="175"/>
      <c r="H630" s="174"/>
      <c r="I630" s="173"/>
      <c r="J630" s="174"/>
      <c r="K630" s="173"/>
      <c r="Q630" s="160">
        <f>[2]Source!X636</f>
        <v>2025.38</v>
      </c>
      <c r="R630" s="160">
        <f>[2]Source!X637</f>
        <v>38652.61</v>
      </c>
      <c r="S630" s="160">
        <f>[2]Source!Y636</f>
        <v>1363.24</v>
      </c>
      <c r="T630" s="160">
        <f>[2]Source!Y637</f>
        <v>18644.2</v>
      </c>
      <c r="U630" s="160">
        <f>ROUND((175/100)*ROUND([2]Source!R636, 2), 2)</f>
        <v>65.849999999999994</v>
      </c>
      <c r="V630" s="160">
        <f>ROUND((157/100)*ROUND([2]Source!R637, 2), 2)</f>
        <v>1379.5</v>
      </c>
    </row>
    <row r="631" spans="1:22" x14ac:dyDescent="0.2">
      <c r="C631" s="181" t="s">
        <v>1769</v>
      </c>
    </row>
    <row r="632" spans="1:22" ht="14.25" x14ac:dyDescent="0.2">
      <c r="A632" s="179"/>
      <c r="B632" s="178"/>
      <c r="C632" s="178" t="s">
        <v>197</v>
      </c>
      <c r="D632" s="177"/>
      <c r="E632" s="174"/>
      <c r="F632" s="176">
        <v>4.5</v>
      </c>
      <c r="G632" s="175" t="s">
        <v>1772</v>
      </c>
      <c r="H632" s="174">
        <v>1</v>
      </c>
      <c r="I632" s="173">
        <v>1947.48</v>
      </c>
      <c r="J632" s="174">
        <v>23.35</v>
      </c>
      <c r="K632" s="173">
        <v>45473.66</v>
      </c>
    </row>
    <row r="633" spans="1:22" ht="14.25" x14ac:dyDescent="0.2">
      <c r="A633" s="179"/>
      <c r="B633" s="178"/>
      <c r="C633" s="178" t="s">
        <v>184</v>
      </c>
      <c r="D633" s="177"/>
      <c r="E633" s="174"/>
      <c r="F633" s="176">
        <v>3.22</v>
      </c>
      <c r="G633" s="175" t="s">
        <v>1773</v>
      </c>
      <c r="H633" s="174">
        <v>1</v>
      </c>
      <c r="I633" s="173">
        <v>1514.71</v>
      </c>
      <c r="J633" s="174">
        <v>1.58</v>
      </c>
      <c r="K633" s="173">
        <v>2393.2399999999998</v>
      </c>
    </row>
    <row r="634" spans="1:22" ht="14.25" x14ac:dyDescent="0.2">
      <c r="A634" s="179"/>
      <c r="B634" s="178"/>
      <c r="C634" s="178" t="s">
        <v>189</v>
      </c>
      <c r="D634" s="177"/>
      <c r="E634" s="174"/>
      <c r="F634" s="176">
        <v>0.08</v>
      </c>
      <c r="G634" s="175" t="s">
        <v>1773</v>
      </c>
      <c r="H634" s="174">
        <v>1</v>
      </c>
      <c r="I634" s="180">
        <v>37.630000000000003</v>
      </c>
      <c r="J634" s="174">
        <v>23.35</v>
      </c>
      <c r="K634" s="180">
        <v>878.66</v>
      </c>
    </row>
    <row r="635" spans="1:22" ht="57" x14ac:dyDescent="0.2">
      <c r="A635" s="179" t="s">
        <v>1774</v>
      </c>
      <c r="B635" s="178" t="s">
        <v>251</v>
      </c>
      <c r="C635" s="178" t="s">
        <v>250</v>
      </c>
      <c r="D635" s="177" t="s">
        <v>1594</v>
      </c>
      <c r="E635" s="174">
        <v>191.92605599999999</v>
      </c>
      <c r="F635" s="176">
        <v>494.49</v>
      </c>
      <c r="G635" s="182" t="s">
        <v>259</v>
      </c>
      <c r="H635" s="174">
        <v>1</v>
      </c>
      <c r="I635" s="173">
        <v>94905.52</v>
      </c>
      <c r="J635" s="174">
        <v>6.62</v>
      </c>
      <c r="K635" s="173">
        <v>628274.54</v>
      </c>
      <c r="Q635" s="160">
        <f>[2]Source!X638</f>
        <v>0</v>
      </c>
      <c r="R635" s="160">
        <f>[2]Source!X639</f>
        <v>0</v>
      </c>
      <c r="S635" s="160">
        <f>[2]Source!Y638</f>
        <v>0</v>
      </c>
      <c r="T635" s="160">
        <f>[2]Source!Y639</f>
        <v>0</v>
      </c>
      <c r="U635" s="160">
        <f>ROUND((175/100)*ROUND([2]Source!R638, 2), 2)</f>
        <v>0</v>
      </c>
      <c r="V635" s="160">
        <f>ROUND((157/100)*ROUND([2]Source!R639, 2), 2)</f>
        <v>0</v>
      </c>
    </row>
    <row r="636" spans="1:22" ht="14.25" x14ac:dyDescent="0.2">
      <c r="A636" s="179"/>
      <c r="B636" s="178"/>
      <c r="C636" s="178" t="s">
        <v>194</v>
      </c>
      <c r="D636" s="177" t="s">
        <v>187</v>
      </c>
      <c r="E636" s="174">
        <v>104</v>
      </c>
      <c r="F636" s="176"/>
      <c r="G636" s="175"/>
      <c r="H636" s="174"/>
      <c r="I636" s="173">
        <v>2025.38</v>
      </c>
      <c r="J636" s="174">
        <v>85</v>
      </c>
      <c r="K636" s="173">
        <v>38652.61</v>
      </c>
    </row>
    <row r="637" spans="1:22" ht="14.25" x14ac:dyDescent="0.2">
      <c r="A637" s="179"/>
      <c r="B637" s="178"/>
      <c r="C637" s="178" t="s">
        <v>193</v>
      </c>
      <c r="D637" s="177" t="s">
        <v>187</v>
      </c>
      <c r="E637" s="174">
        <v>70</v>
      </c>
      <c r="F637" s="176"/>
      <c r="G637" s="175"/>
      <c r="H637" s="174"/>
      <c r="I637" s="173">
        <v>1363.24</v>
      </c>
      <c r="J637" s="174">
        <v>41</v>
      </c>
      <c r="K637" s="173">
        <v>18644.2</v>
      </c>
    </row>
    <row r="638" spans="1:22" ht="14.25" x14ac:dyDescent="0.2">
      <c r="A638" s="179"/>
      <c r="B638" s="178"/>
      <c r="C638" s="178" t="s">
        <v>188</v>
      </c>
      <c r="D638" s="177" t="s">
        <v>187</v>
      </c>
      <c r="E638" s="174">
        <v>175</v>
      </c>
      <c r="F638" s="176"/>
      <c r="G638" s="175"/>
      <c r="H638" s="174"/>
      <c r="I638" s="173">
        <v>65.849999999999994</v>
      </c>
      <c r="J638" s="174">
        <v>157</v>
      </c>
      <c r="K638" s="173">
        <v>1379.5</v>
      </c>
    </row>
    <row r="639" spans="1:22" ht="14.25" x14ac:dyDescent="0.2">
      <c r="A639" s="172"/>
      <c r="B639" s="171"/>
      <c r="C639" s="171" t="s">
        <v>192</v>
      </c>
      <c r="D639" s="170" t="s">
        <v>191</v>
      </c>
      <c r="E639" s="167">
        <v>0.44</v>
      </c>
      <c r="F639" s="169"/>
      <c r="G639" s="168" t="s">
        <v>1772</v>
      </c>
      <c r="H639" s="167">
        <v>1</v>
      </c>
      <c r="I639" s="166">
        <v>190.42</v>
      </c>
      <c r="J639" s="167"/>
      <c r="K639" s="166"/>
    </row>
    <row r="640" spans="1:22" ht="15" x14ac:dyDescent="0.25">
      <c r="A640" s="164"/>
      <c r="B640" s="164"/>
      <c r="C640" s="165" t="s">
        <v>183</v>
      </c>
      <c r="D640" s="164"/>
      <c r="E640" s="164"/>
      <c r="F640" s="164"/>
      <c r="G640" s="164"/>
      <c r="H640" s="414">
        <v>101822.18</v>
      </c>
      <c r="I640" s="414"/>
      <c r="J640" s="414">
        <v>734817.75</v>
      </c>
      <c r="K640" s="414"/>
      <c r="O640" s="163">
        <f>I632+I633+I636+I637+I638+SUM(I635:I635)</f>
        <v>101822.18</v>
      </c>
      <c r="P640" s="163">
        <f>K632+K633+K636+K637+K638+SUM(K635:K635)</f>
        <v>734817.75</v>
      </c>
    </row>
    <row r="642" spans="1:22" ht="52.5" x14ac:dyDescent="0.2">
      <c r="A642" s="179" t="s">
        <v>1775</v>
      </c>
      <c r="B642" s="178" t="s">
        <v>240</v>
      </c>
      <c r="C642" s="178" t="s">
        <v>239</v>
      </c>
      <c r="D642" s="177" t="s">
        <v>1540</v>
      </c>
      <c r="E642" s="174">
        <v>6.7201000000000004</v>
      </c>
      <c r="F642" s="176"/>
      <c r="G642" s="175"/>
      <c r="H642" s="174"/>
      <c r="I642" s="173"/>
      <c r="J642" s="174"/>
      <c r="K642" s="173"/>
      <c r="Q642" s="160">
        <f>[2]Source!X640</f>
        <v>309.67</v>
      </c>
      <c r="R642" s="160">
        <f>[2]Source!X641</f>
        <v>5909.8</v>
      </c>
      <c r="S642" s="160">
        <f>[2]Source!Y640</f>
        <v>208.43</v>
      </c>
      <c r="T642" s="160">
        <f>[2]Source!Y641</f>
        <v>2850.61</v>
      </c>
      <c r="U642" s="160">
        <f>ROUND((175/100)*ROUND([2]Source!R640, 2), 2)</f>
        <v>2.64</v>
      </c>
      <c r="V642" s="160">
        <f>ROUND((157/100)*ROUND([2]Source!R641, 2), 2)</f>
        <v>55.36</v>
      </c>
    </row>
    <row r="643" spans="1:22" x14ac:dyDescent="0.2">
      <c r="C643" s="181" t="s">
        <v>1769</v>
      </c>
    </row>
    <row r="644" spans="1:22" ht="14.25" x14ac:dyDescent="0.2">
      <c r="A644" s="179"/>
      <c r="B644" s="178"/>
      <c r="C644" s="178" t="s">
        <v>197</v>
      </c>
      <c r="D644" s="177"/>
      <c r="E644" s="174"/>
      <c r="F644" s="176">
        <v>38.53</v>
      </c>
      <c r="G644" s="175" t="s">
        <v>1548</v>
      </c>
      <c r="H644" s="174">
        <v>1</v>
      </c>
      <c r="I644" s="173">
        <v>297.76</v>
      </c>
      <c r="J644" s="174">
        <v>23.35</v>
      </c>
      <c r="K644" s="173">
        <v>6952.7</v>
      </c>
    </row>
    <row r="645" spans="1:22" ht="14.25" x14ac:dyDescent="0.2">
      <c r="A645" s="179"/>
      <c r="B645" s="178"/>
      <c r="C645" s="178" t="s">
        <v>184</v>
      </c>
      <c r="D645" s="177"/>
      <c r="E645" s="174"/>
      <c r="F645" s="176">
        <v>0.92</v>
      </c>
      <c r="G645" s="175" t="s">
        <v>1549</v>
      </c>
      <c r="H645" s="174">
        <v>1</v>
      </c>
      <c r="I645" s="173">
        <v>7.73</v>
      </c>
      <c r="J645" s="174">
        <v>8.8699999999999992</v>
      </c>
      <c r="K645" s="173">
        <v>68.569999999999993</v>
      </c>
    </row>
    <row r="646" spans="1:22" ht="14.25" x14ac:dyDescent="0.2">
      <c r="A646" s="179"/>
      <c r="B646" s="178"/>
      <c r="C646" s="178" t="s">
        <v>189</v>
      </c>
      <c r="D646" s="177"/>
      <c r="E646" s="174"/>
      <c r="F646" s="176">
        <v>0.18</v>
      </c>
      <c r="G646" s="175" t="s">
        <v>1549</v>
      </c>
      <c r="H646" s="174">
        <v>1</v>
      </c>
      <c r="I646" s="180">
        <v>1.51</v>
      </c>
      <c r="J646" s="174">
        <v>23.35</v>
      </c>
      <c r="K646" s="180">
        <v>35.26</v>
      </c>
    </row>
    <row r="647" spans="1:22" ht="14.25" x14ac:dyDescent="0.2">
      <c r="A647" s="179" t="s">
        <v>1776</v>
      </c>
      <c r="B647" s="178" t="s">
        <v>1777</v>
      </c>
      <c r="C647" s="178" t="s">
        <v>238</v>
      </c>
      <c r="D647" s="177" t="s">
        <v>1557</v>
      </c>
      <c r="E647" s="174">
        <v>822.54024000000004</v>
      </c>
      <c r="F647" s="176">
        <v>4.32</v>
      </c>
      <c r="G647" s="182" t="s">
        <v>195</v>
      </c>
      <c r="H647" s="174">
        <v>1</v>
      </c>
      <c r="I647" s="173">
        <v>3553.37</v>
      </c>
      <c r="J647" s="174">
        <v>3.53</v>
      </c>
      <c r="K647" s="173">
        <v>12543.4</v>
      </c>
      <c r="Q647" s="160">
        <f>[2]Source!X642</f>
        <v>0</v>
      </c>
      <c r="R647" s="160">
        <f>[2]Source!X643</f>
        <v>0</v>
      </c>
      <c r="S647" s="160">
        <f>[2]Source!Y642</f>
        <v>0</v>
      </c>
      <c r="T647" s="160">
        <f>[2]Source!Y643</f>
        <v>0</v>
      </c>
      <c r="U647" s="160">
        <f>ROUND((175/100)*ROUND([2]Source!R642, 2), 2)</f>
        <v>0</v>
      </c>
      <c r="V647" s="160">
        <f>ROUND((157/100)*ROUND([2]Source!R643, 2), 2)</f>
        <v>0</v>
      </c>
    </row>
    <row r="648" spans="1:22" ht="14.25" x14ac:dyDescent="0.2">
      <c r="A648" s="179"/>
      <c r="B648" s="178"/>
      <c r="C648" s="178" t="s">
        <v>194</v>
      </c>
      <c r="D648" s="177" t="s">
        <v>187</v>
      </c>
      <c r="E648" s="174">
        <v>104</v>
      </c>
      <c r="F648" s="176"/>
      <c r="G648" s="175"/>
      <c r="H648" s="174"/>
      <c r="I648" s="173">
        <v>309.67</v>
      </c>
      <c r="J648" s="174">
        <v>85</v>
      </c>
      <c r="K648" s="173">
        <v>5909.8</v>
      </c>
    </row>
    <row r="649" spans="1:22" ht="14.25" x14ac:dyDescent="0.2">
      <c r="A649" s="179"/>
      <c r="B649" s="178"/>
      <c r="C649" s="178" t="s">
        <v>193</v>
      </c>
      <c r="D649" s="177" t="s">
        <v>187</v>
      </c>
      <c r="E649" s="174">
        <v>70</v>
      </c>
      <c r="F649" s="176"/>
      <c r="G649" s="175"/>
      <c r="H649" s="174"/>
      <c r="I649" s="173">
        <v>208.43</v>
      </c>
      <c r="J649" s="174">
        <v>41</v>
      </c>
      <c r="K649" s="173">
        <v>2850.61</v>
      </c>
    </row>
    <row r="650" spans="1:22" ht="14.25" x14ac:dyDescent="0.2">
      <c r="A650" s="179"/>
      <c r="B650" s="178"/>
      <c r="C650" s="178" t="s">
        <v>188</v>
      </c>
      <c r="D650" s="177" t="s">
        <v>187</v>
      </c>
      <c r="E650" s="174">
        <v>175</v>
      </c>
      <c r="F650" s="176"/>
      <c r="G650" s="175"/>
      <c r="H650" s="174"/>
      <c r="I650" s="173">
        <v>2.64</v>
      </c>
      <c r="J650" s="174">
        <v>157</v>
      </c>
      <c r="K650" s="173">
        <v>55.36</v>
      </c>
    </row>
    <row r="651" spans="1:22" ht="14.25" x14ac:dyDescent="0.2">
      <c r="A651" s="172"/>
      <c r="B651" s="171"/>
      <c r="C651" s="171" t="s">
        <v>192</v>
      </c>
      <c r="D651" s="170" t="s">
        <v>191</v>
      </c>
      <c r="E651" s="167">
        <v>3.45</v>
      </c>
      <c r="F651" s="169"/>
      <c r="G651" s="168" t="s">
        <v>1548</v>
      </c>
      <c r="H651" s="167">
        <v>1</v>
      </c>
      <c r="I651" s="166">
        <v>26.66</v>
      </c>
      <c r="J651" s="167"/>
      <c r="K651" s="166"/>
    </row>
    <row r="652" spans="1:22" ht="15" x14ac:dyDescent="0.25">
      <c r="A652" s="164"/>
      <c r="B652" s="164"/>
      <c r="C652" s="165" t="s">
        <v>183</v>
      </c>
      <c r="D652" s="164"/>
      <c r="E652" s="164"/>
      <c r="F652" s="164"/>
      <c r="G652" s="164"/>
      <c r="H652" s="414">
        <v>4379.6000000000004</v>
      </c>
      <c r="I652" s="414"/>
      <c r="J652" s="414">
        <v>28380.44</v>
      </c>
      <c r="K652" s="414"/>
      <c r="O652" s="163">
        <f>I644+I645+I648+I649+I650+SUM(I647:I647)</f>
        <v>4379.6000000000004</v>
      </c>
      <c r="P652" s="163">
        <f>K644+K645+K648+K649+K650+SUM(K647:K647)</f>
        <v>28380.44</v>
      </c>
    </row>
    <row r="654" spans="1:22" ht="52.5" x14ac:dyDescent="0.2">
      <c r="A654" s="179" t="s">
        <v>1778</v>
      </c>
      <c r="B654" s="178" t="s">
        <v>237</v>
      </c>
      <c r="C654" s="178" t="s">
        <v>236</v>
      </c>
      <c r="D654" s="177" t="s">
        <v>1741</v>
      </c>
      <c r="E654" s="174">
        <v>6.7201000000000004</v>
      </c>
      <c r="F654" s="176"/>
      <c r="G654" s="175"/>
      <c r="H654" s="174"/>
      <c r="I654" s="173"/>
      <c r="J654" s="174"/>
      <c r="K654" s="173"/>
      <c r="Q654" s="160">
        <f>[2]Source!X644</f>
        <v>1952.01</v>
      </c>
      <c r="R654" s="160">
        <f>[2]Source!X645</f>
        <v>37252.370000000003</v>
      </c>
      <c r="S654" s="160">
        <f>[2]Source!Y644</f>
        <v>1313.85</v>
      </c>
      <c r="T654" s="160">
        <f>[2]Source!Y645</f>
        <v>17968.79</v>
      </c>
      <c r="U654" s="160">
        <f>ROUND((175/100)*ROUND([2]Source!R644, 2), 2)</f>
        <v>4.55</v>
      </c>
      <c r="V654" s="160">
        <f>ROUND((157/100)*ROUND([2]Source!R645, 2), 2)</f>
        <v>95.31</v>
      </c>
    </row>
    <row r="655" spans="1:22" x14ac:dyDescent="0.2">
      <c r="C655" s="181" t="s">
        <v>1769</v>
      </c>
    </row>
    <row r="656" spans="1:22" ht="14.25" x14ac:dyDescent="0.2">
      <c r="A656" s="179"/>
      <c r="B656" s="178"/>
      <c r="C656" s="178" t="s">
        <v>197</v>
      </c>
      <c r="D656" s="177"/>
      <c r="E656" s="174"/>
      <c r="F656" s="176">
        <v>242.87</v>
      </c>
      <c r="G656" s="175" t="s">
        <v>1548</v>
      </c>
      <c r="H656" s="174">
        <v>1</v>
      </c>
      <c r="I656" s="173">
        <v>1876.93</v>
      </c>
      <c r="J656" s="174">
        <v>23.35</v>
      </c>
      <c r="K656" s="173">
        <v>43826.32</v>
      </c>
    </row>
    <row r="657" spans="1:22" ht="14.25" x14ac:dyDescent="0.2">
      <c r="A657" s="179"/>
      <c r="B657" s="178"/>
      <c r="C657" s="178" t="s">
        <v>184</v>
      </c>
      <c r="D657" s="177"/>
      <c r="E657" s="174"/>
      <c r="F657" s="176">
        <v>12.59</v>
      </c>
      <c r="G657" s="175" t="s">
        <v>1549</v>
      </c>
      <c r="H657" s="174">
        <v>1</v>
      </c>
      <c r="I657" s="173">
        <v>105.76</v>
      </c>
      <c r="J657" s="174">
        <v>1.58</v>
      </c>
      <c r="K657" s="173">
        <v>167.1</v>
      </c>
    </row>
    <row r="658" spans="1:22" ht="14.25" x14ac:dyDescent="0.2">
      <c r="A658" s="179"/>
      <c r="B658" s="178"/>
      <c r="C658" s="178" t="s">
        <v>189</v>
      </c>
      <c r="D658" s="177"/>
      <c r="E658" s="174"/>
      <c r="F658" s="176">
        <v>0.31</v>
      </c>
      <c r="G658" s="175" t="s">
        <v>1549</v>
      </c>
      <c r="H658" s="174">
        <v>1</v>
      </c>
      <c r="I658" s="180">
        <v>2.6</v>
      </c>
      <c r="J658" s="174">
        <v>23.35</v>
      </c>
      <c r="K658" s="180">
        <v>60.71</v>
      </c>
    </row>
    <row r="659" spans="1:22" ht="14.25" x14ac:dyDescent="0.2">
      <c r="A659" s="179"/>
      <c r="B659" s="178"/>
      <c r="C659" s="178" t="s">
        <v>205</v>
      </c>
      <c r="D659" s="177"/>
      <c r="E659" s="174"/>
      <c r="F659" s="176">
        <v>24.75</v>
      </c>
      <c r="G659" s="175" t="s">
        <v>195</v>
      </c>
      <c r="H659" s="174">
        <v>1</v>
      </c>
      <c r="I659" s="173">
        <v>166.32</v>
      </c>
      <c r="J659" s="174">
        <v>4.7699999999999996</v>
      </c>
      <c r="K659" s="173">
        <v>793.35</v>
      </c>
    </row>
    <row r="660" spans="1:22" ht="14.25" x14ac:dyDescent="0.2">
      <c r="A660" s="179" t="s">
        <v>1779</v>
      </c>
      <c r="B660" s="178" t="s">
        <v>1755</v>
      </c>
      <c r="C660" s="178" t="s">
        <v>232</v>
      </c>
      <c r="D660" s="177" t="s">
        <v>1594</v>
      </c>
      <c r="E660" s="174">
        <v>13.709004</v>
      </c>
      <c r="F660" s="176">
        <v>478.96</v>
      </c>
      <c r="G660" s="182" t="s">
        <v>195</v>
      </c>
      <c r="H660" s="174">
        <v>1</v>
      </c>
      <c r="I660" s="173">
        <v>6566.06</v>
      </c>
      <c r="J660" s="174">
        <v>6.89</v>
      </c>
      <c r="K660" s="173">
        <v>45240.15</v>
      </c>
      <c r="Q660" s="160">
        <f>[2]Source!X646</f>
        <v>0</v>
      </c>
      <c r="R660" s="160">
        <f>[2]Source!X647</f>
        <v>0</v>
      </c>
      <c r="S660" s="160">
        <f>[2]Source!Y646</f>
        <v>0</v>
      </c>
      <c r="T660" s="160">
        <f>[2]Source!Y647</f>
        <v>0</v>
      </c>
      <c r="U660" s="160">
        <f>ROUND((175/100)*ROUND([2]Source!R646, 2), 2)</f>
        <v>0</v>
      </c>
      <c r="V660" s="160">
        <f>ROUND((157/100)*ROUND([2]Source!R647, 2), 2)</f>
        <v>0</v>
      </c>
    </row>
    <row r="661" spans="1:22" ht="14.25" x14ac:dyDescent="0.2">
      <c r="A661" s="179"/>
      <c r="B661" s="178"/>
      <c r="C661" s="178" t="s">
        <v>194</v>
      </c>
      <c r="D661" s="177" t="s">
        <v>187</v>
      </c>
      <c r="E661" s="174">
        <v>104</v>
      </c>
      <c r="F661" s="176"/>
      <c r="G661" s="175"/>
      <c r="H661" s="174"/>
      <c r="I661" s="173">
        <v>1952.01</v>
      </c>
      <c r="J661" s="174">
        <v>85</v>
      </c>
      <c r="K661" s="173">
        <v>37252.370000000003</v>
      </c>
    </row>
    <row r="662" spans="1:22" ht="14.25" x14ac:dyDescent="0.2">
      <c r="A662" s="179"/>
      <c r="B662" s="178"/>
      <c r="C662" s="178" t="s">
        <v>193</v>
      </c>
      <c r="D662" s="177" t="s">
        <v>187</v>
      </c>
      <c r="E662" s="174">
        <v>70</v>
      </c>
      <c r="F662" s="176"/>
      <c r="G662" s="175"/>
      <c r="H662" s="174"/>
      <c r="I662" s="173">
        <v>1313.85</v>
      </c>
      <c r="J662" s="174">
        <v>41</v>
      </c>
      <c r="K662" s="173">
        <v>17968.79</v>
      </c>
    </row>
    <row r="663" spans="1:22" ht="14.25" x14ac:dyDescent="0.2">
      <c r="A663" s="179"/>
      <c r="B663" s="178"/>
      <c r="C663" s="178" t="s">
        <v>188</v>
      </c>
      <c r="D663" s="177" t="s">
        <v>187</v>
      </c>
      <c r="E663" s="174">
        <v>175</v>
      </c>
      <c r="F663" s="176"/>
      <c r="G663" s="175"/>
      <c r="H663" s="174"/>
      <c r="I663" s="173">
        <v>4.55</v>
      </c>
      <c r="J663" s="174">
        <v>157</v>
      </c>
      <c r="K663" s="173">
        <v>95.31</v>
      </c>
    </row>
    <row r="664" spans="1:22" ht="14.25" x14ac:dyDescent="0.2">
      <c r="A664" s="172"/>
      <c r="B664" s="171"/>
      <c r="C664" s="171" t="s">
        <v>192</v>
      </c>
      <c r="D664" s="170" t="s">
        <v>191</v>
      </c>
      <c r="E664" s="167">
        <v>23.33</v>
      </c>
      <c r="F664" s="169"/>
      <c r="G664" s="168" t="s">
        <v>1548</v>
      </c>
      <c r="H664" s="167">
        <v>1</v>
      </c>
      <c r="I664" s="166">
        <v>180.3</v>
      </c>
      <c r="J664" s="167"/>
      <c r="K664" s="166"/>
    </row>
    <row r="665" spans="1:22" ht="15" x14ac:dyDescent="0.25">
      <c r="A665" s="164"/>
      <c r="B665" s="164"/>
      <c r="C665" s="165" t="s">
        <v>183</v>
      </c>
      <c r="D665" s="164"/>
      <c r="E665" s="164"/>
      <c r="F665" s="164"/>
      <c r="G665" s="164"/>
      <c r="H665" s="414">
        <v>11985.48</v>
      </c>
      <c r="I665" s="414"/>
      <c r="J665" s="414">
        <v>145343.39000000001</v>
      </c>
      <c r="K665" s="414"/>
      <c r="O665" s="163">
        <f>I656+I657+I659+I661+I662+I663+SUM(I660:I660)</f>
        <v>11985.48</v>
      </c>
      <c r="P665" s="163">
        <f>K656+K657+K659+K661+K662+K663+SUM(K660:K660)</f>
        <v>145343.39000000001</v>
      </c>
    </row>
    <row r="667" spans="1:22" ht="52.5" x14ac:dyDescent="0.2">
      <c r="A667" s="179" t="s">
        <v>1780</v>
      </c>
      <c r="B667" s="178" t="s">
        <v>235</v>
      </c>
      <c r="C667" s="178" t="s">
        <v>234</v>
      </c>
      <c r="D667" s="177" t="s">
        <v>1741</v>
      </c>
      <c r="E667" s="174">
        <v>6.7201000000000004</v>
      </c>
      <c r="F667" s="176"/>
      <c r="G667" s="175"/>
      <c r="H667" s="174"/>
      <c r="I667" s="173"/>
      <c r="J667" s="174"/>
      <c r="K667" s="173"/>
      <c r="Q667" s="160">
        <f>[2]Source!X648</f>
        <v>217.01</v>
      </c>
      <c r="R667" s="160">
        <f>[2]Source!X649</f>
        <v>4141.38</v>
      </c>
      <c r="S667" s="160">
        <f>[2]Source!Y648</f>
        <v>146.06</v>
      </c>
      <c r="T667" s="160">
        <f>[2]Source!Y649</f>
        <v>1997.61</v>
      </c>
      <c r="U667" s="160">
        <f>ROUND((175/100)*ROUND([2]Source!R648, 2), 2)</f>
        <v>7.05</v>
      </c>
      <c r="V667" s="160">
        <f>ROUND((157/100)*ROUND([2]Source!R649, 2), 2)</f>
        <v>147.74</v>
      </c>
    </row>
    <row r="668" spans="1:22" x14ac:dyDescent="0.2">
      <c r="C668" s="181" t="s">
        <v>1769</v>
      </c>
    </row>
    <row r="669" spans="1:22" ht="14.25" x14ac:dyDescent="0.2">
      <c r="A669" s="179"/>
      <c r="B669" s="178"/>
      <c r="C669" s="178" t="s">
        <v>197</v>
      </c>
      <c r="D669" s="177"/>
      <c r="E669" s="174"/>
      <c r="F669" s="176">
        <v>4.5</v>
      </c>
      <c r="G669" s="175" t="s">
        <v>1781</v>
      </c>
      <c r="H669" s="174">
        <v>1</v>
      </c>
      <c r="I669" s="173">
        <v>208.66</v>
      </c>
      <c r="J669" s="174">
        <v>23.35</v>
      </c>
      <c r="K669" s="173">
        <v>4872.21</v>
      </c>
    </row>
    <row r="670" spans="1:22" ht="14.25" x14ac:dyDescent="0.2">
      <c r="A670" s="179"/>
      <c r="B670" s="178"/>
      <c r="C670" s="178" t="s">
        <v>184</v>
      </c>
      <c r="D670" s="177"/>
      <c r="E670" s="174"/>
      <c r="F670" s="176">
        <v>3.22</v>
      </c>
      <c r="G670" s="175" t="s">
        <v>1782</v>
      </c>
      <c r="H670" s="174">
        <v>1</v>
      </c>
      <c r="I670" s="173">
        <v>162.29</v>
      </c>
      <c r="J670" s="174">
        <v>1.58</v>
      </c>
      <c r="K670" s="173">
        <v>256.42</v>
      </c>
    </row>
    <row r="671" spans="1:22" ht="14.25" x14ac:dyDescent="0.2">
      <c r="A671" s="179"/>
      <c r="B671" s="178"/>
      <c r="C671" s="178" t="s">
        <v>189</v>
      </c>
      <c r="D671" s="177"/>
      <c r="E671" s="174"/>
      <c r="F671" s="176">
        <v>0.08</v>
      </c>
      <c r="G671" s="175" t="s">
        <v>1782</v>
      </c>
      <c r="H671" s="174">
        <v>1</v>
      </c>
      <c r="I671" s="180">
        <v>4.03</v>
      </c>
      <c r="J671" s="174">
        <v>23.35</v>
      </c>
      <c r="K671" s="180">
        <v>94.1</v>
      </c>
    </row>
    <row r="672" spans="1:22" ht="52.5" x14ac:dyDescent="0.2">
      <c r="A672" s="179" t="s">
        <v>1783</v>
      </c>
      <c r="B672" s="178" t="s">
        <v>233</v>
      </c>
      <c r="C672" s="178" t="s">
        <v>232</v>
      </c>
      <c r="D672" s="177" t="s">
        <v>1594</v>
      </c>
      <c r="E672" s="174">
        <v>20.563506</v>
      </c>
      <c r="F672" s="176">
        <v>478.96</v>
      </c>
      <c r="G672" s="182" t="s">
        <v>248</v>
      </c>
      <c r="H672" s="174">
        <v>1</v>
      </c>
      <c r="I672" s="173">
        <v>9849.1</v>
      </c>
      <c r="J672" s="174">
        <v>6.89</v>
      </c>
      <c r="K672" s="173">
        <v>67860.3</v>
      </c>
      <c r="Q672" s="160">
        <f>[2]Source!X650</f>
        <v>0</v>
      </c>
      <c r="R672" s="160">
        <f>[2]Source!X651</f>
        <v>0</v>
      </c>
      <c r="S672" s="160">
        <f>[2]Source!Y650</f>
        <v>0</v>
      </c>
      <c r="T672" s="160">
        <f>[2]Source!Y651</f>
        <v>0</v>
      </c>
      <c r="U672" s="160">
        <f>ROUND((175/100)*ROUND([2]Source!R650, 2), 2)</f>
        <v>0</v>
      </c>
      <c r="V672" s="160">
        <f>ROUND((157/100)*ROUND([2]Source!R651, 2), 2)</f>
        <v>0</v>
      </c>
    </row>
    <row r="673" spans="1:22" ht="14.25" x14ac:dyDescent="0.2">
      <c r="A673" s="179"/>
      <c r="B673" s="178"/>
      <c r="C673" s="178" t="s">
        <v>194</v>
      </c>
      <c r="D673" s="177" t="s">
        <v>187</v>
      </c>
      <c r="E673" s="174">
        <v>104</v>
      </c>
      <c r="F673" s="176"/>
      <c r="G673" s="175"/>
      <c r="H673" s="174"/>
      <c r="I673" s="173">
        <v>217.01</v>
      </c>
      <c r="J673" s="174">
        <v>85</v>
      </c>
      <c r="K673" s="173">
        <v>4141.38</v>
      </c>
    </row>
    <row r="674" spans="1:22" ht="14.25" x14ac:dyDescent="0.2">
      <c r="A674" s="179"/>
      <c r="B674" s="178"/>
      <c r="C674" s="178" t="s">
        <v>193</v>
      </c>
      <c r="D674" s="177" t="s">
        <v>187</v>
      </c>
      <c r="E674" s="174">
        <v>70</v>
      </c>
      <c r="F674" s="176"/>
      <c r="G674" s="175"/>
      <c r="H674" s="174"/>
      <c r="I674" s="173">
        <v>146.06</v>
      </c>
      <c r="J674" s="174">
        <v>41</v>
      </c>
      <c r="K674" s="173">
        <v>1997.61</v>
      </c>
    </row>
    <row r="675" spans="1:22" ht="14.25" x14ac:dyDescent="0.2">
      <c r="A675" s="179"/>
      <c r="B675" s="178"/>
      <c r="C675" s="178" t="s">
        <v>188</v>
      </c>
      <c r="D675" s="177" t="s">
        <v>187</v>
      </c>
      <c r="E675" s="174">
        <v>175</v>
      </c>
      <c r="F675" s="176"/>
      <c r="G675" s="175"/>
      <c r="H675" s="174"/>
      <c r="I675" s="173">
        <v>7.05</v>
      </c>
      <c r="J675" s="174">
        <v>157</v>
      </c>
      <c r="K675" s="173">
        <v>147.74</v>
      </c>
    </row>
    <row r="676" spans="1:22" ht="14.25" x14ac:dyDescent="0.2">
      <c r="A676" s="172"/>
      <c r="B676" s="171"/>
      <c r="C676" s="171" t="s">
        <v>192</v>
      </c>
      <c r="D676" s="170" t="s">
        <v>191</v>
      </c>
      <c r="E676" s="167">
        <v>0.44</v>
      </c>
      <c r="F676" s="169"/>
      <c r="G676" s="168" t="s">
        <v>1781</v>
      </c>
      <c r="H676" s="167">
        <v>1</v>
      </c>
      <c r="I676" s="166">
        <v>20.399999999999999</v>
      </c>
      <c r="J676" s="167"/>
      <c r="K676" s="166"/>
    </row>
    <row r="677" spans="1:22" ht="15" x14ac:dyDescent="0.25">
      <c r="A677" s="164"/>
      <c r="B677" s="164"/>
      <c r="C677" s="165" t="s">
        <v>183</v>
      </c>
      <c r="D677" s="164"/>
      <c r="E677" s="164"/>
      <c r="F677" s="164"/>
      <c r="G677" s="164"/>
      <c r="H677" s="414">
        <v>10590.17</v>
      </c>
      <c r="I677" s="414"/>
      <c r="J677" s="414">
        <v>79275.66</v>
      </c>
      <c r="K677" s="414"/>
      <c r="O677" s="163">
        <f>I669+I670+I673+I674+I675+SUM(I672:I672)</f>
        <v>10590.17</v>
      </c>
      <c r="P677" s="163">
        <f>K669+K670+K673+K674+K675+SUM(K672:K672)</f>
        <v>79275.66</v>
      </c>
    </row>
    <row r="679" spans="1:22" ht="52.5" x14ac:dyDescent="0.2">
      <c r="A679" s="179" t="s">
        <v>1784</v>
      </c>
      <c r="B679" s="178" t="s">
        <v>230</v>
      </c>
      <c r="C679" s="178" t="s">
        <v>229</v>
      </c>
      <c r="D679" s="177" t="s">
        <v>1785</v>
      </c>
      <c r="E679" s="174">
        <v>1.9488289999999999</v>
      </c>
      <c r="F679" s="176"/>
      <c r="G679" s="175"/>
      <c r="H679" s="174"/>
      <c r="I679" s="173"/>
      <c r="J679" s="174"/>
      <c r="K679" s="173"/>
      <c r="Q679" s="160">
        <f>[2]Source!X652</f>
        <v>256.56</v>
      </c>
      <c r="R679" s="160">
        <f>[2]Source!X653</f>
        <v>4792.6099999999997</v>
      </c>
      <c r="S679" s="160">
        <f>[2]Source!Y652</f>
        <v>211.29</v>
      </c>
      <c r="T679" s="160">
        <f>[2]Source!Y653</f>
        <v>2889.66</v>
      </c>
      <c r="U679" s="160">
        <f>ROUND((175/100)*ROUND([2]Source!R652, 2), 2)</f>
        <v>23.84</v>
      </c>
      <c r="V679" s="160">
        <f>ROUND((157/100)*ROUND([2]Source!R653, 2), 2)</f>
        <v>499.31</v>
      </c>
    </row>
    <row r="680" spans="1:22" x14ac:dyDescent="0.2">
      <c r="C680" s="181" t="s">
        <v>1786</v>
      </c>
    </row>
    <row r="681" spans="1:22" ht="14.25" x14ac:dyDescent="0.2">
      <c r="A681" s="179"/>
      <c r="B681" s="178"/>
      <c r="C681" s="178" t="s">
        <v>197</v>
      </c>
      <c r="D681" s="177"/>
      <c r="E681" s="174"/>
      <c r="F681" s="176">
        <v>134.68</v>
      </c>
      <c r="G681" s="175" t="s">
        <v>1548</v>
      </c>
      <c r="H681" s="174">
        <v>1</v>
      </c>
      <c r="I681" s="173">
        <v>301.83999999999997</v>
      </c>
      <c r="J681" s="174">
        <v>23.35</v>
      </c>
      <c r="K681" s="173">
        <v>7047.96</v>
      </c>
    </row>
    <row r="682" spans="1:22" ht="14.25" x14ac:dyDescent="0.2">
      <c r="A682" s="179"/>
      <c r="B682" s="178"/>
      <c r="C682" s="178" t="s">
        <v>184</v>
      </c>
      <c r="D682" s="177"/>
      <c r="E682" s="174"/>
      <c r="F682" s="176">
        <v>44</v>
      </c>
      <c r="G682" s="175" t="s">
        <v>1549</v>
      </c>
      <c r="H682" s="174">
        <v>1</v>
      </c>
      <c r="I682" s="173">
        <v>107.19</v>
      </c>
      <c r="J682" s="174">
        <v>8.19</v>
      </c>
      <c r="K682" s="173">
        <v>877.89</v>
      </c>
    </row>
    <row r="683" spans="1:22" ht="14.25" x14ac:dyDescent="0.2">
      <c r="A683" s="179"/>
      <c r="B683" s="178"/>
      <c r="C683" s="178" t="s">
        <v>189</v>
      </c>
      <c r="D683" s="177"/>
      <c r="E683" s="174"/>
      <c r="F683" s="176">
        <v>5.59</v>
      </c>
      <c r="G683" s="175" t="s">
        <v>1549</v>
      </c>
      <c r="H683" s="174">
        <v>1</v>
      </c>
      <c r="I683" s="180">
        <v>13.62</v>
      </c>
      <c r="J683" s="174">
        <v>23.35</v>
      </c>
      <c r="K683" s="180">
        <v>318.02999999999997</v>
      </c>
    </row>
    <row r="684" spans="1:22" ht="14.25" x14ac:dyDescent="0.2">
      <c r="A684" s="179"/>
      <c r="B684" s="178"/>
      <c r="C684" s="178" t="s">
        <v>205</v>
      </c>
      <c r="D684" s="177"/>
      <c r="E684" s="174"/>
      <c r="F684" s="176">
        <v>258.91000000000003</v>
      </c>
      <c r="G684" s="175" t="s">
        <v>195</v>
      </c>
      <c r="H684" s="174">
        <v>1</v>
      </c>
      <c r="I684" s="173">
        <v>504.57</v>
      </c>
      <c r="J684" s="174">
        <v>5.54</v>
      </c>
      <c r="K684" s="173">
        <v>2795.32</v>
      </c>
    </row>
    <row r="685" spans="1:22" ht="57" x14ac:dyDescent="0.2">
      <c r="A685" s="179" t="s">
        <v>1787</v>
      </c>
      <c r="B685" s="178" t="s">
        <v>1788</v>
      </c>
      <c r="C685" s="178" t="s">
        <v>228</v>
      </c>
      <c r="D685" s="177" t="s">
        <v>1533</v>
      </c>
      <c r="E685" s="174">
        <v>1.9488289999999999</v>
      </c>
      <c r="F685" s="176">
        <v>9733.52</v>
      </c>
      <c r="G685" s="182" t="s">
        <v>195</v>
      </c>
      <c r="H685" s="174">
        <v>1</v>
      </c>
      <c r="I685" s="173">
        <v>18968.97</v>
      </c>
      <c r="J685" s="174">
        <v>3.64</v>
      </c>
      <c r="K685" s="173">
        <v>69047.05</v>
      </c>
      <c r="Q685" s="160">
        <f>[2]Source!X654</f>
        <v>0</v>
      </c>
      <c r="R685" s="160">
        <f>[2]Source!X655</f>
        <v>0</v>
      </c>
      <c r="S685" s="160">
        <f>[2]Source!Y654</f>
        <v>0</v>
      </c>
      <c r="T685" s="160">
        <f>[2]Source!Y655</f>
        <v>0</v>
      </c>
      <c r="U685" s="160">
        <f>ROUND((175/100)*ROUND([2]Source!R654, 2), 2)</f>
        <v>0</v>
      </c>
      <c r="V685" s="160">
        <f>ROUND((157/100)*ROUND([2]Source!R655, 2), 2)</f>
        <v>0</v>
      </c>
    </row>
    <row r="686" spans="1:22" ht="14.25" x14ac:dyDescent="0.2">
      <c r="A686" s="179"/>
      <c r="B686" s="178"/>
      <c r="C686" s="178" t="s">
        <v>194</v>
      </c>
      <c r="D686" s="177" t="s">
        <v>187</v>
      </c>
      <c r="E686" s="174">
        <v>85</v>
      </c>
      <c r="F686" s="176"/>
      <c r="G686" s="175"/>
      <c r="H686" s="174"/>
      <c r="I686" s="173">
        <v>256.56</v>
      </c>
      <c r="J686" s="174">
        <v>68</v>
      </c>
      <c r="K686" s="173">
        <v>4792.6099999999997</v>
      </c>
    </row>
    <row r="687" spans="1:22" ht="14.25" x14ac:dyDescent="0.2">
      <c r="A687" s="179"/>
      <c r="B687" s="178"/>
      <c r="C687" s="178" t="s">
        <v>193</v>
      </c>
      <c r="D687" s="177" t="s">
        <v>187</v>
      </c>
      <c r="E687" s="174">
        <v>70</v>
      </c>
      <c r="F687" s="176"/>
      <c r="G687" s="175"/>
      <c r="H687" s="174"/>
      <c r="I687" s="173">
        <v>211.29</v>
      </c>
      <c r="J687" s="174">
        <v>41</v>
      </c>
      <c r="K687" s="173">
        <v>2889.66</v>
      </c>
    </row>
    <row r="688" spans="1:22" ht="14.25" x14ac:dyDescent="0.2">
      <c r="A688" s="179"/>
      <c r="B688" s="178"/>
      <c r="C688" s="178" t="s">
        <v>188</v>
      </c>
      <c r="D688" s="177" t="s">
        <v>187</v>
      </c>
      <c r="E688" s="174">
        <v>175</v>
      </c>
      <c r="F688" s="176"/>
      <c r="G688" s="175"/>
      <c r="H688" s="174"/>
      <c r="I688" s="173">
        <v>23.84</v>
      </c>
      <c r="J688" s="174">
        <v>157</v>
      </c>
      <c r="K688" s="173">
        <v>499.31</v>
      </c>
    </row>
    <row r="689" spans="1:22" ht="14.25" x14ac:dyDescent="0.2">
      <c r="A689" s="172"/>
      <c r="B689" s="171"/>
      <c r="C689" s="171" t="s">
        <v>192</v>
      </c>
      <c r="D689" s="170" t="s">
        <v>191</v>
      </c>
      <c r="E689" s="167">
        <v>11.6</v>
      </c>
      <c r="F689" s="169"/>
      <c r="G689" s="168" t="s">
        <v>1548</v>
      </c>
      <c r="H689" s="167">
        <v>1</v>
      </c>
      <c r="I689" s="166">
        <v>26</v>
      </c>
      <c r="J689" s="167"/>
      <c r="K689" s="166"/>
    </row>
    <row r="690" spans="1:22" ht="15" x14ac:dyDescent="0.25">
      <c r="A690" s="164"/>
      <c r="B690" s="164"/>
      <c r="C690" s="165" t="s">
        <v>183</v>
      </c>
      <c r="D690" s="164"/>
      <c r="E690" s="164"/>
      <c r="F690" s="164"/>
      <c r="G690" s="164"/>
      <c r="H690" s="414">
        <v>20374.259999999998</v>
      </c>
      <c r="I690" s="414"/>
      <c r="J690" s="414">
        <v>87949.8</v>
      </c>
      <c r="K690" s="414"/>
      <c r="O690" s="163">
        <f>I681+I682+I684+I686+I687+I688+SUM(I685:I685)</f>
        <v>20374.259999999998</v>
      </c>
      <c r="P690" s="163">
        <f>K681+K682+K684+K686+K687+K688+SUM(K685:K685)</f>
        <v>87949.8</v>
      </c>
    </row>
    <row r="692" spans="1:22" ht="57" x14ac:dyDescent="0.2">
      <c r="A692" s="179" t="s">
        <v>1789</v>
      </c>
      <c r="B692" s="178" t="s">
        <v>227</v>
      </c>
      <c r="C692" s="178" t="s">
        <v>226</v>
      </c>
      <c r="D692" s="177" t="s">
        <v>1761</v>
      </c>
      <c r="E692" s="174">
        <v>6.7201000000000004</v>
      </c>
      <c r="F692" s="176"/>
      <c r="G692" s="175"/>
      <c r="H692" s="174"/>
      <c r="I692" s="173"/>
      <c r="J692" s="174"/>
      <c r="K692" s="173"/>
      <c r="Q692" s="160">
        <f>[2]Source!X656</f>
        <v>7932.59</v>
      </c>
      <c r="R692" s="160">
        <f>[2]Source!X657</f>
        <v>151386.60999999999</v>
      </c>
      <c r="S692" s="160">
        <f>[2]Source!Y656</f>
        <v>5339.24</v>
      </c>
      <c r="T692" s="160">
        <f>[2]Source!Y657</f>
        <v>73021.77</v>
      </c>
      <c r="U692" s="160">
        <f>ROUND((175/100)*ROUND([2]Source!R656, 2), 2)</f>
        <v>183.91</v>
      </c>
      <c r="V692" s="160">
        <f>ROUND((157/100)*ROUND([2]Source!R657, 2), 2)</f>
        <v>3852.54</v>
      </c>
    </row>
    <row r="693" spans="1:22" x14ac:dyDescent="0.2">
      <c r="C693" s="181" t="s">
        <v>1769</v>
      </c>
    </row>
    <row r="694" spans="1:22" ht="14.25" x14ac:dyDescent="0.2">
      <c r="A694" s="179"/>
      <c r="B694" s="178"/>
      <c r="C694" s="178" t="s">
        <v>197</v>
      </c>
      <c r="D694" s="177"/>
      <c r="E694" s="174"/>
      <c r="F694" s="176">
        <v>986.98</v>
      </c>
      <c r="G694" s="175" t="s">
        <v>1548</v>
      </c>
      <c r="H694" s="174">
        <v>1</v>
      </c>
      <c r="I694" s="173">
        <v>7627.49</v>
      </c>
      <c r="J694" s="174">
        <v>23.35</v>
      </c>
      <c r="K694" s="173">
        <v>178101.89</v>
      </c>
    </row>
    <row r="695" spans="1:22" ht="14.25" x14ac:dyDescent="0.2">
      <c r="A695" s="179"/>
      <c r="B695" s="178"/>
      <c r="C695" s="178" t="s">
        <v>184</v>
      </c>
      <c r="D695" s="177"/>
      <c r="E695" s="174"/>
      <c r="F695" s="176">
        <v>99.77</v>
      </c>
      <c r="G695" s="175" t="s">
        <v>1549</v>
      </c>
      <c r="H695" s="174">
        <v>1</v>
      </c>
      <c r="I695" s="173">
        <v>838.08</v>
      </c>
      <c r="J695" s="174">
        <v>11.81</v>
      </c>
      <c r="K695" s="173">
        <v>9897.7199999999993</v>
      </c>
    </row>
    <row r="696" spans="1:22" ht="14.25" x14ac:dyDescent="0.2">
      <c r="A696" s="179"/>
      <c r="B696" s="178"/>
      <c r="C696" s="178" t="s">
        <v>189</v>
      </c>
      <c r="D696" s="177"/>
      <c r="E696" s="174"/>
      <c r="F696" s="176">
        <v>12.51</v>
      </c>
      <c r="G696" s="175" t="s">
        <v>1549</v>
      </c>
      <c r="H696" s="174">
        <v>1</v>
      </c>
      <c r="I696" s="180">
        <v>105.09</v>
      </c>
      <c r="J696" s="174">
        <v>23.35</v>
      </c>
      <c r="K696" s="180">
        <v>2453.85</v>
      </c>
    </row>
    <row r="697" spans="1:22" ht="14.25" x14ac:dyDescent="0.2">
      <c r="A697" s="179"/>
      <c r="B697" s="178"/>
      <c r="C697" s="178" t="s">
        <v>205</v>
      </c>
      <c r="D697" s="177"/>
      <c r="E697" s="174"/>
      <c r="F697" s="176">
        <v>699.78</v>
      </c>
      <c r="G697" s="175" t="s">
        <v>195</v>
      </c>
      <c r="H697" s="174">
        <v>1</v>
      </c>
      <c r="I697" s="173">
        <v>4702.59</v>
      </c>
      <c r="J697" s="174">
        <v>0.9</v>
      </c>
      <c r="K697" s="173">
        <v>4232.33</v>
      </c>
    </row>
    <row r="698" spans="1:22" ht="57" x14ac:dyDescent="0.2">
      <c r="A698" s="179" t="s">
        <v>1790</v>
      </c>
      <c r="B698" s="178" t="s">
        <v>1612</v>
      </c>
      <c r="C698" s="178" t="s">
        <v>225</v>
      </c>
      <c r="D698" s="177" t="s">
        <v>1533</v>
      </c>
      <c r="E698" s="174">
        <v>0.40320600000000001</v>
      </c>
      <c r="F698" s="176">
        <v>5986.03</v>
      </c>
      <c r="G698" s="182" t="s">
        <v>195</v>
      </c>
      <c r="H698" s="174">
        <v>1</v>
      </c>
      <c r="I698" s="173">
        <v>2413.6</v>
      </c>
      <c r="J698" s="174">
        <v>4.4800000000000004</v>
      </c>
      <c r="K698" s="173">
        <v>10812.93</v>
      </c>
      <c r="Q698" s="160">
        <f>[2]Source!X658</f>
        <v>0</v>
      </c>
      <c r="R698" s="160">
        <f>[2]Source!X659</f>
        <v>0</v>
      </c>
      <c r="S698" s="160">
        <f>[2]Source!Y658</f>
        <v>0</v>
      </c>
      <c r="T698" s="160">
        <f>[2]Source!Y659</f>
        <v>0</v>
      </c>
      <c r="U698" s="160">
        <f>ROUND((175/100)*ROUND([2]Source!R658, 2), 2)</f>
        <v>0</v>
      </c>
      <c r="V698" s="160">
        <f>ROUND((157/100)*ROUND([2]Source!R659, 2), 2)</f>
        <v>0</v>
      </c>
    </row>
    <row r="699" spans="1:22" ht="71.25" x14ac:dyDescent="0.2">
      <c r="A699" s="179" t="s">
        <v>1791</v>
      </c>
      <c r="B699" s="178" t="s">
        <v>1614</v>
      </c>
      <c r="C699" s="178" t="s">
        <v>224</v>
      </c>
      <c r="D699" s="177" t="s">
        <v>1533</v>
      </c>
      <c r="E699" s="174">
        <v>3.1584469999999998</v>
      </c>
      <c r="F699" s="176">
        <v>3374.81</v>
      </c>
      <c r="G699" s="182" t="s">
        <v>195</v>
      </c>
      <c r="H699" s="174">
        <v>1</v>
      </c>
      <c r="I699" s="173">
        <v>10659.16</v>
      </c>
      <c r="J699" s="174">
        <v>4.5</v>
      </c>
      <c r="K699" s="173">
        <v>47966.22</v>
      </c>
      <c r="Q699" s="160">
        <f>[2]Source!X660</f>
        <v>0</v>
      </c>
      <c r="R699" s="160">
        <f>[2]Source!X661</f>
        <v>0</v>
      </c>
      <c r="S699" s="160">
        <f>[2]Source!Y660</f>
        <v>0</v>
      </c>
      <c r="T699" s="160">
        <f>[2]Source!Y661</f>
        <v>0</v>
      </c>
      <c r="U699" s="160">
        <f>ROUND((175/100)*ROUND([2]Source!R660, 2), 2)</f>
        <v>0</v>
      </c>
      <c r="V699" s="160">
        <f>ROUND((157/100)*ROUND([2]Source!R661, 2), 2)</f>
        <v>0</v>
      </c>
    </row>
    <row r="700" spans="1:22" ht="57" x14ac:dyDescent="0.2">
      <c r="A700" s="179" t="s">
        <v>1792</v>
      </c>
      <c r="B700" s="178" t="s">
        <v>1765</v>
      </c>
      <c r="C700" s="178" t="s">
        <v>223</v>
      </c>
      <c r="D700" s="177" t="s">
        <v>1557</v>
      </c>
      <c r="E700" s="174">
        <v>685.4502</v>
      </c>
      <c r="F700" s="176">
        <v>198.81</v>
      </c>
      <c r="G700" s="182" t="s">
        <v>195</v>
      </c>
      <c r="H700" s="174">
        <v>1</v>
      </c>
      <c r="I700" s="173">
        <v>136274.35</v>
      </c>
      <c r="J700" s="174">
        <v>3.35</v>
      </c>
      <c r="K700" s="173">
        <v>456519.07</v>
      </c>
      <c r="Q700" s="160">
        <f>[2]Source!X662</f>
        <v>0</v>
      </c>
      <c r="R700" s="160">
        <f>[2]Source!X663</f>
        <v>0</v>
      </c>
      <c r="S700" s="160">
        <f>[2]Source!Y662</f>
        <v>0</v>
      </c>
      <c r="T700" s="160">
        <f>[2]Source!Y663</f>
        <v>0</v>
      </c>
      <c r="U700" s="160">
        <f>ROUND((175/100)*ROUND([2]Source!R662, 2), 2)</f>
        <v>0</v>
      </c>
      <c r="V700" s="160">
        <f>ROUND((157/100)*ROUND([2]Source!R663, 2), 2)</f>
        <v>0</v>
      </c>
    </row>
    <row r="701" spans="1:22" ht="14.25" x14ac:dyDescent="0.2">
      <c r="A701" s="179"/>
      <c r="B701" s="178"/>
      <c r="C701" s="178" t="s">
        <v>194</v>
      </c>
      <c r="D701" s="177" t="s">
        <v>187</v>
      </c>
      <c r="E701" s="174">
        <v>104</v>
      </c>
      <c r="F701" s="176"/>
      <c r="G701" s="175"/>
      <c r="H701" s="174"/>
      <c r="I701" s="173">
        <v>7932.59</v>
      </c>
      <c r="J701" s="174">
        <v>85</v>
      </c>
      <c r="K701" s="173">
        <v>151386.60999999999</v>
      </c>
    </row>
    <row r="702" spans="1:22" ht="14.25" x14ac:dyDescent="0.2">
      <c r="A702" s="179"/>
      <c r="B702" s="178"/>
      <c r="C702" s="178" t="s">
        <v>193</v>
      </c>
      <c r="D702" s="177" t="s">
        <v>187</v>
      </c>
      <c r="E702" s="174">
        <v>70</v>
      </c>
      <c r="F702" s="176"/>
      <c r="G702" s="175"/>
      <c r="H702" s="174"/>
      <c r="I702" s="173">
        <v>5339.24</v>
      </c>
      <c r="J702" s="174">
        <v>41</v>
      </c>
      <c r="K702" s="173">
        <v>73021.77</v>
      </c>
    </row>
    <row r="703" spans="1:22" ht="14.25" x14ac:dyDescent="0.2">
      <c r="A703" s="179"/>
      <c r="B703" s="178"/>
      <c r="C703" s="178" t="s">
        <v>188</v>
      </c>
      <c r="D703" s="177" t="s">
        <v>187</v>
      </c>
      <c r="E703" s="174">
        <v>175</v>
      </c>
      <c r="F703" s="176"/>
      <c r="G703" s="175"/>
      <c r="H703" s="174"/>
      <c r="I703" s="173">
        <v>183.91</v>
      </c>
      <c r="J703" s="174">
        <v>157</v>
      </c>
      <c r="K703" s="173">
        <v>3852.54</v>
      </c>
    </row>
    <row r="704" spans="1:22" ht="14.25" x14ac:dyDescent="0.2">
      <c r="A704" s="172"/>
      <c r="B704" s="171"/>
      <c r="C704" s="171" t="s">
        <v>192</v>
      </c>
      <c r="D704" s="170" t="s">
        <v>191</v>
      </c>
      <c r="E704" s="167">
        <v>84.08</v>
      </c>
      <c r="F704" s="169"/>
      <c r="G704" s="168" t="s">
        <v>1548</v>
      </c>
      <c r="H704" s="167">
        <v>1</v>
      </c>
      <c r="I704" s="166">
        <v>649.78</v>
      </c>
      <c r="J704" s="167"/>
      <c r="K704" s="166"/>
    </row>
    <row r="705" spans="1:22" ht="15" x14ac:dyDescent="0.25">
      <c r="A705" s="164"/>
      <c r="B705" s="164"/>
      <c r="C705" s="165" t="s">
        <v>183</v>
      </c>
      <c r="D705" s="164"/>
      <c r="E705" s="164"/>
      <c r="F705" s="164"/>
      <c r="G705" s="164"/>
      <c r="H705" s="414">
        <v>175971.01</v>
      </c>
      <c r="I705" s="414"/>
      <c r="J705" s="414">
        <v>935791.08</v>
      </c>
      <c r="K705" s="414"/>
      <c r="O705" s="163">
        <f>I694+I695+I697+I701+I702+I703+SUM(I698:I700)</f>
        <v>175971.01</v>
      </c>
      <c r="P705" s="163">
        <f>K694+K695+K697+K701+K702+K703+SUM(K698:K700)</f>
        <v>935791.08</v>
      </c>
    </row>
    <row r="708" spans="1:22" ht="15" x14ac:dyDescent="0.25">
      <c r="A708" s="417" t="s">
        <v>1793</v>
      </c>
      <c r="B708" s="417"/>
      <c r="C708" s="417"/>
      <c r="D708" s="417"/>
      <c r="E708" s="417"/>
      <c r="F708" s="417"/>
      <c r="G708" s="417"/>
      <c r="H708" s="415">
        <v>339473.78</v>
      </c>
      <c r="I708" s="416"/>
      <c r="J708" s="415">
        <v>2197924.0099999998</v>
      </c>
      <c r="K708" s="416"/>
    </row>
    <row r="709" spans="1:22" hidden="1" x14ac:dyDescent="0.2">
      <c r="A709" s="160" t="s">
        <v>182</v>
      </c>
      <c r="I709" s="160">
        <v>0</v>
      </c>
      <c r="J709" s="160">
        <v>0</v>
      </c>
    </row>
    <row r="710" spans="1:22" hidden="1" x14ac:dyDescent="0.2">
      <c r="A710" s="160" t="s">
        <v>181</v>
      </c>
      <c r="I710" s="160">
        <v>0</v>
      </c>
      <c r="J710" s="160">
        <v>0</v>
      </c>
    </row>
    <row r="712" spans="1:22" ht="16.5" x14ac:dyDescent="0.25">
      <c r="A712" s="413" t="s">
        <v>1794</v>
      </c>
      <c r="B712" s="413"/>
      <c r="C712" s="413"/>
      <c r="D712" s="413"/>
      <c r="E712" s="413"/>
      <c r="F712" s="413"/>
      <c r="G712" s="413"/>
      <c r="H712" s="413"/>
      <c r="I712" s="413"/>
      <c r="J712" s="413"/>
      <c r="K712" s="413"/>
    </row>
    <row r="713" spans="1:22" ht="52.5" x14ac:dyDescent="0.2">
      <c r="A713" s="179" t="s">
        <v>1795</v>
      </c>
      <c r="B713" s="178" t="s">
        <v>255</v>
      </c>
      <c r="C713" s="178" t="s">
        <v>254</v>
      </c>
      <c r="D713" s="177" t="s">
        <v>1741</v>
      </c>
      <c r="E713" s="174">
        <v>0.78320000000000001</v>
      </c>
      <c r="F713" s="176"/>
      <c r="G713" s="175"/>
      <c r="H713" s="174"/>
      <c r="I713" s="173"/>
      <c r="J713" s="174"/>
      <c r="K713" s="173"/>
      <c r="Q713" s="160">
        <f>[2]Source!X703</f>
        <v>322.52</v>
      </c>
      <c r="R713" s="160">
        <f>[2]Source!X704</f>
        <v>6155.11</v>
      </c>
      <c r="S713" s="160">
        <f>[2]Source!Y703</f>
        <v>217.08</v>
      </c>
      <c r="T713" s="160">
        <f>[2]Source!Y704</f>
        <v>2968.93</v>
      </c>
      <c r="U713" s="160">
        <f>ROUND((175/100)*ROUND([2]Source!R703, 2), 2)</f>
        <v>0.56000000000000005</v>
      </c>
      <c r="V713" s="160">
        <f>ROUND((157/100)*ROUND([2]Source!R704, 2), 2)</f>
        <v>11.73</v>
      </c>
    </row>
    <row r="714" spans="1:22" x14ac:dyDescent="0.2">
      <c r="C714" s="181" t="s">
        <v>1796</v>
      </c>
    </row>
    <row r="715" spans="1:22" ht="14.25" x14ac:dyDescent="0.2">
      <c r="A715" s="179"/>
      <c r="B715" s="178"/>
      <c r="C715" s="178" t="s">
        <v>197</v>
      </c>
      <c r="D715" s="177"/>
      <c r="E715" s="174"/>
      <c r="F715" s="176">
        <v>344.32</v>
      </c>
      <c r="G715" s="175" t="s">
        <v>1548</v>
      </c>
      <c r="H715" s="174">
        <v>1</v>
      </c>
      <c r="I715" s="173">
        <v>310.12</v>
      </c>
      <c r="J715" s="174">
        <v>23.35</v>
      </c>
      <c r="K715" s="173">
        <v>7241.3</v>
      </c>
    </row>
    <row r="716" spans="1:22" ht="14.25" x14ac:dyDescent="0.2">
      <c r="A716" s="179"/>
      <c r="B716" s="178"/>
      <c r="C716" s="178" t="s">
        <v>184</v>
      </c>
      <c r="D716" s="177"/>
      <c r="E716" s="174"/>
      <c r="F716" s="176">
        <v>13.09</v>
      </c>
      <c r="G716" s="175" t="s">
        <v>1549</v>
      </c>
      <c r="H716" s="174">
        <v>1</v>
      </c>
      <c r="I716" s="173">
        <v>12.82</v>
      </c>
      <c r="J716" s="174">
        <v>1.58</v>
      </c>
      <c r="K716" s="173">
        <v>20.260000000000002</v>
      </c>
    </row>
    <row r="717" spans="1:22" ht="14.25" x14ac:dyDescent="0.2">
      <c r="A717" s="179"/>
      <c r="B717" s="178"/>
      <c r="C717" s="178" t="s">
        <v>189</v>
      </c>
      <c r="D717" s="177"/>
      <c r="E717" s="174"/>
      <c r="F717" s="176">
        <v>0.33</v>
      </c>
      <c r="G717" s="175" t="s">
        <v>1549</v>
      </c>
      <c r="H717" s="174">
        <v>1</v>
      </c>
      <c r="I717" s="180">
        <v>0.32</v>
      </c>
      <c r="J717" s="174">
        <v>23.35</v>
      </c>
      <c r="K717" s="180">
        <v>7.47</v>
      </c>
    </row>
    <row r="718" spans="1:22" ht="14.25" x14ac:dyDescent="0.2">
      <c r="A718" s="179"/>
      <c r="B718" s="178"/>
      <c r="C718" s="178" t="s">
        <v>205</v>
      </c>
      <c r="D718" s="177"/>
      <c r="E718" s="174"/>
      <c r="F718" s="176">
        <v>24.75</v>
      </c>
      <c r="G718" s="175" t="s">
        <v>195</v>
      </c>
      <c r="H718" s="174">
        <v>1</v>
      </c>
      <c r="I718" s="173">
        <v>19.38</v>
      </c>
      <c r="J718" s="174">
        <v>4.7699999999999996</v>
      </c>
      <c r="K718" s="173">
        <v>92.44</v>
      </c>
    </row>
    <row r="719" spans="1:22" ht="57" x14ac:dyDescent="0.2">
      <c r="A719" s="179" t="s">
        <v>1797</v>
      </c>
      <c r="B719" s="178" t="s">
        <v>1743</v>
      </c>
      <c r="C719" s="178" t="s">
        <v>250</v>
      </c>
      <c r="D719" s="177" t="s">
        <v>1594</v>
      </c>
      <c r="E719" s="174">
        <v>1.597728</v>
      </c>
      <c r="F719" s="176">
        <v>494.49</v>
      </c>
      <c r="G719" s="182" t="s">
        <v>195</v>
      </c>
      <c r="H719" s="174">
        <v>1</v>
      </c>
      <c r="I719" s="173">
        <v>790.06</v>
      </c>
      <c r="J719" s="174">
        <v>6.62</v>
      </c>
      <c r="K719" s="173">
        <v>5230.2</v>
      </c>
      <c r="Q719" s="160">
        <f>[2]Source!X705</f>
        <v>0</v>
      </c>
      <c r="R719" s="160">
        <f>[2]Source!X706</f>
        <v>0</v>
      </c>
      <c r="S719" s="160">
        <f>[2]Source!Y705</f>
        <v>0</v>
      </c>
      <c r="T719" s="160">
        <f>[2]Source!Y706</f>
        <v>0</v>
      </c>
      <c r="U719" s="160">
        <f>ROUND((175/100)*ROUND([2]Source!R705, 2), 2)</f>
        <v>0</v>
      </c>
      <c r="V719" s="160">
        <f>ROUND((157/100)*ROUND([2]Source!R706, 2), 2)</f>
        <v>0</v>
      </c>
    </row>
    <row r="720" spans="1:22" ht="14.25" x14ac:dyDescent="0.2">
      <c r="A720" s="179"/>
      <c r="B720" s="178"/>
      <c r="C720" s="178" t="s">
        <v>194</v>
      </c>
      <c r="D720" s="177" t="s">
        <v>187</v>
      </c>
      <c r="E720" s="174">
        <v>104</v>
      </c>
      <c r="F720" s="176"/>
      <c r="G720" s="175"/>
      <c r="H720" s="174"/>
      <c r="I720" s="173">
        <v>322.52</v>
      </c>
      <c r="J720" s="174">
        <v>85</v>
      </c>
      <c r="K720" s="173">
        <v>6155.11</v>
      </c>
    </row>
    <row r="721" spans="1:22" ht="14.25" x14ac:dyDescent="0.2">
      <c r="A721" s="179"/>
      <c r="B721" s="178"/>
      <c r="C721" s="178" t="s">
        <v>193</v>
      </c>
      <c r="D721" s="177" t="s">
        <v>187</v>
      </c>
      <c r="E721" s="174">
        <v>70</v>
      </c>
      <c r="F721" s="176"/>
      <c r="G721" s="175"/>
      <c r="H721" s="174"/>
      <c r="I721" s="173">
        <v>217.08</v>
      </c>
      <c r="J721" s="174">
        <v>41</v>
      </c>
      <c r="K721" s="173">
        <v>2968.93</v>
      </c>
    </row>
    <row r="722" spans="1:22" ht="14.25" x14ac:dyDescent="0.2">
      <c r="A722" s="179"/>
      <c r="B722" s="178"/>
      <c r="C722" s="178" t="s">
        <v>188</v>
      </c>
      <c r="D722" s="177" t="s">
        <v>187</v>
      </c>
      <c r="E722" s="174">
        <v>175</v>
      </c>
      <c r="F722" s="176"/>
      <c r="G722" s="175"/>
      <c r="H722" s="174"/>
      <c r="I722" s="173">
        <v>0.56000000000000005</v>
      </c>
      <c r="J722" s="174">
        <v>157</v>
      </c>
      <c r="K722" s="173">
        <v>11.73</v>
      </c>
    </row>
    <row r="723" spans="1:22" ht="14.25" x14ac:dyDescent="0.2">
      <c r="A723" s="172"/>
      <c r="B723" s="171"/>
      <c r="C723" s="171" t="s">
        <v>192</v>
      </c>
      <c r="D723" s="170" t="s">
        <v>191</v>
      </c>
      <c r="E723" s="167">
        <v>32.729999999999997</v>
      </c>
      <c r="F723" s="169"/>
      <c r="G723" s="168" t="s">
        <v>1548</v>
      </c>
      <c r="H723" s="167">
        <v>1</v>
      </c>
      <c r="I723" s="166">
        <v>29.48</v>
      </c>
      <c r="J723" s="167"/>
      <c r="K723" s="166"/>
    </row>
    <row r="724" spans="1:22" ht="15" x14ac:dyDescent="0.25">
      <c r="A724" s="164"/>
      <c r="B724" s="164"/>
      <c r="C724" s="165" t="s">
        <v>183</v>
      </c>
      <c r="D724" s="164"/>
      <c r="E724" s="164"/>
      <c r="F724" s="164"/>
      <c r="G724" s="164"/>
      <c r="H724" s="414">
        <v>1672.54</v>
      </c>
      <c r="I724" s="414"/>
      <c r="J724" s="414">
        <v>21719.97</v>
      </c>
      <c r="K724" s="414"/>
      <c r="O724" s="163">
        <f>I715+I716+I718+I720+I721+I722+SUM(I719:I719)</f>
        <v>1672.54</v>
      </c>
      <c r="P724" s="163">
        <f>K715+K716+K718+K720+K721+K722+SUM(K719:K719)</f>
        <v>21719.97</v>
      </c>
    </row>
    <row r="726" spans="1:22" ht="52.5" x14ac:dyDescent="0.2">
      <c r="A726" s="179" t="s">
        <v>1798</v>
      </c>
      <c r="B726" s="178" t="s">
        <v>253</v>
      </c>
      <c r="C726" s="178" t="s">
        <v>252</v>
      </c>
      <c r="D726" s="177" t="s">
        <v>1741</v>
      </c>
      <c r="E726" s="174">
        <v>0.78320000000000001</v>
      </c>
      <c r="F726" s="176"/>
      <c r="G726" s="175"/>
      <c r="H726" s="174"/>
      <c r="I726" s="173"/>
      <c r="J726" s="174"/>
      <c r="K726" s="173"/>
      <c r="Q726" s="160">
        <f>[2]Source!X707</f>
        <v>151.75</v>
      </c>
      <c r="R726" s="160">
        <f>[2]Source!X708</f>
        <v>2895.95</v>
      </c>
      <c r="S726" s="160">
        <f>[2]Source!Y707</f>
        <v>102.14</v>
      </c>
      <c r="T726" s="160">
        <f>[2]Source!Y708</f>
        <v>1396.87</v>
      </c>
      <c r="U726" s="160">
        <f>ROUND((175/100)*ROUND([2]Source!R707, 2), 2)</f>
        <v>4.9400000000000004</v>
      </c>
      <c r="V726" s="160">
        <f>ROUND((157/100)*ROUND([2]Source!R708, 2), 2)</f>
        <v>103.38</v>
      </c>
    </row>
    <row r="727" spans="1:22" x14ac:dyDescent="0.2">
      <c r="C727" s="181" t="s">
        <v>1796</v>
      </c>
    </row>
    <row r="728" spans="1:22" ht="14.25" x14ac:dyDescent="0.2">
      <c r="A728" s="179"/>
      <c r="B728" s="178"/>
      <c r="C728" s="178" t="s">
        <v>197</v>
      </c>
      <c r="D728" s="177"/>
      <c r="E728" s="174"/>
      <c r="F728" s="176">
        <v>4.5</v>
      </c>
      <c r="G728" s="175" t="s">
        <v>1799</v>
      </c>
      <c r="H728" s="174">
        <v>1</v>
      </c>
      <c r="I728" s="173">
        <v>145.91</v>
      </c>
      <c r="J728" s="174">
        <v>23.35</v>
      </c>
      <c r="K728" s="173">
        <v>3407</v>
      </c>
    </row>
    <row r="729" spans="1:22" ht="14.25" x14ac:dyDescent="0.2">
      <c r="A729" s="179"/>
      <c r="B729" s="178"/>
      <c r="C729" s="178" t="s">
        <v>184</v>
      </c>
      <c r="D729" s="177"/>
      <c r="E729" s="174"/>
      <c r="F729" s="176">
        <v>3.22</v>
      </c>
      <c r="G729" s="175" t="s">
        <v>1800</v>
      </c>
      <c r="H729" s="174">
        <v>1</v>
      </c>
      <c r="I729" s="173">
        <v>113.49</v>
      </c>
      <c r="J729" s="174">
        <v>1.58</v>
      </c>
      <c r="K729" s="173">
        <v>179.31</v>
      </c>
    </row>
    <row r="730" spans="1:22" ht="14.25" x14ac:dyDescent="0.2">
      <c r="A730" s="179"/>
      <c r="B730" s="178"/>
      <c r="C730" s="178" t="s">
        <v>189</v>
      </c>
      <c r="D730" s="177"/>
      <c r="E730" s="174"/>
      <c r="F730" s="176">
        <v>0.08</v>
      </c>
      <c r="G730" s="175" t="s">
        <v>1800</v>
      </c>
      <c r="H730" s="174">
        <v>1</v>
      </c>
      <c r="I730" s="180">
        <v>2.82</v>
      </c>
      <c r="J730" s="174">
        <v>23.35</v>
      </c>
      <c r="K730" s="180">
        <v>65.849999999999994</v>
      </c>
    </row>
    <row r="731" spans="1:22" ht="57" x14ac:dyDescent="0.2">
      <c r="A731" s="179" t="s">
        <v>1801</v>
      </c>
      <c r="B731" s="178" t="s">
        <v>251</v>
      </c>
      <c r="C731" s="178" t="s">
        <v>250</v>
      </c>
      <c r="D731" s="177" t="s">
        <v>1594</v>
      </c>
      <c r="E731" s="174">
        <v>14.379552</v>
      </c>
      <c r="F731" s="176">
        <v>494.49</v>
      </c>
      <c r="G731" s="182" t="s">
        <v>249</v>
      </c>
      <c r="H731" s="174">
        <v>1</v>
      </c>
      <c r="I731" s="173">
        <v>7110.54</v>
      </c>
      <c r="J731" s="174">
        <v>6.62</v>
      </c>
      <c r="K731" s="173">
        <v>47071.77</v>
      </c>
      <c r="Q731" s="160">
        <f>[2]Source!X709</f>
        <v>0</v>
      </c>
      <c r="R731" s="160">
        <f>[2]Source!X710</f>
        <v>0</v>
      </c>
      <c r="S731" s="160">
        <f>[2]Source!Y709</f>
        <v>0</v>
      </c>
      <c r="T731" s="160">
        <f>[2]Source!Y710</f>
        <v>0</v>
      </c>
      <c r="U731" s="160">
        <f>ROUND((175/100)*ROUND([2]Source!R709, 2), 2)</f>
        <v>0</v>
      </c>
      <c r="V731" s="160">
        <f>ROUND((157/100)*ROUND([2]Source!R710, 2), 2)</f>
        <v>0</v>
      </c>
    </row>
    <row r="732" spans="1:22" ht="14.25" x14ac:dyDescent="0.2">
      <c r="A732" s="179"/>
      <c r="B732" s="178"/>
      <c r="C732" s="178" t="s">
        <v>194</v>
      </c>
      <c r="D732" s="177" t="s">
        <v>187</v>
      </c>
      <c r="E732" s="174">
        <v>104</v>
      </c>
      <c r="F732" s="176"/>
      <c r="G732" s="175"/>
      <c r="H732" s="174"/>
      <c r="I732" s="173">
        <v>151.75</v>
      </c>
      <c r="J732" s="174">
        <v>85</v>
      </c>
      <c r="K732" s="173">
        <v>2895.95</v>
      </c>
    </row>
    <row r="733" spans="1:22" ht="14.25" x14ac:dyDescent="0.2">
      <c r="A733" s="179"/>
      <c r="B733" s="178"/>
      <c r="C733" s="178" t="s">
        <v>193</v>
      </c>
      <c r="D733" s="177" t="s">
        <v>187</v>
      </c>
      <c r="E733" s="174">
        <v>70</v>
      </c>
      <c r="F733" s="176"/>
      <c r="G733" s="175"/>
      <c r="H733" s="174"/>
      <c r="I733" s="173">
        <v>102.14</v>
      </c>
      <c r="J733" s="174">
        <v>41</v>
      </c>
      <c r="K733" s="173">
        <v>1396.87</v>
      </c>
    </row>
    <row r="734" spans="1:22" ht="14.25" x14ac:dyDescent="0.2">
      <c r="A734" s="179"/>
      <c r="B734" s="178"/>
      <c r="C734" s="178" t="s">
        <v>188</v>
      </c>
      <c r="D734" s="177" t="s">
        <v>187</v>
      </c>
      <c r="E734" s="174">
        <v>175</v>
      </c>
      <c r="F734" s="176"/>
      <c r="G734" s="175"/>
      <c r="H734" s="174"/>
      <c r="I734" s="173">
        <v>4.9400000000000004</v>
      </c>
      <c r="J734" s="174">
        <v>157</v>
      </c>
      <c r="K734" s="173">
        <v>103.38</v>
      </c>
    </row>
    <row r="735" spans="1:22" ht="14.25" x14ac:dyDescent="0.2">
      <c r="A735" s="172"/>
      <c r="B735" s="171"/>
      <c r="C735" s="171" t="s">
        <v>192</v>
      </c>
      <c r="D735" s="170" t="s">
        <v>191</v>
      </c>
      <c r="E735" s="167">
        <v>0.44</v>
      </c>
      <c r="F735" s="169"/>
      <c r="G735" s="168" t="s">
        <v>1799</v>
      </c>
      <c r="H735" s="167">
        <v>1</v>
      </c>
      <c r="I735" s="166">
        <v>14.27</v>
      </c>
      <c r="J735" s="167"/>
      <c r="K735" s="166"/>
    </row>
    <row r="736" spans="1:22" ht="15" x14ac:dyDescent="0.25">
      <c r="A736" s="164"/>
      <c r="B736" s="164"/>
      <c r="C736" s="165" t="s">
        <v>183</v>
      </c>
      <c r="D736" s="164"/>
      <c r="E736" s="164"/>
      <c r="F736" s="164"/>
      <c r="G736" s="164"/>
      <c r="H736" s="414">
        <v>7628.77</v>
      </c>
      <c r="I736" s="414"/>
      <c r="J736" s="414">
        <v>55054.28</v>
      </c>
      <c r="K736" s="414"/>
      <c r="O736" s="163">
        <f>I728+I729+I732+I733+I734+SUM(I731:I731)</f>
        <v>7628.77</v>
      </c>
      <c r="P736" s="163">
        <f>K728+K729+K732+K733+K734+SUM(K731:K731)</f>
        <v>55054.28</v>
      </c>
    </row>
    <row r="738" spans="1:22" ht="52.5" x14ac:dyDescent="0.2">
      <c r="A738" s="179" t="s">
        <v>1802</v>
      </c>
      <c r="B738" s="178" t="s">
        <v>237</v>
      </c>
      <c r="C738" s="178" t="s">
        <v>236</v>
      </c>
      <c r="D738" s="177" t="s">
        <v>1741</v>
      </c>
      <c r="E738" s="174">
        <v>0.78320000000000001</v>
      </c>
      <c r="F738" s="176"/>
      <c r="G738" s="175"/>
      <c r="H738" s="174"/>
      <c r="I738" s="173"/>
      <c r="J738" s="174"/>
      <c r="K738" s="173"/>
      <c r="Q738" s="160">
        <f>[2]Source!X715</f>
        <v>227.5</v>
      </c>
      <c r="R738" s="160">
        <f>[2]Source!X716</f>
        <v>4341.6400000000003</v>
      </c>
      <c r="S738" s="160">
        <f>[2]Source!Y715</f>
        <v>153.13</v>
      </c>
      <c r="T738" s="160">
        <f>[2]Source!Y716</f>
        <v>2094.1999999999998</v>
      </c>
      <c r="U738" s="160">
        <f>ROUND((175/100)*ROUND([2]Source!R715, 2), 2)</f>
        <v>0.53</v>
      </c>
      <c r="V738" s="160">
        <f>ROUND((157/100)*ROUND([2]Source!R716, 2), 2)</f>
        <v>11.01</v>
      </c>
    </row>
    <row r="739" spans="1:22" x14ac:dyDescent="0.2">
      <c r="C739" s="181" t="s">
        <v>1796</v>
      </c>
    </row>
    <row r="740" spans="1:22" ht="14.25" x14ac:dyDescent="0.2">
      <c r="A740" s="179"/>
      <c r="B740" s="178"/>
      <c r="C740" s="178" t="s">
        <v>197</v>
      </c>
      <c r="D740" s="177"/>
      <c r="E740" s="174"/>
      <c r="F740" s="176">
        <v>242.87</v>
      </c>
      <c r="G740" s="175" t="s">
        <v>1548</v>
      </c>
      <c r="H740" s="174">
        <v>1</v>
      </c>
      <c r="I740" s="173">
        <v>218.75</v>
      </c>
      <c r="J740" s="174">
        <v>23.35</v>
      </c>
      <c r="K740" s="173">
        <v>5107.8100000000004</v>
      </c>
    </row>
    <row r="741" spans="1:22" ht="14.25" x14ac:dyDescent="0.2">
      <c r="A741" s="179"/>
      <c r="B741" s="178"/>
      <c r="C741" s="178" t="s">
        <v>184</v>
      </c>
      <c r="D741" s="177"/>
      <c r="E741" s="174"/>
      <c r="F741" s="176">
        <v>12.59</v>
      </c>
      <c r="G741" s="175" t="s">
        <v>1549</v>
      </c>
      <c r="H741" s="174">
        <v>1</v>
      </c>
      <c r="I741" s="173">
        <v>12.33</v>
      </c>
      <c r="J741" s="174">
        <v>1.58</v>
      </c>
      <c r="K741" s="173">
        <v>19.48</v>
      </c>
    </row>
    <row r="742" spans="1:22" ht="14.25" x14ac:dyDescent="0.2">
      <c r="A742" s="179"/>
      <c r="B742" s="178"/>
      <c r="C742" s="178" t="s">
        <v>189</v>
      </c>
      <c r="D742" s="177"/>
      <c r="E742" s="174"/>
      <c r="F742" s="176">
        <v>0.31</v>
      </c>
      <c r="G742" s="175" t="s">
        <v>1549</v>
      </c>
      <c r="H742" s="174">
        <v>1</v>
      </c>
      <c r="I742" s="180">
        <v>0.3</v>
      </c>
      <c r="J742" s="174">
        <v>23.35</v>
      </c>
      <c r="K742" s="180">
        <v>7.01</v>
      </c>
    </row>
    <row r="743" spans="1:22" ht="14.25" x14ac:dyDescent="0.2">
      <c r="A743" s="179"/>
      <c r="B743" s="178"/>
      <c r="C743" s="178" t="s">
        <v>205</v>
      </c>
      <c r="D743" s="177"/>
      <c r="E743" s="174"/>
      <c r="F743" s="176">
        <v>24.75</v>
      </c>
      <c r="G743" s="175" t="s">
        <v>195</v>
      </c>
      <c r="H743" s="174">
        <v>1</v>
      </c>
      <c r="I743" s="173">
        <v>19.38</v>
      </c>
      <c r="J743" s="174">
        <v>4.7699999999999996</v>
      </c>
      <c r="K743" s="173">
        <v>92.44</v>
      </c>
    </row>
    <row r="744" spans="1:22" ht="14.25" x14ac:dyDescent="0.2">
      <c r="A744" s="179" t="s">
        <v>1803</v>
      </c>
      <c r="B744" s="178" t="s">
        <v>1755</v>
      </c>
      <c r="C744" s="178" t="s">
        <v>232</v>
      </c>
      <c r="D744" s="177" t="s">
        <v>1594</v>
      </c>
      <c r="E744" s="174">
        <v>1.597728</v>
      </c>
      <c r="F744" s="176">
        <v>478.96</v>
      </c>
      <c r="G744" s="182" t="s">
        <v>195</v>
      </c>
      <c r="H744" s="174">
        <v>1</v>
      </c>
      <c r="I744" s="173">
        <v>765.25</v>
      </c>
      <c r="J744" s="174">
        <v>6.89</v>
      </c>
      <c r="K744" s="173">
        <v>5272.57</v>
      </c>
      <c r="Q744" s="160">
        <f>[2]Source!X717</f>
        <v>0</v>
      </c>
      <c r="R744" s="160">
        <f>[2]Source!X718</f>
        <v>0</v>
      </c>
      <c r="S744" s="160">
        <f>[2]Source!Y717</f>
        <v>0</v>
      </c>
      <c r="T744" s="160">
        <f>[2]Source!Y718</f>
        <v>0</v>
      </c>
      <c r="U744" s="160">
        <f>ROUND((175/100)*ROUND([2]Source!R717, 2), 2)</f>
        <v>0</v>
      </c>
      <c r="V744" s="160">
        <f>ROUND((157/100)*ROUND([2]Source!R718, 2), 2)</f>
        <v>0</v>
      </c>
    </row>
    <row r="745" spans="1:22" ht="14.25" x14ac:dyDescent="0.2">
      <c r="A745" s="179"/>
      <c r="B745" s="178"/>
      <c r="C745" s="178" t="s">
        <v>194</v>
      </c>
      <c r="D745" s="177" t="s">
        <v>187</v>
      </c>
      <c r="E745" s="174">
        <v>104</v>
      </c>
      <c r="F745" s="176"/>
      <c r="G745" s="175"/>
      <c r="H745" s="174"/>
      <c r="I745" s="173">
        <v>227.5</v>
      </c>
      <c r="J745" s="174">
        <v>85</v>
      </c>
      <c r="K745" s="173">
        <v>4341.6400000000003</v>
      </c>
    </row>
    <row r="746" spans="1:22" ht="14.25" x14ac:dyDescent="0.2">
      <c r="A746" s="179"/>
      <c r="B746" s="178"/>
      <c r="C746" s="178" t="s">
        <v>193</v>
      </c>
      <c r="D746" s="177" t="s">
        <v>187</v>
      </c>
      <c r="E746" s="174">
        <v>70</v>
      </c>
      <c r="F746" s="176"/>
      <c r="G746" s="175"/>
      <c r="H746" s="174"/>
      <c r="I746" s="173">
        <v>153.13</v>
      </c>
      <c r="J746" s="174">
        <v>41</v>
      </c>
      <c r="K746" s="173">
        <v>2094.1999999999998</v>
      </c>
    </row>
    <row r="747" spans="1:22" ht="14.25" x14ac:dyDescent="0.2">
      <c r="A747" s="179"/>
      <c r="B747" s="178"/>
      <c r="C747" s="178" t="s">
        <v>188</v>
      </c>
      <c r="D747" s="177" t="s">
        <v>187</v>
      </c>
      <c r="E747" s="174">
        <v>175</v>
      </c>
      <c r="F747" s="176"/>
      <c r="G747" s="175"/>
      <c r="H747" s="174"/>
      <c r="I747" s="173">
        <v>0.53</v>
      </c>
      <c r="J747" s="174">
        <v>157</v>
      </c>
      <c r="K747" s="173">
        <v>11.01</v>
      </c>
    </row>
    <row r="748" spans="1:22" ht="14.25" x14ac:dyDescent="0.2">
      <c r="A748" s="172"/>
      <c r="B748" s="171"/>
      <c r="C748" s="171" t="s">
        <v>192</v>
      </c>
      <c r="D748" s="170" t="s">
        <v>191</v>
      </c>
      <c r="E748" s="167">
        <v>23.33</v>
      </c>
      <c r="F748" s="169"/>
      <c r="G748" s="168" t="s">
        <v>1548</v>
      </c>
      <c r="H748" s="167">
        <v>1</v>
      </c>
      <c r="I748" s="166">
        <v>21.01</v>
      </c>
      <c r="J748" s="167"/>
      <c r="K748" s="166"/>
    </row>
    <row r="749" spans="1:22" ht="15" x14ac:dyDescent="0.25">
      <c r="A749" s="164"/>
      <c r="B749" s="164"/>
      <c r="C749" s="165" t="s">
        <v>183</v>
      </c>
      <c r="D749" s="164"/>
      <c r="E749" s="164"/>
      <c r="F749" s="164"/>
      <c r="G749" s="164"/>
      <c r="H749" s="414">
        <v>1396.87</v>
      </c>
      <c r="I749" s="414"/>
      <c r="J749" s="414">
        <v>16939.150000000001</v>
      </c>
      <c r="K749" s="414"/>
      <c r="O749" s="163">
        <f>I740+I741+I743+I745+I746+I747+SUM(I744:I744)</f>
        <v>1396.87</v>
      </c>
      <c r="P749" s="163">
        <f>K740+K741+K743+K745+K746+K747+SUM(K744:K744)</f>
        <v>16939.150000000001</v>
      </c>
    </row>
    <row r="751" spans="1:22" ht="52.5" x14ac:dyDescent="0.2">
      <c r="A751" s="179" t="s">
        <v>1804</v>
      </c>
      <c r="B751" s="178" t="s">
        <v>235</v>
      </c>
      <c r="C751" s="178" t="s">
        <v>234</v>
      </c>
      <c r="D751" s="177" t="s">
        <v>1741</v>
      </c>
      <c r="E751" s="174">
        <v>0.78320000000000001</v>
      </c>
      <c r="F751" s="176"/>
      <c r="G751" s="175"/>
      <c r="H751" s="174"/>
      <c r="I751" s="173"/>
      <c r="J751" s="174"/>
      <c r="K751" s="173"/>
      <c r="Q751" s="160">
        <f>[2]Source!X719</f>
        <v>25.29</v>
      </c>
      <c r="R751" s="160">
        <f>[2]Source!X720</f>
        <v>482.69</v>
      </c>
      <c r="S751" s="160">
        <f>[2]Source!Y719</f>
        <v>17.02</v>
      </c>
      <c r="T751" s="160">
        <f>[2]Source!Y720</f>
        <v>232.83</v>
      </c>
      <c r="U751" s="160">
        <f>ROUND((175/100)*ROUND([2]Source!R719, 2), 2)</f>
        <v>0.82</v>
      </c>
      <c r="V751" s="160">
        <f>ROUND((157/100)*ROUND([2]Source!R720, 2), 2)</f>
        <v>17.22</v>
      </c>
    </row>
    <row r="752" spans="1:22" x14ac:dyDescent="0.2">
      <c r="C752" s="181" t="s">
        <v>1796</v>
      </c>
    </row>
    <row r="753" spans="1:22" ht="14.25" x14ac:dyDescent="0.2">
      <c r="A753" s="179"/>
      <c r="B753" s="178"/>
      <c r="C753" s="178" t="s">
        <v>197</v>
      </c>
      <c r="D753" s="177"/>
      <c r="E753" s="174"/>
      <c r="F753" s="176">
        <v>4.5</v>
      </c>
      <c r="G753" s="175" t="s">
        <v>1781</v>
      </c>
      <c r="H753" s="174">
        <v>1</v>
      </c>
      <c r="I753" s="173">
        <v>24.32</v>
      </c>
      <c r="J753" s="174">
        <v>23.35</v>
      </c>
      <c r="K753" s="173">
        <v>567.87</v>
      </c>
    </row>
    <row r="754" spans="1:22" ht="14.25" x14ac:dyDescent="0.2">
      <c r="A754" s="179"/>
      <c r="B754" s="178"/>
      <c r="C754" s="178" t="s">
        <v>184</v>
      </c>
      <c r="D754" s="177"/>
      <c r="E754" s="174"/>
      <c r="F754" s="176">
        <v>3.22</v>
      </c>
      <c r="G754" s="175" t="s">
        <v>1782</v>
      </c>
      <c r="H754" s="174">
        <v>1</v>
      </c>
      <c r="I754" s="173">
        <v>18.91</v>
      </c>
      <c r="J754" s="174">
        <v>1.58</v>
      </c>
      <c r="K754" s="173">
        <v>29.88</v>
      </c>
    </row>
    <row r="755" spans="1:22" ht="14.25" x14ac:dyDescent="0.2">
      <c r="A755" s="179"/>
      <c r="B755" s="178"/>
      <c r="C755" s="178" t="s">
        <v>189</v>
      </c>
      <c r="D755" s="177"/>
      <c r="E755" s="174"/>
      <c r="F755" s="176">
        <v>0.08</v>
      </c>
      <c r="G755" s="175" t="s">
        <v>1782</v>
      </c>
      <c r="H755" s="174">
        <v>1</v>
      </c>
      <c r="I755" s="180">
        <v>0.47</v>
      </c>
      <c r="J755" s="174">
        <v>23.35</v>
      </c>
      <c r="K755" s="180">
        <v>10.97</v>
      </c>
    </row>
    <row r="756" spans="1:22" ht="52.5" x14ac:dyDescent="0.2">
      <c r="A756" s="179" t="s">
        <v>1805</v>
      </c>
      <c r="B756" s="178" t="s">
        <v>233</v>
      </c>
      <c r="C756" s="178" t="s">
        <v>232</v>
      </c>
      <c r="D756" s="177" t="s">
        <v>1594</v>
      </c>
      <c r="E756" s="174">
        <v>2.3965920000000001</v>
      </c>
      <c r="F756" s="176">
        <v>478.96</v>
      </c>
      <c r="G756" s="182" t="s">
        <v>248</v>
      </c>
      <c r="H756" s="174">
        <v>1</v>
      </c>
      <c r="I756" s="173">
        <v>1147.8699999999999</v>
      </c>
      <c r="J756" s="174">
        <v>6.89</v>
      </c>
      <c r="K756" s="173">
        <v>7908.82</v>
      </c>
      <c r="Q756" s="160">
        <f>[2]Source!X721</f>
        <v>0</v>
      </c>
      <c r="R756" s="160">
        <f>[2]Source!X722</f>
        <v>0</v>
      </c>
      <c r="S756" s="160">
        <f>[2]Source!Y721</f>
        <v>0</v>
      </c>
      <c r="T756" s="160">
        <f>[2]Source!Y722</f>
        <v>0</v>
      </c>
      <c r="U756" s="160">
        <f>ROUND((175/100)*ROUND([2]Source!R721, 2), 2)</f>
        <v>0</v>
      </c>
      <c r="V756" s="160">
        <f>ROUND((157/100)*ROUND([2]Source!R722, 2), 2)</f>
        <v>0</v>
      </c>
    </row>
    <row r="757" spans="1:22" ht="14.25" x14ac:dyDescent="0.2">
      <c r="A757" s="179"/>
      <c r="B757" s="178"/>
      <c r="C757" s="178" t="s">
        <v>194</v>
      </c>
      <c r="D757" s="177" t="s">
        <v>187</v>
      </c>
      <c r="E757" s="174">
        <v>104</v>
      </c>
      <c r="F757" s="176"/>
      <c r="G757" s="175"/>
      <c r="H757" s="174"/>
      <c r="I757" s="173">
        <v>25.29</v>
      </c>
      <c r="J757" s="174">
        <v>85</v>
      </c>
      <c r="K757" s="173">
        <v>482.69</v>
      </c>
    </row>
    <row r="758" spans="1:22" ht="14.25" x14ac:dyDescent="0.2">
      <c r="A758" s="179"/>
      <c r="B758" s="178"/>
      <c r="C758" s="178" t="s">
        <v>193</v>
      </c>
      <c r="D758" s="177" t="s">
        <v>187</v>
      </c>
      <c r="E758" s="174">
        <v>70</v>
      </c>
      <c r="F758" s="176"/>
      <c r="G758" s="175"/>
      <c r="H758" s="174"/>
      <c r="I758" s="173">
        <v>17.02</v>
      </c>
      <c r="J758" s="174">
        <v>41</v>
      </c>
      <c r="K758" s="173">
        <v>232.83</v>
      </c>
    </row>
    <row r="759" spans="1:22" ht="14.25" x14ac:dyDescent="0.2">
      <c r="A759" s="179"/>
      <c r="B759" s="178"/>
      <c r="C759" s="178" t="s">
        <v>188</v>
      </c>
      <c r="D759" s="177" t="s">
        <v>187</v>
      </c>
      <c r="E759" s="174">
        <v>175</v>
      </c>
      <c r="F759" s="176"/>
      <c r="G759" s="175"/>
      <c r="H759" s="174"/>
      <c r="I759" s="173">
        <v>0.82</v>
      </c>
      <c r="J759" s="174">
        <v>157</v>
      </c>
      <c r="K759" s="173">
        <v>17.22</v>
      </c>
    </row>
    <row r="760" spans="1:22" ht="14.25" x14ac:dyDescent="0.2">
      <c r="A760" s="172"/>
      <c r="B760" s="171"/>
      <c r="C760" s="171" t="s">
        <v>192</v>
      </c>
      <c r="D760" s="170" t="s">
        <v>191</v>
      </c>
      <c r="E760" s="167">
        <v>0.44</v>
      </c>
      <c r="F760" s="169"/>
      <c r="G760" s="168" t="s">
        <v>1781</v>
      </c>
      <c r="H760" s="167">
        <v>1</v>
      </c>
      <c r="I760" s="166">
        <v>2.38</v>
      </c>
      <c r="J760" s="167"/>
      <c r="K760" s="166"/>
    </row>
    <row r="761" spans="1:22" ht="15" x14ac:dyDescent="0.25">
      <c r="A761" s="164"/>
      <c r="B761" s="164"/>
      <c r="C761" s="165" t="s">
        <v>183</v>
      </c>
      <c r="D761" s="164"/>
      <c r="E761" s="164"/>
      <c r="F761" s="164"/>
      <c r="G761" s="164"/>
      <c r="H761" s="414">
        <v>1234.23</v>
      </c>
      <c r="I761" s="414"/>
      <c r="J761" s="414">
        <v>9239.31</v>
      </c>
      <c r="K761" s="414"/>
      <c r="O761" s="163">
        <f>I753+I754+I757+I758+I759+SUM(I756:I756)</f>
        <v>1234.23</v>
      </c>
      <c r="P761" s="163">
        <f>K753+K754+K757+K758+K759+SUM(K756:K756)</f>
        <v>9239.31</v>
      </c>
    </row>
    <row r="763" spans="1:22" ht="52.5" x14ac:dyDescent="0.2">
      <c r="A763" s="179" t="s">
        <v>1806</v>
      </c>
      <c r="B763" s="178" t="s">
        <v>230</v>
      </c>
      <c r="C763" s="178" t="s">
        <v>229</v>
      </c>
      <c r="D763" s="177" t="s">
        <v>1785</v>
      </c>
      <c r="E763" s="174">
        <v>0.227128</v>
      </c>
      <c r="F763" s="176"/>
      <c r="G763" s="175"/>
      <c r="H763" s="174"/>
      <c r="I763" s="173"/>
      <c r="J763" s="174"/>
      <c r="K763" s="173"/>
      <c r="Q763" s="160">
        <f>[2]Source!X723</f>
        <v>29.9</v>
      </c>
      <c r="R763" s="160">
        <f>[2]Source!X724</f>
        <v>558.59</v>
      </c>
      <c r="S763" s="160">
        <f>[2]Source!Y723</f>
        <v>24.63</v>
      </c>
      <c r="T763" s="160">
        <f>[2]Source!Y724</f>
        <v>336.79</v>
      </c>
      <c r="U763" s="160">
        <f>ROUND((175/100)*ROUND([2]Source!R723, 2), 2)</f>
        <v>2.78</v>
      </c>
      <c r="V763" s="160">
        <f>ROUND((157/100)*ROUND([2]Source!R724, 2), 2)</f>
        <v>58.29</v>
      </c>
    </row>
    <row r="764" spans="1:22" x14ac:dyDescent="0.2">
      <c r="C764" s="181" t="s">
        <v>1807</v>
      </c>
    </row>
    <row r="765" spans="1:22" ht="14.25" x14ac:dyDescent="0.2">
      <c r="A765" s="179"/>
      <c r="B765" s="178"/>
      <c r="C765" s="178" t="s">
        <v>197</v>
      </c>
      <c r="D765" s="177"/>
      <c r="E765" s="174"/>
      <c r="F765" s="176">
        <v>134.68</v>
      </c>
      <c r="G765" s="175" t="s">
        <v>1548</v>
      </c>
      <c r="H765" s="174">
        <v>1</v>
      </c>
      <c r="I765" s="173">
        <v>35.18</v>
      </c>
      <c r="J765" s="174">
        <v>23.35</v>
      </c>
      <c r="K765" s="173">
        <v>821.45</v>
      </c>
    </row>
    <row r="766" spans="1:22" ht="14.25" x14ac:dyDescent="0.2">
      <c r="A766" s="179"/>
      <c r="B766" s="178"/>
      <c r="C766" s="178" t="s">
        <v>184</v>
      </c>
      <c r="D766" s="177"/>
      <c r="E766" s="174"/>
      <c r="F766" s="176">
        <v>44</v>
      </c>
      <c r="G766" s="175" t="s">
        <v>1549</v>
      </c>
      <c r="H766" s="174">
        <v>1</v>
      </c>
      <c r="I766" s="173">
        <v>12.49</v>
      </c>
      <c r="J766" s="174">
        <v>8.19</v>
      </c>
      <c r="K766" s="173">
        <v>102.29</v>
      </c>
    </row>
    <row r="767" spans="1:22" ht="14.25" x14ac:dyDescent="0.2">
      <c r="A767" s="179"/>
      <c r="B767" s="178"/>
      <c r="C767" s="178" t="s">
        <v>189</v>
      </c>
      <c r="D767" s="177"/>
      <c r="E767" s="174"/>
      <c r="F767" s="176">
        <v>5.59</v>
      </c>
      <c r="G767" s="175" t="s">
        <v>1549</v>
      </c>
      <c r="H767" s="174">
        <v>1</v>
      </c>
      <c r="I767" s="180">
        <v>1.59</v>
      </c>
      <c r="J767" s="174">
        <v>23.35</v>
      </c>
      <c r="K767" s="180">
        <v>37.130000000000003</v>
      </c>
    </row>
    <row r="768" spans="1:22" ht="14.25" x14ac:dyDescent="0.2">
      <c r="A768" s="179"/>
      <c r="B768" s="178"/>
      <c r="C768" s="178" t="s">
        <v>205</v>
      </c>
      <c r="D768" s="177"/>
      <c r="E768" s="174"/>
      <c r="F768" s="176">
        <v>258.91000000000003</v>
      </c>
      <c r="G768" s="175" t="s">
        <v>195</v>
      </c>
      <c r="H768" s="174">
        <v>1</v>
      </c>
      <c r="I768" s="173">
        <v>58.81</v>
      </c>
      <c r="J768" s="174">
        <v>5.54</v>
      </c>
      <c r="K768" s="173">
        <v>325.81</v>
      </c>
    </row>
    <row r="769" spans="1:22" ht="57" x14ac:dyDescent="0.2">
      <c r="A769" s="179" t="s">
        <v>1808</v>
      </c>
      <c r="B769" s="178" t="s">
        <v>1788</v>
      </c>
      <c r="C769" s="178" t="s">
        <v>228</v>
      </c>
      <c r="D769" s="177" t="s">
        <v>1533</v>
      </c>
      <c r="E769" s="174">
        <v>0.227128</v>
      </c>
      <c r="F769" s="176">
        <v>9733.52</v>
      </c>
      <c r="G769" s="182" t="s">
        <v>195</v>
      </c>
      <c r="H769" s="174">
        <v>1</v>
      </c>
      <c r="I769" s="173">
        <v>2210.75</v>
      </c>
      <c r="J769" s="174">
        <v>3.64</v>
      </c>
      <c r="K769" s="173">
        <v>8047.13</v>
      </c>
      <c r="Q769" s="160">
        <f>[2]Source!X725</f>
        <v>0</v>
      </c>
      <c r="R769" s="160">
        <f>[2]Source!X726</f>
        <v>0</v>
      </c>
      <c r="S769" s="160">
        <f>[2]Source!Y725</f>
        <v>0</v>
      </c>
      <c r="T769" s="160">
        <f>[2]Source!Y726</f>
        <v>0</v>
      </c>
      <c r="U769" s="160">
        <f>ROUND((175/100)*ROUND([2]Source!R725, 2), 2)</f>
        <v>0</v>
      </c>
      <c r="V769" s="160">
        <f>ROUND((157/100)*ROUND([2]Source!R726, 2), 2)</f>
        <v>0</v>
      </c>
    </row>
    <row r="770" spans="1:22" ht="14.25" x14ac:dyDescent="0.2">
      <c r="A770" s="179"/>
      <c r="B770" s="178"/>
      <c r="C770" s="178" t="s">
        <v>194</v>
      </c>
      <c r="D770" s="177" t="s">
        <v>187</v>
      </c>
      <c r="E770" s="174">
        <v>85</v>
      </c>
      <c r="F770" s="176"/>
      <c r="G770" s="175"/>
      <c r="H770" s="174"/>
      <c r="I770" s="173">
        <v>29.9</v>
      </c>
      <c r="J770" s="174">
        <v>68</v>
      </c>
      <c r="K770" s="173">
        <v>558.59</v>
      </c>
    </row>
    <row r="771" spans="1:22" ht="14.25" x14ac:dyDescent="0.2">
      <c r="A771" s="179"/>
      <c r="B771" s="178"/>
      <c r="C771" s="178" t="s">
        <v>193</v>
      </c>
      <c r="D771" s="177" t="s">
        <v>187</v>
      </c>
      <c r="E771" s="174">
        <v>70</v>
      </c>
      <c r="F771" s="176"/>
      <c r="G771" s="175"/>
      <c r="H771" s="174"/>
      <c r="I771" s="173">
        <v>24.63</v>
      </c>
      <c r="J771" s="174">
        <v>41</v>
      </c>
      <c r="K771" s="173">
        <v>336.79</v>
      </c>
    </row>
    <row r="772" spans="1:22" ht="14.25" x14ac:dyDescent="0.2">
      <c r="A772" s="179"/>
      <c r="B772" s="178"/>
      <c r="C772" s="178" t="s">
        <v>188</v>
      </c>
      <c r="D772" s="177" t="s">
        <v>187</v>
      </c>
      <c r="E772" s="174">
        <v>175</v>
      </c>
      <c r="F772" s="176"/>
      <c r="G772" s="175"/>
      <c r="H772" s="174"/>
      <c r="I772" s="173">
        <v>2.78</v>
      </c>
      <c r="J772" s="174">
        <v>157</v>
      </c>
      <c r="K772" s="173">
        <v>58.29</v>
      </c>
    </row>
    <row r="773" spans="1:22" ht="14.25" x14ac:dyDescent="0.2">
      <c r="A773" s="172"/>
      <c r="B773" s="171"/>
      <c r="C773" s="171" t="s">
        <v>192</v>
      </c>
      <c r="D773" s="170" t="s">
        <v>191</v>
      </c>
      <c r="E773" s="167">
        <v>11.6</v>
      </c>
      <c r="F773" s="169"/>
      <c r="G773" s="168" t="s">
        <v>1548</v>
      </c>
      <c r="H773" s="167">
        <v>1</v>
      </c>
      <c r="I773" s="166">
        <v>3.03</v>
      </c>
      <c r="J773" s="167"/>
      <c r="K773" s="166"/>
    </row>
    <row r="774" spans="1:22" ht="15" x14ac:dyDescent="0.25">
      <c r="A774" s="164"/>
      <c r="B774" s="164"/>
      <c r="C774" s="165" t="s">
        <v>183</v>
      </c>
      <c r="D774" s="164"/>
      <c r="E774" s="164"/>
      <c r="F774" s="164"/>
      <c r="G774" s="164"/>
      <c r="H774" s="414">
        <v>2374.54</v>
      </c>
      <c r="I774" s="414"/>
      <c r="J774" s="414">
        <v>10250.35</v>
      </c>
      <c r="K774" s="414"/>
      <c r="O774" s="163">
        <f>I765+I766+I768+I770+I771+I772+SUM(I769:I769)</f>
        <v>2374.54</v>
      </c>
      <c r="P774" s="163">
        <f>K765+K766+K768+K770+K771+K772+SUM(K769:K769)</f>
        <v>10250.35</v>
      </c>
    </row>
    <row r="776" spans="1:22" ht="57" x14ac:dyDescent="0.2">
      <c r="A776" s="179" t="s">
        <v>1809</v>
      </c>
      <c r="B776" s="178" t="s">
        <v>258</v>
      </c>
      <c r="C776" s="178" t="s">
        <v>257</v>
      </c>
      <c r="D776" s="177" t="s">
        <v>1540</v>
      </c>
      <c r="E776" s="174">
        <v>0.78320000000000001</v>
      </c>
      <c r="F776" s="176"/>
      <c r="G776" s="175"/>
      <c r="H776" s="174"/>
      <c r="I776" s="173"/>
      <c r="J776" s="174"/>
      <c r="K776" s="173"/>
      <c r="Q776" s="160">
        <f>[2]Source!X727</f>
        <v>262.39</v>
      </c>
      <c r="R776" s="160">
        <f>[2]Source!X728</f>
        <v>5007.53</v>
      </c>
      <c r="S776" s="160">
        <f>[2]Source!Y727</f>
        <v>176.61</v>
      </c>
      <c r="T776" s="160">
        <f>[2]Source!Y728</f>
        <v>2415.4</v>
      </c>
      <c r="U776" s="160">
        <f>ROUND((175/100)*ROUND([2]Source!R727, 2), 2)</f>
        <v>14.58</v>
      </c>
      <c r="V776" s="160">
        <f>ROUND((157/100)*ROUND([2]Source!R728, 2), 2)</f>
        <v>305.38</v>
      </c>
    </row>
    <row r="777" spans="1:22" x14ac:dyDescent="0.2">
      <c r="C777" s="181" t="s">
        <v>1796</v>
      </c>
    </row>
    <row r="778" spans="1:22" ht="14.25" x14ac:dyDescent="0.2">
      <c r="A778" s="179"/>
      <c r="B778" s="178"/>
      <c r="C778" s="178" t="s">
        <v>197</v>
      </c>
      <c r="D778" s="177"/>
      <c r="E778" s="174"/>
      <c r="F778" s="176">
        <v>280.12</v>
      </c>
      <c r="G778" s="175" t="s">
        <v>1548</v>
      </c>
      <c r="H778" s="174">
        <v>1</v>
      </c>
      <c r="I778" s="173">
        <v>252.3</v>
      </c>
      <c r="J778" s="174">
        <v>23.35</v>
      </c>
      <c r="K778" s="173">
        <v>5891.21</v>
      </c>
    </row>
    <row r="779" spans="1:22" ht="14.25" x14ac:dyDescent="0.2">
      <c r="A779" s="179"/>
      <c r="B779" s="178"/>
      <c r="C779" s="178" t="s">
        <v>184</v>
      </c>
      <c r="D779" s="177"/>
      <c r="E779" s="174"/>
      <c r="F779" s="176">
        <v>43.13</v>
      </c>
      <c r="G779" s="175" t="s">
        <v>1549</v>
      </c>
      <c r="H779" s="174">
        <v>1</v>
      </c>
      <c r="I779" s="173">
        <v>42.22</v>
      </c>
      <c r="J779" s="174">
        <v>8.89</v>
      </c>
      <c r="K779" s="173">
        <v>375.34</v>
      </c>
    </row>
    <row r="780" spans="1:22" ht="14.25" x14ac:dyDescent="0.2">
      <c r="A780" s="179"/>
      <c r="B780" s="178"/>
      <c r="C780" s="178" t="s">
        <v>189</v>
      </c>
      <c r="D780" s="177"/>
      <c r="E780" s="174"/>
      <c r="F780" s="176">
        <v>8.51</v>
      </c>
      <c r="G780" s="175" t="s">
        <v>1549</v>
      </c>
      <c r="H780" s="174">
        <v>1</v>
      </c>
      <c r="I780" s="180">
        <v>8.33</v>
      </c>
      <c r="J780" s="174">
        <v>23.35</v>
      </c>
      <c r="K780" s="180">
        <v>194.51</v>
      </c>
    </row>
    <row r="781" spans="1:22" ht="14.25" x14ac:dyDescent="0.2">
      <c r="A781" s="179"/>
      <c r="B781" s="178"/>
      <c r="C781" s="178" t="s">
        <v>205</v>
      </c>
      <c r="D781" s="177"/>
      <c r="E781" s="174"/>
      <c r="F781" s="176">
        <v>267.95999999999998</v>
      </c>
      <c r="G781" s="175" t="s">
        <v>195</v>
      </c>
      <c r="H781" s="174">
        <v>1</v>
      </c>
      <c r="I781" s="173">
        <v>209.87</v>
      </c>
      <c r="J781" s="174">
        <v>1.9</v>
      </c>
      <c r="K781" s="173">
        <v>398.75</v>
      </c>
    </row>
    <row r="782" spans="1:22" ht="71.25" x14ac:dyDescent="0.2">
      <c r="A782" s="179" t="s">
        <v>1810</v>
      </c>
      <c r="B782" s="178" t="s">
        <v>1811</v>
      </c>
      <c r="C782" s="178" t="s">
        <v>256</v>
      </c>
      <c r="D782" s="177" t="s">
        <v>1557</v>
      </c>
      <c r="E782" s="174">
        <v>80.278000000000006</v>
      </c>
      <c r="F782" s="176">
        <v>276.39999999999998</v>
      </c>
      <c r="G782" s="182" t="s">
        <v>195</v>
      </c>
      <c r="H782" s="174">
        <v>1</v>
      </c>
      <c r="I782" s="173">
        <v>22188.84</v>
      </c>
      <c r="J782" s="174">
        <v>1.24</v>
      </c>
      <c r="K782" s="173">
        <v>27514.16</v>
      </c>
      <c r="Q782" s="160">
        <f>[2]Source!X729</f>
        <v>0</v>
      </c>
      <c r="R782" s="160">
        <f>[2]Source!X730</f>
        <v>0</v>
      </c>
      <c r="S782" s="160">
        <f>[2]Source!Y729</f>
        <v>0</v>
      </c>
      <c r="T782" s="160">
        <f>[2]Source!Y730</f>
        <v>0</v>
      </c>
      <c r="U782" s="160">
        <f>ROUND((175/100)*ROUND([2]Source!R729, 2), 2)</f>
        <v>0</v>
      </c>
      <c r="V782" s="160">
        <f>ROUND((157/100)*ROUND([2]Source!R730, 2), 2)</f>
        <v>0</v>
      </c>
    </row>
    <row r="783" spans="1:22" ht="14.25" x14ac:dyDescent="0.2">
      <c r="A783" s="179"/>
      <c r="B783" s="178"/>
      <c r="C783" s="178" t="s">
        <v>194</v>
      </c>
      <c r="D783" s="177" t="s">
        <v>187</v>
      </c>
      <c r="E783" s="174">
        <v>104</v>
      </c>
      <c r="F783" s="176"/>
      <c r="G783" s="175"/>
      <c r="H783" s="174"/>
      <c r="I783" s="173">
        <v>262.39</v>
      </c>
      <c r="J783" s="174">
        <v>85</v>
      </c>
      <c r="K783" s="173">
        <v>5007.53</v>
      </c>
    </row>
    <row r="784" spans="1:22" ht="14.25" x14ac:dyDescent="0.2">
      <c r="A784" s="179"/>
      <c r="B784" s="178"/>
      <c r="C784" s="178" t="s">
        <v>193</v>
      </c>
      <c r="D784" s="177" t="s">
        <v>187</v>
      </c>
      <c r="E784" s="174">
        <v>70</v>
      </c>
      <c r="F784" s="176"/>
      <c r="G784" s="175"/>
      <c r="H784" s="174"/>
      <c r="I784" s="173">
        <v>176.61</v>
      </c>
      <c r="J784" s="174">
        <v>41</v>
      </c>
      <c r="K784" s="173">
        <v>2415.4</v>
      </c>
    </row>
    <row r="785" spans="1:22" ht="14.25" x14ac:dyDescent="0.2">
      <c r="A785" s="179"/>
      <c r="B785" s="178"/>
      <c r="C785" s="178" t="s">
        <v>188</v>
      </c>
      <c r="D785" s="177" t="s">
        <v>187</v>
      </c>
      <c r="E785" s="174">
        <v>175</v>
      </c>
      <c r="F785" s="176"/>
      <c r="G785" s="175"/>
      <c r="H785" s="174"/>
      <c r="I785" s="173">
        <v>14.58</v>
      </c>
      <c r="J785" s="174">
        <v>157</v>
      </c>
      <c r="K785" s="173">
        <v>305.38</v>
      </c>
    </row>
    <row r="786" spans="1:22" ht="14.25" x14ac:dyDescent="0.2">
      <c r="A786" s="172"/>
      <c r="B786" s="171"/>
      <c r="C786" s="171" t="s">
        <v>192</v>
      </c>
      <c r="D786" s="170" t="s">
        <v>191</v>
      </c>
      <c r="E786" s="167">
        <v>22.55</v>
      </c>
      <c r="F786" s="169"/>
      <c r="G786" s="168" t="s">
        <v>1548</v>
      </c>
      <c r="H786" s="167">
        <v>1</v>
      </c>
      <c r="I786" s="166">
        <v>20.309999999999999</v>
      </c>
      <c r="J786" s="167"/>
      <c r="K786" s="166"/>
    </row>
    <row r="787" spans="1:22" ht="15" x14ac:dyDescent="0.25">
      <c r="A787" s="164"/>
      <c r="B787" s="164"/>
      <c r="C787" s="165" t="s">
        <v>183</v>
      </c>
      <c r="D787" s="164"/>
      <c r="E787" s="164"/>
      <c r="F787" s="164"/>
      <c r="G787" s="164"/>
      <c r="H787" s="414">
        <v>23146.81</v>
      </c>
      <c r="I787" s="414"/>
      <c r="J787" s="414">
        <v>41907.769999999997</v>
      </c>
      <c r="K787" s="414"/>
      <c r="O787" s="163">
        <f>I778+I779+I781+I783+I784+I785+SUM(I782:I782)</f>
        <v>23146.81</v>
      </c>
      <c r="P787" s="163">
        <f>K778+K779+K781+K783+K784+K785+SUM(K782:K782)</f>
        <v>41907.769999999997</v>
      </c>
    </row>
    <row r="790" spans="1:22" ht="15" x14ac:dyDescent="0.25">
      <c r="A790" s="417" t="s">
        <v>1812</v>
      </c>
      <c r="B790" s="417"/>
      <c r="C790" s="417"/>
      <c r="D790" s="417"/>
      <c r="E790" s="417"/>
      <c r="F790" s="417"/>
      <c r="G790" s="417"/>
      <c r="H790" s="415">
        <v>37453.760000000002</v>
      </c>
      <c r="I790" s="416"/>
      <c r="J790" s="415">
        <v>155110.82999999999</v>
      </c>
      <c r="K790" s="416"/>
    </row>
    <row r="791" spans="1:22" hidden="1" x14ac:dyDescent="0.2">
      <c r="A791" s="160" t="s">
        <v>182</v>
      </c>
      <c r="I791" s="160">
        <v>0</v>
      </c>
      <c r="J791" s="160">
        <v>0</v>
      </c>
    </row>
    <row r="792" spans="1:22" hidden="1" x14ac:dyDescent="0.2">
      <c r="A792" s="160" t="s">
        <v>181</v>
      </c>
      <c r="I792" s="160">
        <v>0</v>
      </c>
      <c r="J792" s="160">
        <v>0</v>
      </c>
    </row>
    <row r="794" spans="1:22" ht="16.5" x14ac:dyDescent="0.25">
      <c r="A794" s="413" t="s">
        <v>1813</v>
      </c>
      <c r="B794" s="413"/>
      <c r="C794" s="413"/>
      <c r="D794" s="413"/>
      <c r="E794" s="413"/>
      <c r="F794" s="413"/>
      <c r="G794" s="413"/>
      <c r="H794" s="413"/>
      <c r="I794" s="413"/>
      <c r="J794" s="413"/>
      <c r="K794" s="413"/>
    </row>
    <row r="795" spans="1:22" ht="52.5" x14ac:dyDescent="0.2">
      <c r="A795" s="179" t="s">
        <v>1814</v>
      </c>
      <c r="B795" s="178" t="s">
        <v>255</v>
      </c>
      <c r="C795" s="178" t="s">
        <v>254</v>
      </c>
      <c r="D795" s="177" t="s">
        <v>1741</v>
      </c>
      <c r="E795" s="174">
        <v>11.5222</v>
      </c>
      <c r="F795" s="176"/>
      <c r="G795" s="175"/>
      <c r="H795" s="174"/>
      <c r="I795" s="173"/>
      <c r="J795" s="174"/>
      <c r="K795" s="173"/>
      <c r="Q795" s="160">
        <f>[2]Source!X778</f>
        <v>4744.92</v>
      </c>
      <c r="R795" s="160">
        <f>[2]Source!X779</f>
        <v>90552.63</v>
      </c>
      <c r="S795" s="160">
        <f>[2]Source!Y778</f>
        <v>3193.69</v>
      </c>
      <c r="T795" s="160">
        <f>[2]Source!Y779</f>
        <v>43678.33</v>
      </c>
      <c r="U795" s="160">
        <f>ROUND((175/100)*ROUND([2]Source!R778, 2), 2)</f>
        <v>8.31</v>
      </c>
      <c r="V795" s="160">
        <f>ROUND((157/100)*ROUND([2]Source!R779, 2), 2)</f>
        <v>174.13</v>
      </c>
    </row>
    <row r="796" spans="1:22" x14ac:dyDescent="0.2">
      <c r="C796" s="181" t="s">
        <v>1815</v>
      </c>
    </row>
    <row r="797" spans="1:22" ht="14.25" x14ac:dyDescent="0.2">
      <c r="A797" s="179"/>
      <c r="B797" s="178"/>
      <c r="C797" s="178" t="s">
        <v>197</v>
      </c>
      <c r="D797" s="177"/>
      <c r="E797" s="174"/>
      <c r="F797" s="176">
        <v>344.32</v>
      </c>
      <c r="G797" s="175" t="s">
        <v>1548</v>
      </c>
      <c r="H797" s="174">
        <v>1</v>
      </c>
      <c r="I797" s="173">
        <v>4562.42</v>
      </c>
      <c r="J797" s="174">
        <v>23.35</v>
      </c>
      <c r="K797" s="173">
        <v>106532.51</v>
      </c>
    </row>
    <row r="798" spans="1:22" ht="14.25" x14ac:dyDescent="0.2">
      <c r="A798" s="179"/>
      <c r="B798" s="178"/>
      <c r="C798" s="178" t="s">
        <v>184</v>
      </c>
      <c r="D798" s="177"/>
      <c r="E798" s="174"/>
      <c r="F798" s="176">
        <v>13.09</v>
      </c>
      <c r="G798" s="175" t="s">
        <v>1549</v>
      </c>
      <c r="H798" s="174">
        <v>1</v>
      </c>
      <c r="I798" s="173">
        <v>188.53</v>
      </c>
      <c r="J798" s="174">
        <v>1.58</v>
      </c>
      <c r="K798" s="173">
        <v>297.88</v>
      </c>
    </row>
    <row r="799" spans="1:22" ht="14.25" x14ac:dyDescent="0.2">
      <c r="A799" s="179"/>
      <c r="B799" s="178"/>
      <c r="C799" s="178" t="s">
        <v>189</v>
      </c>
      <c r="D799" s="177"/>
      <c r="E799" s="174"/>
      <c r="F799" s="176">
        <v>0.33</v>
      </c>
      <c r="G799" s="175" t="s">
        <v>1549</v>
      </c>
      <c r="H799" s="174">
        <v>1</v>
      </c>
      <c r="I799" s="180">
        <v>4.75</v>
      </c>
      <c r="J799" s="174">
        <v>23.35</v>
      </c>
      <c r="K799" s="180">
        <v>110.91</v>
      </c>
    </row>
    <row r="800" spans="1:22" ht="14.25" x14ac:dyDescent="0.2">
      <c r="A800" s="179"/>
      <c r="B800" s="178"/>
      <c r="C800" s="178" t="s">
        <v>205</v>
      </c>
      <c r="D800" s="177"/>
      <c r="E800" s="174"/>
      <c r="F800" s="176">
        <v>24.75</v>
      </c>
      <c r="G800" s="175" t="s">
        <v>195</v>
      </c>
      <c r="H800" s="174">
        <v>1</v>
      </c>
      <c r="I800" s="173">
        <v>285.17</v>
      </c>
      <c r="J800" s="174">
        <v>4.7699999999999996</v>
      </c>
      <c r="K800" s="173">
        <v>1360.26</v>
      </c>
    </row>
    <row r="801" spans="1:22" ht="57" x14ac:dyDescent="0.2">
      <c r="A801" s="179" t="s">
        <v>1816</v>
      </c>
      <c r="B801" s="178" t="s">
        <v>1743</v>
      </c>
      <c r="C801" s="178" t="s">
        <v>250</v>
      </c>
      <c r="D801" s="177" t="s">
        <v>1594</v>
      </c>
      <c r="E801" s="174">
        <v>23.505288</v>
      </c>
      <c r="F801" s="176">
        <v>494.49</v>
      </c>
      <c r="G801" s="182" t="s">
        <v>195</v>
      </c>
      <c r="H801" s="174">
        <v>1</v>
      </c>
      <c r="I801" s="173">
        <v>11623.13</v>
      </c>
      <c r="J801" s="174">
        <v>6.62</v>
      </c>
      <c r="K801" s="173">
        <v>76945.119999999995</v>
      </c>
      <c r="Q801" s="160">
        <f>[2]Source!X780</f>
        <v>0</v>
      </c>
      <c r="R801" s="160">
        <f>[2]Source!X781</f>
        <v>0</v>
      </c>
      <c r="S801" s="160">
        <f>[2]Source!Y780</f>
        <v>0</v>
      </c>
      <c r="T801" s="160">
        <f>[2]Source!Y781</f>
        <v>0</v>
      </c>
      <c r="U801" s="160">
        <f>ROUND((175/100)*ROUND([2]Source!R780, 2), 2)</f>
        <v>0</v>
      </c>
      <c r="V801" s="160">
        <f>ROUND((157/100)*ROUND([2]Source!R781, 2), 2)</f>
        <v>0</v>
      </c>
    </row>
    <row r="802" spans="1:22" ht="14.25" x14ac:dyDescent="0.2">
      <c r="A802" s="179"/>
      <c r="B802" s="178"/>
      <c r="C802" s="178" t="s">
        <v>194</v>
      </c>
      <c r="D802" s="177" t="s">
        <v>187</v>
      </c>
      <c r="E802" s="174">
        <v>104</v>
      </c>
      <c r="F802" s="176"/>
      <c r="G802" s="175"/>
      <c r="H802" s="174"/>
      <c r="I802" s="173">
        <v>4744.92</v>
      </c>
      <c r="J802" s="174">
        <v>85</v>
      </c>
      <c r="K802" s="173">
        <v>90552.63</v>
      </c>
    </row>
    <row r="803" spans="1:22" ht="14.25" x14ac:dyDescent="0.2">
      <c r="A803" s="179"/>
      <c r="B803" s="178"/>
      <c r="C803" s="178" t="s">
        <v>193</v>
      </c>
      <c r="D803" s="177" t="s">
        <v>187</v>
      </c>
      <c r="E803" s="174">
        <v>70</v>
      </c>
      <c r="F803" s="176"/>
      <c r="G803" s="175"/>
      <c r="H803" s="174"/>
      <c r="I803" s="173">
        <v>3193.69</v>
      </c>
      <c r="J803" s="174">
        <v>41</v>
      </c>
      <c r="K803" s="173">
        <v>43678.33</v>
      </c>
    </row>
    <row r="804" spans="1:22" ht="14.25" x14ac:dyDescent="0.2">
      <c r="A804" s="179"/>
      <c r="B804" s="178"/>
      <c r="C804" s="178" t="s">
        <v>188</v>
      </c>
      <c r="D804" s="177" t="s">
        <v>187</v>
      </c>
      <c r="E804" s="174">
        <v>175</v>
      </c>
      <c r="F804" s="176"/>
      <c r="G804" s="175"/>
      <c r="H804" s="174"/>
      <c r="I804" s="173">
        <v>8.31</v>
      </c>
      <c r="J804" s="174">
        <v>157</v>
      </c>
      <c r="K804" s="173">
        <v>174.13</v>
      </c>
    </row>
    <row r="805" spans="1:22" ht="14.25" x14ac:dyDescent="0.2">
      <c r="A805" s="172"/>
      <c r="B805" s="171"/>
      <c r="C805" s="171" t="s">
        <v>192</v>
      </c>
      <c r="D805" s="170" t="s">
        <v>191</v>
      </c>
      <c r="E805" s="167">
        <v>32.729999999999997</v>
      </c>
      <c r="F805" s="169"/>
      <c r="G805" s="168" t="s">
        <v>1548</v>
      </c>
      <c r="H805" s="167">
        <v>1</v>
      </c>
      <c r="I805" s="166">
        <v>433.69</v>
      </c>
      <c r="J805" s="167"/>
      <c r="K805" s="166"/>
    </row>
    <row r="806" spans="1:22" ht="15" x14ac:dyDescent="0.25">
      <c r="A806" s="164"/>
      <c r="B806" s="164"/>
      <c r="C806" s="165" t="s">
        <v>183</v>
      </c>
      <c r="D806" s="164"/>
      <c r="E806" s="164"/>
      <c r="F806" s="164"/>
      <c r="G806" s="164"/>
      <c r="H806" s="414">
        <v>24606.17</v>
      </c>
      <c r="I806" s="414"/>
      <c r="J806" s="414">
        <v>319540.86</v>
      </c>
      <c r="K806" s="414"/>
      <c r="O806" s="163">
        <f>I797+I798+I800+I802+I803+I804+SUM(I801:I801)</f>
        <v>24606.17</v>
      </c>
      <c r="P806" s="163">
        <f>K797+K798+K800+K802+K803+K804+SUM(K801:K801)</f>
        <v>319540.86</v>
      </c>
    </row>
    <row r="808" spans="1:22" ht="52.5" x14ac:dyDescent="0.2">
      <c r="A808" s="179" t="s">
        <v>1817</v>
      </c>
      <c r="B808" s="178" t="s">
        <v>253</v>
      </c>
      <c r="C808" s="178" t="s">
        <v>252</v>
      </c>
      <c r="D808" s="177" t="s">
        <v>1741</v>
      </c>
      <c r="E808" s="174">
        <v>11.5222</v>
      </c>
      <c r="F808" s="176"/>
      <c r="G808" s="175"/>
      <c r="H808" s="174"/>
      <c r="I808" s="173"/>
      <c r="J808" s="174"/>
      <c r="K808" s="173"/>
      <c r="Q808" s="160">
        <f>[2]Source!X782</f>
        <v>2232.4499999999998</v>
      </c>
      <c r="R808" s="160">
        <f>[2]Source!X783</f>
        <v>42604.45</v>
      </c>
      <c r="S808" s="160">
        <f>[2]Source!Y782</f>
        <v>1502.61</v>
      </c>
      <c r="T808" s="160">
        <f>[2]Source!Y783</f>
        <v>20550.38</v>
      </c>
      <c r="U808" s="160">
        <f>ROUND((175/100)*ROUND([2]Source!R782, 2), 2)</f>
        <v>72.59</v>
      </c>
      <c r="V808" s="160">
        <f>ROUND((157/100)*ROUND([2]Source!R783, 2), 2)</f>
        <v>1520.64</v>
      </c>
    </row>
    <row r="809" spans="1:22" x14ac:dyDescent="0.2">
      <c r="C809" s="181" t="s">
        <v>1815</v>
      </c>
    </row>
    <row r="810" spans="1:22" ht="14.25" x14ac:dyDescent="0.2">
      <c r="A810" s="179"/>
      <c r="B810" s="178"/>
      <c r="C810" s="178" t="s">
        <v>197</v>
      </c>
      <c r="D810" s="177"/>
      <c r="E810" s="174"/>
      <c r="F810" s="176">
        <v>4.5</v>
      </c>
      <c r="G810" s="175" t="s">
        <v>1799</v>
      </c>
      <c r="H810" s="174">
        <v>1</v>
      </c>
      <c r="I810" s="173">
        <v>2146.59</v>
      </c>
      <c r="J810" s="174">
        <v>23.35</v>
      </c>
      <c r="K810" s="173">
        <v>50122.879999999997</v>
      </c>
    </row>
    <row r="811" spans="1:22" ht="14.25" x14ac:dyDescent="0.2">
      <c r="A811" s="179"/>
      <c r="B811" s="178"/>
      <c r="C811" s="178" t="s">
        <v>184</v>
      </c>
      <c r="D811" s="177"/>
      <c r="E811" s="174"/>
      <c r="F811" s="176">
        <v>3.22</v>
      </c>
      <c r="G811" s="175" t="s">
        <v>1800</v>
      </c>
      <c r="H811" s="174">
        <v>1</v>
      </c>
      <c r="I811" s="173">
        <v>1669.57</v>
      </c>
      <c r="J811" s="174">
        <v>1.58</v>
      </c>
      <c r="K811" s="173">
        <v>2637.92</v>
      </c>
    </row>
    <row r="812" spans="1:22" ht="14.25" x14ac:dyDescent="0.2">
      <c r="A812" s="179"/>
      <c r="B812" s="178"/>
      <c r="C812" s="178" t="s">
        <v>189</v>
      </c>
      <c r="D812" s="177"/>
      <c r="E812" s="174"/>
      <c r="F812" s="176">
        <v>0.08</v>
      </c>
      <c r="G812" s="175" t="s">
        <v>1800</v>
      </c>
      <c r="H812" s="174">
        <v>1</v>
      </c>
      <c r="I812" s="180">
        <v>41.48</v>
      </c>
      <c r="J812" s="174">
        <v>23.35</v>
      </c>
      <c r="K812" s="180">
        <v>968.56</v>
      </c>
    </row>
    <row r="813" spans="1:22" ht="57" x14ac:dyDescent="0.2">
      <c r="A813" s="179" t="s">
        <v>1818</v>
      </c>
      <c r="B813" s="178" t="s">
        <v>251</v>
      </c>
      <c r="C813" s="178" t="s">
        <v>250</v>
      </c>
      <c r="D813" s="177" t="s">
        <v>1594</v>
      </c>
      <c r="E813" s="174">
        <v>211.54759200000001</v>
      </c>
      <c r="F813" s="176">
        <v>494.49</v>
      </c>
      <c r="G813" s="182" t="s">
        <v>249</v>
      </c>
      <c r="H813" s="174">
        <v>1</v>
      </c>
      <c r="I813" s="173">
        <v>104608.17</v>
      </c>
      <c r="J813" s="174">
        <v>6.62</v>
      </c>
      <c r="K813" s="173">
        <v>692506.09</v>
      </c>
      <c r="Q813" s="160">
        <f>[2]Source!X784</f>
        <v>0</v>
      </c>
      <c r="R813" s="160">
        <f>[2]Source!X785</f>
        <v>0</v>
      </c>
      <c r="S813" s="160">
        <f>[2]Source!Y784</f>
        <v>0</v>
      </c>
      <c r="T813" s="160">
        <f>[2]Source!Y785</f>
        <v>0</v>
      </c>
      <c r="U813" s="160">
        <f>ROUND((175/100)*ROUND([2]Source!R784, 2), 2)</f>
        <v>0</v>
      </c>
      <c r="V813" s="160">
        <f>ROUND((157/100)*ROUND([2]Source!R785, 2), 2)</f>
        <v>0</v>
      </c>
    </row>
    <row r="814" spans="1:22" ht="14.25" x14ac:dyDescent="0.2">
      <c r="A814" s="179"/>
      <c r="B814" s="178"/>
      <c r="C814" s="178" t="s">
        <v>194</v>
      </c>
      <c r="D814" s="177" t="s">
        <v>187</v>
      </c>
      <c r="E814" s="174">
        <v>104</v>
      </c>
      <c r="F814" s="176"/>
      <c r="G814" s="175"/>
      <c r="H814" s="174"/>
      <c r="I814" s="173">
        <v>2232.4499999999998</v>
      </c>
      <c r="J814" s="174">
        <v>85</v>
      </c>
      <c r="K814" s="173">
        <v>42604.45</v>
      </c>
    </row>
    <row r="815" spans="1:22" ht="14.25" x14ac:dyDescent="0.2">
      <c r="A815" s="179"/>
      <c r="B815" s="178"/>
      <c r="C815" s="178" t="s">
        <v>193</v>
      </c>
      <c r="D815" s="177" t="s">
        <v>187</v>
      </c>
      <c r="E815" s="174">
        <v>70</v>
      </c>
      <c r="F815" s="176"/>
      <c r="G815" s="175"/>
      <c r="H815" s="174"/>
      <c r="I815" s="173">
        <v>1502.61</v>
      </c>
      <c r="J815" s="174">
        <v>41</v>
      </c>
      <c r="K815" s="173">
        <v>20550.38</v>
      </c>
    </row>
    <row r="816" spans="1:22" ht="14.25" x14ac:dyDescent="0.2">
      <c r="A816" s="179"/>
      <c r="B816" s="178"/>
      <c r="C816" s="178" t="s">
        <v>188</v>
      </c>
      <c r="D816" s="177" t="s">
        <v>187</v>
      </c>
      <c r="E816" s="174">
        <v>175</v>
      </c>
      <c r="F816" s="176"/>
      <c r="G816" s="175"/>
      <c r="H816" s="174"/>
      <c r="I816" s="173">
        <v>72.59</v>
      </c>
      <c r="J816" s="174">
        <v>157</v>
      </c>
      <c r="K816" s="173">
        <v>1520.64</v>
      </c>
    </row>
    <row r="817" spans="1:22" ht="14.25" x14ac:dyDescent="0.2">
      <c r="A817" s="172"/>
      <c r="B817" s="171"/>
      <c r="C817" s="171" t="s">
        <v>192</v>
      </c>
      <c r="D817" s="170" t="s">
        <v>191</v>
      </c>
      <c r="E817" s="167">
        <v>0.44</v>
      </c>
      <c r="F817" s="169"/>
      <c r="G817" s="168" t="s">
        <v>1799</v>
      </c>
      <c r="H817" s="167">
        <v>1</v>
      </c>
      <c r="I817" s="166">
        <v>209.89</v>
      </c>
      <c r="J817" s="167"/>
      <c r="K817" s="166"/>
    </row>
    <row r="818" spans="1:22" ht="15" x14ac:dyDescent="0.25">
      <c r="A818" s="164"/>
      <c r="B818" s="164"/>
      <c r="C818" s="165" t="s">
        <v>183</v>
      </c>
      <c r="D818" s="164"/>
      <c r="E818" s="164"/>
      <c r="F818" s="164"/>
      <c r="G818" s="164"/>
      <c r="H818" s="414">
        <v>112231.98</v>
      </c>
      <c r="I818" s="414"/>
      <c r="J818" s="414">
        <v>809942.36</v>
      </c>
      <c r="K818" s="414"/>
      <c r="O818" s="163">
        <f>I810+I811+I814+I815+I816+SUM(I813:I813)</f>
        <v>112231.98</v>
      </c>
      <c r="P818" s="163">
        <f>K810+K811+K814+K815+K816+SUM(K813:K813)</f>
        <v>809942.36</v>
      </c>
    </row>
    <row r="820" spans="1:22" ht="52.5" x14ac:dyDescent="0.2">
      <c r="A820" s="179" t="s">
        <v>1819</v>
      </c>
      <c r="B820" s="178" t="s">
        <v>240</v>
      </c>
      <c r="C820" s="178" t="s">
        <v>239</v>
      </c>
      <c r="D820" s="177" t="s">
        <v>1540</v>
      </c>
      <c r="E820" s="174">
        <v>11.5222</v>
      </c>
      <c r="F820" s="176"/>
      <c r="G820" s="175"/>
      <c r="H820" s="174"/>
      <c r="I820" s="173"/>
      <c r="J820" s="174"/>
      <c r="K820" s="173"/>
      <c r="Q820" s="160">
        <f>[2]Source!X786</f>
        <v>530.96</v>
      </c>
      <c r="R820" s="160">
        <f>[2]Source!X787</f>
        <v>10132.94</v>
      </c>
      <c r="S820" s="160">
        <f>[2]Source!Y786</f>
        <v>357.38</v>
      </c>
      <c r="T820" s="160">
        <f>[2]Source!Y787</f>
        <v>4887.66</v>
      </c>
      <c r="U820" s="160">
        <f>ROUND((175/100)*ROUND([2]Source!R786, 2), 2)</f>
        <v>4.53</v>
      </c>
      <c r="V820" s="160">
        <f>ROUND((157/100)*ROUND([2]Source!R787, 2), 2)</f>
        <v>94.95</v>
      </c>
    </row>
    <row r="821" spans="1:22" x14ac:dyDescent="0.2">
      <c r="C821" s="181" t="s">
        <v>1815</v>
      </c>
    </row>
    <row r="822" spans="1:22" ht="14.25" x14ac:dyDescent="0.2">
      <c r="A822" s="179"/>
      <c r="B822" s="178"/>
      <c r="C822" s="178" t="s">
        <v>197</v>
      </c>
      <c r="D822" s="177"/>
      <c r="E822" s="174"/>
      <c r="F822" s="176">
        <v>38.53</v>
      </c>
      <c r="G822" s="175" t="s">
        <v>1548</v>
      </c>
      <c r="H822" s="174">
        <v>1</v>
      </c>
      <c r="I822" s="173">
        <v>510.54</v>
      </c>
      <c r="J822" s="174">
        <v>23.35</v>
      </c>
      <c r="K822" s="173">
        <v>11921.11</v>
      </c>
    </row>
    <row r="823" spans="1:22" ht="14.25" x14ac:dyDescent="0.2">
      <c r="A823" s="179"/>
      <c r="B823" s="178"/>
      <c r="C823" s="178" t="s">
        <v>184</v>
      </c>
      <c r="D823" s="177"/>
      <c r="E823" s="174"/>
      <c r="F823" s="176">
        <v>0.92</v>
      </c>
      <c r="G823" s="175" t="s">
        <v>1549</v>
      </c>
      <c r="H823" s="174">
        <v>1</v>
      </c>
      <c r="I823" s="173">
        <v>13.25</v>
      </c>
      <c r="J823" s="174">
        <v>8.8699999999999992</v>
      </c>
      <c r="K823" s="173">
        <v>117.53</v>
      </c>
    </row>
    <row r="824" spans="1:22" ht="14.25" x14ac:dyDescent="0.2">
      <c r="A824" s="179"/>
      <c r="B824" s="178"/>
      <c r="C824" s="178" t="s">
        <v>189</v>
      </c>
      <c r="D824" s="177"/>
      <c r="E824" s="174"/>
      <c r="F824" s="176">
        <v>0.18</v>
      </c>
      <c r="G824" s="175" t="s">
        <v>1549</v>
      </c>
      <c r="H824" s="174">
        <v>1</v>
      </c>
      <c r="I824" s="180">
        <v>2.59</v>
      </c>
      <c r="J824" s="174">
        <v>23.35</v>
      </c>
      <c r="K824" s="180">
        <v>60.48</v>
      </c>
    </row>
    <row r="825" spans="1:22" ht="14.25" x14ac:dyDescent="0.2">
      <c r="A825" s="179" t="s">
        <v>1820</v>
      </c>
      <c r="B825" s="178" t="s">
        <v>1777</v>
      </c>
      <c r="C825" s="178" t="s">
        <v>238</v>
      </c>
      <c r="D825" s="177" t="s">
        <v>1557</v>
      </c>
      <c r="E825" s="174">
        <v>1410.31728</v>
      </c>
      <c r="F825" s="176">
        <v>4.32</v>
      </c>
      <c r="G825" s="182" t="s">
        <v>195</v>
      </c>
      <c r="H825" s="174">
        <v>1</v>
      </c>
      <c r="I825" s="173">
        <v>6092.57</v>
      </c>
      <c r="J825" s="174">
        <v>3.53</v>
      </c>
      <c r="K825" s="173">
        <v>21506.77</v>
      </c>
      <c r="Q825" s="160">
        <f>[2]Source!X788</f>
        <v>0</v>
      </c>
      <c r="R825" s="160">
        <f>[2]Source!X789</f>
        <v>0</v>
      </c>
      <c r="S825" s="160">
        <f>[2]Source!Y788</f>
        <v>0</v>
      </c>
      <c r="T825" s="160">
        <f>[2]Source!Y789</f>
        <v>0</v>
      </c>
      <c r="U825" s="160">
        <f>ROUND((175/100)*ROUND([2]Source!R788, 2), 2)</f>
        <v>0</v>
      </c>
      <c r="V825" s="160">
        <f>ROUND((157/100)*ROUND([2]Source!R789, 2), 2)</f>
        <v>0</v>
      </c>
    </row>
    <row r="826" spans="1:22" ht="14.25" x14ac:dyDescent="0.2">
      <c r="A826" s="179"/>
      <c r="B826" s="178"/>
      <c r="C826" s="178" t="s">
        <v>194</v>
      </c>
      <c r="D826" s="177" t="s">
        <v>187</v>
      </c>
      <c r="E826" s="174">
        <v>104</v>
      </c>
      <c r="F826" s="176"/>
      <c r="G826" s="175"/>
      <c r="H826" s="174"/>
      <c r="I826" s="173">
        <v>530.96</v>
      </c>
      <c r="J826" s="174">
        <v>85</v>
      </c>
      <c r="K826" s="173">
        <v>10132.94</v>
      </c>
    </row>
    <row r="827" spans="1:22" ht="14.25" x14ac:dyDescent="0.2">
      <c r="A827" s="179"/>
      <c r="B827" s="178"/>
      <c r="C827" s="178" t="s">
        <v>193</v>
      </c>
      <c r="D827" s="177" t="s">
        <v>187</v>
      </c>
      <c r="E827" s="174">
        <v>70</v>
      </c>
      <c r="F827" s="176"/>
      <c r="G827" s="175"/>
      <c r="H827" s="174"/>
      <c r="I827" s="173">
        <v>357.38</v>
      </c>
      <c r="J827" s="174">
        <v>41</v>
      </c>
      <c r="K827" s="173">
        <v>4887.66</v>
      </c>
    </row>
    <row r="828" spans="1:22" ht="14.25" x14ac:dyDescent="0.2">
      <c r="A828" s="179"/>
      <c r="B828" s="178"/>
      <c r="C828" s="178" t="s">
        <v>188</v>
      </c>
      <c r="D828" s="177" t="s">
        <v>187</v>
      </c>
      <c r="E828" s="174">
        <v>175</v>
      </c>
      <c r="F828" s="176"/>
      <c r="G828" s="175"/>
      <c r="H828" s="174"/>
      <c r="I828" s="173">
        <v>4.53</v>
      </c>
      <c r="J828" s="174">
        <v>157</v>
      </c>
      <c r="K828" s="173">
        <v>94.95</v>
      </c>
    </row>
    <row r="829" spans="1:22" ht="14.25" x14ac:dyDescent="0.2">
      <c r="A829" s="172"/>
      <c r="B829" s="171"/>
      <c r="C829" s="171" t="s">
        <v>192</v>
      </c>
      <c r="D829" s="170" t="s">
        <v>191</v>
      </c>
      <c r="E829" s="167">
        <v>3.45</v>
      </c>
      <c r="F829" s="169"/>
      <c r="G829" s="168" t="s">
        <v>1548</v>
      </c>
      <c r="H829" s="167">
        <v>1</v>
      </c>
      <c r="I829" s="166">
        <v>45.71</v>
      </c>
      <c r="J829" s="167"/>
      <c r="K829" s="166"/>
    </row>
    <row r="830" spans="1:22" ht="15" x14ac:dyDescent="0.25">
      <c r="A830" s="164"/>
      <c r="B830" s="164"/>
      <c r="C830" s="165" t="s">
        <v>183</v>
      </c>
      <c r="D830" s="164"/>
      <c r="E830" s="164"/>
      <c r="F830" s="164"/>
      <c r="G830" s="164"/>
      <c r="H830" s="414">
        <v>7509.23</v>
      </c>
      <c r="I830" s="414"/>
      <c r="J830" s="414">
        <v>48660.959999999999</v>
      </c>
      <c r="K830" s="414"/>
      <c r="O830" s="163">
        <f>I822+I823+I826+I827+I828+SUM(I825:I825)</f>
        <v>7509.23</v>
      </c>
      <c r="P830" s="163">
        <f>K822+K823+K826+K827+K828+SUM(K825:K825)</f>
        <v>48660.959999999999</v>
      </c>
    </row>
    <row r="832" spans="1:22" ht="52.5" x14ac:dyDescent="0.2">
      <c r="A832" s="179" t="s">
        <v>1821</v>
      </c>
      <c r="B832" s="178" t="s">
        <v>237</v>
      </c>
      <c r="C832" s="178" t="s">
        <v>236</v>
      </c>
      <c r="D832" s="177" t="s">
        <v>1741</v>
      </c>
      <c r="E832" s="174">
        <v>11.5222</v>
      </c>
      <c r="F832" s="176"/>
      <c r="G832" s="175"/>
      <c r="H832" s="174"/>
      <c r="I832" s="173"/>
      <c r="J832" s="174"/>
      <c r="K832" s="173"/>
      <c r="Q832" s="160">
        <f>[2]Source!X790</f>
        <v>3346.89</v>
      </c>
      <c r="R832" s="160">
        <f>[2]Source!X791</f>
        <v>63872.43</v>
      </c>
      <c r="S832" s="160">
        <f>[2]Source!Y790</f>
        <v>2252.71</v>
      </c>
      <c r="T832" s="160">
        <f>[2]Source!Y791</f>
        <v>30809.06</v>
      </c>
      <c r="U832" s="160">
        <f>ROUND((175/100)*ROUND([2]Source!R790, 2), 2)</f>
        <v>7.81</v>
      </c>
      <c r="V832" s="160">
        <f>ROUND((157/100)*ROUND([2]Source!R791, 2), 2)</f>
        <v>163.5</v>
      </c>
    </row>
    <row r="833" spans="1:22" x14ac:dyDescent="0.2">
      <c r="C833" s="181" t="s">
        <v>1815</v>
      </c>
    </row>
    <row r="834" spans="1:22" ht="14.25" x14ac:dyDescent="0.2">
      <c r="A834" s="179"/>
      <c r="B834" s="178"/>
      <c r="C834" s="178" t="s">
        <v>197</v>
      </c>
      <c r="D834" s="177"/>
      <c r="E834" s="174"/>
      <c r="F834" s="176">
        <v>242.87</v>
      </c>
      <c r="G834" s="175" t="s">
        <v>1548</v>
      </c>
      <c r="H834" s="174">
        <v>1</v>
      </c>
      <c r="I834" s="173">
        <v>3218.16</v>
      </c>
      <c r="J834" s="174">
        <v>23.35</v>
      </c>
      <c r="K834" s="173">
        <v>75144.039999999994</v>
      </c>
    </row>
    <row r="835" spans="1:22" ht="14.25" x14ac:dyDescent="0.2">
      <c r="A835" s="179"/>
      <c r="B835" s="178"/>
      <c r="C835" s="178" t="s">
        <v>184</v>
      </c>
      <c r="D835" s="177"/>
      <c r="E835" s="174"/>
      <c r="F835" s="176">
        <v>12.59</v>
      </c>
      <c r="G835" s="175" t="s">
        <v>1549</v>
      </c>
      <c r="H835" s="174">
        <v>1</v>
      </c>
      <c r="I835" s="173">
        <v>181.33</v>
      </c>
      <c r="J835" s="174">
        <v>1.58</v>
      </c>
      <c r="K835" s="173">
        <v>286.5</v>
      </c>
    </row>
    <row r="836" spans="1:22" ht="14.25" x14ac:dyDescent="0.2">
      <c r="A836" s="179"/>
      <c r="B836" s="178"/>
      <c r="C836" s="178" t="s">
        <v>189</v>
      </c>
      <c r="D836" s="177"/>
      <c r="E836" s="174"/>
      <c r="F836" s="176">
        <v>0.31</v>
      </c>
      <c r="G836" s="175" t="s">
        <v>1549</v>
      </c>
      <c r="H836" s="174">
        <v>1</v>
      </c>
      <c r="I836" s="180">
        <v>4.46</v>
      </c>
      <c r="J836" s="174">
        <v>23.35</v>
      </c>
      <c r="K836" s="180">
        <v>104.14</v>
      </c>
    </row>
    <row r="837" spans="1:22" ht="14.25" x14ac:dyDescent="0.2">
      <c r="A837" s="179"/>
      <c r="B837" s="178"/>
      <c r="C837" s="178" t="s">
        <v>205</v>
      </c>
      <c r="D837" s="177"/>
      <c r="E837" s="174"/>
      <c r="F837" s="176">
        <v>24.75</v>
      </c>
      <c r="G837" s="175" t="s">
        <v>195</v>
      </c>
      <c r="H837" s="174">
        <v>1</v>
      </c>
      <c r="I837" s="173">
        <v>285.17</v>
      </c>
      <c r="J837" s="174">
        <v>4.7699999999999996</v>
      </c>
      <c r="K837" s="173">
        <v>1360.26</v>
      </c>
    </row>
    <row r="838" spans="1:22" ht="14.25" x14ac:dyDescent="0.2">
      <c r="A838" s="179" t="s">
        <v>1822</v>
      </c>
      <c r="B838" s="178" t="s">
        <v>1755</v>
      </c>
      <c r="C838" s="178" t="s">
        <v>232</v>
      </c>
      <c r="D838" s="177" t="s">
        <v>1594</v>
      </c>
      <c r="E838" s="174">
        <v>23.505288</v>
      </c>
      <c r="F838" s="176">
        <v>478.96</v>
      </c>
      <c r="G838" s="182" t="s">
        <v>195</v>
      </c>
      <c r="H838" s="174">
        <v>1</v>
      </c>
      <c r="I838" s="173">
        <v>11258.09</v>
      </c>
      <c r="J838" s="174">
        <v>6.89</v>
      </c>
      <c r="K838" s="173">
        <v>77568.240000000005</v>
      </c>
      <c r="Q838" s="160">
        <f>[2]Source!X792</f>
        <v>0</v>
      </c>
      <c r="R838" s="160">
        <f>[2]Source!X793</f>
        <v>0</v>
      </c>
      <c r="S838" s="160">
        <f>[2]Source!Y792</f>
        <v>0</v>
      </c>
      <c r="T838" s="160">
        <f>[2]Source!Y793</f>
        <v>0</v>
      </c>
      <c r="U838" s="160">
        <f>ROUND((175/100)*ROUND([2]Source!R792, 2), 2)</f>
        <v>0</v>
      </c>
      <c r="V838" s="160">
        <f>ROUND((157/100)*ROUND([2]Source!R793, 2), 2)</f>
        <v>0</v>
      </c>
    </row>
    <row r="839" spans="1:22" ht="14.25" x14ac:dyDescent="0.2">
      <c r="A839" s="179"/>
      <c r="B839" s="178"/>
      <c r="C839" s="178" t="s">
        <v>194</v>
      </c>
      <c r="D839" s="177" t="s">
        <v>187</v>
      </c>
      <c r="E839" s="174">
        <v>104</v>
      </c>
      <c r="F839" s="176"/>
      <c r="G839" s="175"/>
      <c r="H839" s="174"/>
      <c r="I839" s="173">
        <v>3346.89</v>
      </c>
      <c r="J839" s="174">
        <v>85</v>
      </c>
      <c r="K839" s="173">
        <v>63872.43</v>
      </c>
    </row>
    <row r="840" spans="1:22" ht="14.25" x14ac:dyDescent="0.2">
      <c r="A840" s="179"/>
      <c r="B840" s="178"/>
      <c r="C840" s="178" t="s">
        <v>193</v>
      </c>
      <c r="D840" s="177" t="s">
        <v>187</v>
      </c>
      <c r="E840" s="174">
        <v>70</v>
      </c>
      <c r="F840" s="176"/>
      <c r="G840" s="175"/>
      <c r="H840" s="174"/>
      <c r="I840" s="173">
        <v>2252.71</v>
      </c>
      <c r="J840" s="174">
        <v>41</v>
      </c>
      <c r="K840" s="173">
        <v>30809.06</v>
      </c>
    </row>
    <row r="841" spans="1:22" ht="14.25" x14ac:dyDescent="0.2">
      <c r="A841" s="179"/>
      <c r="B841" s="178"/>
      <c r="C841" s="178" t="s">
        <v>188</v>
      </c>
      <c r="D841" s="177" t="s">
        <v>187</v>
      </c>
      <c r="E841" s="174">
        <v>175</v>
      </c>
      <c r="F841" s="176"/>
      <c r="G841" s="175"/>
      <c r="H841" s="174"/>
      <c r="I841" s="173">
        <v>7.81</v>
      </c>
      <c r="J841" s="174">
        <v>157</v>
      </c>
      <c r="K841" s="173">
        <v>163.5</v>
      </c>
    </row>
    <row r="842" spans="1:22" ht="14.25" x14ac:dyDescent="0.2">
      <c r="A842" s="172"/>
      <c r="B842" s="171"/>
      <c r="C842" s="171" t="s">
        <v>192</v>
      </c>
      <c r="D842" s="170" t="s">
        <v>191</v>
      </c>
      <c r="E842" s="167">
        <v>23.33</v>
      </c>
      <c r="F842" s="169"/>
      <c r="G842" s="168" t="s">
        <v>1548</v>
      </c>
      <c r="H842" s="167">
        <v>1</v>
      </c>
      <c r="I842" s="166">
        <v>309.13</v>
      </c>
      <c r="J842" s="167"/>
      <c r="K842" s="166"/>
    </row>
    <row r="843" spans="1:22" ht="15" x14ac:dyDescent="0.25">
      <c r="A843" s="164"/>
      <c r="B843" s="164"/>
      <c r="C843" s="165" t="s">
        <v>183</v>
      </c>
      <c r="D843" s="164"/>
      <c r="E843" s="164"/>
      <c r="F843" s="164"/>
      <c r="G843" s="164"/>
      <c r="H843" s="414">
        <v>20550.16</v>
      </c>
      <c r="I843" s="414"/>
      <c r="J843" s="414">
        <v>249204.03</v>
      </c>
      <c r="K843" s="414"/>
      <c r="O843" s="163">
        <f>I834+I835+I837+I839+I840+I841+SUM(I838:I838)</f>
        <v>20550.16</v>
      </c>
      <c r="P843" s="163">
        <f>K834+K835+K837+K839+K840+K841+SUM(K838:K838)</f>
        <v>249204.03</v>
      </c>
    </row>
    <row r="845" spans="1:22" ht="52.5" x14ac:dyDescent="0.2">
      <c r="A845" s="179" t="s">
        <v>1823</v>
      </c>
      <c r="B845" s="178" t="s">
        <v>235</v>
      </c>
      <c r="C845" s="178" t="s">
        <v>234</v>
      </c>
      <c r="D845" s="177" t="s">
        <v>1741</v>
      </c>
      <c r="E845" s="174">
        <v>11.5222</v>
      </c>
      <c r="F845" s="176"/>
      <c r="G845" s="175"/>
      <c r="H845" s="174"/>
      <c r="I845" s="173"/>
      <c r="J845" s="174"/>
      <c r="K845" s="173"/>
      <c r="Q845" s="160">
        <f>[2]Source!X794</f>
        <v>372.07</v>
      </c>
      <c r="R845" s="160">
        <f>[2]Source!X795</f>
        <v>7100.65</v>
      </c>
      <c r="S845" s="160">
        <f>[2]Source!Y794</f>
        <v>250.43</v>
      </c>
      <c r="T845" s="160">
        <f>[2]Source!Y795</f>
        <v>3425.02</v>
      </c>
      <c r="U845" s="160">
        <f>ROUND((175/100)*ROUND([2]Source!R794, 2), 2)</f>
        <v>12.09</v>
      </c>
      <c r="V845" s="160">
        <f>ROUND((157/100)*ROUND([2]Source!R795, 2), 2)</f>
        <v>253.32</v>
      </c>
    </row>
    <row r="846" spans="1:22" x14ac:dyDescent="0.2">
      <c r="C846" s="181" t="s">
        <v>1815</v>
      </c>
    </row>
    <row r="847" spans="1:22" ht="14.25" x14ac:dyDescent="0.2">
      <c r="A847" s="179"/>
      <c r="B847" s="178"/>
      <c r="C847" s="178" t="s">
        <v>197</v>
      </c>
      <c r="D847" s="177"/>
      <c r="E847" s="174"/>
      <c r="F847" s="176">
        <v>4.5</v>
      </c>
      <c r="G847" s="175" t="s">
        <v>1781</v>
      </c>
      <c r="H847" s="174">
        <v>1</v>
      </c>
      <c r="I847" s="173">
        <v>357.76</v>
      </c>
      <c r="J847" s="174">
        <v>23.35</v>
      </c>
      <c r="K847" s="173">
        <v>8353.7000000000007</v>
      </c>
    </row>
    <row r="848" spans="1:22" ht="14.25" x14ac:dyDescent="0.2">
      <c r="A848" s="179"/>
      <c r="B848" s="178"/>
      <c r="C848" s="178" t="s">
        <v>184</v>
      </c>
      <c r="D848" s="177"/>
      <c r="E848" s="174"/>
      <c r="F848" s="176">
        <v>3.22</v>
      </c>
      <c r="G848" s="175" t="s">
        <v>1782</v>
      </c>
      <c r="H848" s="174">
        <v>1</v>
      </c>
      <c r="I848" s="173">
        <v>278.26</v>
      </c>
      <c r="J848" s="174">
        <v>1.58</v>
      </c>
      <c r="K848" s="173">
        <v>439.65</v>
      </c>
    </row>
    <row r="849" spans="1:22" ht="14.25" x14ac:dyDescent="0.2">
      <c r="A849" s="179"/>
      <c r="B849" s="178"/>
      <c r="C849" s="178" t="s">
        <v>189</v>
      </c>
      <c r="D849" s="177"/>
      <c r="E849" s="174"/>
      <c r="F849" s="176">
        <v>0.08</v>
      </c>
      <c r="G849" s="175" t="s">
        <v>1782</v>
      </c>
      <c r="H849" s="174">
        <v>1</v>
      </c>
      <c r="I849" s="180">
        <v>6.91</v>
      </c>
      <c r="J849" s="174">
        <v>23.35</v>
      </c>
      <c r="K849" s="180">
        <v>161.35</v>
      </c>
    </row>
    <row r="850" spans="1:22" ht="52.5" x14ac:dyDescent="0.2">
      <c r="A850" s="179" t="s">
        <v>1824</v>
      </c>
      <c r="B850" s="178" t="s">
        <v>233</v>
      </c>
      <c r="C850" s="178" t="s">
        <v>232</v>
      </c>
      <c r="D850" s="177" t="s">
        <v>1594</v>
      </c>
      <c r="E850" s="174">
        <v>35.257931999999997</v>
      </c>
      <c r="F850" s="176">
        <v>478.96</v>
      </c>
      <c r="G850" s="182" t="s">
        <v>248</v>
      </c>
      <c r="H850" s="174">
        <v>1</v>
      </c>
      <c r="I850" s="173">
        <v>16887.14</v>
      </c>
      <c r="J850" s="174">
        <v>6.89</v>
      </c>
      <c r="K850" s="173">
        <v>116352.39</v>
      </c>
      <c r="Q850" s="160">
        <f>[2]Source!X796</f>
        <v>0</v>
      </c>
      <c r="R850" s="160">
        <f>[2]Source!X797</f>
        <v>0</v>
      </c>
      <c r="S850" s="160">
        <f>[2]Source!Y796</f>
        <v>0</v>
      </c>
      <c r="T850" s="160">
        <f>[2]Source!Y797</f>
        <v>0</v>
      </c>
      <c r="U850" s="160">
        <f>ROUND((175/100)*ROUND([2]Source!R796, 2), 2)</f>
        <v>0</v>
      </c>
      <c r="V850" s="160">
        <f>ROUND((157/100)*ROUND([2]Source!R797, 2), 2)</f>
        <v>0</v>
      </c>
    </row>
    <row r="851" spans="1:22" ht="14.25" x14ac:dyDescent="0.2">
      <c r="A851" s="179"/>
      <c r="B851" s="178"/>
      <c r="C851" s="178" t="s">
        <v>194</v>
      </c>
      <c r="D851" s="177" t="s">
        <v>187</v>
      </c>
      <c r="E851" s="174">
        <v>104</v>
      </c>
      <c r="F851" s="176"/>
      <c r="G851" s="175"/>
      <c r="H851" s="174"/>
      <c r="I851" s="173">
        <v>372.07</v>
      </c>
      <c r="J851" s="174">
        <v>85</v>
      </c>
      <c r="K851" s="173">
        <v>7100.65</v>
      </c>
    </row>
    <row r="852" spans="1:22" ht="14.25" x14ac:dyDescent="0.2">
      <c r="A852" s="179"/>
      <c r="B852" s="178"/>
      <c r="C852" s="178" t="s">
        <v>193</v>
      </c>
      <c r="D852" s="177" t="s">
        <v>187</v>
      </c>
      <c r="E852" s="174">
        <v>70</v>
      </c>
      <c r="F852" s="176"/>
      <c r="G852" s="175"/>
      <c r="H852" s="174"/>
      <c r="I852" s="173">
        <v>250.43</v>
      </c>
      <c r="J852" s="174">
        <v>41</v>
      </c>
      <c r="K852" s="173">
        <v>3425.02</v>
      </c>
    </row>
    <row r="853" spans="1:22" ht="14.25" x14ac:dyDescent="0.2">
      <c r="A853" s="179"/>
      <c r="B853" s="178"/>
      <c r="C853" s="178" t="s">
        <v>188</v>
      </c>
      <c r="D853" s="177" t="s">
        <v>187</v>
      </c>
      <c r="E853" s="174">
        <v>175</v>
      </c>
      <c r="F853" s="176"/>
      <c r="G853" s="175"/>
      <c r="H853" s="174"/>
      <c r="I853" s="173">
        <v>12.09</v>
      </c>
      <c r="J853" s="174">
        <v>157</v>
      </c>
      <c r="K853" s="173">
        <v>253.32</v>
      </c>
    </row>
    <row r="854" spans="1:22" ht="14.25" x14ac:dyDescent="0.2">
      <c r="A854" s="172"/>
      <c r="B854" s="171"/>
      <c r="C854" s="171" t="s">
        <v>192</v>
      </c>
      <c r="D854" s="170" t="s">
        <v>191</v>
      </c>
      <c r="E854" s="167">
        <v>0.44</v>
      </c>
      <c r="F854" s="169"/>
      <c r="G854" s="168" t="s">
        <v>1781</v>
      </c>
      <c r="H854" s="167">
        <v>1</v>
      </c>
      <c r="I854" s="166">
        <v>34.979999999999997</v>
      </c>
      <c r="J854" s="167"/>
      <c r="K854" s="166"/>
    </row>
    <row r="855" spans="1:22" ht="15" x14ac:dyDescent="0.25">
      <c r="A855" s="164"/>
      <c r="B855" s="164"/>
      <c r="C855" s="165" t="s">
        <v>183</v>
      </c>
      <c r="D855" s="164"/>
      <c r="E855" s="164"/>
      <c r="F855" s="164"/>
      <c r="G855" s="164"/>
      <c r="H855" s="414">
        <v>18157.75</v>
      </c>
      <c r="I855" s="414"/>
      <c r="J855" s="414">
        <v>135924.73000000001</v>
      </c>
      <c r="K855" s="414"/>
      <c r="O855" s="163">
        <f>I847+I848+I851+I852+I853+SUM(I850:I850)</f>
        <v>18157.75</v>
      </c>
      <c r="P855" s="163">
        <f>K847+K848+K851+K852+K853+SUM(K850:K850)</f>
        <v>135924.73000000001</v>
      </c>
    </row>
    <row r="857" spans="1:22" ht="52.5" x14ac:dyDescent="0.2">
      <c r="A857" s="179" t="s">
        <v>1825</v>
      </c>
      <c r="B857" s="178" t="s">
        <v>230</v>
      </c>
      <c r="C857" s="178" t="s">
        <v>229</v>
      </c>
      <c r="D857" s="177" t="s">
        <v>1785</v>
      </c>
      <c r="E857" s="174">
        <v>3.3414380000000001</v>
      </c>
      <c r="F857" s="176"/>
      <c r="G857" s="175"/>
      <c r="H857" s="174"/>
      <c r="I857" s="173"/>
      <c r="J857" s="174"/>
      <c r="K857" s="173"/>
      <c r="Q857" s="160">
        <f>[2]Source!X798</f>
        <v>439.9</v>
      </c>
      <c r="R857" s="160">
        <f>[2]Source!X799</f>
        <v>8217.34</v>
      </c>
      <c r="S857" s="160">
        <f>[2]Source!Y798</f>
        <v>362.27</v>
      </c>
      <c r="T857" s="160">
        <f>[2]Source!Y799</f>
        <v>4954.58</v>
      </c>
      <c r="U857" s="160">
        <f>ROUND((175/100)*ROUND([2]Source!R798, 2), 2)</f>
        <v>40.86</v>
      </c>
      <c r="V857" s="160">
        <f>ROUND((157/100)*ROUND([2]Source!R799, 2), 2)</f>
        <v>856</v>
      </c>
    </row>
    <row r="858" spans="1:22" x14ac:dyDescent="0.2">
      <c r="C858" s="181" t="s">
        <v>1826</v>
      </c>
    </row>
    <row r="859" spans="1:22" ht="14.25" x14ac:dyDescent="0.2">
      <c r="A859" s="179"/>
      <c r="B859" s="178"/>
      <c r="C859" s="178" t="s">
        <v>197</v>
      </c>
      <c r="D859" s="177"/>
      <c r="E859" s="174"/>
      <c r="F859" s="176">
        <v>134.68</v>
      </c>
      <c r="G859" s="175" t="s">
        <v>1548</v>
      </c>
      <c r="H859" s="174">
        <v>1</v>
      </c>
      <c r="I859" s="173">
        <v>517.53</v>
      </c>
      <c r="J859" s="174">
        <v>23.35</v>
      </c>
      <c r="K859" s="173">
        <v>12084.33</v>
      </c>
    </row>
    <row r="860" spans="1:22" ht="14.25" x14ac:dyDescent="0.2">
      <c r="A860" s="179"/>
      <c r="B860" s="178"/>
      <c r="C860" s="178" t="s">
        <v>184</v>
      </c>
      <c r="D860" s="177"/>
      <c r="E860" s="174"/>
      <c r="F860" s="176">
        <v>44</v>
      </c>
      <c r="G860" s="175" t="s">
        <v>1549</v>
      </c>
      <c r="H860" s="174">
        <v>1</v>
      </c>
      <c r="I860" s="173">
        <v>183.78</v>
      </c>
      <c r="J860" s="174">
        <v>8.19</v>
      </c>
      <c r="K860" s="173">
        <v>1505.16</v>
      </c>
    </row>
    <row r="861" spans="1:22" ht="14.25" x14ac:dyDescent="0.2">
      <c r="A861" s="179"/>
      <c r="B861" s="178"/>
      <c r="C861" s="178" t="s">
        <v>189</v>
      </c>
      <c r="D861" s="177"/>
      <c r="E861" s="174"/>
      <c r="F861" s="176">
        <v>5.59</v>
      </c>
      <c r="G861" s="175" t="s">
        <v>1549</v>
      </c>
      <c r="H861" s="174">
        <v>1</v>
      </c>
      <c r="I861" s="180">
        <v>23.35</v>
      </c>
      <c r="J861" s="174">
        <v>23.35</v>
      </c>
      <c r="K861" s="180">
        <v>545.22</v>
      </c>
    </row>
    <row r="862" spans="1:22" ht="14.25" x14ac:dyDescent="0.2">
      <c r="A862" s="179"/>
      <c r="B862" s="178"/>
      <c r="C862" s="178" t="s">
        <v>205</v>
      </c>
      <c r="D862" s="177"/>
      <c r="E862" s="174"/>
      <c r="F862" s="176">
        <v>258.91000000000003</v>
      </c>
      <c r="G862" s="175" t="s">
        <v>195</v>
      </c>
      <c r="H862" s="174">
        <v>1</v>
      </c>
      <c r="I862" s="173">
        <v>865.13</v>
      </c>
      <c r="J862" s="174">
        <v>5.54</v>
      </c>
      <c r="K862" s="173">
        <v>4792.82</v>
      </c>
    </row>
    <row r="863" spans="1:22" ht="57" x14ac:dyDescent="0.2">
      <c r="A863" s="179" t="s">
        <v>1827</v>
      </c>
      <c r="B863" s="178" t="s">
        <v>1788</v>
      </c>
      <c r="C863" s="178" t="s">
        <v>228</v>
      </c>
      <c r="D863" s="177" t="s">
        <v>1533</v>
      </c>
      <c r="E863" s="174">
        <v>3.3414380000000001</v>
      </c>
      <c r="F863" s="176">
        <v>9733.52</v>
      </c>
      <c r="G863" s="182" t="s">
        <v>195</v>
      </c>
      <c r="H863" s="174">
        <v>1</v>
      </c>
      <c r="I863" s="173">
        <v>32523.95</v>
      </c>
      <c r="J863" s="174">
        <v>3.64</v>
      </c>
      <c r="K863" s="173">
        <v>118387.18</v>
      </c>
      <c r="Q863" s="160">
        <f>[2]Source!X800</f>
        <v>0</v>
      </c>
      <c r="R863" s="160">
        <f>[2]Source!X801</f>
        <v>0</v>
      </c>
      <c r="S863" s="160">
        <f>[2]Source!Y800</f>
        <v>0</v>
      </c>
      <c r="T863" s="160">
        <f>[2]Source!Y801</f>
        <v>0</v>
      </c>
      <c r="U863" s="160">
        <f>ROUND((175/100)*ROUND([2]Source!R800, 2), 2)</f>
        <v>0</v>
      </c>
      <c r="V863" s="160">
        <f>ROUND((157/100)*ROUND([2]Source!R801, 2), 2)</f>
        <v>0</v>
      </c>
    </row>
    <row r="864" spans="1:22" ht="14.25" x14ac:dyDescent="0.2">
      <c r="A864" s="179"/>
      <c r="B864" s="178"/>
      <c r="C864" s="178" t="s">
        <v>194</v>
      </c>
      <c r="D864" s="177" t="s">
        <v>187</v>
      </c>
      <c r="E864" s="174">
        <v>85</v>
      </c>
      <c r="F864" s="176"/>
      <c r="G864" s="175"/>
      <c r="H864" s="174"/>
      <c r="I864" s="173">
        <v>439.9</v>
      </c>
      <c r="J864" s="174">
        <v>68</v>
      </c>
      <c r="K864" s="173">
        <v>8217.34</v>
      </c>
    </row>
    <row r="865" spans="1:22" ht="14.25" x14ac:dyDescent="0.2">
      <c r="A865" s="179"/>
      <c r="B865" s="178"/>
      <c r="C865" s="178" t="s">
        <v>193</v>
      </c>
      <c r="D865" s="177" t="s">
        <v>187</v>
      </c>
      <c r="E865" s="174">
        <v>70</v>
      </c>
      <c r="F865" s="176"/>
      <c r="G865" s="175"/>
      <c r="H865" s="174"/>
      <c r="I865" s="173">
        <v>362.27</v>
      </c>
      <c r="J865" s="174">
        <v>41</v>
      </c>
      <c r="K865" s="173">
        <v>4954.58</v>
      </c>
    </row>
    <row r="866" spans="1:22" ht="14.25" x14ac:dyDescent="0.2">
      <c r="A866" s="179"/>
      <c r="B866" s="178"/>
      <c r="C866" s="178" t="s">
        <v>188</v>
      </c>
      <c r="D866" s="177" t="s">
        <v>187</v>
      </c>
      <c r="E866" s="174">
        <v>175</v>
      </c>
      <c r="F866" s="176"/>
      <c r="G866" s="175"/>
      <c r="H866" s="174"/>
      <c r="I866" s="173">
        <v>40.86</v>
      </c>
      <c r="J866" s="174">
        <v>157</v>
      </c>
      <c r="K866" s="173">
        <v>856</v>
      </c>
    </row>
    <row r="867" spans="1:22" ht="14.25" x14ac:dyDescent="0.2">
      <c r="A867" s="172"/>
      <c r="B867" s="171"/>
      <c r="C867" s="171" t="s">
        <v>192</v>
      </c>
      <c r="D867" s="170" t="s">
        <v>191</v>
      </c>
      <c r="E867" s="167">
        <v>11.6</v>
      </c>
      <c r="F867" s="169"/>
      <c r="G867" s="168" t="s">
        <v>1548</v>
      </c>
      <c r="H867" s="167">
        <v>1</v>
      </c>
      <c r="I867" s="166">
        <v>44.57</v>
      </c>
      <c r="J867" s="167"/>
      <c r="K867" s="166"/>
    </row>
    <row r="868" spans="1:22" ht="15" x14ac:dyDescent="0.25">
      <c r="A868" s="164"/>
      <c r="B868" s="164"/>
      <c r="C868" s="165" t="s">
        <v>183</v>
      </c>
      <c r="D868" s="164"/>
      <c r="E868" s="164"/>
      <c r="F868" s="164"/>
      <c r="G868" s="164"/>
      <c r="H868" s="414">
        <v>34933.42</v>
      </c>
      <c r="I868" s="414"/>
      <c r="J868" s="414">
        <v>150797.41</v>
      </c>
      <c r="K868" s="414"/>
      <c r="O868" s="163">
        <f>I859+I860+I862+I864+I865+I866+SUM(I863:I863)</f>
        <v>34933.42</v>
      </c>
      <c r="P868" s="163">
        <f>K859+K860+K862+K864+K865+K866+SUM(K863:K863)</f>
        <v>150797.41</v>
      </c>
    </row>
    <row r="870" spans="1:22" ht="52.5" x14ac:dyDescent="0.2">
      <c r="A870" s="179" t="s">
        <v>1828</v>
      </c>
      <c r="B870" s="178" t="s">
        <v>247</v>
      </c>
      <c r="C870" s="178" t="s">
        <v>246</v>
      </c>
      <c r="D870" s="177" t="s">
        <v>1540</v>
      </c>
      <c r="E870" s="174">
        <v>11.5222</v>
      </c>
      <c r="F870" s="176"/>
      <c r="G870" s="175"/>
      <c r="H870" s="174"/>
      <c r="I870" s="173"/>
      <c r="J870" s="174"/>
      <c r="K870" s="173"/>
      <c r="Q870" s="160">
        <f>[2]Source!X802</f>
        <v>8424.32</v>
      </c>
      <c r="R870" s="160">
        <f>[2]Source!X803</f>
        <v>160770.9</v>
      </c>
      <c r="S870" s="160">
        <f>[2]Source!Y802</f>
        <v>5670.22</v>
      </c>
      <c r="T870" s="160">
        <f>[2]Source!Y803</f>
        <v>77548.320000000007</v>
      </c>
      <c r="U870" s="160">
        <f>ROUND((175/100)*ROUND([2]Source!R802, 2), 2)</f>
        <v>312.04000000000002</v>
      </c>
      <c r="V870" s="160">
        <f>ROUND((157/100)*ROUND([2]Source!R803, 2), 2)</f>
        <v>6536.76</v>
      </c>
    </row>
    <row r="871" spans="1:22" x14ac:dyDescent="0.2">
      <c r="C871" s="181" t="s">
        <v>1815</v>
      </c>
    </row>
    <row r="872" spans="1:22" ht="14.25" x14ac:dyDescent="0.2">
      <c r="A872" s="179"/>
      <c r="B872" s="178"/>
      <c r="C872" s="178" t="s">
        <v>197</v>
      </c>
      <c r="D872" s="177"/>
      <c r="E872" s="174"/>
      <c r="F872" s="176">
        <v>611.32000000000005</v>
      </c>
      <c r="G872" s="175" t="s">
        <v>1548</v>
      </c>
      <c r="H872" s="174">
        <v>1</v>
      </c>
      <c r="I872" s="173">
        <v>8100.31</v>
      </c>
      <c r="J872" s="174">
        <v>23.35</v>
      </c>
      <c r="K872" s="173">
        <v>189142.24</v>
      </c>
    </row>
    <row r="873" spans="1:22" ht="14.25" x14ac:dyDescent="0.2">
      <c r="A873" s="179"/>
      <c r="B873" s="178"/>
      <c r="C873" s="178" t="s">
        <v>184</v>
      </c>
      <c r="D873" s="177"/>
      <c r="E873" s="174"/>
      <c r="F873" s="176">
        <v>95.56</v>
      </c>
      <c r="G873" s="175" t="s">
        <v>1549</v>
      </c>
      <c r="H873" s="174">
        <v>1</v>
      </c>
      <c r="I873" s="173">
        <v>1376.33</v>
      </c>
      <c r="J873" s="174">
        <v>7.34</v>
      </c>
      <c r="K873" s="173">
        <v>10102.26</v>
      </c>
    </row>
    <row r="874" spans="1:22" ht="14.25" x14ac:dyDescent="0.2">
      <c r="A874" s="179"/>
      <c r="B874" s="178"/>
      <c r="C874" s="178" t="s">
        <v>189</v>
      </c>
      <c r="D874" s="177"/>
      <c r="E874" s="174"/>
      <c r="F874" s="176">
        <v>12.38</v>
      </c>
      <c r="G874" s="175" t="s">
        <v>1549</v>
      </c>
      <c r="H874" s="174">
        <v>1</v>
      </c>
      <c r="I874" s="180">
        <v>178.31</v>
      </c>
      <c r="J874" s="174">
        <v>23.35</v>
      </c>
      <c r="K874" s="180">
        <v>4163.54</v>
      </c>
    </row>
    <row r="875" spans="1:22" ht="14.25" x14ac:dyDescent="0.2">
      <c r="A875" s="179"/>
      <c r="B875" s="178"/>
      <c r="C875" s="178" t="s">
        <v>205</v>
      </c>
      <c r="D875" s="177"/>
      <c r="E875" s="174"/>
      <c r="F875" s="176">
        <v>766.29</v>
      </c>
      <c r="G875" s="175" t="s">
        <v>195</v>
      </c>
      <c r="H875" s="174">
        <v>1</v>
      </c>
      <c r="I875" s="173">
        <v>8829.35</v>
      </c>
      <c r="J875" s="174">
        <v>3.22</v>
      </c>
      <c r="K875" s="173">
        <v>28430.51</v>
      </c>
    </row>
    <row r="876" spans="1:22" ht="57" x14ac:dyDescent="0.2">
      <c r="A876" s="179" t="s">
        <v>1829</v>
      </c>
      <c r="B876" s="178" t="s">
        <v>1830</v>
      </c>
      <c r="C876" s="178" t="s">
        <v>245</v>
      </c>
      <c r="D876" s="177" t="s">
        <v>1584</v>
      </c>
      <c r="E876" s="174">
        <v>415.37531000000001</v>
      </c>
      <c r="F876" s="176">
        <v>21.97</v>
      </c>
      <c r="G876" s="182" t="s">
        <v>195</v>
      </c>
      <c r="H876" s="174">
        <v>1</v>
      </c>
      <c r="I876" s="173">
        <v>9125.7999999999993</v>
      </c>
      <c r="J876" s="174">
        <v>5.55</v>
      </c>
      <c r="K876" s="173">
        <v>50648.19</v>
      </c>
      <c r="Q876" s="160">
        <f>[2]Source!X804</f>
        <v>0</v>
      </c>
      <c r="R876" s="160">
        <f>[2]Source!X805</f>
        <v>0</v>
      </c>
      <c r="S876" s="160">
        <f>[2]Source!Y804</f>
        <v>0</v>
      </c>
      <c r="T876" s="160">
        <f>[2]Source!Y805</f>
        <v>0</v>
      </c>
      <c r="U876" s="160">
        <f>ROUND((175/100)*ROUND([2]Source!R804, 2), 2)</f>
        <v>0</v>
      </c>
      <c r="V876" s="160">
        <f>ROUND((157/100)*ROUND([2]Source!R805, 2), 2)</f>
        <v>0</v>
      </c>
    </row>
    <row r="877" spans="1:22" ht="57" x14ac:dyDescent="0.2">
      <c r="A877" s="179" t="s">
        <v>1831</v>
      </c>
      <c r="B877" s="178" t="s">
        <v>1832</v>
      </c>
      <c r="C877" s="178" t="s">
        <v>244</v>
      </c>
      <c r="D877" s="177" t="s">
        <v>1557</v>
      </c>
      <c r="E877" s="174">
        <v>1232.8753999999999</v>
      </c>
      <c r="F877" s="176">
        <v>324.74</v>
      </c>
      <c r="G877" s="182" t="s">
        <v>195</v>
      </c>
      <c r="H877" s="174">
        <v>1</v>
      </c>
      <c r="I877" s="173">
        <v>400363.96</v>
      </c>
      <c r="J877" s="174">
        <v>1.78</v>
      </c>
      <c r="K877" s="173">
        <v>712647.85</v>
      </c>
      <c r="Q877" s="160">
        <f>[2]Source!X806</f>
        <v>0</v>
      </c>
      <c r="R877" s="160">
        <f>[2]Source!X807</f>
        <v>0</v>
      </c>
      <c r="S877" s="160">
        <f>[2]Source!Y806</f>
        <v>0</v>
      </c>
      <c r="T877" s="160">
        <f>[2]Source!Y807</f>
        <v>0</v>
      </c>
      <c r="U877" s="160">
        <f>ROUND((175/100)*ROUND([2]Source!R806, 2), 2)</f>
        <v>0</v>
      </c>
      <c r="V877" s="160">
        <f>ROUND((157/100)*ROUND([2]Source!R807, 2), 2)</f>
        <v>0</v>
      </c>
    </row>
    <row r="878" spans="1:22" ht="14.25" x14ac:dyDescent="0.2">
      <c r="A878" s="179"/>
      <c r="B878" s="178"/>
      <c r="C878" s="178" t="s">
        <v>194</v>
      </c>
      <c r="D878" s="177" t="s">
        <v>187</v>
      </c>
      <c r="E878" s="174">
        <v>104</v>
      </c>
      <c r="F878" s="176"/>
      <c r="G878" s="175"/>
      <c r="H878" s="174"/>
      <c r="I878" s="173">
        <v>8424.32</v>
      </c>
      <c r="J878" s="174">
        <v>85</v>
      </c>
      <c r="K878" s="173">
        <v>160770.9</v>
      </c>
    </row>
    <row r="879" spans="1:22" ht="14.25" x14ac:dyDescent="0.2">
      <c r="A879" s="179"/>
      <c r="B879" s="178"/>
      <c r="C879" s="178" t="s">
        <v>193</v>
      </c>
      <c r="D879" s="177" t="s">
        <v>187</v>
      </c>
      <c r="E879" s="174">
        <v>70</v>
      </c>
      <c r="F879" s="176"/>
      <c r="G879" s="175"/>
      <c r="H879" s="174"/>
      <c r="I879" s="173">
        <v>5670.22</v>
      </c>
      <c r="J879" s="174">
        <v>41</v>
      </c>
      <c r="K879" s="173">
        <v>77548.320000000007</v>
      </c>
    </row>
    <row r="880" spans="1:22" ht="14.25" x14ac:dyDescent="0.2">
      <c r="A880" s="179"/>
      <c r="B880" s="178"/>
      <c r="C880" s="178" t="s">
        <v>188</v>
      </c>
      <c r="D880" s="177" t="s">
        <v>187</v>
      </c>
      <c r="E880" s="174">
        <v>175</v>
      </c>
      <c r="F880" s="176"/>
      <c r="G880" s="175"/>
      <c r="H880" s="174"/>
      <c r="I880" s="173">
        <v>312.04000000000002</v>
      </c>
      <c r="J880" s="174">
        <v>157</v>
      </c>
      <c r="K880" s="173">
        <v>6536.76</v>
      </c>
    </row>
    <row r="881" spans="1:22" ht="14.25" x14ac:dyDescent="0.2">
      <c r="A881" s="172"/>
      <c r="B881" s="171"/>
      <c r="C881" s="171" t="s">
        <v>192</v>
      </c>
      <c r="D881" s="170" t="s">
        <v>191</v>
      </c>
      <c r="E881" s="167">
        <v>52.21</v>
      </c>
      <c r="F881" s="169"/>
      <c r="G881" s="168" t="s">
        <v>1548</v>
      </c>
      <c r="H881" s="167">
        <v>1</v>
      </c>
      <c r="I881" s="166">
        <v>691.81</v>
      </c>
      <c r="J881" s="167"/>
      <c r="K881" s="166"/>
    </row>
    <row r="882" spans="1:22" ht="15" x14ac:dyDescent="0.25">
      <c r="A882" s="164"/>
      <c r="B882" s="164"/>
      <c r="C882" s="165" t="s">
        <v>183</v>
      </c>
      <c r="D882" s="164"/>
      <c r="E882" s="164"/>
      <c r="F882" s="164"/>
      <c r="G882" s="164"/>
      <c r="H882" s="414">
        <v>442202.33</v>
      </c>
      <c r="I882" s="414"/>
      <c r="J882" s="414">
        <v>1235827.03</v>
      </c>
      <c r="K882" s="414"/>
      <c r="O882" s="163">
        <f>I872+I873+I875+I878+I879+I880+SUM(I876:I877)</f>
        <v>442202.33</v>
      </c>
      <c r="P882" s="163">
        <f>K872+K873+K875+K878+K879+K880+SUM(K876:K877)</f>
        <v>1235827.03</v>
      </c>
    </row>
    <row r="885" spans="1:22" ht="15" x14ac:dyDescent="0.25">
      <c r="A885" s="417" t="s">
        <v>1833</v>
      </c>
      <c r="B885" s="417"/>
      <c r="C885" s="417"/>
      <c r="D885" s="417"/>
      <c r="E885" s="417"/>
      <c r="F885" s="417"/>
      <c r="G885" s="417"/>
      <c r="H885" s="415">
        <v>660191.04</v>
      </c>
      <c r="I885" s="416"/>
      <c r="J885" s="415">
        <v>2949897.38</v>
      </c>
      <c r="K885" s="416"/>
    </row>
    <row r="886" spans="1:22" hidden="1" x14ac:dyDescent="0.2">
      <c r="A886" s="160" t="s">
        <v>182</v>
      </c>
      <c r="I886" s="160">
        <v>0</v>
      </c>
      <c r="J886" s="160">
        <v>0</v>
      </c>
    </row>
    <row r="887" spans="1:22" hidden="1" x14ac:dyDescent="0.2">
      <c r="A887" s="160" t="s">
        <v>181</v>
      </c>
      <c r="I887" s="160">
        <v>0</v>
      </c>
      <c r="J887" s="160">
        <v>0</v>
      </c>
    </row>
    <row r="889" spans="1:22" ht="16.5" x14ac:dyDescent="0.25">
      <c r="A889" s="413" t="s">
        <v>1834</v>
      </c>
      <c r="B889" s="413"/>
      <c r="C889" s="413"/>
      <c r="D889" s="413"/>
      <c r="E889" s="413"/>
      <c r="F889" s="413"/>
      <c r="G889" s="413"/>
      <c r="H889" s="413"/>
      <c r="I889" s="413"/>
      <c r="J889" s="413"/>
      <c r="K889" s="413"/>
    </row>
    <row r="890" spans="1:22" ht="52.5" x14ac:dyDescent="0.2">
      <c r="A890" s="179" t="s">
        <v>1835</v>
      </c>
      <c r="B890" s="178" t="s">
        <v>255</v>
      </c>
      <c r="C890" s="178" t="s">
        <v>254</v>
      </c>
      <c r="D890" s="177" t="s">
        <v>1741</v>
      </c>
      <c r="E890" s="174">
        <v>0.99009999999999998</v>
      </c>
      <c r="F890" s="176"/>
      <c r="G890" s="175"/>
      <c r="H890" s="174"/>
      <c r="I890" s="173"/>
      <c r="J890" s="174"/>
      <c r="K890" s="173"/>
      <c r="Q890" s="160">
        <f>[2]Source!X859</f>
        <v>407.73</v>
      </c>
      <c r="R890" s="160">
        <f>[2]Source!X860</f>
        <v>7781.21</v>
      </c>
      <c r="S890" s="160">
        <f>[2]Source!Y859</f>
        <v>274.44</v>
      </c>
      <c r="T890" s="160">
        <f>[2]Source!Y860</f>
        <v>3753.29</v>
      </c>
      <c r="U890" s="160">
        <f>ROUND((175/100)*ROUND([2]Source!R859, 2), 2)</f>
        <v>0.72</v>
      </c>
      <c r="V890" s="160">
        <f>ROUND((157/100)*ROUND([2]Source!R860, 2), 2)</f>
        <v>15.02</v>
      </c>
    </row>
    <row r="891" spans="1:22" x14ac:dyDescent="0.2">
      <c r="C891" s="181" t="s">
        <v>1836</v>
      </c>
    </row>
    <row r="892" spans="1:22" ht="14.25" x14ac:dyDescent="0.2">
      <c r="A892" s="179"/>
      <c r="B892" s="178"/>
      <c r="C892" s="178" t="s">
        <v>197</v>
      </c>
      <c r="D892" s="177"/>
      <c r="E892" s="174"/>
      <c r="F892" s="176">
        <v>344.32</v>
      </c>
      <c r="G892" s="175" t="s">
        <v>1548</v>
      </c>
      <c r="H892" s="174">
        <v>1</v>
      </c>
      <c r="I892" s="173">
        <v>392.05</v>
      </c>
      <c r="J892" s="174">
        <v>23.35</v>
      </c>
      <c r="K892" s="173">
        <v>9154.3700000000008</v>
      </c>
    </row>
    <row r="893" spans="1:22" ht="14.25" x14ac:dyDescent="0.2">
      <c r="A893" s="179"/>
      <c r="B893" s="178"/>
      <c r="C893" s="178" t="s">
        <v>184</v>
      </c>
      <c r="D893" s="177"/>
      <c r="E893" s="174"/>
      <c r="F893" s="176">
        <v>13.09</v>
      </c>
      <c r="G893" s="175" t="s">
        <v>1549</v>
      </c>
      <c r="H893" s="174">
        <v>1</v>
      </c>
      <c r="I893" s="173">
        <v>16.2</v>
      </c>
      <c r="J893" s="174">
        <v>1.58</v>
      </c>
      <c r="K893" s="173">
        <v>25.6</v>
      </c>
    </row>
    <row r="894" spans="1:22" ht="14.25" x14ac:dyDescent="0.2">
      <c r="A894" s="179"/>
      <c r="B894" s="178"/>
      <c r="C894" s="178" t="s">
        <v>189</v>
      </c>
      <c r="D894" s="177"/>
      <c r="E894" s="174"/>
      <c r="F894" s="176">
        <v>0.33</v>
      </c>
      <c r="G894" s="175" t="s">
        <v>1549</v>
      </c>
      <c r="H894" s="174">
        <v>1</v>
      </c>
      <c r="I894" s="180">
        <v>0.41</v>
      </c>
      <c r="J894" s="174">
        <v>23.35</v>
      </c>
      <c r="K894" s="180">
        <v>9.57</v>
      </c>
    </row>
    <row r="895" spans="1:22" ht="14.25" x14ac:dyDescent="0.2">
      <c r="A895" s="179"/>
      <c r="B895" s="178"/>
      <c r="C895" s="178" t="s">
        <v>205</v>
      </c>
      <c r="D895" s="177"/>
      <c r="E895" s="174"/>
      <c r="F895" s="176">
        <v>24.75</v>
      </c>
      <c r="G895" s="175" t="s">
        <v>195</v>
      </c>
      <c r="H895" s="174">
        <v>1</v>
      </c>
      <c r="I895" s="173">
        <v>24.5</v>
      </c>
      <c r="J895" s="174">
        <v>4.7699999999999996</v>
      </c>
      <c r="K895" s="173">
        <v>116.87</v>
      </c>
    </row>
    <row r="896" spans="1:22" ht="57" x14ac:dyDescent="0.2">
      <c r="A896" s="179" t="s">
        <v>1837</v>
      </c>
      <c r="B896" s="178" t="s">
        <v>1743</v>
      </c>
      <c r="C896" s="178" t="s">
        <v>250</v>
      </c>
      <c r="D896" s="177" t="s">
        <v>1594</v>
      </c>
      <c r="E896" s="174">
        <v>2.0198040000000002</v>
      </c>
      <c r="F896" s="176">
        <v>494.49</v>
      </c>
      <c r="G896" s="182" t="s">
        <v>195</v>
      </c>
      <c r="H896" s="174">
        <v>1</v>
      </c>
      <c r="I896" s="173">
        <v>998.77</v>
      </c>
      <c r="J896" s="174">
        <v>6.62</v>
      </c>
      <c r="K896" s="173">
        <v>6611.86</v>
      </c>
      <c r="Q896" s="160">
        <f>[2]Source!X861</f>
        <v>0</v>
      </c>
      <c r="R896" s="160">
        <f>[2]Source!X862</f>
        <v>0</v>
      </c>
      <c r="S896" s="160">
        <f>[2]Source!Y861</f>
        <v>0</v>
      </c>
      <c r="T896" s="160">
        <f>[2]Source!Y862</f>
        <v>0</v>
      </c>
      <c r="U896" s="160">
        <f>ROUND((175/100)*ROUND([2]Source!R861, 2), 2)</f>
        <v>0</v>
      </c>
      <c r="V896" s="160">
        <f>ROUND((157/100)*ROUND([2]Source!R862, 2), 2)</f>
        <v>0</v>
      </c>
    </row>
    <row r="897" spans="1:22" ht="14.25" x14ac:dyDescent="0.2">
      <c r="A897" s="179"/>
      <c r="B897" s="178"/>
      <c r="C897" s="178" t="s">
        <v>194</v>
      </c>
      <c r="D897" s="177" t="s">
        <v>187</v>
      </c>
      <c r="E897" s="174">
        <v>104</v>
      </c>
      <c r="F897" s="176"/>
      <c r="G897" s="175"/>
      <c r="H897" s="174"/>
      <c r="I897" s="173">
        <v>407.73</v>
      </c>
      <c r="J897" s="174">
        <v>85</v>
      </c>
      <c r="K897" s="173">
        <v>7781.21</v>
      </c>
    </row>
    <row r="898" spans="1:22" ht="14.25" x14ac:dyDescent="0.2">
      <c r="A898" s="179"/>
      <c r="B898" s="178"/>
      <c r="C898" s="178" t="s">
        <v>193</v>
      </c>
      <c r="D898" s="177" t="s">
        <v>187</v>
      </c>
      <c r="E898" s="174">
        <v>70</v>
      </c>
      <c r="F898" s="176"/>
      <c r="G898" s="175"/>
      <c r="H898" s="174"/>
      <c r="I898" s="173">
        <v>274.44</v>
      </c>
      <c r="J898" s="174">
        <v>41</v>
      </c>
      <c r="K898" s="173">
        <v>3753.29</v>
      </c>
    </row>
    <row r="899" spans="1:22" ht="14.25" x14ac:dyDescent="0.2">
      <c r="A899" s="179"/>
      <c r="B899" s="178"/>
      <c r="C899" s="178" t="s">
        <v>188</v>
      </c>
      <c r="D899" s="177" t="s">
        <v>187</v>
      </c>
      <c r="E899" s="174">
        <v>175</v>
      </c>
      <c r="F899" s="176"/>
      <c r="G899" s="175"/>
      <c r="H899" s="174"/>
      <c r="I899" s="173">
        <v>0.72</v>
      </c>
      <c r="J899" s="174">
        <v>157</v>
      </c>
      <c r="K899" s="173">
        <v>15.02</v>
      </c>
    </row>
    <row r="900" spans="1:22" ht="14.25" x14ac:dyDescent="0.2">
      <c r="A900" s="172"/>
      <c r="B900" s="171"/>
      <c r="C900" s="171" t="s">
        <v>192</v>
      </c>
      <c r="D900" s="170" t="s">
        <v>191</v>
      </c>
      <c r="E900" s="167">
        <v>32.729999999999997</v>
      </c>
      <c r="F900" s="169"/>
      <c r="G900" s="168" t="s">
        <v>1548</v>
      </c>
      <c r="H900" s="167">
        <v>1</v>
      </c>
      <c r="I900" s="166">
        <v>37.270000000000003</v>
      </c>
      <c r="J900" s="167"/>
      <c r="K900" s="166"/>
    </row>
    <row r="901" spans="1:22" ht="15" x14ac:dyDescent="0.25">
      <c r="A901" s="164"/>
      <c r="B901" s="164"/>
      <c r="C901" s="165" t="s">
        <v>183</v>
      </c>
      <c r="D901" s="164"/>
      <c r="E901" s="164"/>
      <c r="F901" s="164"/>
      <c r="G901" s="164"/>
      <c r="H901" s="414">
        <v>2114.41</v>
      </c>
      <c r="I901" s="414"/>
      <c r="J901" s="414">
        <v>27458.22</v>
      </c>
      <c r="K901" s="414"/>
      <c r="O901" s="163">
        <f>I892+I893+I895+I897+I898+I899+SUM(I896:I896)</f>
        <v>2114.41</v>
      </c>
      <c r="P901" s="163">
        <f>K892+K893+K895+K897+K898+K899+SUM(K896:K896)</f>
        <v>27458.22</v>
      </c>
    </row>
    <row r="903" spans="1:22" ht="52.5" x14ac:dyDescent="0.2">
      <c r="A903" s="179" t="s">
        <v>1838</v>
      </c>
      <c r="B903" s="178" t="s">
        <v>253</v>
      </c>
      <c r="C903" s="178" t="s">
        <v>252</v>
      </c>
      <c r="D903" s="177" t="s">
        <v>1741</v>
      </c>
      <c r="E903" s="174">
        <v>0.99009999999999998</v>
      </c>
      <c r="F903" s="176"/>
      <c r="G903" s="175"/>
      <c r="H903" s="174"/>
      <c r="I903" s="173"/>
      <c r="J903" s="174"/>
      <c r="K903" s="173"/>
      <c r="Q903" s="160">
        <f>[2]Source!X863</f>
        <v>191.84</v>
      </c>
      <c r="R903" s="160">
        <f>[2]Source!X864</f>
        <v>3661.07</v>
      </c>
      <c r="S903" s="160">
        <f>[2]Source!Y863</f>
        <v>129.12</v>
      </c>
      <c r="T903" s="160">
        <f>[2]Source!Y864</f>
        <v>1765.93</v>
      </c>
      <c r="U903" s="160">
        <f>ROUND((175/100)*ROUND([2]Source!R863, 2), 2)</f>
        <v>6.23</v>
      </c>
      <c r="V903" s="160">
        <f>ROUND((157/100)*ROUND([2]Source!R864, 2), 2)</f>
        <v>130.51</v>
      </c>
    </row>
    <row r="904" spans="1:22" x14ac:dyDescent="0.2">
      <c r="C904" s="181" t="s">
        <v>1836</v>
      </c>
    </row>
    <row r="905" spans="1:22" ht="14.25" x14ac:dyDescent="0.2">
      <c r="A905" s="179"/>
      <c r="B905" s="178"/>
      <c r="C905" s="178" t="s">
        <v>197</v>
      </c>
      <c r="D905" s="177"/>
      <c r="E905" s="174"/>
      <c r="F905" s="176">
        <v>4.5</v>
      </c>
      <c r="G905" s="175" t="s">
        <v>1799</v>
      </c>
      <c r="H905" s="174">
        <v>1</v>
      </c>
      <c r="I905" s="173">
        <v>184.46</v>
      </c>
      <c r="J905" s="174">
        <v>23.35</v>
      </c>
      <c r="K905" s="173">
        <v>4307.1400000000003</v>
      </c>
    </row>
    <row r="906" spans="1:22" ht="14.25" x14ac:dyDescent="0.2">
      <c r="A906" s="179"/>
      <c r="B906" s="178"/>
      <c r="C906" s="178" t="s">
        <v>184</v>
      </c>
      <c r="D906" s="177"/>
      <c r="E906" s="174"/>
      <c r="F906" s="176">
        <v>3.22</v>
      </c>
      <c r="G906" s="175" t="s">
        <v>1800</v>
      </c>
      <c r="H906" s="174">
        <v>1</v>
      </c>
      <c r="I906" s="173">
        <v>143.47</v>
      </c>
      <c r="J906" s="174">
        <v>1.58</v>
      </c>
      <c r="K906" s="173">
        <v>226.68</v>
      </c>
    </row>
    <row r="907" spans="1:22" ht="14.25" x14ac:dyDescent="0.2">
      <c r="A907" s="179"/>
      <c r="B907" s="178"/>
      <c r="C907" s="178" t="s">
        <v>189</v>
      </c>
      <c r="D907" s="177"/>
      <c r="E907" s="174"/>
      <c r="F907" s="176">
        <v>0.08</v>
      </c>
      <c r="G907" s="175" t="s">
        <v>1800</v>
      </c>
      <c r="H907" s="174">
        <v>1</v>
      </c>
      <c r="I907" s="180">
        <v>3.56</v>
      </c>
      <c r="J907" s="174">
        <v>23.35</v>
      </c>
      <c r="K907" s="180">
        <v>83.13</v>
      </c>
    </row>
    <row r="908" spans="1:22" ht="57" x14ac:dyDescent="0.2">
      <c r="A908" s="179" t="s">
        <v>1839</v>
      </c>
      <c r="B908" s="178" t="s">
        <v>251</v>
      </c>
      <c r="C908" s="178" t="s">
        <v>250</v>
      </c>
      <c r="D908" s="177" t="s">
        <v>1594</v>
      </c>
      <c r="E908" s="174">
        <v>18.178235999999998</v>
      </c>
      <c r="F908" s="176">
        <v>494.49</v>
      </c>
      <c r="G908" s="182" t="s">
        <v>249</v>
      </c>
      <c r="H908" s="174">
        <v>1</v>
      </c>
      <c r="I908" s="173">
        <v>8988.9599999999991</v>
      </c>
      <c r="J908" s="174">
        <v>6.62</v>
      </c>
      <c r="K908" s="173">
        <v>59506.92</v>
      </c>
      <c r="Q908" s="160">
        <f>[2]Source!X865</f>
        <v>0</v>
      </c>
      <c r="R908" s="160">
        <f>[2]Source!X866</f>
        <v>0</v>
      </c>
      <c r="S908" s="160">
        <f>[2]Source!Y865</f>
        <v>0</v>
      </c>
      <c r="T908" s="160">
        <f>[2]Source!Y866</f>
        <v>0</v>
      </c>
      <c r="U908" s="160">
        <f>ROUND((175/100)*ROUND([2]Source!R865, 2), 2)</f>
        <v>0</v>
      </c>
      <c r="V908" s="160">
        <f>ROUND((157/100)*ROUND([2]Source!R866, 2), 2)</f>
        <v>0</v>
      </c>
    </row>
    <row r="909" spans="1:22" ht="14.25" x14ac:dyDescent="0.2">
      <c r="A909" s="179"/>
      <c r="B909" s="178"/>
      <c r="C909" s="178" t="s">
        <v>194</v>
      </c>
      <c r="D909" s="177" t="s">
        <v>187</v>
      </c>
      <c r="E909" s="174">
        <v>104</v>
      </c>
      <c r="F909" s="176"/>
      <c r="G909" s="175"/>
      <c r="H909" s="174"/>
      <c r="I909" s="173">
        <v>191.84</v>
      </c>
      <c r="J909" s="174">
        <v>85</v>
      </c>
      <c r="K909" s="173">
        <v>3661.07</v>
      </c>
    </row>
    <row r="910" spans="1:22" ht="14.25" x14ac:dyDescent="0.2">
      <c r="A910" s="179"/>
      <c r="B910" s="178"/>
      <c r="C910" s="178" t="s">
        <v>193</v>
      </c>
      <c r="D910" s="177" t="s">
        <v>187</v>
      </c>
      <c r="E910" s="174">
        <v>70</v>
      </c>
      <c r="F910" s="176"/>
      <c r="G910" s="175"/>
      <c r="H910" s="174"/>
      <c r="I910" s="173">
        <v>129.12</v>
      </c>
      <c r="J910" s="174">
        <v>41</v>
      </c>
      <c r="K910" s="173">
        <v>1765.93</v>
      </c>
    </row>
    <row r="911" spans="1:22" ht="14.25" x14ac:dyDescent="0.2">
      <c r="A911" s="179"/>
      <c r="B911" s="178"/>
      <c r="C911" s="178" t="s">
        <v>188</v>
      </c>
      <c r="D911" s="177" t="s">
        <v>187</v>
      </c>
      <c r="E911" s="174">
        <v>175</v>
      </c>
      <c r="F911" s="176"/>
      <c r="G911" s="175"/>
      <c r="H911" s="174"/>
      <c r="I911" s="173">
        <v>6.23</v>
      </c>
      <c r="J911" s="174">
        <v>157</v>
      </c>
      <c r="K911" s="173">
        <v>130.51</v>
      </c>
    </row>
    <row r="912" spans="1:22" ht="14.25" x14ac:dyDescent="0.2">
      <c r="A912" s="172"/>
      <c r="B912" s="171"/>
      <c r="C912" s="171" t="s">
        <v>192</v>
      </c>
      <c r="D912" s="170" t="s">
        <v>191</v>
      </c>
      <c r="E912" s="167">
        <v>0.44</v>
      </c>
      <c r="F912" s="169"/>
      <c r="G912" s="168" t="s">
        <v>1799</v>
      </c>
      <c r="H912" s="167">
        <v>1</v>
      </c>
      <c r="I912" s="166">
        <v>18.04</v>
      </c>
      <c r="J912" s="167"/>
      <c r="K912" s="166"/>
    </row>
    <row r="913" spans="1:22" ht="15" x14ac:dyDescent="0.25">
      <c r="A913" s="164"/>
      <c r="B913" s="164"/>
      <c r="C913" s="165" t="s">
        <v>183</v>
      </c>
      <c r="D913" s="164"/>
      <c r="E913" s="164"/>
      <c r="F913" s="164"/>
      <c r="G913" s="164"/>
      <c r="H913" s="414">
        <v>9644.08</v>
      </c>
      <c r="I913" s="414"/>
      <c r="J913" s="414">
        <v>69598.25</v>
      </c>
      <c r="K913" s="414"/>
      <c r="O913" s="163">
        <f>I905+I906+I909+I910+I911+SUM(I908:I908)</f>
        <v>9644.08</v>
      </c>
      <c r="P913" s="163">
        <f>K905+K906+K909+K910+K911+SUM(K908:K908)</f>
        <v>69598.25</v>
      </c>
    </row>
    <row r="915" spans="1:22" ht="52.5" x14ac:dyDescent="0.2">
      <c r="A915" s="179" t="s">
        <v>1840</v>
      </c>
      <c r="B915" s="178" t="s">
        <v>240</v>
      </c>
      <c r="C915" s="178" t="s">
        <v>239</v>
      </c>
      <c r="D915" s="177" t="s">
        <v>1540</v>
      </c>
      <c r="E915" s="174">
        <v>0.99009999999999998</v>
      </c>
      <c r="F915" s="176"/>
      <c r="G915" s="175"/>
      <c r="H915" s="174"/>
      <c r="I915" s="173"/>
      <c r="J915" s="174"/>
      <c r="K915" s="173"/>
      <c r="Q915" s="160">
        <f>[2]Source!X867</f>
        <v>45.62</v>
      </c>
      <c r="R915" s="160">
        <f>[2]Source!X868</f>
        <v>870.71</v>
      </c>
      <c r="S915" s="160">
        <f>[2]Source!Y867</f>
        <v>30.71</v>
      </c>
      <c r="T915" s="160">
        <f>[2]Source!Y868</f>
        <v>419.99</v>
      </c>
      <c r="U915" s="160">
        <f>ROUND((175/100)*ROUND([2]Source!R867, 2), 2)</f>
        <v>0.39</v>
      </c>
      <c r="V915" s="160">
        <f>ROUND((157/100)*ROUND([2]Source!R868, 2), 2)</f>
        <v>8.07</v>
      </c>
    </row>
    <row r="916" spans="1:22" x14ac:dyDescent="0.2">
      <c r="C916" s="181" t="s">
        <v>1836</v>
      </c>
    </row>
    <row r="917" spans="1:22" ht="14.25" x14ac:dyDescent="0.2">
      <c r="A917" s="179"/>
      <c r="B917" s="178"/>
      <c r="C917" s="178" t="s">
        <v>197</v>
      </c>
      <c r="D917" s="177"/>
      <c r="E917" s="174"/>
      <c r="F917" s="176">
        <v>38.53</v>
      </c>
      <c r="G917" s="175" t="s">
        <v>1548</v>
      </c>
      <c r="H917" s="174">
        <v>1</v>
      </c>
      <c r="I917" s="173">
        <v>43.87</v>
      </c>
      <c r="J917" s="174">
        <v>23.35</v>
      </c>
      <c r="K917" s="173">
        <v>1024.3599999999999</v>
      </c>
    </row>
    <row r="918" spans="1:22" ht="14.25" x14ac:dyDescent="0.2">
      <c r="A918" s="179"/>
      <c r="B918" s="178"/>
      <c r="C918" s="178" t="s">
        <v>184</v>
      </c>
      <c r="D918" s="177"/>
      <c r="E918" s="174"/>
      <c r="F918" s="176">
        <v>0.92</v>
      </c>
      <c r="G918" s="175" t="s">
        <v>1549</v>
      </c>
      <c r="H918" s="174">
        <v>1</v>
      </c>
      <c r="I918" s="173">
        <v>1.1399999999999999</v>
      </c>
      <c r="J918" s="174">
        <v>8.8699999999999992</v>
      </c>
      <c r="K918" s="173">
        <v>10.11</v>
      </c>
    </row>
    <row r="919" spans="1:22" ht="14.25" x14ac:dyDescent="0.2">
      <c r="A919" s="179"/>
      <c r="B919" s="178"/>
      <c r="C919" s="178" t="s">
        <v>189</v>
      </c>
      <c r="D919" s="177"/>
      <c r="E919" s="174"/>
      <c r="F919" s="176">
        <v>0.18</v>
      </c>
      <c r="G919" s="175" t="s">
        <v>1549</v>
      </c>
      <c r="H919" s="174">
        <v>1</v>
      </c>
      <c r="I919" s="180">
        <v>0.22</v>
      </c>
      <c r="J919" s="174">
        <v>23.35</v>
      </c>
      <c r="K919" s="180">
        <v>5.14</v>
      </c>
    </row>
    <row r="920" spans="1:22" ht="14.25" x14ac:dyDescent="0.2">
      <c r="A920" s="179" t="s">
        <v>1841</v>
      </c>
      <c r="B920" s="178" t="s">
        <v>1777</v>
      </c>
      <c r="C920" s="178" t="s">
        <v>238</v>
      </c>
      <c r="D920" s="177" t="s">
        <v>1557</v>
      </c>
      <c r="E920" s="174">
        <v>121.18823999999999</v>
      </c>
      <c r="F920" s="176">
        <v>4.32</v>
      </c>
      <c r="G920" s="182" t="s">
        <v>195</v>
      </c>
      <c r="H920" s="174">
        <v>1</v>
      </c>
      <c r="I920" s="173">
        <v>523.53</v>
      </c>
      <c r="J920" s="174">
        <v>3.53</v>
      </c>
      <c r="K920" s="173">
        <v>1848.06</v>
      </c>
      <c r="Q920" s="160">
        <f>[2]Source!X869</f>
        <v>0</v>
      </c>
      <c r="R920" s="160">
        <f>[2]Source!X870</f>
        <v>0</v>
      </c>
      <c r="S920" s="160">
        <f>[2]Source!Y869</f>
        <v>0</v>
      </c>
      <c r="T920" s="160">
        <f>[2]Source!Y870</f>
        <v>0</v>
      </c>
      <c r="U920" s="160">
        <f>ROUND((175/100)*ROUND([2]Source!R869, 2), 2)</f>
        <v>0</v>
      </c>
      <c r="V920" s="160">
        <f>ROUND((157/100)*ROUND([2]Source!R870, 2), 2)</f>
        <v>0</v>
      </c>
    </row>
    <row r="921" spans="1:22" ht="14.25" x14ac:dyDescent="0.2">
      <c r="A921" s="179"/>
      <c r="B921" s="178"/>
      <c r="C921" s="178" t="s">
        <v>194</v>
      </c>
      <c r="D921" s="177" t="s">
        <v>187</v>
      </c>
      <c r="E921" s="174">
        <v>104</v>
      </c>
      <c r="F921" s="176"/>
      <c r="G921" s="175"/>
      <c r="H921" s="174"/>
      <c r="I921" s="173">
        <v>45.62</v>
      </c>
      <c r="J921" s="174">
        <v>85</v>
      </c>
      <c r="K921" s="173">
        <v>870.71</v>
      </c>
    </row>
    <row r="922" spans="1:22" ht="14.25" x14ac:dyDescent="0.2">
      <c r="A922" s="179"/>
      <c r="B922" s="178"/>
      <c r="C922" s="178" t="s">
        <v>193</v>
      </c>
      <c r="D922" s="177" t="s">
        <v>187</v>
      </c>
      <c r="E922" s="174">
        <v>70</v>
      </c>
      <c r="F922" s="176"/>
      <c r="G922" s="175"/>
      <c r="H922" s="174"/>
      <c r="I922" s="173">
        <v>30.71</v>
      </c>
      <c r="J922" s="174">
        <v>41</v>
      </c>
      <c r="K922" s="173">
        <v>419.99</v>
      </c>
    </row>
    <row r="923" spans="1:22" ht="14.25" x14ac:dyDescent="0.2">
      <c r="A923" s="179"/>
      <c r="B923" s="178"/>
      <c r="C923" s="178" t="s">
        <v>188</v>
      </c>
      <c r="D923" s="177" t="s">
        <v>187</v>
      </c>
      <c r="E923" s="174">
        <v>175</v>
      </c>
      <c r="F923" s="176"/>
      <c r="G923" s="175"/>
      <c r="H923" s="174"/>
      <c r="I923" s="173">
        <v>0.39</v>
      </c>
      <c r="J923" s="174">
        <v>157</v>
      </c>
      <c r="K923" s="173">
        <v>8.07</v>
      </c>
    </row>
    <row r="924" spans="1:22" ht="14.25" x14ac:dyDescent="0.2">
      <c r="A924" s="172"/>
      <c r="B924" s="171"/>
      <c r="C924" s="171" t="s">
        <v>192</v>
      </c>
      <c r="D924" s="170" t="s">
        <v>191</v>
      </c>
      <c r="E924" s="167">
        <v>3.45</v>
      </c>
      <c r="F924" s="169"/>
      <c r="G924" s="168" t="s">
        <v>1548</v>
      </c>
      <c r="H924" s="167">
        <v>1</v>
      </c>
      <c r="I924" s="166">
        <v>3.93</v>
      </c>
      <c r="J924" s="167"/>
      <c r="K924" s="166"/>
    </row>
    <row r="925" spans="1:22" ht="15" x14ac:dyDescent="0.25">
      <c r="A925" s="164"/>
      <c r="B925" s="164"/>
      <c r="C925" s="165" t="s">
        <v>183</v>
      </c>
      <c r="D925" s="164"/>
      <c r="E925" s="164"/>
      <c r="F925" s="164"/>
      <c r="G925" s="164"/>
      <c r="H925" s="414">
        <v>645.26</v>
      </c>
      <c r="I925" s="414"/>
      <c r="J925" s="414">
        <v>4181.3</v>
      </c>
      <c r="K925" s="414"/>
      <c r="O925" s="163">
        <f>I917+I918+I921+I922+I923+SUM(I920:I920)</f>
        <v>645.26</v>
      </c>
      <c r="P925" s="163">
        <f>K917+K918+K921+K922+K923+SUM(K920:K920)</f>
        <v>4181.3</v>
      </c>
    </row>
    <row r="927" spans="1:22" ht="52.5" x14ac:dyDescent="0.2">
      <c r="A927" s="179" t="s">
        <v>1842</v>
      </c>
      <c r="B927" s="178" t="s">
        <v>237</v>
      </c>
      <c r="C927" s="178" t="s">
        <v>236</v>
      </c>
      <c r="D927" s="177" t="s">
        <v>1741</v>
      </c>
      <c r="E927" s="174">
        <v>0.99009999999999998</v>
      </c>
      <c r="F927" s="176"/>
      <c r="G927" s="175"/>
      <c r="H927" s="174"/>
      <c r="I927" s="173"/>
      <c r="J927" s="174"/>
      <c r="K927" s="173"/>
      <c r="Q927" s="160">
        <f>[2]Source!X871</f>
        <v>287.60000000000002</v>
      </c>
      <c r="R927" s="160">
        <f>[2]Source!X872</f>
        <v>5488.63</v>
      </c>
      <c r="S927" s="160">
        <f>[2]Source!Y871</f>
        <v>193.58</v>
      </c>
      <c r="T927" s="160">
        <f>[2]Source!Y872</f>
        <v>2647.46</v>
      </c>
      <c r="U927" s="160">
        <f>ROUND((175/100)*ROUND([2]Source!R871, 2), 2)</f>
        <v>0.67</v>
      </c>
      <c r="V927" s="160">
        <f>ROUND((157/100)*ROUND([2]Source!R872, 2), 2)</f>
        <v>13.93</v>
      </c>
    </row>
    <row r="928" spans="1:22" x14ac:dyDescent="0.2">
      <c r="C928" s="181" t="s">
        <v>1836</v>
      </c>
    </row>
    <row r="929" spans="1:22" ht="14.25" x14ac:dyDescent="0.2">
      <c r="A929" s="179"/>
      <c r="B929" s="178"/>
      <c r="C929" s="178" t="s">
        <v>197</v>
      </c>
      <c r="D929" s="177"/>
      <c r="E929" s="174"/>
      <c r="F929" s="176">
        <v>242.87</v>
      </c>
      <c r="G929" s="175" t="s">
        <v>1548</v>
      </c>
      <c r="H929" s="174">
        <v>1</v>
      </c>
      <c r="I929" s="173">
        <v>276.54000000000002</v>
      </c>
      <c r="J929" s="174">
        <v>23.35</v>
      </c>
      <c r="K929" s="173">
        <v>6457.21</v>
      </c>
    </row>
    <row r="930" spans="1:22" ht="14.25" x14ac:dyDescent="0.2">
      <c r="A930" s="179"/>
      <c r="B930" s="178"/>
      <c r="C930" s="178" t="s">
        <v>184</v>
      </c>
      <c r="D930" s="177"/>
      <c r="E930" s="174"/>
      <c r="F930" s="176">
        <v>12.59</v>
      </c>
      <c r="G930" s="175" t="s">
        <v>1549</v>
      </c>
      <c r="H930" s="174">
        <v>1</v>
      </c>
      <c r="I930" s="173">
        <v>15.58</v>
      </c>
      <c r="J930" s="174">
        <v>1.58</v>
      </c>
      <c r="K930" s="173">
        <v>24.62</v>
      </c>
    </row>
    <row r="931" spans="1:22" ht="14.25" x14ac:dyDescent="0.2">
      <c r="A931" s="179"/>
      <c r="B931" s="178"/>
      <c r="C931" s="178" t="s">
        <v>189</v>
      </c>
      <c r="D931" s="177"/>
      <c r="E931" s="174"/>
      <c r="F931" s="176">
        <v>0.31</v>
      </c>
      <c r="G931" s="175" t="s">
        <v>1549</v>
      </c>
      <c r="H931" s="174">
        <v>1</v>
      </c>
      <c r="I931" s="180">
        <v>0.38</v>
      </c>
      <c r="J931" s="174">
        <v>23.35</v>
      </c>
      <c r="K931" s="180">
        <v>8.8699999999999992</v>
      </c>
    </row>
    <row r="932" spans="1:22" ht="14.25" x14ac:dyDescent="0.2">
      <c r="A932" s="179"/>
      <c r="B932" s="178"/>
      <c r="C932" s="178" t="s">
        <v>205</v>
      </c>
      <c r="D932" s="177"/>
      <c r="E932" s="174"/>
      <c r="F932" s="176">
        <v>24.75</v>
      </c>
      <c r="G932" s="175" t="s">
        <v>195</v>
      </c>
      <c r="H932" s="174">
        <v>1</v>
      </c>
      <c r="I932" s="173">
        <v>24.5</v>
      </c>
      <c r="J932" s="174">
        <v>4.7699999999999996</v>
      </c>
      <c r="K932" s="173">
        <v>116.87</v>
      </c>
    </row>
    <row r="933" spans="1:22" ht="14.25" x14ac:dyDescent="0.2">
      <c r="A933" s="179" t="s">
        <v>1843</v>
      </c>
      <c r="B933" s="178" t="s">
        <v>1755</v>
      </c>
      <c r="C933" s="178" t="s">
        <v>232</v>
      </c>
      <c r="D933" s="177" t="s">
        <v>1594</v>
      </c>
      <c r="E933" s="174">
        <v>2.0198040000000002</v>
      </c>
      <c r="F933" s="176">
        <v>478.96</v>
      </c>
      <c r="G933" s="182" t="s">
        <v>195</v>
      </c>
      <c r="H933" s="174">
        <v>1</v>
      </c>
      <c r="I933" s="173">
        <v>967.41</v>
      </c>
      <c r="J933" s="174">
        <v>6.89</v>
      </c>
      <c r="K933" s="173">
        <v>6665.45</v>
      </c>
      <c r="Q933" s="160">
        <f>[2]Source!X873</f>
        <v>0</v>
      </c>
      <c r="R933" s="160">
        <f>[2]Source!X874</f>
        <v>0</v>
      </c>
      <c r="S933" s="160">
        <f>[2]Source!Y873</f>
        <v>0</v>
      </c>
      <c r="T933" s="160">
        <f>[2]Source!Y874</f>
        <v>0</v>
      </c>
      <c r="U933" s="160">
        <f>ROUND((175/100)*ROUND([2]Source!R873, 2), 2)</f>
        <v>0</v>
      </c>
      <c r="V933" s="160">
        <f>ROUND((157/100)*ROUND([2]Source!R874, 2), 2)</f>
        <v>0</v>
      </c>
    </row>
    <row r="934" spans="1:22" ht="14.25" x14ac:dyDescent="0.2">
      <c r="A934" s="179"/>
      <c r="B934" s="178"/>
      <c r="C934" s="178" t="s">
        <v>194</v>
      </c>
      <c r="D934" s="177" t="s">
        <v>187</v>
      </c>
      <c r="E934" s="174">
        <v>104</v>
      </c>
      <c r="F934" s="176"/>
      <c r="G934" s="175"/>
      <c r="H934" s="174"/>
      <c r="I934" s="173">
        <v>287.60000000000002</v>
      </c>
      <c r="J934" s="174">
        <v>85</v>
      </c>
      <c r="K934" s="173">
        <v>5488.63</v>
      </c>
    </row>
    <row r="935" spans="1:22" ht="14.25" x14ac:dyDescent="0.2">
      <c r="A935" s="179"/>
      <c r="B935" s="178"/>
      <c r="C935" s="178" t="s">
        <v>193</v>
      </c>
      <c r="D935" s="177" t="s">
        <v>187</v>
      </c>
      <c r="E935" s="174">
        <v>70</v>
      </c>
      <c r="F935" s="176"/>
      <c r="G935" s="175"/>
      <c r="H935" s="174"/>
      <c r="I935" s="173">
        <v>193.58</v>
      </c>
      <c r="J935" s="174">
        <v>41</v>
      </c>
      <c r="K935" s="173">
        <v>2647.46</v>
      </c>
    </row>
    <row r="936" spans="1:22" ht="14.25" x14ac:dyDescent="0.2">
      <c r="A936" s="179"/>
      <c r="B936" s="178"/>
      <c r="C936" s="178" t="s">
        <v>188</v>
      </c>
      <c r="D936" s="177" t="s">
        <v>187</v>
      </c>
      <c r="E936" s="174">
        <v>175</v>
      </c>
      <c r="F936" s="176"/>
      <c r="G936" s="175"/>
      <c r="H936" s="174"/>
      <c r="I936" s="173">
        <v>0.67</v>
      </c>
      <c r="J936" s="174">
        <v>157</v>
      </c>
      <c r="K936" s="173">
        <v>13.93</v>
      </c>
    </row>
    <row r="937" spans="1:22" ht="14.25" x14ac:dyDescent="0.2">
      <c r="A937" s="172"/>
      <c r="B937" s="171"/>
      <c r="C937" s="171" t="s">
        <v>192</v>
      </c>
      <c r="D937" s="170" t="s">
        <v>191</v>
      </c>
      <c r="E937" s="167">
        <v>23.33</v>
      </c>
      <c r="F937" s="169"/>
      <c r="G937" s="168" t="s">
        <v>1548</v>
      </c>
      <c r="H937" s="167">
        <v>1</v>
      </c>
      <c r="I937" s="166">
        <v>26.56</v>
      </c>
      <c r="J937" s="167"/>
      <c r="K937" s="166"/>
    </row>
    <row r="938" spans="1:22" ht="15" x14ac:dyDescent="0.25">
      <c r="A938" s="164"/>
      <c r="B938" s="164"/>
      <c r="C938" s="165" t="s">
        <v>183</v>
      </c>
      <c r="D938" s="164"/>
      <c r="E938" s="164"/>
      <c r="F938" s="164"/>
      <c r="G938" s="164"/>
      <c r="H938" s="414">
        <v>1765.88</v>
      </c>
      <c r="I938" s="414"/>
      <c r="J938" s="414">
        <v>21414.17</v>
      </c>
      <c r="K938" s="414"/>
      <c r="O938" s="163">
        <f>I929+I930+I932+I934+I935+I936+SUM(I933:I933)</f>
        <v>1765.88</v>
      </c>
      <c r="P938" s="163">
        <f>K929+K930+K932+K934+K935+K936+SUM(K933:K933)</f>
        <v>21414.17</v>
      </c>
    </row>
    <row r="940" spans="1:22" ht="52.5" x14ac:dyDescent="0.2">
      <c r="A940" s="179" t="s">
        <v>1844</v>
      </c>
      <c r="B940" s="178" t="s">
        <v>235</v>
      </c>
      <c r="C940" s="178" t="s">
        <v>234</v>
      </c>
      <c r="D940" s="177" t="s">
        <v>1741</v>
      </c>
      <c r="E940" s="174">
        <v>0.99009999999999998</v>
      </c>
      <c r="F940" s="176"/>
      <c r="G940" s="175"/>
      <c r="H940" s="174"/>
      <c r="I940" s="173"/>
      <c r="J940" s="174"/>
      <c r="K940" s="173"/>
      <c r="Q940" s="160">
        <f>[2]Source!X875</f>
        <v>31.97</v>
      </c>
      <c r="R940" s="160">
        <f>[2]Source!X876</f>
        <v>610.11</v>
      </c>
      <c r="S940" s="160">
        <f>[2]Source!Y875</f>
        <v>21.52</v>
      </c>
      <c r="T940" s="160">
        <f>[2]Source!Y876</f>
        <v>294.29000000000002</v>
      </c>
      <c r="U940" s="160">
        <f>ROUND((175/100)*ROUND([2]Source!R875, 2), 2)</f>
        <v>1.03</v>
      </c>
      <c r="V940" s="160">
        <f>ROUND((157/100)*ROUND([2]Source!R876, 2), 2)</f>
        <v>21.63</v>
      </c>
    </row>
    <row r="941" spans="1:22" x14ac:dyDescent="0.2">
      <c r="C941" s="181" t="s">
        <v>1836</v>
      </c>
    </row>
    <row r="942" spans="1:22" ht="14.25" x14ac:dyDescent="0.2">
      <c r="A942" s="179"/>
      <c r="B942" s="178"/>
      <c r="C942" s="178" t="s">
        <v>197</v>
      </c>
      <c r="D942" s="177"/>
      <c r="E942" s="174"/>
      <c r="F942" s="176">
        <v>4.5</v>
      </c>
      <c r="G942" s="175" t="s">
        <v>1781</v>
      </c>
      <c r="H942" s="174">
        <v>1</v>
      </c>
      <c r="I942" s="173">
        <v>30.74</v>
      </c>
      <c r="J942" s="174">
        <v>23.35</v>
      </c>
      <c r="K942" s="173">
        <v>717.78</v>
      </c>
    </row>
    <row r="943" spans="1:22" ht="14.25" x14ac:dyDescent="0.2">
      <c r="A943" s="179"/>
      <c r="B943" s="178"/>
      <c r="C943" s="178" t="s">
        <v>184</v>
      </c>
      <c r="D943" s="177"/>
      <c r="E943" s="174"/>
      <c r="F943" s="176">
        <v>3.22</v>
      </c>
      <c r="G943" s="175" t="s">
        <v>1782</v>
      </c>
      <c r="H943" s="174">
        <v>1</v>
      </c>
      <c r="I943" s="173">
        <v>23.91</v>
      </c>
      <c r="J943" s="174">
        <v>1.58</v>
      </c>
      <c r="K943" s="173">
        <v>37.78</v>
      </c>
    </row>
    <row r="944" spans="1:22" ht="14.25" x14ac:dyDescent="0.2">
      <c r="A944" s="179"/>
      <c r="B944" s="178"/>
      <c r="C944" s="178" t="s">
        <v>189</v>
      </c>
      <c r="D944" s="177"/>
      <c r="E944" s="174"/>
      <c r="F944" s="176">
        <v>0.08</v>
      </c>
      <c r="G944" s="175" t="s">
        <v>1782</v>
      </c>
      <c r="H944" s="174">
        <v>1</v>
      </c>
      <c r="I944" s="180">
        <v>0.59</v>
      </c>
      <c r="J944" s="174">
        <v>23.35</v>
      </c>
      <c r="K944" s="180">
        <v>13.78</v>
      </c>
    </row>
    <row r="945" spans="1:22" ht="52.5" x14ac:dyDescent="0.2">
      <c r="A945" s="179" t="s">
        <v>1845</v>
      </c>
      <c r="B945" s="178" t="s">
        <v>233</v>
      </c>
      <c r="C945" s="178" t="s">
        <v>232</v>
      </c>
      <c r="D945" s="177" t="s">
        <v>1594</v>
      </c>
      <c r="E945" s="174">
        <v>3.029706</v>
      </c>
      <c r="F945" s="176">
        <v>478.96</v>
      </c>
      <c r="G945" s="182" t="s">
        <v>248</v>
      </c>
      <c r="H945" s="174">
        <v>1</v>
      </c>
      <c r="I945" s="173">
        <v>1451.11</v>
      </c>
      <c r="J945" s="174">
        <v>6.89</v>
      </c>
      <c r="K945" s="173">
        <v>9998.15</v>
      </c>
      <c r="Q945" s="160">
        <f>[2]Source!X877</f>
        <v>0</v>
      </c>
      <c r="R945" s="160">
        <f>[2]Source!X878</f>
        <v>0</v>
      </c>
      <c r="S945" s="160">
        <f>[2]Source!Y877</f>
        <v>0</v>
      </c>
      <c r="T945" s="160">
        <f>[2]Source!Y878</f>
        <v>0</v>
      </c>
      <c r="U945" s="160">
        <f>ROUND((175/100)*ROUND([2]Source!R877, 2), 2)</f>
        <v>0</v>
      </c>
      <c r="V945" s="160">
        <f>ROUND((157/100)*ROUND([2]Source!R878, 2), 2)</f>
        <v>0</v>
      </c>
    </row>
    <row r="946" spans="1:22" ht="14.25" x14ac:dyDescent="0.2">
      <c r="A946" s="179"/>
      <c r="B946" s="178"/>
      <c r="C946" s="178" t="s">
        <v>194</v>
      </c>
      <c r="D946" s="177" t="s">
        <v>187</v>
      </c>
      <c r="E946" s="174">
        <v>104</v>
      </c>
      <c r="F946" s="176"/>
      <c r="G946" s="175"/>
      <c r="H946" s="174"/>
      <c r="I946" s="173">
        <v>31.97</v>
      </c>
      <c r="J946" s="174">
        <v>85</v>
      </c>
      <c r="K946" s="173">
        <v>610.11</v>
      </c>
    </row>
    <row r="947" spans="1:22" ht="14.25" x14ac:dyDescent="0.2">
      <c r="A947" s="179"/>
      <c r="B947" s="178"/>
      <c r="C947" s="178" t="s">
        <v>193</v>
      </c>
      <c r="D947" s="177" t="s">
        <v>187</v>
      </c>
      <c r="E947" s="174">
        <v>70</v>
      </c>
      <c r="F947" s="176"/>
      <c r="G947" s="175"/>
      <c r="H947" s="174"/>
      <c r="I947" s="173">
        <v>21.52</v>
      </c>
      <c r="J947" s="174">
        <v>41</v>
      </c>
      <c r="K947" s="173">
        <v>294.29000000000002</v>
      </c>
    </row>
    <row r="948" spans="1:22" ht="14.25" x14ac:dyDescent="0.2">
      <c r="A948" s="179"/>
      <c r="B948" s="178"/>
      <c r="C948" s="178" t="s">
        <v>188</v>
      </c>
      <c r="D948" s="177" t="s">
        <v>187</v>
      </c>
      <c r="E948" s="174">
        <v>175</v>
      </c>
      <c r="F948" s="176"/>
      <c r="G948" s="175"/>
      <c r="H948" s="174"/>
      <c r="I948" s="173">
        <v>1.03</v>
      </c>
      <c r="J948" s="174">
        <v>157</v>
      </c>
      <c r="K948" s="173">
        <v>21.63</v>
      </c>
    </row>
    <row r="949" spans="1:22" ht="14.25" x14ac:dyDescent="0.2">
      <c r="A949" s="172"/>
      <c r="B949" s="171"/>
      <c r="C949" s="171" t="s">
        <v>192</v>
      </c>
      <c r="D949" s="170" t="s">
        <v>191</v>
      </c>
      <c r="E949" s="167">
        <v>0.44</v>
      </c>
      <c r="F949" s="169"/>
      <c r="G949" s="168" t="s">
        <v>1781</v>
      </c>
      <c r="H949" s="167">
        <v>1</v>
      </c>
      <c r="I949" s="166">
        <v>3.01</v>
      </c>
      <c r="J949" s="167"/>
      <c r="K949" s="166"/>
    </row>
    <row r="950" spans="1:22" ht="15" x14ac:dyDescent="0.25">
      <c r="A950" s="164"/>
      <c r="B950" s="164"/>
      <c r="C950" s="165" t="s">
        <v>183</v>
      </c>
      <c r="D950" s="164"/>
      <c r="E950" s="164"/>
      <c r="F950" s="164"/>
      <c r="G950" s="164"/>
      <c r="H950" s="414">
        <v>1560.28</v>
      </c>
      <c r="I950" s="414"/>
      <c r="J950" s="414">
        <v>11679.74</v>
      </c>
      <c r="K950" s="414"/>
      <c r="O950" s="163">
        <f>I942+I943+I946+I947+I948+SUM(I945:I945)</f>
        <v>1560.28</v>
      </c>
      <c r="P950" s="163">
        <f>K942+K943+K946+K947+K948+SUM(K945:K945)</f>
        <v>11679.74</v>
      </c>
    </row>
    <row r="952" spans="1:22" ht="52.5" x14ac:dyDescent="0.2">
      <c r="A952" s="179" t="s">
        <v>1846</v>
      </c>
      <c r="B952" s="178" t="s">
        <v>230</v>
      </c>
      <c r="C952" s="178" t="s">
        <v>229</v>
      </c>
      <c r="D952" s="177" t="s">
        <v>1785</v>
      </c>
      <c r="E952" s="174">
        <v>0.28712900000000002</v>
      </c>
      <c r="F952" s="176"/>
      <c r="G952" s="175"/>
      <c r="H952" s="174"/>
      <c r="I952" s="173"/>
      <c r="J952" s="174"/>
      <c r="K952" s="173"/>
      <c r="Q952" s="160">
        <f>[2]Source!X879</f>
        <v>37.799999999999997</v>
      </c>
      <c r="R952" s="160">
        <f>[2]Source!X880</f>
        <v>706.09</v>
      </c>
      <c r="S952" s="160">
        <f>[2]Source!Y879</f>
        <v>31.13</v>
      </c>
      <c r="T952" s="160">
        <f>[2]Source!Y880</f>
        <v>425.73</v>
      </c>
      <c r="U952" s="160">
        <f>ROUND((175/100)*ROUND([2]Source!R879, 2), 2)</f>
        <v>3.52</v>
      </c>
      <c r="V952" s="160">
        <f>ROUND((157/100)*ROUND([2]Source!R880, 2), 2)</f>
        <v>73.680000000000007</v>
      </c>
    </row>
    <row r="953" spans="1:22" x14ac:dyDescent="0.2">
      <c r="C953" s="181" t="s">
        <v>1847</v>
      </c>
    </row>
    <row r="954" spans="1:22" ht="14.25" x14ac:dyDescent="0.2">
      <c r="A954" s="179"/>
      <c r="B954" s="178"/>
      <c r="C954" s="178" t="s">
        <v>197</v>
      </c>
      <c r="D954" s="177"/>
      <c r="E954" s="174"/>
      <c r="F954" s="176">
        <v>134.68</v>
      </c>
      <c r="G954" s="175" t="s">
        <v>1548</v>
      </c>
      <c r="H954" s="174">
        <v>1</v>
      </c>
      <c r="I954" s="173">
        <v>44.47</v>
      </c>
      <c r="J954" s="174">
        <v>23.35</v>
      </c>
      <c r="K954" s="173">
        <v>1038.3699999999999</v>
      </c>
    </row>
    <row r="955" spans="1:22" ht="14.25" x14ac:dyDescent="0.2">
      <c r="A955" s="179"/>
      <c r="B955" s="178"/>
      <c r="C955" s="178" t="s">
        <v>184</v>
      </c>
      <c r="D955" s="177"/>
      <c r="E955" s="174"/>
      <c r="F955" s="176">
        <v>44</v>
      </c>
      <c r="G955" s="175" t="s">
        <v>1549</v>
      </c>
      <c r="H955" s="174">
        <v>1</v>
      </c>
      <c r="I955" s="173">
        <v>15.79</v>
      </c>
      <c r="J955" s="174">
        <v>8.19</v>
      </c>
      <c r="K955" s="173">
        <v>129.32</v>
      </c>
    </row>
    <row r="956" spans="1:22" ht="14.25" x14ac:dyDescent="0.2">
      <c r="A956" s="179"/>
      <c r="B956" s="178"/>
      <c r="C956" s="178" t="s">
        <v>189</v>
      </c>
      <c r="D956" s="177"/>
      <c r="E956" s="174"/>
      <c r="F956" s="176">
        <v>5.59</v>
      </c>
      <c r="G956" s="175" t="s">
        <v>1549</v>
      </c>
      <c r="H956" s="174">
        <v>1</v>
      </c>
      <c r="I956" s="180">
        <v>2.0099999999999998</v>
      </c>
      <c r="J956" s="174">
        <v>23.35</v>
      </c>
      <c r="K956" s="180">
        <v>46.93</v>
      </c>
    </row>
    <row r="957" spans="1:22" ht="14.25" x14ac:dyDescent="0.2">
      <c r="A957" s="179"/>
      <c r="B957" s="178"/>
      <c r="C957" s="178" t="s">
        <v>205</v>
      </c>
      <c r="D957" s="177"/>
      <c r="E957" s="174"/>
      <c r="F957" s="176">
        <v>258.91000000000003</v>
      </c>
      <c r="G957" s="175" t="s">
        <v>195</v>
      </c>
      <c r="H957" s="174">
        <v>1</v>
      </c>
      <c r="I957" s="173">
        <v>74.34</v>
      </c>
      <c r="J957" s="174">
        <v>5.54</v>
      </c>
      <c r="K957" s="173">
        <v>411.84</v>
      </c>
    </row>
    <row r="958" spans="1:22" ht="57" x14ac:dyDescent="0.2">
      <c r="A958" s="179" t="s">
        <v>1848</v>
      </c>
      <c r="B958" s="178" t="s">
        <v>1788</v>
      </c>
      <c r="C958" s="178" t="s">
        <v>228</v>
      </c>
      <c r="D958" s="177" t="s">
        <v>1533</v>
      </c>
      <c r="E958" s="174">
        <v>0.28712900000000002</v>
      </c>
      <c r="F958" s="176">
        <v>9733.52</v>
      </c>
      <c r="G958" s="182" t="s">
        <v>195</v>
      </c>
      <c r="H958" s="174">
        <v>1</v>
      </c>
      <c r="I958" s="173">
        <v>2794.78</v>
      </c>
      <c r="J958" s="174">
        <v>3.64</v>
      </c>
      <c r="K958" s="173">
        <v>10173</v>
      </c>
      <c r="Q958" s="160">
        <f>[2]Source!X881</f>
        <v>0</v>
      </c>
      <c r="R958" s="160">
        <f>[2]Source!X882</f>
        <v>0</v>
      </c>
      <c r="S958" s="160">
        <f>[2]Source!Y881</f>
        <v>0</v>
      </c>
      <c r="T958" s="160">
        <f>[2]Source!Y882</f>
        <v>0</v>
      </c>
      <c r="U958" s="160">
        <f>ROUND((175/100)*ROUND([2]Source!R881, 2), 2)</f>
        <v>0</v>
      </c>
      <c r="V958" s="160">
        <f>ROUND((157/100)*ROUND([2]Source!R882, 2), 2)</f>
        <v>0</v>
      </c>
    </row>
    <row r="959" spans="1:22" ht="14.25" x14ac:dyDescent="0.2">
      <c r="A959" s="179"/>
      <c r="B959" s="178"/>
      <c r="C959" s="178" t="s">
        <v>194</v>
      </c>
      <c r="D959" s="177" t="s">
        <v>187</v>
      </c>
      <c r="E959" s="174">
        <v>85</v>
      </c>
      <c r="F959" s="176"/>
      <c r="G959" s="175"/>
      <c r="H959" s="174"/>
      <c r="I959" s="173">
        <v>37.799999999999997</v>
      </c>
      <c r="J959" s="174">
        <v>68</v>
      </c>
      <c r="K959" s="173">
        <v>706.09</v>
      </c>
    </row>
    <row r="960" spans="1:22" ht="14.25" x14ac:dyDescent="0.2">
      <c r="A960" s="179"/>
      <c r="B960" s="178"/>
      <c r="C960" s="178" t="s">
        <v>193</v>
      </c>
      <c r="D960" s="177" t="s">
        <v>187</v>
      </c>
      <c r="E960" s="174">
        <v>70</v>
      </c>
      <c r="F960" s="176"/>
      <c r="G960" s="175"/>
      <c r="H960" s="174"/>
      <c r="I960" s="173">
        <v>31.13</v>
      </c>
      <c r="J960" s="174">
        <v>41</v>
      </c>
      <c r="K960" s="173">
        <v>425.73</v>
      </c>
    </row>
    <row r="961" spans="1:22" ht="14.25" x14ac:dyDescent="0.2">
      <c r="A961" s="179"/>
      <c r="B961" s="178"/>
      <c r="C961" s="178" t="s">
        <v>188</v>
      </c>
      <c r="D961" s="177" t="s">
        <v>187</v>
      </c>
      <c r="E961" s="174">
        <v>175</v>
      </c>
      <c r="F961" s="176"/>
      <c r="G961" s="175"/>
      <c r="H961" s="174"/>
      <c r="I961" s="173">
        <v>3.52</v>
      </c>
      <c r="J961" s="174">
        <v>157</v>
      </c>
      <c r="K961" s="173">
        <v>73.680000000000007</v>
      </c>
    </row>
    <row r="962" spans="1:22" ht="14.25" x14ac:dyDescent="0.2">
      <c r="A962" s="172"/>
      <c r="B962" s="171"/>
      <c r="C962" s="171" t="s">
        <v>192</v>
      </c>
      <c r="D962" s="170" t="s">
        <v>191</v>
      </c>
      <c r="E962" s="167">
        <v>11.6</v>
      </c>
      <c r="F962" s="169"/>
      <c r="G962" s="168" t="s">
        <v>1548</v>
      </c>
      <c r="H962" s="167">
        <v>1</v>
      </c>
      <c r="I962" s="166">
        <v>3.83</v>
      </c>
      <c r="J962" s="167"/>
      <c r="K962" s="166"/>
    </row>
    <row r="963" spans="1:22" ht="15" x14ac:dyDescent="0.25">
      <c r="A963" s="164"/>
      <c r="B963" s="164"/>
      <c r="C963" s="165" t="s">
        <v>183</v>
      </c>
      <c r="D963" s="164"/>
      <c r="E963" s="164"/>
      <c r="F963" s="164"/>
      <c r="G963" s="164"/>
      <c r="H963" s="414">
        <v>3001.83</v>
      </c>
      <c r="I963" s="414"/>
      <c r="J963" s="414">
        <v>12958.03</v>
      </c>
      <c r="K963" s="414"/>
      <c r="O963" s="163">
        <f>I954+I955+I957+I959+I960+I961+SUM(I958:I958)</f>
        <v>3001.83</v>
      </c>
      <c r="P963" s="163">
        <f>K954+K955+K957+K959+K960+K961+SUM(K958:K958)</f>
        <v>12958.03</v>
      </c>
    </row>
    <row r="965" spans="1:22" ht="52.5" x14ac:dyDescent="0.2">
      <c r="A965" s="179" t="s">
        <v>1849</v>
      </c>
      <c r="B965" s="178" t="s">
        <v>247</v>
      </c>
      <c r="C965" s="178" t="s">
        <v>246</v>
      </c>
      <c r="D965" s="177" t="s">
        <v>1540</v>
      </c>
      <c r="E965" s="174">
        <v>0.99009999999999998</v>
      </c>
      <c r="F965" s="176"/>
      <c r="G965" s="175"/>
      <c r="H965" s="174"/>
      <c r="I965" s="173"/>
      <c r="J965" s="174"/>
      <c r="K965" s="173"/>
      <c r="Q965" s="160">
        <f>[2]Source!X883</f>
        <v>723.9</v>
      </c>
      <c r="R965" s="160">
        <f>[2]Source!X884</f>
        <v>13815.05</v>
      </c>
      <c r="S965" s="160">
        <f>[2]Source!Y883</f>
        <v>487.24</v>
      </c>
      <c r="T965" s="160">
        <f>[2]Source!Y884</f>
        <v>6663.73</v>
      </c>
      <c r="U965" s="160">
        <f>ROUND((175/100)*ROUND([2]Source!R883, 2), 2)</f>
        <v>26.81</v>
      </c>
      <c r="V965" s="160">
        <f>ROUND((157/100)*ROUND([2]Source!R884, 2), 2)</f>
        <v>561.62</v>
      </c>
    </row>
    <row r="966" spans="1:22" x14ac:dyDescent="0.2">
      <c r="C966" s="181" t="s">
        <v>1836</v>
      </c>
    </row>
    <row r="967" spans="1:22" ht="14.25" x14ac:dyDescent="0.2">
      <c r="A967" s="179"/>
      <c r="B967" s="178"/>
      <c r="C967" s="178" t="s">
        <v>197</v>
      </c>
      <c r="D967" s="177"/>
      <c r="E967" s="174"/>
      <c r="F967" s="176">
        <v>611.32000000000005</v>
      </c>
      <c r="G967" s="175" t="s">
        <v>1548</v>
      </c>
      <c r="H967" s="174">
        <v>1</v>
      </c>
      <c r="I967" s="173">
        <v>696.06</v>
      </c>
      <c r="J967" s="174">
        <v>23.35</v>
      </c>
      <c r="K967" s="173">
        <v>16253</v>
      </c>
    </row>
    <row r="968" spans="1:22" ht="14.25" x14ac:dyDescent="0.2">
      <c r="A968" s="179"/>
      <c r="B968" s="178"/>
      <c r="C968" s="178" t="s">
        <v>184</v>
      </c>
      <c r="D968" s="177"/>
      <c r="E968" s="174"/>
      <c r="F968" s="176">
        <v>95.56</v>
      </c>
      <c r="G968" s="175" t="s">
        <v>1549</v>
      </c>
      <c r="H968" s="174">
        <v>1</v>
      </c>
      <c r="I968" s="173">
        <v>118.27</v>
      </c>
      <c r="J968" s="174">
        <v>7.34</v>
      </c>
      <c r="K968" s="173">
        <v>868.1</v>
      </c>
    </row>
    <row r="969" spans="1:22" ht="14.25" x14ac:dyDescent="0.2">
      <c r="A969" s="179"/>
      <c r="B969" s="178"/>
      <c r="C969" s="178" t="s">
        <v>189</v>
      </c>
      <c r="D969" s="177"/>
      <c r="E969" s="174"/>
      <c r="F969" s="176">
        <v>12.38</v>
      </c>
      <c r="G969" s="175" t="s">
        <v>1549</v>
      </c>
      <c r="H969" s="174">
        <v>1</v>
      </c>
      <c r="I969" s="180">
        <v>15.32</v>
      </c>
      <c r="J969" s="174">
        <v>23.35</v>
      </c>
      <c r="K969" s="180">
        <v>357.72</v>
      </c>
    </row>
    <row r="970" spans="1:22" ht="14.25" x14ac:dyDescent="0.2">
      <c r="A970" s="179"/>
      <c r="B970" s="178"/>
      <c r="C970" s="178" t="s">
        <v>205</v>
      </c>
      <c r="D970" s="177"/>
      <c r="E970" s="174"/>
      <c r="F970" s="176">
        <v>766.29</v>
      </c>
      <c r="G970" s="175" t="s">
        <v>195</v>
      </c>
      <c r="H970" s="174">
        <v>1</v>
      </c>
      <c r="I970" s="173">
        <v>758.7</v>
      </c>
      <c r="J970" s="174">
        <v>3.22</v>
      </c>
      <c r="K970" s="173">
        <v>2443.0100000000002</v>
      </c>
    </row>
    <row r="971" spans="1:22" ht="57" x14ac:dyDescent="0.2">
      <c r="A971" s="179" t="s">
        <v>1850</v>
      </c>
      <c r="B971" s="178" t="s">
        <v>1830</v>
      </c>
      <c r="C971" s="178" t="s">
        <v>245</v>
      </c>
      <c r="D971" s="177" t="s">
        <v>1584</v>
      </c>
      <c r="E971" s="174">
        <v>35.693105000000003</v>
      </c>
      <c r="F971" s="176">
        <v>21.97</v>
      </c>
      <c r="G971" s="182" t="s">
        <v>195</v>
      </c>
      <c r="H971" s="174">
        <v>1</v>
      </c>
      <c r="I971" s="173">
        <v>784.18</v>
      </c>
      <c r="J971" s="174">
        <v>5.55</v>
      </c>
      <c r="K971" s="173">
        <v>4352.2</v>
      </c>
      <c r="Q971" s="160">
        <f>[2]Source!X885</f>
        <v>0</v>
      </c>
      <c r="R971" s="160">
        <f>[2]Source!X886</f>
        <v>0</v>
      </c>
      <c r="S971" s="160">
        <f>[2]Source!Y885</f>
        <v>0</v>
      </c>
      <c r="T971" s="160">
        <f>[2]Source!Y886</f>
        <v>0</v>
      </c>
      <c r="U971" s="160">
        <f>ROUND((175/100)*ROUND([2]Source!R885, 2), 2)</f>
        <v>0</v>
      </c>
      <c r="V971" s="160">
        <f>ROUND((157/100)*ROUND([2]Source!R886, 2), 2)</f>
        <v>0</v>
      </c>
    </row>
    <row r="972" spans="1:22" ht="57" x14ac:dyDescent="0.2">
      <c r="A972" s="179" t="s">
        <v>1851</v>
      </c>
      <c r="B972" s="178" t="s">
        <v>1832</v>
      </c>
      <c r="C972" s="178" t="s">
        <v>244</v>
      </c>
      <c r="D972" s="177" t="s">
        <v>1557</v>
      </c>
      <c r="E972" s="174">
        <v>105.94070000000001</v>
      </c>
      <c r="F972" s="176">
        <v>324.74</v>
      </c>
      <c r="G972" s="182" t="s">
        <v>195</v>
      </c>
      <c r="H972" s="174">
        <v>1</v>
      </c>
      <c r="I972" s="173">
        <v>34403.18</v>
      </c>
      <c r="J972" s="174">
        <v>1.78</v>
      </c>
      <c r="K972" s="173">
        <v>61237.66</v>
      </c>
      <c r="Q972" s="160">
        <f>[2]Source!X887</f>
        <v>0</v>
      </c>
      <c r="R972" s="160">
        <f>[2]Source!X888</f>
        <v>0</v>
      </c>
      <c r="S972" s="160">
        <f>[2]Source!Y887</f>
        <v>0</v>
      </c>
      <c r="T972" s="160">
        <f>[2]Source!Y888</f>
        <v>0</v>
      </c>
      <c r="U972" s="160">
        <f>ROUND((175/100)*ROUND([2]Source!R887, 2), 2)</f>
        <v>0</v>
      </c>
      <c r="V972" s="160">
        <f>ROUND((157/100)*ROUND([2]Source!R888, 2), 2)</f>
        <v>0</v>
      </c>
    </row>
    <row r="973" spans="1:22" ht="14.25" x14ac:dyDescent="0.2">
      <c r="A973" s="179"/>
      <c r="B973" s="178"/>
      <c r="C973" s="178" t="s">
        <v>194</v>
      </c>
      <c r="D973" s="177" t="s">
        <v>187</v>
      </c>
      <c r="E973" s="174">
        <v>104</v>
      </c>
      <c r="F973" s="176"/>
      <c r="G973" s="175"/>
      <c r="H973" s="174"/>
      <c r="I973" s="173">
        <v>723.9</v>
      </c>
      <c r="J973" s="174">
        <v>85</v>
      </c>
      <c r="K973" s="173">
        <v>13815.05</v>
      </c>
    </row>
    <row r="974" spans="1:22" ht="14.25" x14ac:dyDescent="0.2">
      <c r="A974" s="179"/>
      <c r="B974" s="178"/>
      <c r="C974" s="178" t="s">
        <v>193</v>
      </c>
      <c r="D974" s="177" t="s">
        <v>187</v>
      </c>
      <c r="E974" s="174">
        <v>70</v>
      </c>
      <c r="F974" s="176"/>
      <c r="G974" s="175"/>
      <c r="H974" s="174"/>
      <c r="I974" s="173">
        <v>487.24</v>
      </c>
      <c r="J974" s="174">
        <v>41</v>
      </c>
      <c r="K974" s="173">
        <v>6663.73</v>
      </c>
    </row>
    <row r="975" spans="1:22" ht="14.25" x14ac:dyDescent="0.2">
      <c r="A975" s="179"/>
      <c r="B975" s="178"/>
      <c r="C975" s="178" t="s">
        <v>188</v>
      </c>
      <c r="D975" s="177" t="s">
        <v>187</v>
      </c>
      <c r="E975" s="174">
        <v>175</v>
      </c>
      <c r="F975" s="176"/>
      <c r="G975" s="175"/>
      <c r="H975" s="174"/>
      <c r="I975" s="173">
        <v>26.81</v>
      </c>
      <c r="J975" s="174">
        <v>157</v>
      </c>
      <c r="K975" s="173">
        <v>561.62</v>
      </c>
    </row>
    <row r="976" spans="1:22" ht="14.25" x14ac:dyDescent="0.2">
      <c r="A976" s="172"/>
      <c r="B976" s="171"/>
      <c r="C976" s="171" t="s">
        <v>192</v>
      </c>
      <c r="D976" s="170" t="s">
        <v>191</v>
      </c>
      <c r="E976" s="167">
        <v>52.21</v>
      </c>
      <c r="F976" s="169"/>
      <c r="G976" s="168" t="s">
        <v>1548</v>
      </c>
      <c r="H976" s="167">
        <v>1</v>
      </c>
      <c r="I976" s="166">
        <v>59.45</v>
      </c>
      <c r="J976" s="167"/>
      <c r="K976" s="166"/>
    </row>
    <row r="977" spans="1:22" ht="15" x14ac:dyDescent="0.25">
      <c r="A977" s="164"/>
      <c r="B977" s="164"/>
      <c r="C977" s="165" t="s">
        <v>183</v>
      </c>
      <c r="D977" s="164"/>
      <c r="E977" s="164"/>
      <c r="F977" s="164"/>
      <c r="G977" s="164"/>
      <c r="H977" s="414">
        <v>37998.339999999997</v>
      </c>
      <c r="I977" s="414"/>
      <c r="J977" s="414">
        <v>106194.37</v>
      </c>
      <c r="K977" s="414"/>
      <c r="O977" s="163">
        <f>I967+I968+I970+I973+I974+I975+SUM(I971:I972)</f>
        <v>37998.339999999997</v>
      </c>
      <c r="P977" s="163">
        <f>K967+K968+K970+K973+K974+K975+SUM(K971:K972)</f>
        <v>106194.37</v>
      </c>
    </row>
    <row r="980" spans="1:22" ht="15" x14ac:dyDescent="0.25">
      <c r="A980" s="417" t="s">
        <v>1852</v>
      </c>
      <c r="B980" s="417"/>
      <c r="C980" s="417"/>
      <c r="D980" s="417"/>
      <c r="E980" s="417"/>
      <c r="F980" s="417"/>
      <c r="G980" s="417"/>
      <c r="H980" s="415">
        <v>56730.080000000002</v>
      </c>
      <c r="I980" s="416"/>
      <c r="J980" s="415">
        <v>253484.08</v>
      </c>
      <c r="K980" s="416"/>
    </row>
    <row r="981" spans="1:22" hidden="1" x14ac:dyDescent="0.2">
      <c r="A981" s="160" t="s">
        <v>182</v>
      </c>
      <c r="I981" s="160">
        <v>0</v>
      </c>
      <c r="J981" s="160">
        <v>0</v>
      </c>
    </row>
    <row r="982" spans="1:22" hidden="1" x14ac:dyDescent="0.2">
      <c r="A982" s="160" t="s">
        <v>181</v>
      </c>
      <c r="I982" s="160">
        <v>0</v>
      </c>
      <c r="J982" s="160">
        <v>0</v>
      </c>
    </row>
    <row r="984" spans="1:22" ht="16.5" x14ac:dyDescent="0.25">
      <c r="A984" s="413" t="s">
        <v>1853</v>
      </c>
      <c r="B984" s="413"/>
      <c r="C984" s="413"/>
      <c r="D984" s="413"/>
      <c r="E984" s="413"/>
      <c r="F984" s="413"/>
      <c r="G984" s="413"/>
      <c r="H984" s="413"/>
      <c r="I984" s="413"/>
      <c r="J984" s="413"/>
      <c r="K984" s="413"/>
    </row>
    <row r="985" spans="1:22" ht="71.25" x14ac:dyDescent="0.2">
      <c r="A985" s="179" t="s">
        <v>1854</v>
      </c>
      <c r="B985" s="178" t="s">
        <v>243</v>
      </c>
      <c r="C985" s="178" t="s">
        <v>242</v>
      </c>
      <c r="D985" s="177" t="s">
        <v>1855</v>
      </c>
      <c r="E985" s="174">
        <v>1.4349000000000001</v>
      </c>
      <c r="F985" s="176"/>
      <c r="G985" s="175"/>
      <c r="H985" s="174"/>
      <c r="I985" s="173"/>
      <c r="J985" s="174"/>
      <c r="K985" s="173"/>
      <c r="Q985" s="160">
        <f>[2]Source!X936</f>
        <v>520.70000000000005</v>
      </c>
      <c r="R985" s="160">
        <f>[2]Source!X937</f>
        <v>9937.0400000000009</v>
      </c>
      <c r="S985" s="160">
        <f>[2]Source!Y936</f>
        <v>350.47</v>
      </c>
      <c r="T985" s="160">
        <f>[2]Source!Y937</f>
        <v>4793.16</v>
      </c>
      <c r="U985" s="160">
        <f>ROUND((175/100)*ROUND([2]Source!R936, 2), 2)</f>
        <v>40.549999999999997</v>
      </c>
      <c r="V985" s="160">
        <f>ROUND((157/100)*ROUND([2]Source!R937, 2), 2)</f>
        <v>849.4</v>
      </c>
    </row>
    <row r="986" spans="1:22" x14ac:dyDescent="0.2">
      <c r="C986" s="181" t="s">
        <v>1856</v>
      </c>
    </row>
    <row r="987" spans="1:22" ht="14.25" x14ac:dyDescent="0.2">
      <c r="A987" s="179"/>
      <c r="B987" s="178"/>
      <c r="C987" s="178" t="s">
        <v>197</v>
      </c>
      <c r="D987" s="177"/>
      <c r="E987" s="174"/>
      <c r="F987" s="176">
        <v>303.41000000000003</v>
      </c>
      <c r="G987" s="175" t="s">
        <v>1548</v>
      </c>
      <c r="H987" s="174">
        <v>1</v>
      </c>
      <c r="I987" s="173">
        <v>500.67</v>
      </c>
      <c r="J987" s="174">
        <v>23.35</v>
      </c>
      <c r="K987" s="173">
        <v>11690.64</v>
      </c>
    </row>
    <row r="988" spans="1:22" ht="14.25" x14ac:dyDescent="0.2">
      <c r="A988" s="179"/>
      <c r="B988" s="178"/>
      <c r="C988" s="178" t="s">
        <v>184</v>
      </c>
      <c r="D988" s="177"/>
      <c r="E988" s="174"/>
      <c r="F988" s="176">
        <v>69.13</v>
      </c>
      <c r="G988" s="175" t="s">
        <v>1549</v>
      </c>
      <c r="H988" s="174">
        <v>1</v>
      </c>
      <c r="I988" s="173">
        <v>123.99</v>
      </c>
      <c r="J988" s="174">
        <v>8.89</v>
      </c>
      <c r="K988" s="173">
        <v>1102.27</v>
      </c>
    </row>
    <row r="989" spans="1:22" ht="14.25" x14ac:dyDescent="0.2">
      <c r="A989" s="179"/>
      <c r="B989" s="178"/>
      <c r="C989" s="178" t="s">
        <v>189</v>
      </c>
      <c r="D989" s="177"/>
      <c r="E989" s="174"/>
      <c r="F989" s="176">
        <v>12.92</v>
      </c>
      <c r="G989" s="175" t="s">
        <v>1549</v>
      </c>
      <c r="H989" s="174">
        <v>1</v>
      </c>
      <c r="I989" s="180">
        <v>23.17</v>
      </c>
      <c r="J989" s="174">
        <v>23.35</v>
      </c>
      <c r="K989" s="180">
        <v>541.02</v>
      </c>
    </row>
    <row r="990" spans="1:22" ht="57" x14ac:dyDescent="0.2">
      <c r="A990" s="179" t="s">
        <v>1857</v>
      </c>
      <c r="B990" s="178" t="s">
        <v>1858</v>
      </c>
      <c r="C990" s="178" t="s">
        <v>241</v>
      </c>
      <c r="D990" s="177" t="s">
        <v>1594</v>
      </c>
      <c r="E990" s="174">
        <v>4.3047000000000004</v>
      </c>
      <c r="F990" s="176">
        <v>1319.63</v>
      </c>
      <c r="G990" s="182" t="s">
        <v>195</v>
      </c>
      <c r="H990" s="174">
        <v>1</v>
      </c>
      <c r="I990" s="173">
        <v>5680.61</v>
      </c>
      <c r="J990" s="174">
        <v>3.38</v>
      </c>
      <c r="K990" s="173">
        <v>19200.46</v>
      </c>
      <c r="Q990" s="160">
        <f>[2]Source!X938</f>
        <v>0</v>
      </c>
      <c r="R990" s="160">
        <f>[2]Source!X939</f>
        <v>0</v>
      </c>
      <c r="S990" s="160">
        <f>[2]Source!Y938</f>
        <v>0</v>
      </c>
      <c r="T990" s="160">
        <f>[2]Source!Y939</f>
        <v>0</v>
      </c>
      <c r="U990" s="160">
        <f>ROUND((175/100)*ROUND([2]Source!R938, 2), 2)</f>
        <v>0</v>
      </c>
      <c r="V990" s="160">
        <f>ROUND((157/100)*ROUND([2]Source!R939, 2), 2)</f>
        <v>0</v>
      </c>
    </row>
    <row r="991" spans="1:22" ht="14.25" x14ac:dyDescent="0.2">
      <c r="A991" s="179"/>
      <c r="B991" s="178"/>
      <c r="C991" s="178" t="s">
        <v>194</v>
      </c>
      <c r="D991" s="177" t="s">
        <v>187</v>
      </c>
      <c r="E991" s="174">
        <v>104</v>
      </c>
      <c r="F991" s="176"/>
      <c r="G991" s="175"/>
      <c r="H991" s="174"/>
      <c r="I991" s="173">
        <v>520.70000000000005</v>
      </c>
      <c r="J991" s="174">
        <v>85</v>
      </c>
      <c r="K991" s="173">
        <v>9937.0400000000009</v>
      </c>
    </row>
    <row r="992" spans="1:22" ht="14.25" x14ac:dyDescent="0.2">
      <c r="A992" s="179"/>
      <c r="B992" s="178"/>
      <c r="C992" s="178" t="s">
        <v>193</v>
      </c>
      <c r="D992" s="177" t="s">
        <v>187</v>
      </c>
      <c r="E992" s="174">
        <v>70</v>
      </c>
      <c r="F992" s="176"/>
      <c r="G992" s="175"/>
      <c r="H992" s="174"/>
      <c r="I992" s="173">
        <v>350.47</v>
      </c>
      <c r="J992" s="174">
        <v>41</v>
      </c>
      <c r="K992" s="173">
        <v>4793.16</v>
      </c>
    </row>
    <row r="993" spans="1:22" ht="14.25" x14ac:dyDescent="0.2">
      <c r="A993" s="179"/>
      <c r="B993" s="178"/>
      <c r="C993" s="178" t="s">
        <v>188</v>
      </c>
      <c r="D993" s="177" t="s">
        <v>187</v>
      </c>
      <c r="E993" s="174">
        <v>175</v>
      </c>
      <c r="F993" s="176"/>
      <c r="G993" s="175"/>
      <c r="H993" s="174"/>
      <c r="I993" s="173">
        <v>40.549999999999997</v>
      </c>
      <c r="J993" s="174">
        <v>157</v>
      </c>
      <c r="K993" s="173">
        <v>849.4</v>
      </c>
    </row>
    <row r="994" spans="1:22" ht="14.25" x14ac:dyDescent="0.2">
      <c r="A994" s="172"/>
      <c r="B994" s="171"/>
      <c r="C994" s="171" t="s">
        <v>192</v>
      </c>
      <c r="D994" s="170" t="s">
        <v>191</v>
      </c>
      <c r="E994" s="167">
        <v>25.8</v>
      </c>
      <c r="F994" s="169"/>
      <c r="G994" s="168" t="s">
        <v>1548</v>
      </c>
      <c r="H994" s="167">
        <v>1</v>
      </c>
      <c r="I994" s="166">
        <v>42.57</v>
      </c>
      <c r="J994" s="167"/>
      <c r="K994" s="166"/>
    </row>
    <row r="995" spans="1:22" ht="15" x14ac:dyDescent="0.25">
      <c r="A995" s="164"/>
      <c r="B995" s="164"/>
      <c r="C995" s="165" t="s">
        <v>183</v>
      </c>
      <c r="D995" s="164"/>
      <c r="E995" s="164"/>
      <c r="F995" s="164"/>
      <c r="G995" s="164"/>
      <c r="H995" s="414">
        <v>7216.99</v>
      </c>
      <c r="I995" s="414"/>
      <c r="J995" s="414">
        <v>47572.97</v>
      </c>
      <c r="K995" s="414"/>
      <c r="O995" s="163">
        <f>I987+I988+I991+I992+I993+SUM(I990:I990)</f>
        <v>7216.99</v>
      </c>
      <c r="P995" s="163">
        <f>K987+K988+K991+K992+K993+SUM(K990:K990)</f>
        <v>47572.97</v>
      </c>
    </row>
    <row r="997" spans="1:22" ht="52.5" x14ac:dyDescent="0.2">
      <c r="A997" s="179" t="s">
        <v>1859</v>
      </c>
      <c r="B997" s="178" t="s">
        <v>240</v>
      </c>
      <c r="C997" s="178" t="s">
        <v>239</v>
      </c>
      <c r="D997" s="177" t="s">
        <v>1540</v>
      </c>
      <c r="E997" s="174">
        <v>1.4349000000000001</v>
      </c>
      <c r="F997" s="176"/>
      <c r="G997" s="175"/>
      <c r="H997" s="174"/>
      <c r="I997" s="173"/>
      <c r="J997" s="174"/>
      <c r="K997" s="173"/>
      <c r="Q997" s="160">
        <f>[2]Source!X952</f>
        <v>66.12</v>
      </c>
      <c r="R997" s="160">
        <f>[2]Source!X953</f>
        <v>1261.9000000000001</v>
      </c>
      <c r="S997" s="160">
        <f>[2]Source!Y952</f>
        <v>44.51</v>
      </c>
      <c r="T997" s="160">
        <f>[2]Source!Y953</f>
        <v>608.67999999999995</v>
      </c>
      <c r="U997" s="160">
        <f>ROUND((175/100)*ROUND([2]Source!R952, 2), 2)</f>
        <v>0.56000000000000005</v>
      </c>
      <c r="V997" s="160">
        <f>ROUND((157/100)*ROUND([2]Source!R953, 2), 2)</f>
        <v>11.73</v>
      </c>
    </row>
    <row r="998" spans="1:22" x14ac:dyDescent="0.2">
      <c r="C998" s="181" t="s">
        <v>1856</v>
      </c>
    </row>
    <row r="999" spans="1:22" ht="14.25" x14ac:dyDescent="0.2">
      <c r="A999" s="179"/>
      <c r="B999" s="178"/>
      <c r="C999" s="178" t="s">
        <v>197</v>
      </c>
      <c r="D999" s="177"/>
      <c r="E999" s="174"/>
      <c r="F999" s="176">
        <v>38.53</v>
      </c>
      <c r="G999" s="175" t="s">
        <v>1548</v>
      </c>
      <c r="H999" s="174">
        <v>1</v>
      </c>
      <c r="I999" s="173">
        <v>63.58</v>
      </c>
      <c r="J999" s="174">
        <v>23.35</v>
      </c>
      <c r="K999" s="173">
        <v>1484.59</v>
      </c>
    </row>
    <row r="1000" spans="1:22" ht="14.25" x14ac:dyDescent="0.2">
      <c r="A1000" s="179"/>
      <c r="B1000" s="178"/>
      <c r="C1000" s="178" t="s">
        <v>184</v>
      </c>
      <c r="D1000" s="177"/>
      <c r="E1000" s="174"/>
      <c r="F1000" s="176">
        <v>0.92</v>
      </c>
      <c r="G1000" s="175" t="s">
        <v>1549</v>
      </c>
      <c r="H1000" s="174">
        <v>1</v>
      </c>
      <c r="I1000" s="173">
        <v>1.65</v>
      </c>
      <c r="J1000" s="174">
        <v>8.8699999999999992</v>
      </c>
      <c r="K1000" s="173">
        <v>14.64</v>
      </c>
    </row>
    <row r="1001" spans="1:22" ht="14.25" x14ac:dyDescent="0.2">
      <c r="A1001" s="179"/>
      <c r="B1001" s="178"/>
      <c r="C1001" s="178" t="s">
        <v>189</v>
      </c>
      <c r="D1001" s="177"/>
      <c r="E1001" s="174"/>
      <c r="F1001" s="176">
        <v>0.18</v>
      </c>
      <c r="G1001" s="175" t="s">
        <v>1549</v>
      </c>
      <c r="H1001" s="174">
        <v>1</v>
      </c>
      <c r="I1001" s="180">
        <v>0.32</v>
      </c>
      <c r="J1001" s="174">
        <v>23.35</v>
      </c>
      <c r="K1001" s="180">
        <v>7.47</v>
      </c>
    </row>
    <row r="1002" spans="1:22" ht="14.25" x14ac:dyDescent="0.2">
      <c r="A1002" s="179" t="s">
        <v>1860</v>
      </c>
      <c r="B1002" s="178" t="s">
        <v>1777</v>
      </c>
      <c r="C1002" s="178" t="s">
        <v>238</v>
      </c>
      <c r="D1002" s="177" t="s">
        <v>1557</v>
      </c>
      <c r="E1002" s="174">
        <v>175.63176000000001</v>
      </c>
      <c r="F1002" s="176">
        <v>4.32</v>
      </c>
      <c r="G1002" s="182" t="s">
        <v>195</v>
      </c>
      <c r="H1002" s="174">
        <v>1</v>
      </c>
      <c r="I1002" s="173">
        <v>758.73</v>
      </c>
      <c r="J1002" s="174">
        <v>3.53</v>
      </c>
      <c r="K1002" s="173">
        <v>2678.32</v>
      </c>
      <c r="Q1002" s="160">
        <f>[2]Source!X954</f>
        <v>0</v>
      </c>
      <c r="R1002" s="160">
        <f>[2]Source!X955</f>
        <v>0</v>
      </c>
      <c r="S1002" s="160">
        <f>[2]Source!Y954</f>
        <v>0</v>
      </c>
      <c r="T1002" s="160">
        <f>[2]Source!Y955</f>
        <v>0</v>
      </c>
      <c r="U1002" s="160">
        <f>ROUND((175/100)*ROUND([2]Source!R954, 2), 2)</f>
        <v>0</v>
      </c>
      <c r="V1002" s="160">
        <f>ROUND((157/100)*ROUND([2]Source!R955, 2), 2)</f>
        <v>0</v>
      </c>
    </row>
    <row r="1003" spans="1:22" ht="14.25" x14ac:dyDescent="0.2">
      <c r="A1003" s="179"/>
      <c r="B1003" s="178"/>
      <c r="C1003" s="178" t="s">
        <v>194</v>
      </c>
      <c r="D1003" s="177" t="s">
        <v>187</v>
      </c>
      <c r="E1003" s="174">
        <v>104</v>
      </c>
      <c r="F1003" s="176"/>
      <c r="G1003" s="175"/>
      <c r="H1003" s="174"/>
      <c r="I1003" s="173">
        <v>66.12</v>
      </c>
      <c r="J1003" s="174">
        <v>85</v>
      </c>
      <c r="K1003" s="173">
        <v>1261.9000000000001</v>
      </c>
    </row>
    <row r="1004" spans="1:22" ht="14.25" x14ac:dyDescent="0.2">
      <c r="A1004" s="179"/>
      <c r="B1004" s="178"/>
      <c r="C1004" s="178" t="s">
        <v>193</v>
      </c>
      <c r="D1004" s="177" t="s">
        <v>187</v>
      </c>
      <c r="E1004" s="174">
        <v>70</v>
      </c>
      <c r="F1004" s="176"/>
      <c r="G1004" s="175"/>
      <c r="H1004" s="174"/>
      <c r="I1004" s="173">
        <v>44.51</v>
      </c>
      <c r="J1004" s="174">
        <v>41</v>
      </c>
      <c r="K1004" s="173">
        <v>608.67999999999995</v>
      </c>
    </row>
    <row r="1005" spans="1:22" ht="14.25" x14ac:dyDescent="0.2">
      <c r="A1005" s="179"/>
      <c r="B1005" s="178"/>
      <c r="C1005" s="178" t="s">
        <v>188</v>
      </c>
      <c r="D1005" s="177" t="s">
        <v>187</v>
      </c>
      <c r="E1005" s="174">
        <v>175</v>
      </c>
      <c r="F1005" s="176"/>
      <c r="G1005" s="175"/>
      <c r="H1005" s="174"/>
      <c r="I1005" s="173">
        <v>0.56000000000000005</v>
      </c>
      <c r="J1005" s="174">
        <v>157</v>
      </c>
      <c r="K1005" s="173">
        <v>11.73</v>
      </c>
    </row>
    <row r="1006" spans="1:22" ht="14.25" x14ac:dyDescent="0.2">
      <c r="A1006" s="172"/>
      <c r="B1006" s="171"/>
      <c r="C1006" s="171" t="s">
        <v>192</v>
      </c>
      <c r="D1006" s="170" t="s">
        <v>191</v>
      </c>
      <c r="E1006" s="167">
        <v>3.45</v>
      </c>
      <c r="F1006" s="169"/>
      <c r="G1006" s="168" t="s">
        <v>1548</v>
      </c>
      <c r="H1006" s="167">
        <v>1</v>
      </c>
      <c r="I1006" s="166">
        <v>5.69</v>
      </c>
      <c r="J1006" s="167"/>
      <c r="K1006" s="166"/>
    </row>
    <row r="1007" spans="1:22" ht="15" x14ac:dyDescent="0.25">
      <c r="A1007" s="164"/>
      <c r="B1007" s="164"/>
      <c r="C1007" s="165" t="s">
        <v>183</v>
      </c>
      <c r="D1007" s="164"/>
      <c r="E1007" s="164"/>
      <c r="F1007" s="164"/>
      <c r="G1007" s="164"/>
      <c r="H1007" s="414">
        <v>935.15</v>
      </c>
      <c r="I1007" s="414"/>
      <c r="J1007" s="414">
        <v>6059.86</v>
      </c>
      <c r="K1007" s="414"/>
      <c r="O1007" s="163">
        <f>I999+I1000+I1003+I1004+I1005+SUM(I1002:I1002)</f>
        <v>935.15</v>
      </c>
      <c r="P1007" s="163">
        <f>K999+K1000+K1003+K1004+K1005+SUM(K1002:K1002)</f>
        <v>6059.86</v>
      </c>
    </row>
    <row r="1009" spans="1:22" ht="52.5" x14ac:dyDescent="0.2">
      <c r="A1009" s="179" t="s">
        <v>1861</v>
      </c>
      <c r="B1009" s="178" t="s">
        <v>237</v>
      </c>
      <c r="C1009" s="178" t="s">
        <v>236</v>
      </c>
      <c r="D1009" s="177" t="s">
        <v>1741</v>
      </c>
      <c r="E1009" s="174">
        <v>1.4349000000000001</v>
      </c>
      <c r="F1009" s="176"/>
      <c r="G1009" s="175"/>
      <c r="H1009" s="174"/>
      <c r="I1009" s="173"/>
      <c r="J1009" s="174"/>
      <c r="K1009" s="173"/>
      <c r="Q1009" s="160">
        <f>[2]Source!X956</f>
        <v>416.8</v>
      </c>
      <c r="R1009" s="160">
        <f>[2]Source!X957</f>
        <v>7954.28</v>
      </c>
      <c r="S1009" s="160">
        <f>[2]Source!Y956</f>
        <v>280.54000000000002</v>
      </c>
      <c r="T1009" s="160">
        <f>[2]Source!Y957</f>
        <v>3836.77</v>
      </c>
      <c r="U1009" s="160">
        <f>ROUND((175/100)*ROUND([2]Source!R956, 2), 2)</f>
        <v>0.98</v>
      </c>
      <c r="V1009" s="160">
        <f>ROUND((157/100)*ROUND([2]Source!R957, 2), 2)</f>
        <v>20.54</v>
      </c>
    </row>
    <row r="1010" spans="1:22" x14ac:dyDescent="0.2">
      <c r="C1010" s="181" t="s">
        <v>1856</v>
      </c>
    </row>
    <row r="1011" spans="1:22" ht="14.25" x14ac:dyDescent="0.2">
      <c r="A1011" s="179"/>
      <c r="B1011" s="178"/>
      <c r="C1011" s="178" t="s">
        <v>197</v>
      </c>
      <c r="D1011" s="177"/>
      <c r="E1011" s="174"/>
      <c r="F1011" s="176">
        <v>242.87</v>
      </c>
      <c r="G1011" s="175" t="s">
        <v>1548</v>
      </c>
      <c r="H1011" s="174">
        <v>1</v>
      </c>
      <c r="I1011" s="173">
        <v>400.77</v>
      </c>
      <c r="J1011" s="174">
        <v>23.35</v>
      </c>
      <c r="K1011" s="173">
        <v>9357.98</v>
      </c>
    </row>
    <row r="1012" spans="1:22" ht="14.25" x14ac:dyDescent="0.2">
      <c r="A1012" s="179"/>
      <c r="B1012" s="178"/>
      <c r="C1012" s="178" t="s">
        <v>184</v>
      </c>
      <c r="D1012" s="177"/>
      <c r="E1012" s="174"/>
      <c r="F1012" s="176">
        <v>12.59</v>
      </c>
      <c r="G1012" s="175" t="s">
        <v>1549</v>
      </c>
      <c r="H1012" s="174">
        <v>1</v>
      </c>
      <c r="I1012" s="173">
        <v>22.58</v>
      </c>
      <c r="J1012" s="174">
        <v>1.58</v>
      </c>
      <c r="K1012" s="173">
        <v>35.68</v>
      </c>
    </row>
    <row r="1013" spans="1:22" ht="14.25" x14ac:dyDescent="0.2">
      <c r="A1013" s="179"/>
      <c r="B1013" s="178"/>
      <c r="C1013" s="178" t="s">
        <v>189</v>
      </c>
      <c r="D1013" s="177"/>
      <c r="E1013" s="174"/>
      <c r="F1013" s="176">
        <v>0.31</v>
      </c>
      <c r="G1013" s="175" t="s">
        <v>1549</v>
      </c>
      <c r="H1013" s="174">
        <v>1</v>
      </c>
      <c r="I1013" s="180">
        <v>0.56000000000000005</v>
      </c>
      <c r="J1013" s="174">
        <v>23.35</v>
      </c>
      <c r="K1013" s="180">
        <v>13.08</v>
      </c>
    </row>
    <row r="1014" spans="1:22" ht="14.25" x14ac:dyDescent="0.2">
      <c r="A1014" s="179"/>
      <c r="B1014" s="178"/>
      <c r="C1014" s="178" t="s">
        <v>205</v>
      </c>
      <c r="D1014" s="177"/>
      <c r="E1014" s="174"/>
      <c r="F1014" s="176">
        <v>24.75</v>
      </c>
      <c r="G1014" s="175" t="s">
        <v>195</v>
      </c>
      <c r="H1014" s="174">
        <v>1</v>
      </c>
      <c r="I1014" s="173">
        <v>35.51</v>
      </c>
      <c r="J1014" s="174">
        <v>4.7699999999999996</v>
      </c>
      <c r="K1014" s="173">
        <v>169.38</v>
      </c>
    </row>
    <row r="1015" spans="1:22" ht="14.25" x14ac:dyDescent="0.2">
      <c r="A1015" s="179" t="s">
        <v>1862</v>
      </c>
      <c r="B1015" s="178" t="s">
        <v>1755</v>
      </c>
      <c r="C1015" s="178" t="s">
        <v>232</v>
      </c>
      <c r="D1015" s="177" t="s">
        <v>1594</v>
      </c>
      <c r="E1015" s="174">
        <v>2.9271959999999999</v>
      </c>
      <c r="F1015" s="176">
        <v>478.96</v>
      </c>
      <c r="G1015" s="182" t="s">
        <v>195</v>
      </c>
      <c r="H1015" s="174">
        <v>1</v>
      </c>
      <c r="I1015" s="173">
        <v>1402.01</v>
      </c>
      <c r="J1015" s="174">
        <v>6.89</v>
      </c>
      <c r="K1015" s="173">
        <v>9659.85</v>
      </c>
      <c r="Q1015" s="160">
        <f>[2]Source!X958</f>
        <v>0</v>
      </c>
      <c r="R1015" s="160">
        <f>[2]Source!X959</f>
        <v>0</v>
      </c>
      <c r="S1015" s="160">
        <f>[2]Source!Y958</f>
        <v>0</v>
      </c>
      <c r="T1015" s="160">
        <f>[2]Source!Y959</f>
        <v>0</v>
      </c>
      <c r="U1015" s="160">
        <f>ROUND((175/100)*ROUND([2]Source!R958, 2), 2)</f>
        <v>0</v>
      </c>
      <c r="V1015" s="160">
        <f>ROUND((157/100)*ROUND([2]Source!R959, 2), 2)</f>
        <v>0</v>
      </c>
    </row>
    <row r="1016" spans="1:22" ht="14.25" x14ac:dyDescent="0.2">
      <c r="A1016" s="179"/>
      <c r="B1016" s="178"/>
      <c r="C1016" s="178" t="s">
        <v>194</v>
      </c>
      <c r="D1016" s="177" t="s">
        <v>187</v>
      </c>
      <c r="E1016" s="174">
        <v>104</v>
      </c>
      <c r="F1016" s="176"/>
      <c r="G1016" s="175"/>
      <c r="H1016" s="174"/>
      <c r="I1016" s="173">
        <v>416.8</v>
      </c>
      <c r="J1016" s="174">
        <v>85</v>
      </c>
      <c r="K1016" s="173">
        <v>7954.28</v>
      </c>
    </row>
    <row r="1017" spans="1:22" ht="14.25" x14ac:dyDescent="0.2">
      <c r="A1017" s="179"/>
      <c r="B1017" s="178"/>
      <c r="C1017" s="178" t="s">
        <v>193</v>
      </c>
      <c r="D1017" s="177" t="s">
        <v>187</v>
      </c>
      <c r="E1017" s="174">
        <v>70</v>
      </c>
      <c r="F1017" s="176"/>
      <c r="G1017" s="175"/>
      <c r="H1017" s="174"/>
      <c r="I1017" s="173">
        <v>280.54000000000002</v>
      </c>
      <c r="J1017" s="174">
        <v>41</v>
      </c>
      <c r="K1017" s="173">
        <v>3836.77</v>
      </c>
    </row>
    <row r="1018" spans="1:22" ht="14.25" x14ac:dyDescent="0.2">
      <c r="A1018" s="179"/>
      <c r="B1018" s="178"/>
      <c r="C1018" s="178" t="s">
        <v>188</v>
      </c>
      <c r="D1018" s="177" t="s">
        <v>187</v>
      </c>
      <c r="E1018" s="174">
        <v>175</v>
      </c>
      <c r="F1018" s="176"/>
      <c r="G1018" s="175"/>
      <c r="H1018" s="174"/>
      <c r="I1018" s="173">
        <v>0.98</v>
      </c>
      <c r="J1018" s="174">
        <v>157</v>
      </c>
      <c r="K1018" s="173">
        <v>20.54</v>
      </c>
    </row>
    <row r="1019" spans="1:22" ht="14.25" x14ac:dyDescent="0.2">
      <c r="A1019" s="172"/>
      <c r="B1019" s="171"/>
      <c r="C1019" s="171" t="s">
        <v>192</v>
      </c>
      <c r="D1019" s="170" t="s">
        <v>191</v>
      </c>
      <c r="E1019" s="167">
        <v>23.33</v>
      </c>
      <c r="F1019" s="169"/>
      <c r="G1019" s="168" t="s">
        <v>1548</v>
      </c>
      <c r="H1019" s="167">
        <v>1</v>
      </c>
      <c r="I1019" s="166">
        <v>38.5</v>
      </c>
      <c r="J1019" s="167"/>
      <c r="K1019" s="166"/>
    </row>
    <row r="1020" spans="1:22" ht="15" x14ac:dyDescent="0.25">
      <c r="A1020" s="164"/>
      <c r="B1020" s="164"/>
      <c r="C1020" s="165" t="s">
        <v>183</v>
      </c>
      <c r="D1020" s="164"/>
      <c r="E1020" s="164"/>
      <c r="F1020" s="164"/>
      <c r="G1020" s="164"/>
      <c r="H1020" s="414">
        <v>2559.19</v>
      </c>
      <c r="I1020" s="414"/>
      <c r="J1020" s="414">
        <v>31034.48</v>
      </c>
      <c r="K1020" s="414"/>
      <c r="O1020" s="163">
        <f>I1011+I1012+I1014+I1016+I1017+I1018+SUM(I1015:I1015)</f>
        <v>2559.19</v>
      </c>
      <c r="P1020" s="163">
        <f>K1011+K1012+K1014+K1016+K1017+K1018+SUM(K1015:K1015)</f>
        <v>31034.48</v>
      </c>
    </row>
    <row r="1022" spans="1:22" ht="52.5" x14ac:dyDescent="0.2">
      <c r="A1022" s="179" t="s">
        <v>1863</v>
      </c>
      <c r="B1022" s="178" t="s">
        <v>235</v>
      </c>
      <c r="C1022" s="178" t="s">
        <v>234</v>
      </c>
      <c r="D1022" s="177" t="s">
        <v>1741</v>
      </c>
      <c r="E1022" s="174">
        <v>1.4349000000000001</v>
      </c>
      <c r="F1022" s="176"/>
      <c r="G1022" s="175"/>
      <c r="H1022" s="174"/>
      <c r="I1022" s="173"/>
      <c r="J1022" s="174"/>
      <c r="K1022" s="173"/>
      <c r="Q1022" s="160">
        <f>[2]Source!X960</f>
        <v>30.89</v>
      </c>
      <c r="R1022" s="160">
        <f>[2]Source!X961</f>
        <v>589.48</v>
      </c>
      <c r="S1022" s="160">
        <f>[2]Source!Y960</f>
        <v>20.79</v>
      </c>
      <c r="T1022" s="160">
        <f>[2]Source!Y961</f>
        <v>284.33999999999997</v>
      </c>
      <c r="U1022" s="160">
        <f>ROUND((175/100)*ROUND([2]Source!R960, 2), 2)</f>
        <v>1</v>
      </c>
      <c r="V1022" s="160">
        <f>ROUND((157/100)*ROUND([2]Source!R961, 2), 2)</f>
        <v>20.9</v>
      </c>
    </row>
    <row r="1023" spans="1:22" x14ac:dyDescent="0.2">
      <c r="C1023" s="181" t="s">
        <v>1856</v>
      </c>
    </row>
    <row r="1024" spans="1:22" ht="14.25" x14ac:dyDescent="0.2">
      <c r="A1024" s="179"/>
      <c r="B1024" s="178"/>
      <c r="C1024" s="178" t="s">
        <v>197</v>
      </c>
      <c r="D1024" s="177"/>
      <c r="E1024" s="174"/>
      <c r="F1024" s="176">
        <v>4.5</v>
      </c>
      <c r="G1024" s="175" t="s">
        <v>1864</v>
      </c>
      <c r="H1024" s="174">
        <v>1</v>
      </c>
      <c r="I1024" s="173">
        <v>29.7</v>
      </c>
      <c r="J1024" s="174">
        <v>23.35</v>
      </c>
      <c r="K1024" s="173">
        <v>693.5</v>
      </c>
    </row>
    <row r="1025" spans="1:22" ht="14.25" x14ac:dyDescent="0.2">
      <c r="A1025" s="179"/>
      <c r="B1025" s="178"/>
      <c r="C1025" s="178" t="s">
        <v>184</v>
      </c>
      <c r="D1025" s="177"/>
      <c r="E1025" s="174"/>
      <c r="F1025" s="176">
        <v>3.22</v>
      </c>
      <c r="G1025" s="175" t="s">
        <v>1865</v>
      </c>
      <c r="H1025" s="174">
        <v>1</v>
      </c>
      <c r="I1025" s="173">
        <v>23.1</v>
      </c>
      <c r="J1025" s="174">
        <v>1.58</v>
      </c>
      <c r="K1025" s="173">
        <v>36.5</v>
      </c>
    </row>
    <row r="1026" spans="1:22" ht="14.25" x14ac:dyDescent="0.2">
      <c r="A1026" s="179"/>
      <c r="B1026" s="178"/>
      <c r="C1026" s="178" t="s">
        <v>189</v>
      </c>
      <c r="D1026" s="177"/>
      <c r="E1026" s="174"/>
      <c r="F1026" s="176">
        <v>0.08</v>
      </c>
      <c r="G1026" s="175" t="s">
        <v>1865</v>
      </c>
      <c r="H1026" s="174">
        <v>1</v>
      </c>
      <c r="I1026" s="180">
        <v>0.56999999999999995</v>
      </c>
      <c r="J1026" s="174">
        <v>23.35</v>
      </c>
      <c r="K1026" s="180">
        <v>13.31</v>
      </c>
    </row>
    <row r="1027" spans="1:22" ht="52.5" x14ac:dyDescent="0.2">
      <c r="A1027" s="179" t="s">
        <v>1866</v>
      </c>
      <c r="B1027" s="178" t="s">
        <v>233</v>
      </c>
      <c r="C1027" s="178" t="s">
        <v>232</v>
      </c>
      <c r="D1027" s="177" t="s">
        <v>1594</v>
      </c>
      <c r="E1027" s="174">
        <v>2.9271959999999999</v>
      </c>
      <c r="F1027" s="176">
        <v>478.96</v>
      </c>
      <c r="G1027" s="182" t="s">
        <v>231</v>
      </c>
      <c r="H1027" s="174">
        <v>1</v>
      </c>
      <c r="I1027" s="173">
        <v>1402.01</v>
      </c>
      <c r="J1027" s="174">
        <v>6.89</v>
      </c>
      <c r="K1027" s="173">
        <v>9659.85</v>
      </c>
      <c r="Q1027" s="160">
        <f>[2]Source!X962</f>
        <v>0</v>
      </c>
      <c r="R1027" s="160">
        <f>[2]Source!X963</f>
        <v>0</v>
      </c>
      <c r="S1027" s="160">
        <f>[2]Source!Y962</f>
        <v>0</v>
      </c>
      <c r="T1027" s="160">
        <f>[2]Source!Y963</f>
        <v>0</v>
      </c>
      <c r="U1027" s="160">
        <f>ROUND((175/100)*ROUND([2]Source!R962, 2), 2)</f>
        <v>0</v>
      </c>
      <c r="V1027" s="160">
        <f>ROUND((157/100)*ROUND([2]Source!R963, 2), 2)</f>
        <v>0</v>
      </c>
    </row>
    <row r="1028" spans="1:22" ht="14.25" x14ac:dyDescent="0.2">
      <c r="A1028" s="179"/>
      <c r="B1028" s="178"/>
      <c r="C1028" s="178" t="s">
        <v>194</v>
      </c>
      <c r="D1028" s="177" t="s">
        <v>187</v>
      </c>
      <c r="E1028" s="174">
        <v>104</v>
      </c>
      <c r="F1028" s="176"/>
      <c r="G1028" s="175"/>
      <c r="H1028" s="174"/>
      <c r="I1028" s="173">
        <v>30.89</v>
      </c>
      <c r="J1028" s="174">
        <v>85</v>
      </c>
      <c r="K1028" s="173">
        <v>589.48</v>
      </c>
    </row>
    <row r="1029" spans="1:22" ht="14.25" x14ac:dyDescent="0.2">
      <c r="A1029" s="179"/>
      <c r="B1029" s="178"/>
      <c r="C1029" s="178" t="s">
        <v>193</v>
      </c>
      <c r="D1029" s="177" t="s">
        <v>187</v>
      </c>
      <c r="E1029" s="174">
        <v>70</v>
      </c>
      <c r="F1029" s="176"/>
      <c r="G1029" s="175"/>
      <c r="H1029" s="174"/>
      <c r="I1029" s="173">
        <v>20.79</v>
      </c>
      <c r="J1029" s="174">
        <v>41</v>
      </c>
      <c r="K1029" s="173">
        <v>284.33999999999997</v>
      </c>
    </row>
    <row r="1030" spans="1:22" ht="14.25" x14ac:dyDescent="0.2">
      <c r="A1030" s="179"/>
      <c r="B1030" s="178"/>
      <c r="C1030" s="178" t="s">
        <v>188</v>
      </c>
      <c r="D1030" s="177" t="s">
        <v>187</v>
      </c>
      <c r="E1030" s="174">
        <v>175</v>
      </c>
      <c r="F1030" s="176"/>
      <c r="G1030" s="175"/>
      <c r="H1030" s="174"/>
      <c r="I1030" s="173">
        <v>1</v>
      </c>
      <c r="J1030" s="174">
        <v>157</v>
      </c>
      <c r="K1030" s="173">
        <v>20.9</v>
      </c>
    </row>
    <row r="1031" spans="1:22" ht="14.25" x14ac:dyDescent="0.2">
      <c r="A1031" s="172"/>
      <c r="B1031" s="171"/>
      <c r="C1031" s="171" t="s">
        <v>192</v>
      </c>
      <c r="D1031" s="170" t="s">
        <v>191</v>
      </c>
      <c r="E1031" s="167">
        <v>0.44</v>
      </c>
      <c r="F1031" s="169"/>
      <c r="G1031" s="168" t="s">
        <v>1864</v>
      </c>
      <c r="H1031" s="167">
        <v>1</v>
      </c>
      <c r="I1031" s="166">
        <v>2.9</v>
      </c>
      <c r="J1031" s="167"/>
      <c r="K1031" s="166"/>
    </row>
    <row r="1032" spans="1:22" ht="15" x14ac:dyDescent="0.25">
      <c r="A1032" s="164"/>
      <c r="B1032" s="164"/>
      <c r="C1032" s="165" t="s">
        <v>183</v>
      </c>
      <c r="D1032" s="164"/>
      <c r="E1032" s="164"/>
      <c r="F1032" s="164"/>
      <c r="G1032" s="164"/>
      <c r="H1032" s="414">
        <v>1507.49</v>
      </c>
      <c r="I1032" s="414"/>
      <c r="J1032" s="414">
        <v>11284.57</v>
      </c>
      <c r="K1032" s="414"/>
      <c r="O1032" s="163">
        <f>I1024+I1025+I1028+I1029+I1030+SUM(I1027:I1027)</f>
        <v>1507.49</v>
      </c>
      <c r="P1032" s="163">
        <f>K1024+K1025+K1028+K1029+K1030+SUM(K1027:K1027)</f>
        <v>11284.57</v>
      </c>
    </row>
    <row r="1034" spans="1:22" ht="52.5" x14ac:dyDescent="0.2">
      <c r="A1034" s="179" t="s">
        <v>1867</v>
      </c>
      <c r="B1034" s="178" t="s">
        <v>230</v>
      </c>
      <c r="C1034" s="178" t="s">
        <v>229</v>
      </c>
      <c r="D1034" s="177" t="s">
        <v>1785</v>
      </c>
      <c r="E1034" s="174">
        <v>0.41612100000000002</v>
      </c>
      <c r="F1034" s="176"/>
      <c r="G1034" s="175"/>
      <c r="H1034" s="174"/>
      <c r="I1034" s="173"/>
      <c r="J1034" s="174"/>
      <c r="K1034" s="173"/>
      <c r="Q1034" s="160">
        <f>[2]Source!X964</f>
        <v>54.78</v>
      </c>
      <c r="R1034" s="160">
        <f>[2]Source!X965</f>
        <v>1023.34</v>
      </c>
      <c r="S1034" s="160">
        <f>[2]Source!Y964</f>
        <v>45.12</v>
      </c>
      <c r="T1034" s="160">
        <f>[2]Source!Y965</f>
        <v>617.01</v>
      </c>
      <c r="U1034" s="160">
        <f>ROUND((175/100)*ROUND([2]Source!R964, 2), 2)</f>
        <v>5.09</v>
      </c>
      <c r="V1034" s="160">
        <f>ROUND((157/100)*ROUND([2]Source!R965, 2), 2)</f>
        <v>106.68</v>
      </c>
    </row>
    <row r="1035" spans="1:22" x14ac:dyDescent="0.2">
      <c r="C1035" s="181" t="s">
        <v>1868</v>
      </c>
    </row>
    <row r="1036" spans="1:22" ht="14.25" x14ac:dyDescent="0.2">
      <c r="A1036" s="179"/>
      <c r="B1036" s="178"/>
      <c r="C1036" s="178" t="s">
        <v>197</v>
      </c>
      <c r="D1036" s="177"/>
      <c r="E1036" s="174"/>
      <c r="F1036" s="176">
        <v>134.68</v>
      </c>
      <c r="G1036" s="175" t="s">
        <v>1548</v>
      </c>
      <c r="H1036" s="174">
        <v>1</v>
      </c>
      <c r="I1036" s="173">
        <v>64.45</v>
      </c>
      <c r="J1036" s="174">
        <v>23.35</v>
      </c>
      <c r="K1036" s="173">
        <v>1504.91</v>
      </c>
    </row>
    <row r="1037" spans="1:22" ht="14.25" x14ac:dyDescent="0.2">
      <c r="A1037" s="179"/>
      <c r="B1037" s="178"/>
      <c r="C1037" s="178" t="s">
        <v>184</v>
      </c>
      <c r="D1037" s="177"/>
      <c r="E1037" s="174"/>
      <c r="F1037" s="176">
        <v>44</v>
      </c>
      <c r="G1037" s="175" t="s">
        <v>1549</v>
      </c>
      <c r="H1037" s="174">
        <v>1</v>
      </c>
      <c r="I1037" s="173">
        <v>22.89</v>
      </c>
      <c r="J1037" s="174">
        <v>8.19</v>
      </c>
      <c r="K1037" s="173">
        <v>187.47</v>
      </c>
    </row>
    <row r="1038" spans="1:22" ht="14.25" x14ac:dyDescent="0.2">
      <c r="A1038" s="179"/>
      <c r="B1038" s="178"/>
      <c r="C1038" s="178" t="s">
        <v>189</v>
      </c>
      <c r="D1038" s="177"/>
      <c r="E1038" s="174"/>
      <c r="F1038" s="176">
        <v>5.59</v>
      </c>
      <c r="G1038" s="175" t="s">
        <v>1549</v>
      </c>
      <c r="H1038" s="174">
        <v>1</v>
      </c>
      <c r="I1038" s="180">
        <v>2.91</v>
      </c>
      <c r="J1038" s="174">
        <v>23.35</v>
      </c>
      <c r="K1038" s="180">
        <v>67.95</v>
      </c>
    </row>
    <row r="1039" spans="1:22" ht="14.25" x14ac:dyDescent="0.2">
      <c r="A1039" s="179"/>
      <c r="B1039" s="178"/>
      <c r="C1039" s="178" t="s">
        <v>205</v>
      </c>
      <c r="D1039" s="177"/>
      <c r="E1039" s="174"/>
      <c r="F1039" s="176">
        <v>258.91000000000003</v>
      </c>
      <c r="G1039" s="175" t="s">
        <v>195</v>
      </c>
      <c r="H1039" s="174">
        <v>1</v>
      </c>
      <c r="I1039" s="173">
        <v>107.74</v>
      </c>
      <c r="J1039" s="174">
        <v>5.54</v>
      </c>
      <c r="K1039" s="173">
        <v>596.88</v>
      </c>
    </row>
    <row r="1040" spans="1:22" ht="57" x14ac:dyDescent="0.2">
      <c r="A1040" s="179" t="s">
        <v>1869</v>
      </c>
      <c r="B1040" s="178" t="s">
        <v>1788</v>
      </c>
      <c r="C1040" s="178" t="s">
        <v>228</v>
      </c>
      <c r="D1040" s="177" t="s">
        <v>1533</v>
      </c>
      <c r="E1040" s="174">
        <v>0.41612100000000002</v>
      </c>
      <c r="F1040" s="176">
        <v>9733.52</v>
      </c>
      <c r="G1040" s="182" t="s">
        <v>195</v>
      </c>
      <c r="H1040" s="174">
        <v>1</v>
      </c>
      <c r="I1040" s="173">
        <v>4050.32</v>
      </c>
      <c r="J1040" s="174">
        <v>3.64</v>
      </c>
      <c r="K1040" s="173">
        <v>14743.16</v>
      </c>
      <c r="Q1040" s="160">
        <f>[2]Source!X966</f>
        <v>0</v>
      </c>
      <c r="R1040" s="160">
        <f>[2]Source!X967</f>
        <v>0</v>
      </c>
      <c r="S1040" s="160">
        <f>[2]Source!Y966</f>
        <v>0</v>
      </c>
      <c r="T1040" s="160">
        <f>[2]Source!Y967</f>
        <v>0</v>
      </c>
      <c r="U1040" s="160">
        <f>ROUND((175/100)*ROUND([2]Source!R966, 2), 2)</f>
        <v>0</v>
      </c>
      <c r="V1040" s="160">
        <f>ROUND((157/100)*ROUND([2]Source!R967, 2), 2)</f>
        <v>0</v>
      </c>
    </row>
    <row r="1041" spans="1:22" ht="14.25" x14ac:dyDescent="0.2">
      <c r="A1041" s="179"/>
      <c r="B1041" s="178"/>
      <c r="C1041" s="178" t="s">
        <v>194</v>
      </c>
      <c r="D1041" s="177" t="s">
        <v>187</v>
      </c>
      <c r="E1041" s="174">
        <v>85</v>
      </c>
      <c r="F1041" s="176"/>
      <c r="G1041" s="175"/>
      <c r="H1041" s="174"/>
      <c r="I1041" s="173">
        <v>54.78</v>
      </c>
      <c r="J1041" s="174">
        <v>68</v>
      </c>
      <c r="K1041" s="173">
        <v>1023.34</v>
      </c>
    </row>
    <row r="1042" spans="1:22" ht="14.25" x14ac:dyDescent="0.2">
      <c r="A1042" s="179"/>
      <c r="B1042" s="178"/>
      <c r="C1042" s="178" t="s">
        <v>193</v>
      </c>
      <c r="D1042" s="177" t="s">
        <v>187</v>
      </c>
      <c r="E1042" s="174">
        <v>70</v>
      </c>
      <c r="F1042" s="176"/>
      <c r="G1042" s="175"/>
      <c r="H1042" s="174"/>
      <c r="I1042" s="173">
        <v>45.12</v>
      </c>
      <c r="J1042" s="174">
        <v>41</v>
      </c>
      <c r="K1042" s="173">
        <v>617.01</v>
      </c>
    </row>
    <row r="1043" spans="1:22" ht="14.25" x14ac:dyDescent="0.2">
      <c r="A1043" s="179"/>
      <c r="B1043" s="178"/>
      <c r="C1043" s="178" t="s">
        <v>188</v>
      </c>
      <c r="D1043" s="177" t="s">
        <v>187</v>
      </c>
      <c r="E1043" s="174">
        <v>175</v>
      </c>
      <c r="F1043" s="176"/>
      <c r="G1043" s="175"/>
      <c r="H1043" s="174"/>
      <c r="I1043" s="173">
        <v>5.09</v>
      </c>
      <c r="J1043" s="174">
        <v>157</v>
      </c>
      <c r="K1043" s="173">
        <v>106.68</v>
      </c>
    </row>
    <row r="1044" spans="1:22" ht="14.25" x14ac:dyDescent="0.2">
      <c r="A1044" s="172"/>
      <c r="B1044" s="171"/>
      <c r="C1044" s="171" t="s">
        <v>192</v>
      </c>
      <c r="D1044" s="170" t="s">
        <v>191</v>
      </c>
      <c r="E1044" s="167">
        <v>11.6</v>
      </c>
      <c r="F1044" s="169"/>
      <c r="G1044" s="168" t="s">
        <v>1548</v>
      </c>
      <c r="H1044" s="167">
        <v>1</v>
      </c>
      <c r="I1044" s="166">
        <v>5.55</v>
      </c>
      <c r="J1044" s="167"/>
      <c r="K1044" s="166"/>
    </row>
    <row r="1045" spans="1:22" ht="15" x14ac:dyDescent="0.25">
      <c r="A1045" s="164"/>
      <c r="B1045" s="164"/>
      <c r="C1045" s="165" t="s">
        <v>183</v>
      </c>
      <c r="D1045" s="164"/>
      <c r="E1045" s="164"/>
      <c r="F1045" s="164"/>
      <c r="G1045" s="164"/>
      <c r="H1045" s="414">
        <v>4350.3900000000003</v>
      </c>
      <c r="I1045" s="414"/>
      <c r="J1045" s="414">
        <v>18779.45</v>
      </c>
      <c r="K1045" s="414"/>
      <c r="O1045" s="163">
        <f>I1036+I1037+I1039+I1041+I1042+I1043+SUM(I1040:I1040)</f>
        <v>4350.3900000000003</v>
      </c>
      <c r="P1045" s="163">
        <f>K1036+K1037+K1039+K1041+K1042+K1043+SUM(K1040:K1040)</f>
        <v>18779.45</v>
      </c>
    </row>
    <row r="1047" spans="1:22" ht="57" x14ac:dyDescent="0.2">
      <c r="A1047" s="179" t="s">
        <v>1870</v>
      </c>
      <c r="B1047" s="178" t="s">
        <v>227</v>
      </c>
      <c r="C1047" s="178" t="s">
        <v>226</v>
      </c>
      <c r="D1047" s="177" t="s">
        <v>1761</v>
      </c>
      <c r="E1047" s="174">
        <v>1.4349000000000001</v>
      </c>
      <c r="F1047" s="176"/>
      <c r="G1047" s="175"/>
      <c r="H1047" s="174"/>
      <c r="I1047" s="173"/>
      <c r="J1047" s="174"/>
      <c r="K1047" s="173"/>
      <c r="Q1047" s="160">
        <f>[2]Source!X978</f>
        <v>1693.8</v>
      </c>
      <c r="R1047" s="160">
        <f>[2]Source!X979</f>
        <v>32324.63</v>
      </c>
      <c r="S1047" s="160">
        <f>[2]Source!Y978</f>
        <v>1140.06</v>
      </c>
      <c r="T1047" s="160">
        <f>[2]Source!Y979</f>
        <v>15591.88</v>
      </c>
      <c r="U1047" s="160">
        <f>ROUND((175/100)*ROUND([2]Source!R978, 2), 2)</f>
        <v>39.270000000000003</v>
      </c>
      <c r="V1047" s="160">
        <f>ROUND((157/100)*ROUND([2]Source!R979, 2), 2)</f>
        <v>822.63</v>
      </c>
    </row>
    <row r="1048" spans="1:22" x14ac:dyDescent="0.2">
      <c r="C1048" s="181" t="s">
        <v>1856</v>
      </c>
    </row>
    <row r="1049" spans="1:22" ht="14.25" x14ac:dyDescent="0.2">
      <c r="A1049" s="179"/>
      <c r="B1049" s="178"/>
      <c r="C1049" s="178" t="s">
        <v>197</v>
      </c>
      <c r="D1049" s="177"/>
      <c r="E1049" s="174"/>
      <c r="F1049" s="176">
        <v>986.98</v>
      </c>
      <c r="G1049" s="175" t="s">
        <v>1548</v>
      </c>
      <c r="H1049" s="174">
        <v>1</v>
      </c>
      <c r="I1049" s="173">
        <v>1628.65</v>
      </c>
      <c r="J1049" s="174">
        <v>23.35</v>
      </c>
      <c r="K1049" s="173">
        <v>38028.980000000003</v>
      </c>
    </row>
    <row r="1050" spans="1:22" ht="14.25" x14ac:dyDescent="0.2">
      <c r="A1050" s="179"/>
      <c r="B1050" s="178"/>
      <c r="C1050" s="178" t="s">
        <v>184</v>
      </c>
      <c r="D1050" s="177"/>
      <c r="E1050" s="174"/>
      <c r="F1050" s="176">
        <v>99.77</v>
      </c>
      <c r="G1050" s="175" t="s">
        <v>1549</v>
      </c>
      <c r="H1050" s="174">
        <v>1</v>
      </c>
      <c r="I1050" s="173">
        <v>178.95</v>
      </c>
      <c r="J1050" s="174">
        <v>11.81</v>
      </c>
      <c r="K1050" s="173">
        <v>2113.4</v>
      </c>
    </row>
    <row r="1051" spans="1:22" ht="14.25" x14ac:dyDescent="0.2">
      <c r="A1051" s="179"/>
      <c r="B1051" s="178"/>
      <c r="C1051" s="178" t="s">
        <v>189</v>
      </c>
      <c r="D1051" s="177"/>
      <c r="E1051" s="174"/>
      <c r="F1051" s="176">
        <v>12.51</v>
      </c>
      <c r="G1051" s="175" t="s">
        <v>1549</v>
      </c>
      <c r="H1051" s="174">
        <v>1</v>
      </c>
      <c r="I1051" s="180">
        <v>22.44</v>
      </c>
      <c r="J1051" s="174">
        <v>23.35</v>
      </c>
      <c r="K1051" s="180">
        <v>523.97</v>
      </c>
    </row>
    <row r="1052" spans="1:22" ht="14.25" x14ac:dyDescent="0.2">
      <c r="A1052" s="179"/>
      <c r="B1052" s="178"/>
      <c r="C1052" s="178" t="s">
        <v>205</v>
      </c>
      <c r="D1052" s="177"/>
      <c r="E1052" s="174"/>
      <c r="F1052" s="176">
        <v>699.78</v>
      </c>
      <c r="G1052" s="175" t="s">
        <v>195</v>
      </c>
      <c r="H1052" s="174">
        <v>1</v>
      </c>
      <c r="I1052" s="173">
        <v>1004.11</v>
      </c>
      <c r="J1052" s="174">
        <v>0.9</v>
      </c>
      <c r="K1052" s="173">
        <v>903.7</v>
      </c>
    </row>
    <row r="1053" spans="1:22" ht="57" x14ac:dyDescent="0.2">
      <c r="A1053" s="179" t="s">
        <v>1871</v>
      </c>
      <c r="B1053" s="178" t="s">
        <v>1612</v>
      </c>
      <c r="C1053" s="178" t="s">
        <v>225</v>
      </c>
      <c r="D1053" s="177" t="s">
        <v>1533</v>
      </c>
      <c r="E1053" s="174">
        <v>8.6094000000000004E-2</v>
      </c>
      <c r="F1053" s="176">
        <v>5986.03</v>
      </c>
      <c r="G1053" s="182" t="s">
        <v>195</v>
      </c>
      <c r="H1053" s="174">
        <v>1</v>
      </c>
      <c r="I1053" s="173">
        <v>515.36</v>
      </c>
      <c r="J1053" s="174">
        <v>4.4800000000000004</v>
      </c>
      <c r="K1053" s="173">
        <v>2308.81</v>
      </c>
      <c r="Q1053" s="160">
        <f>[2]Source!X980</f>
        <v>0</v>
      </c>
      <c r="R1053" s="160">
        <f>[2]Source!X981</f>
        <v>0</v>
      </c>
      <c r="S1053" s="160">
        <f>[2]Source!Y980</f>
        <v>0</v>
      </c>
      <c r="T1053" s="160">
        <f>[2]Source!Y981</f>
        <v>0</v>
      </c>
      <c r="U1053" s="160">
        <f>ROUND((175/100)*ROUND([2]Source!R980, 2), 2)</f>
        <v>0</v>
      </c>
      <c r="V1053" s="160">
        <f>ROUND((157/100)*ROUND([2]Source!R981, 2), 2)</f>
        <v>0</v>
      </c>
    </row>
    <row r="1054" spans="1:22" ht="71.25" x14ac:dyDescent="0.2">
      <c r="A1054" s="179" t="s">
        <v>1872</v>
      </c>
      <c r="B1054" s="178" t="s">
        <v>1614</v>
      </c>
      <c r="C1054" s="178" t="s">
        <v>224</v>
      </c>
      <c r="D1054" s="177" t="s">
        <v>1533</v>
      </c>
      <c r="E1054" s="174">
        <v>0.67440299999999997</v>
      </c>
      <c r="F1054" s="176">
        <v>3374.81</v>
      </c>
      <c r="G1054" s="182" t="s">
        <v>195</v>
      </c>
      <c r="H1054" s="174">
        <v>1</v>
      </c>
      <c r="I1054" s="173">
        <v>2275.98</v>
      </c>
      <c r="J1054" s="174">
        <v>4.5</v>
      </c>
      <c r="K1054" s="173">
        <v>10241.91</v>
      </c>
      <c r="Q1054" s="160">
        <f>[2]Source!X982</f>
        <v>0</v>
      </c>
      <c r="R1054" s="160">
        <f>[2]Source!X983</f>
        <v>0</v>
      </c>
      <c r="S1054" s="160">
        <f>[2]Source!Y982</f>
        <v>0</v>
      </c>
      <c r="T1054" s="160">
        <f>[2]Source!Y983</f>
        <v>0</v>
      </c>
      <c r="U1054" s="160">
        <f>ROUND((175/100)*ROUND([2]Source!R982, 2), 2)</f>
        <v>0</v>
      </c>
      <c r="V1054" s="160">
        <f>ROUND((157/100)*ROUND([2]Source!R983, 2), 2)</f>
        <v>0</v>
      </c>
    </row>
    <row r="1055" spans="1:22" ht="57" x14ac:dyDescent="0.2">
      <c r="A1055" s="179" t="s">
        <v>1873</v>
      </c>
      <c r="B1055" s="178" t="s">
        <v>1765</v>
      </c>
      <c r="C1055" s="178" t="s">
        <v>223</v>
      </c>
      <c r="D1055" s="177" t="s">
        <v>1557</v>
      </c>
      <c r="E1055" s="174">
        <v>146.35980000000001</v>
      </c>
      <c r="F1055" s="176">
        <v>198.81</v>
      </c>
      <c r="G1055" s="182" t="s">
        <v>195</v>
      </c>
      <c r="H1055" s="174">
        <v>1</v>
      </c>
      <c r="I1055" s="173">
        <v>29097.79</v>
      </c>
      <c r="J1055" s="174">
        <v>3.35</v>
      </c>
      <c r="K1055" s="173">
        <v>97477.6</v>
      </c>
      <c r="Q1055" s="160">
        <f>[2]Source!X984</f>
        <v>0</v>
      </c>
      <c r="R1055" s="160">
        <f>[2]Source!X985</f>
        <v>0</v>
      </c>
      <c r="S1055" s="160">
        <f>[2]Source!Y984</f>
        <v>0</v>
      </c>
      <c r="T1055" s="160">
        <f>[2]Source!Y985</f>
        <v>0</v>
      </c>
      <c r="U1055" s="160">
        <f>ROUND((175/100)*ROUND([2]Source!R984, 2), 2)</f>
        <v>0</v>
      </c>
      <c r="V1055" s="160">
        <f>ROUND((157/100)*ROUND([2]Source!R985, 2), 2)</f>
        <v>0</v>
      </c>
    </row>
    <row r="1056" spans="1:22" ht="14.25" x14ac:dyDescent="0.2">
      <c r="A1056" s="179"/>
      <c r="B1056" s="178"/>
      <c r="C1056" s="178" t="s">
        <v>194</v>
      </c>
      <c r="D1056" s="177" t="s">
        <v>187</v>
      </c>
      <c r="E1056" s="174">
        <v>104</v>
      </c>
      <c r="F1056" s="176"/>
      <c r="G1056" s="175"/>
      <c r="H1056" s="174"/>
      <c r="I1056" s="173">
        <v>1693.8</v>
      </c>
      <c r="J1056" s="174">
        <v>85</v>
      </c>
      <c r="K1056" s="173">
        <v>32324.63</v>
      </c>
    </row>
    <row r="1057" spans="1:22" ht="14.25" x14ac:dyDescent="0.2">
      <c r="A1057" s="179"/>
      <c r="B1057" s="178"/>
      <c r="C1057" s="178" t="s">
        <v>193</v>
      </c>
      <c r="D1057" s="177" t="s">
        <v>187</v>
      </c>
      <c r="E1057" s="174">
        <v>70</v>
      </c>
      <c r="F1057" s="176"/>
      <c r="G1057" s="175"/>
      <c r="H1057" s="174"/>
      <c r="I1057" s="173">
        <v>1140.06</v>
      </c>
      <c r="J1057" s="174">
        <v>41</v>
      </c>
      <c r="K1057" s="173">
        <v>15591.88</v>
      </c>
    </row>
    <row r="1058" spans="1:22" ht="14.25" x14ac:dyDescent="0.2">
      <c r="A1058" s="179"/>
      <c r="B1058" s="178"/>
      <c r="C1058" s="178" t="s">
        <v>188</v>
      </c>
      <c r="D1058" s="177" t="s">
        <v>187</v>
      </c>
      <c r="E1058" s="174">
        <v>175</v>
      </c>
      <c r="F1058" s="176"/>
      <c r="G1058" s="175"/>
      <c r="H1058" s="174"/>
      <c r="I1058" s="173">
        <v>39.270000000000003</v>
      </c>
      <c r="J1058" s="174">
        <v>157</v>
      </c>
      <c r="K1058" s="173">
        <v>822.63</v>
      </c>
    </row>
    <row r="1059" spans="1:22" ht="14.25" x14ac:dyDescent="0.2">
      <c r="A1059" s="172"/>
      <c r="B1059" s="171"/>
      <c r="C1059" s="171" t="s">
        <v>192</v>
      </c>
      <c r="D1059" s="170" t="s">
        <v>191</v>
      </c>
      <c r="E1059" s="167">
        <v>84.08</v>
      </c>
      <c r="F1059" s="169"/>
      <c r="G1059" s="168" t="s">
        <v>1548</v>
      </c>
      <c r="H1059" s="167">
        <v>1</v>
      </c>
      <c r="I1059" s="166">
        <v>138.74</v>
      </c>
      <c r="J1059" s="167"/>
      <c r="K1059" s="166"/>
    </row>
    <row r="1060" spans="1:22" ht="15" x14ac:dyDescent="0.25">
      <c r="A1060" s="164"/>
      <c r="B1060" s="164"/>
      <c r="C1060" s="165" t="s">
        <v>183</v>
      </c>
      <c r="D1060" s="164"/>
      <c r="E1060" s="164"/>
      <c r="F1060" s="164"/>
      <c r="G1060" s="164"/>
      <c r="H1060" s="414">
        <v>37573.97</v>
      </c>
      <c r="I1060" s="414"/>
      <c r="J1060" s="414">
        <v>199813.54</v>
      </c>
      <c r="K1060" s="414"/>
      <c r="O1060" s="163">
        <f>I1049+I1050+I1052+I1056+I1057+I1058+SUM(I1053:I1055)</f>
        <v>37573.97</v>
      </c>
      <c r="P1060" s="163">
        <f>K1049+K1050+K1052+K1056+K1057+K1058+SUM(K1053:K1055)</f>
        <v>199813.54</v>
      </c>
    </row>
    <row r="1063" spans="1:22" ht="15" x14ac:dyDescent="0.25">
      <c r="A1063" s="417" t="s">
        <v>1874</v>
      </c>
      <c r="B1063" s="417"/>
      <c r="C1063" s="417"/>
      <c r="D1063" s="417"/>
      <c r="E1063" s="417"/>
      <c r="F1063" s="417"/>
      <c r="G1063" s="417"/>
      <c r="H1063" s="415">
        <v>54143.18</v>
      </c>
      <c r="I1063" s="416"/>
      <c r="J1063" s="415">
        <v>314544.87</v>
      </c>
      <c r="K1063" s="416"/>
    </row>
    <row r="1064" spans="1:22" hidden="1" x14ac:dyDescent="0.2">
      <c r="A1064" s="160" t="s">
        <v>182</v>
      </c>
      <c r="I1064" s="160">
        <v>0</v>
      </c>
      <c r="J1064" s="160">
        <v>0</v>
      </c>
    </row>
    <row r="1065" spans="1:22" hidden="1" x14ac:dyDescent="0.2">
      <c r="A1065" s="160" t="s">
        <v>181</v>
      </c>
      <c r="I1065" s="160">
        <v>0</v>
      </c>
      <c r="J1065" s="160">
        <v>0</v>
      </c>
    </row>
    <row r="1067" spans="1:22" ht="15" x14ac:dyDescent="0.25">
      <c r="A1067" s="417" t="s">
        <v>1875</v>
      </c>
      <c r="B1067" s="417"/>
      <c r="C1067" s="417"/>
      <c r="D1067" s="417"/>
      <c r="E1067" s="417"/>
      <c r="F1067" s="417"/>
      <c r="G1067" s="417"/>
      <c r="H1067" s="415">
        <v>1219914.3600000001</v>
      </c>
      <c r="I1067" s="416"/>
      <c r="J1067" s="415">
        <v>6371065.9699999997</v>
      </c>
      <c r="K1067" s="416"/>
    </row>
    <row r="1068" spans="1:22" hidden="1" x14ac:dyDescent="0.2">
      <c r="A1068" s="160" t="s">
        <v>182</v>
      </c>
      <c r="I1068" s="160">
        <v>0</v>
      </c>
      <c r="J1068" s="160">
        <v>0</v>
      </c>
    </row>
    <row r="1069" spans="1:22" hidden="1" x14ac:dyDescent="0.2">
      <c r="A1069" s="160" t="s">
        <v>181</v>
      </c>
      <c r="I1069" s="160">
        <v>0</v>
      </c>
      <c r="J1069" s="160">
        <v>0</v>
      </c>
    </row>
    <row r="1071" spans="1:22" ht="16.5" x14ac:dyDescent="0.25">
      <c r="A1071" s="413" t="s">
        <v>1876</v>
      </c>
      <c r="B1071" s="413"/>
      <c r="C1071" s="413"/>
      <c r="D1071" s="413"/>
      <c r="E1071" s="413"/>
      <c r="F1071" s="413"/>
      <c r="G1071" s="413"/>
      <c r="H1071" s="413"/>
      <c r="I1071" s="413"/>
      <c r="J1071" s="413"/>
      <c r="K1071" s="413"/>
    </row>
    <row r="1072" spans="1:22" ht="57" x14ac:dyDescent="0.2">
      <c r="A1072" s="179" t="s">
        <v>1877</v>
      </c>
      <c r="B1072" s="178" t="s">
        <v>222</v>
      </c>
      <c r="C1072" s="178" t="s">
        <v>221</v>
      </c>
      <c r="D1072" s="177" t="s">
        <v>1878</v>
      </c>
      <c r="E1072" s="174">
        <v>1.9802999999999999</v>
      </c>
      <c r="F1072" s="176"/>
      <c r="G1072" s="175"/>
      <c r="H1072" s="174"/>
      <c r="I1072" s="173"/>
      <c r="J1072" s="174"/>
      <c r="K1072" s="173"/>
      <c r="Q1072" s="160">
        <f>[2]Source!X1051</f>
        <v>2586.1</v>
      </c>
      <c r="R1072" s="160">
        <f>[2]Source!X1052</f>
        <v>48883.4</v>
      </c>
      <c r="S1072" s="160">
        <f>[2]Source!Y1051</f>
        <v>1724.07</v>
      </c>
      <c r="T1072" s="160">
        <f>[2]Source!Y1052</f>
        <v>23579.05</v>
      </c>
      <c r="U1072" s="160">
        <f>ROUND((175/100)*ROUND([2]Source!R1051, 2), 2)</f>
        <v>344.7</v>
      </c>
      <c r="V1072" s="160">
        <f>ROUND((157/100)*ROUND([2]Source!R1052, 2), 2)</f>
        <v>7220.82</v>
      </c>
    </row>
    <row r="1073" spans="1:22" ht="38.25" x14ac:dyDescent="0.2">
      <c r="C1073" s="181" t="s">
        <v>1879</v>
      </c>
    </row>
    <row r="1074" spans="1:22" ht="14.25" x14ac:dyDescent="0.2">
      <c r="A1074" s="179"/>
      <c r="B1074" s="178"/>
      <c r="C1074" s="178" t="s">
        <v>197</v>
      </c>
      <c r="D1074" s="177"/>
      <c r="E1074" s="174"/>
      <c r="F1074" s="176">
        <v>1081.5</v>
      </c>
      <c r="G1074" s="175" t="s">
        <v>1548</v>
      </c>
      <c r="H1074" s="174">
        <v>1</v>
      </c>
      <c r="I1074" s="173">
        <v>2462.9499999999998</v>
      </c>
      <c r="J1074" s="174">
        <v>23.35</v>
      </c>
      <c r="K1074" s="173">
        <v>57509.88</v>
      </c>
    </row>
    <row r="1075" spans="1:22" ht="14.25" x14ac:dyDescent="0.2">
      <c r="A1075" s="179"/>
      <c r="B1075" s="178"/>
      <c r="C1075" s="178" t="s">
        <v>184</v>
      </c>
      <c r="D1075" s="177"/>
      <c r="E1075" s="174"/>
      <c r="F1075" s="176">
        <v>315.24</v>
      </c>
      <c r="G1075" s="175" t="s">
        <v>1549</v>
      </c>
      <c r="H1075" s="174">
        <v>1</v>
      </c>
      <c r="I1075" s="173">
        <v>780.34</v>
      </c>
      <c r="J1075" s="174">
        <v>8.24</v>
      </c>
      <c r="K1075" s="173">
        <v>6430</v>
      </c>
    </row>
    <row r="1076" spans="1:22" ht="14.25" x14ac:dyDescent="0.2">
      <c r="A1076" s="179"/>
      <c r="B1076" s="178"/>
      <c r="C1076" s="178" t="s">
        <v>189</v>
      </c>
      <c r="D1076" s="177"/>
      <c r="E1076" s="174"/>
      <c r="F1076" s="176">
        <v>79.569999999999993</v>
      </c>
      <c r="G1076" s="175" t="s">
        <v>1549</v>
      </c>
      <c r="H1076" s="174">
        <v>1</v>
      </c>
      <c r="I1076" s="180">
        <v>196.97</v>
      </c>
      <c r="J1076" s="174">
        <v>23.35</v>
      </c>
      <c r="K1076" s="180">
        <v>4599.25</v>
      </c>
    </row>
    <row r="1077" spans="1:22" ht="14.25" x14ac:dyDescent="0.2">
      <c r="A1077" s="179"/>
      <c r="B1077" s="178"/>
      <c r="C1077" s="178" t="s">
        <v>205</v>
      </c>
      <c r="D1077" s="177"/>
      <c r="E1077" s="174"/>
      <c r="F1077" s="176">
        <v>2042.07</v>
      </c>
      <c r="G1077" s="175" t="s">
        <v>195</v>
      </c>
      <c r="H1077" s="174">
        <v>1</v>
      </c>
      <c r="I1077" s="173">
        <v>4043.91</v>
      </c>
      <c r="J1077" s="174">
        <v>6.56</v>
      </c>
      <c r="K1077" s="173">
        <v>26528.05</v>
      </c>
    </row>
    <row r="1078" spans="1:22" ht="99.75" x14ac:dyDescent="0.2">
      <c r="A1078" s="179" t="s">
        <v>1880</v>
      </c>
      <c r="B1078" s="178" t="s">
        <v>1881</v>
      </c>
      <c r="C1078" s="178" t="s">
        <v>220</v>
      </c>
      <c r="D1078" s="177" t="s">
        <v>1557</v>
      </c>
      <c r="E1078" s="174">
        <v>19.11</v>
      </c>
      <c r="F1078" s="176">
        <v>503.25</v>
      </c>
      <c r="G1078" s="182" t="s">
        <v>195</v>
      </c>
      <c r="H1078" s="174">
        <v>1</v>
      </c>
      <c r="I1078" s="173">
        <v>9617.11</v>
      </c>
      <c r="J1078" s="174">
        <v>11.76</v>
      </c>
      <c r="K1078" s="173">
        <v>113097.21</v>
      </c>
      <c r="Q1078" s="160">
        <f>[2]Source!X1055</f>
        <v>0</v>
      </c>
      <c r="R1078" s="160">
        <f>[2]Source!X1056</f>
        <v>0</v>
      </c>
      <c r="S1078" s="160">
        <f>[2]Source!Y1055</f>
        <v>0</v>
      </c>
      <c r="T1078" s="160">
        <f>[2]Source!Y1056</f>
        <v>0</v>
      </c>
      <c r="U1078" s="160">
        <f>ROUND((175/100)*ROUND([2]Source!R1055, 2), 2)</f>
        <v>0</v>
      </c>
      <c r="V1078" s="160">
        <f>ROUND((157/100)*ROUND([2]Source!R1056, 2), 2)</f>
        <v>0</v>
      </c>
    </row>
    <row r="1079" spans="1:22" ht="99.75" x14ac:dyDescent="0.2">
      <c r="A1079" s="179" t="s">
        <v>1882</v>
      </c>
      <c r="B1079" s="178" t="s">
        <v>1883</v>
      </c>
      <c r="C1079" s="178" t="s">
        <v>219</v>
      </c>
      <c r="D1079" s="177" t="s">
        <v>1557</v>
      </c>
      <c r="E1079" s="174">
        <v>122.85</v>
      </c>
      <c r="F1079" s="176">
        <v>503.25</v>
      </c>
      <c r="G1079" s="182" t="s">
        <v>195</v>
      </c>
      <c r="H1079" s="174">
        <v>1</v>
      </c>
      <c r="I1079" s="173">
        <v>61824.26</v>
      </c>
      <c r="J1079" s="174">
        <v>6.44</v>
      </c>
      <c r="K1079" s="173">
        <v>398148.23</v>
      </c>
      <c r="Q1079" s="160">
        <f>[2]Source!X1057</f>
        <v>0</v>
      </c>
      <c r="R1079" s="160">
        <f>[2]Source!X1058</f>
        <v>0</v>
      </c>
      <c r="S1079" s="160">
        <f>[2]Source!Y1057</f>
        <v>0</v>
      </c>
      <c r="T1079" s="160">
        <f>[2]Source!Y1058</f>
        <v>0</v>
      </c>
      <c r="U1079" s="160">
        <f>ROUND((175/100)*ROUND([2]Source!R1057, 2), 2)</f>
        <v>0</v>
      </c>
      <c r="V1079" s="160">
        <f>ROUND((157/100)*ROUND([2]Source!R1058, 2), 2)</f>
        <v>0</v>
      </c>
    </row>
    <row r="1080" spans="1:22" ht="99.75" x14ac:dyDescent="0.2">
      <c r="A1080" s="179" t="s">
        <v>1884</v>
      </c>
      <c r="B1080" s="178" t="s">
        <v>1885</v>
      </c>
      <c r="C1080" s="178" t="s">
        <v>218</v>
      </c>
      <c r="D1080" s="177" t="s">
        <v>1557</v>
      </c>
      <c r="E1080" s="174">
        <v>25.2</v>
      </c>
      <c r="F1080" s="176">
        <v>503.55</v>
      </c>
      <c r="G1080" s="182" t="s">
        <v>195</v>
      </c>
      <c r="H1080" s="174">
        <v>1</v>
      </c>
      <c r="I1080" s="173">
        <v>12689.46</v>
      </c>
      <c r="J1080" s="174">
        <v>9.8699999999999992</v>
      </c>
      <c r="K1080" s="173">
        <v>125244.97</v>
      </c>
      <c r="Q1080" s="160">
        <f>[2]Source!X1059</f>
        <v>0</v>
      </c>
      <c r="R1080" s="160">
        <f>[2]Source!X1060</f>
        <v>0</v>
      </c>
      <c r="S1080" s="160">
        <f>[2]Source!Y1059</f>
        <v>0</v>
      </c>
      <c r="T1080" s="160">
        <f>[2]Source!Y1060</f>
        <v>0</v>
      </c>
      <c r="U1080" s="160">
        <f>ROUND((175/100)*ROUND([2]Source!R1059, 2), 2)</f>
        <v>0</v>
      </c>
      <c r="V1080" s="160">
        <f>ROUND((157/100)*ROUND([2]Source!R1060, 2), 2)</f>
        <v>0</v>
      </c>
    </row>
    <row r="1081" spans="1:22" ht="99.75" x14ac:dyDescent="0.2">
      <c r="A1081" s="179" t="s">
        <v>1886</v>
      </c>
      <c r="B1081" s="178" t="s">
        <v>1887</v>
      </c>
      <c r="C1081" s="178" t="s">
        <v>217</v>
      </c>
      <c r="D1081" s="177" t="s">
        <v>1557</v>
      </c>
      <c r="E1081" s="174">
        <v>5.04</v>
      </c>
      <c r="F1081" s="176">
        <v>602.44000000000005</v>
      </c>
      <c r="G1081" s="182" t="s">
        <v>195</v>
      </c>
      <c r="H1081" s="174">
        <v>1</v>
      </c>
      <c r="I1081" s="173">
        <v>3036.3</v>
      </c>
      <c r="J1081" s="174">
        <v>9.01</v>
      </c>
      <c r="K1081" s="173">
        <v>27357.06</v>
      </c>
      <c r="Q1081" s="160">
        <f>[2]Source!X1067</f>
        <v>0</v>
      </c>
      <c r="R1081" s="160">
        <f>[2]Source!X1068</f>
        <v>0</v>
      </c>
      <c r="S1081" s="160">
        <f>[2]Source!Y1067</f>
        <v>0</v>
      </c>
      <c r="T1081" s="160">
        <f>[2]Source!Y1068</f>
        <v>0</v>
      </c>
      <c r="U1081" s="160">
        <f>ROUND((175/100)*ROUND([2]Source!R1067, 2), 2)</f>
        <v>0</v>
      </c>
      <c r="V1081" s="160">
        <f>ROUND((157/100)*ROUND([2]Source!R1068, 2), 2)</f>
        <v>0</v>
      </c>
    </row>
    <row r="1082" spans="1:22" ht="99.75" x14ac:dyDescent="0.2">
      <c r="A1082" s="179" t="s">
        <v>1888</v>
      </c>
      <c r="B1082" s="178" t="s">
        <v>1887</v>
      </c>
      <c r="C1082" s="178" t="s">
        <v>216</v>
      </c>
      <c r="D1082" s="177" t="s">
        <v>1557</v>
      </c>
      <c r="E1082" s="174">
        <v>25.83</v>
      </c>
      <c r="F1082" s="176">
        <v>602.44000000000005</v>
      </c>
      <c r="G1082" s="182" t="s">
        <v>195</v>
      </c>
      <c r="H1082" s="174">
        <v>1</v>
      </c>
      <c r="I1082" s="173">
        <v>15561.03</v>
      </c>
      <c r="J1082" s="174">
        <v>9.01</v>
      </c>
      <c r="K1082" s="173">
        <v>140204.88</v>
      </c>
      <c r="Q1082" s="160">
        <f>[2]Source!X1069</f>
        <v>0</v>
      </c>
      <c r="R1082" s="160">
        <f>[2]Source!X1070</f>
        <v>0</v>
      </c>
      <c r="S1082" s="160">
        <f>[2]Source!Y1069</f>
        <v>0</v>
      </c>
      <c r="T1082" s="160">
        <f>[2]Source!Y1070</f>
        <v>0</v>
      </c>
      <c r="U1082" s="160">
        <f>ROUND((175/100)*ROUND([2]Source!R1069, 2), 2)</f>
        <v>0</v>
      </c>
      <c r="V1082" s="160">
        <f>ROUND((157/100)*ROUND([2]Source!R1070, 2), 2)</f>
        <v>0</v>
      </c>
    </row>
    <row r="1083" spans="1:22" ht="14.25" x14ac:dyDescent="0.2">
      <c r="A1083" s="179"/>
      <c r="B1083" s="178"/>
      <c r="C1083" s="178" t="s">
        <v>194</v>
      </c>
      <c r="D1083" s="177" t="s">
        <v>187</v>
      </c>
      <c r="E1083" s="174">
        <v>105</v>
      </c>
      <c r="F1083" s="176"/>
      <c r="G1083" s="175"/>
      <c r="H1083" s="174"/>
      <c r="I1083" s="173">
        <v>2586.1</v>
      </c>
      <c r="J1083" s="174">
        <v>85</v>
      </c>
      <c r="K1083" s="173">
        <v>48883.4</v>
      </c>
    </row>
    <row r="1084" spans="1:22" ht="14.25" x14ac:dyDescent="0.2">
      <c r="A1084" s="179"/>
      <c r="B1084" s="178"/>
      <c r="C1084" s="178" t="s">
        <v>193</v>
      </c>
      <c r="D1084" s="177" t="s">
        <v>187</v>
      </c>
      <c r="E1084" s="174">
        <v>70</v>
      </c>
      <c r="F1084" s="176"/>
      <c r="G1084" s="175"/>
      <c r="H1084" s="174"/>
      <c r="I1084" s="173">
        <v>1724.07</v>
      </c>
      <c r="J1084" s="174">
        <v>41</v>
      </c>
      <c r="K1084" s="173">
        <v>23579.05</v>
      </c>
    </row>
    <row r="1085" spans="1:22" ht="14.25" x14ac:dyDescent="0.2">
      <c r="A1085" s="179"/>
      <c r="B1085" s="178"/>
      <c r="C1085" s="178" t="s">
        <v>188</v>
      </c>
      <c r="D1085" s="177" t="s">
        <v>187</v>
      </c>
      <c r="E1085" s="174">
        <v>175</v>
      </c>
      <c r="F1085" s="176"/>
      <c r="G1085" s="175"/>
      <c r="H1085" s="174"/>
      <c r="I1085" s="173">
        <v>344.7</v>
      </c>
      <c r="J1085" s="174">
        <v>157</v>
      </c>
      <c r="K1085" s="173">
        <v>7220.82</v>
      </c>
    </row>
    <row r="1086" spans="1:22" ht="14.25" x14ac:dyDescent="0.2">
      <c r="A1086" s="172"/>
      <c r="B1086" s="171"/>
      <c r="C1086" s="171" t="s">
        <v>192</v>
      </c>
      <c r="D1086" s="170" t="s">
        <v>191</v>
      </c>
      <c r="E1086" s="167">
        <v>89.9</v>
      </c>
      <c r="F1086" s="169"/>
      <c r="G1086" s="168" t="s">
        <v>1548</v>
      </c>
      <c r="H1086" s="167">
        <v>1</v>
      </c>
      <c r="I1086" s="166">
        <v>204.73</v>
      </c>
      <c r="J1086" s="167"/>
      <c r="K1086" s="166"/>
    </row>
    <row r="1087" spans="1:22" ht="15" x14ac:dyDescent="0.25">
      <c r="A1087" s="164"/>
      <c r="B1087" s="164"/>
      <c r="C1087" s="165" t="s">
        <v>183</v>
      </c>
      <c r="D1087" s="164"/>
      <c r="E1087" s="164"/>
      <c r="F1087" s="164"/>
      <c r="G1087" s="164"/>
      <c r="H1087" s="414">
        <v>114670.23</v>
      </c>
      <c r="I1087" s="414"/>
      <c r="J1087" s="414">
        <v>974203.55</v>
      </c>
      <c r="K1087" s="414"/>
      <c r="O1087" s="163">
        <f>I1074+I1075+I1077+I1083+I1084+I1085+SUM(I1078:I1082)</f>
        <v>114670.23</v>
      </c>
      <c r="P1087" s="163">
        <f>K1074+K1075+K1077+K1083+K1084+K1085+SUM(K1078:K1082)</f>
        <v>974203.55</v>
      </c>
    </row>
    <row r="1089" spans="1:22" ht="52.5" x14ac:dyDescent="0.2">
      <c r="A1089" s="179" t="s">
        <v>1889</v>
      </c>
      <c r="B1089" s="178" t="s">
        <v>215</v>
      </c>
      <c r="C1089" s="178" t="s">
        <v>214</v>
      </c>
      <c r="D1089" s="177" t="s">
        <v>1890</v>
      </c>
      <c r="E1089" s="174">
        <v>0.1</v>
      </c>
      <c r="F1089" s="176"/>
      <c r="G1089" s="175"/>
      <c r="H1089" s="174"/>
      <c r="I1089" s="173"/>
      <c r="J1089" s="174"/>
      <c r="K1089" s="173"/>
      <c r="Q1089" s="160">
        <f>[2]Source!X1075</f>
        <v>64.56</v>
      </c>
      <c r="R1089" s="160">
        <f>[2]Source!X1076</f>
        <v>1205.93</v>
      </c>
      <c r="S1089" s="160">
        <f>[2]Source!Y1075</f>
        <v>53.17</v>
      </c>
      <c r="T1089" s="160">
        <f>[2]Source!Y1076</f>
        <v>727.11</v>
      </c>
      <c r="U1089" s="160">
        <f>ROUND((175/100)*ROUND([2]Source!R1075, 2), 2)</f>
        <v>0.77</v>
      </c>
      <c r="V1089" s="160">
        <f>ROUND((157/100)*ROUND([2]Source!R1076, 2), 2)</f>
        <v>16.12</v>
      </c>
    </row>
    <row r="1090" spans="1:22" x14ac:dyDescent="0.2">
      <c r="C1090" s="181" t="s">
        <v>1891</v>
      </c>
    </row>
    <row r="1091" spans="1:22" ht="14.25" x14ac:dyDescent="0.2">
      <c r="A1091" s="179"/>
      <c r="B1091" s="178"/>
      <c r="C1091" s="178" t="s">
        <v>197</v>
      </c>
      <c r="D1091" s="177"/>
      <c r="E1091" s="174"/>
      <c r="F1091" s="176">
        <v>660.45</v>
      </c>
      <c r="G1091" s="175" t="s">
        <v>1548</v>
      </c>
      <c r="H1091" s="174">
        <v>1</v>
      </c>
      <c r="I1091" s="173">
        <v>75.95</v>
      </c>
      <c r="J1091" s="174">
        <v>23.35</v>
      </c>
      <c r="K1091" s="173">
        <v>1773.43</v>
      </c>
    </row>
    <row r="1092" spans="1:22" ht="14.25" x14ac:dyDescent="0.2">
      <c r="A1092" s="179"/>
      <c r="B1092" s="178"/>
      <c r="C1092" s="178" t="s">
        <v>184</v>
      </c>
      <c r="D1092" s="177"/>
      <c r="E1092" s="174"/>
      <c r="F1092" s="176">
        <v>22.88</v>
      </c>
      <c r="G1092" s="175" t="s">
        <v>1549</v>
      </c>
      <c r="H1092" s="174">
        <v>1</v>
      </c>
      <c r="I1092" s="173">
        <v>2.86</v>
      </c>
      <c r="J1092" s="174">
        <v>6.92</v>
      </c>
      <c r="K1092" s="173">
        <v>19.79</v>
      </c>
    </row>
    <row r="1093" spans="1:22" ht="14.25" x14ac:dyDescent="0.2">
      <c r="A1093" s="179"/>
      <c r="B1093" s="178"/>
      <c r="C1093" s="178" t="s">
        <v>189</v>
      </c>
      <c r="D1093" s="177"/>
      <c r="E1093" s="174"/>
      <c r="F1093" s="176">
        <v>3.5</v>
      </c>
      <c r="G1093" s="175" t="s">
        <v>1549</v>
      </c>
      <c r="H1093" s="174">
        <v>1</v>
      </c>
      <c r="I1093" s="180">
        <v>0.44</v>
      </c>
      <c r="J1093" s="174">
        <v>23.35</v>
      </c>
      <c r="K1093" s="180">
        <v>10.27</v>
      </c>
    </row>
    <row r="1094" spans="1:22" ht="14.25" x14ac:dyDescent="0.2">
      <c r="A1094" s="179"/>
      <c r="B1094" s="178"/>
      <c r="C1094" s="178" t="s">
        <v>205</v>
      </c>
      <c r="D1094" s="177"/>
      <c r="E1094" s="174"/>
      <c r="F1094" s="176">
        <v>2766.32</v>
      </c>
      <c r="G1094" s="175" t="s">
        <v>195</v>
      </c>
      <c r="H1094" s="174">
        <v>1</v>
      </c>
      <c r="I1094" s="173">
        <v>276.63</v>
      </c>
      <c r="J1094" s="174">
        <v>3.94</v>
      </c>
      <c r="K1094" s="173">
        <v>1089.92</v>
      </c>
    </row>
    <row r="1095" spans="1:22" ht="99.75" x14ac:dyDescent="0.2">
      <c r="A1095" s="179" t="s">
        <v>1892</v>
      </c>
      <c r="B1095" s="178" t="s">
        <v>1893</v>
      </c>
      <c r="C1095" s="178" t="s">
        <v>213</v>
      </c>
      <c r="D1095" s="177" t="s">
        <v>1533</v>
      </c>
      <c r="E1095" s="174">
        <v>0.105</v>
      </c>
      <c r="F1095" s="176">
        <v>45706.720000000001</v>
      </c>
      <c r="G1095" s="182" t="s">
        <v>195</v>
      </c>
      <c r="H1095" s="174">
        <v>1</v>
      </c>
      <c r="I1095" s="173">
        <v>4799.21</v>
      </c>
      <c r="J1095" s="174">
        <v>2.4300000000000002</v>
      </c>
      <c r="K1095" s="173">
        <v>11662.08</v>
      </c>
      <c r="Q1095" s="160">
        <f>[2]Source!X1077</f>
        <v>0</v>
      </c>
      <c r="R1095" s="160">
        <f>[2]Source!X1078</f>
        <v>0</v>
      </c>
      <c r="S1095" s="160">
        <f>[2]Source!Y1077</f>
        <v>0</v>
      </c>
      <c r="T1095" s="160">
        <f>[2]Source!Y1078</f>
        <v>0</v>
      </c>
      <c r="U1095" s="160">
        <f>ROUND((175/100)*ROUND([2]Source!R1077, 2), 2)</f>
        <v>0</v>
      </c>
      <c r="V1095" s="160">
        <f>ROUND((157/100)*ROUND([2]Source!R1078, 2), 2)</f>
        <v>0</v>
      </c>
    </row>
    <row r="1096" spans="1:22" ht="14.25" x14ac:dyDescent="0.2">
      <c r="A1096" s="179"/>
      <c r="B1096" s="178"/>
      <c r="C1096" s="178" t="s">
        <v>194</v>
      </c>
      <c r="D1096" s="177" t="s">
        <v>187</v>
      </c>
      <c r="E1096" s="174">
        <v>85</v>
      </c>
      <c r="F1096" s="176"/>
      <c r="G1096" s="175"/>
      <c r="H1096" s="174"/>
      <c r="I1096" s="173">
        <v>64.56</v>
      </c>
      <c r="J1096" s="174">
        <v>68</v>
      </c>
      <c r="K1096" s="173">
        <v>1205.93</v>
      </c>
    </row>
    <row r="1097" spans="1:22" ht="14.25" x14ac:dyDescent="0.2">
      <c r="A1097" s="179"/>
      <c r="B1097" s="178"/>
      <c r="C1097" s="178" t="s">
        <v>193</v>
      </c>
      <c r="D1097" s="177" t="s">
        <v>187</v>
      </c>
      <c r="E1097" s="174">
        <v>70</v>
      </c>
      <c r="F1097" s="176"/>
      <c r="G1097" s="175"/>
      <c r="H1097" s="174"/>
      <c r="I1097" s="173">
        <v>53.17</v>
      </c>
      <c r="J1097" s="174">
        <v>41</v>
      </c>
      <c r="K1097" s="173">
        <v>727.11</v>
      </c>
    </row>
    <row r="1098" spans="1:22" ht="14.25" x14ac:dyDescent="0.2">
      <c r="A1098" s="179"/>
      <c r="B1098" s="178"/>
      <c r="C1098" s="178" t="s">
        <v>188</v>
      </c>
      <c r="D1098" s="177" t="s">
        <v>187</v>
      </c>
      <c r="E1098" s="174">
        <v>175</v>
      </c>
      <c r="F1098" s="176"/>
      <c r="G1098" s="175"/>
      <c r="H1098" s="174"/>
      <c r="I1098" s="173">
        <v>0.77</v>
      </c>
      <c r="J1098" s="174">
        <v>157</v>
      </c>
      <c r="K1098" s="173">
        <v>16.12</v>
      </c>
    </row>
    <row r="1099" spans="1:22" ht="14.25" x14ac:dyDescent="0.2">
      <c r="A1099" s="172"/>
      <c r="B1099" s="171"/>
      <c r="C1099" s="171" t="s">
        <v>192</v>
      </c>
      <c r="D1099" s="170" t="s">
        <v>191</v>
      </c>
      <c r="E1099" s="167">
        <v>56.18</v>
      </c>
      <c r="F1099" s="169"/>
      <c r="G1099" s="168" t="s">
        <v>1548</v>
      </c>
      <c r="H1099" s="167">
        <v>1</v>
      </c>
      <c r="I1099" s="166">
        <v>6.46</v>
      </c>
      <c r="J1099" s="167"/>
      <c r="K1099" s="166"/>
    </row>
    <row r="1100" spans="1:22" ht="15" x14ac:dyDescent="0.25">
      <c r="A1100" s="164"/>
      <c r="B1100" s="164"/>
      <c r="C1100" s="165" t="s">
        <v>183</v>
      </c>
      <c r="D1100" s="164"/>
      <c r="E1100" s="164"/>
      <c r="F1100" s="164"/>
      <c r="G1100" s="164"/>
      <c r="H1100" s="414">
        <v>5273.15</v>
      </c>
      <c r="I1100" s="414"/>
      <c r="J1100" s="414">
        <v>16494.38</v>
      </c>
      <c r="K1100" s="414"/>
      <c r="O1100" s="163">
        <f>I1091+I1092+I1094+I1096+I1097+I1098+SUM(I1095:I1095)</f>
        <v>5273.15</v>
      </c>
      <c r="P1100" s="163">
        <f>K1091+K1092+K1094+K1096+K1097+K1098+SUM(K1095:K1095)</f>
        <v>16494.38</v>
      </c>
    </row>
    <row r="1102" spans="1:22" ht="52.5" x14ac:dyDescent="0.2">
      <c r="A1102" s="179" t="s">
        <v>1894</v>
      </c>
      <c r="B1102" s="178" t="s">
        <v>212</v>
      </c>
      <c r="C1102" s="178" t="s">
        <v>211</v>
      </c>
      <c r="D1102" s="177" t="s">
        <v>1890</v>
      </c>
      <c r="E1102" s="174">
        <v>0.5</v>
      </c>
      <c r="F1102" s="176"/>
      <c r="G1102" s="175"/>
      <c r="H1102" s="174"/>
      <c r="I1102" s="173"/>
      <c r="J1102" s="174"/>
      <c r="K1102" s="173"/>
      <c r="Q1102" s="160">
        <f>[2]Source!X1081</f>
        <v>537.49</v>
      </c>
      <c r="R1102" s="160">
        <f>[2]Source!X1082</f>
        <v>10040.299999999999</v>
      </c>
      <c r="S1102" s="160">
        <f>[2]Source!Y1081</f>
        <v>442.64</v>
      </c>
      <c r="T1102" s="160">
        <f>[2]Source!Y1082</f>
        <v>6053.71</v>
      </c>
      <c r="U1102" s="160">
        <f>ROUND((175/100)*ROUND([2]Source!R1081, 2), 2)</f>
        <v>5.62</v>
      </c>
      <c r="V1102" s="160">
        <f>ROUND((157/100)*ROUND([2]Source!R1082, 2), 2)</f>
        <v>117.67</v>
      </c>
    </row>
    <row r="1103" spans="1:22" x14ac:dyDescent="0.2">
      <c r="C1103" s="181" t="s">
        <v>1895</v>
      </c>
    </row>
    <row r="1104" spans="1:22" ht="14.25" x14ac:dyDescent="0.2">
      <c r="A1104" s="179"/>
      <c r="B1104" s="178"/>
      <c r="C1104" s="178" t="s">
        <v>197</v>
      </c>
      <c r="D1104" s="177"/>
      <c r="E1104" s="174"/>
      <c r="F1104" s="176">
        <v>1099.73</v>
      </c>
      <c r="G1104" s="175" t="s">
        <v>1548</v>
      </c>
      <c r="H1104" s="174">
        <v>1</v>
      </c>
      <c r="I1104" s="173">
        <v>632.34</v>
      </c>
      <c r="J1104" s="174">
        <v>23.35</v>
      </c>
      <c r="K1104" s="173">
        <v>14765.14</v>
      </c>
    </row>
    <row r="1105" spans="1:22" ht="14.25" x14ac:dyDescent="0.2">
      <c r="A1105" s="179"/>
      <c r="B1105" s="178"/>
      <c r="C1105" s="178" t="s">
        <v>184</v>
      </c>
      <c r="D1105" s="177"/>
      <c r="E1105" s="174"/>
      <c r="F1105" s="176">
        <v>32.659999999999997</v>
      </c>
      <c r="G1105" s="175" t="s">
        <v>1549</v>
      </c>
      <c r="H1105" s="174">
        <v>1</v>
      </c>
      <c r="I1105" s="173">
        <v>20.41</v>
      </c>
      <c r="J1105" s="174">
        <v>7.03</v>
      </c>
      <c r="K1105" s="173">
        <v>143.47999999999999</v>
      </c>
    </row>
    <row r="1106" spans="1:22" ht="14.25" x14ac:dyDescent="0.2">
      <c r="A1106" s="179"/>
      <c r="B1106" s="178"/>
      <c r="C1106" s="178" t="s">
        <v>189</v>
      </c>
      <c r="D1106" s="177"/>
      <c r="E1106" s="174"/>
      <c r="F1106" s="176">
        <v>5.14</v>
      </c>
      <c r="G1106" s="175" t="s">
        <v>1549</v>
      </c>
      <c r="H1106" s="174">
        <v>1</v>
      </c>
      <c r="I1106" s="180">
        <v>3.21</v>
      </c>
      <c r="J1106" s="174">
        <v>23.35</v>
      </c>
      <c r="K1106" s="180">
        <v>74.95</v>
      </c>
    </row>
    <row r="1107" spans="1:22" ht="14.25" x14ac:dyDescent="0.2">
      <c r="A1107" s="179"/>
      <c r="B1107" s="178"/>
      <c r="C1107" s="178" t="s">
        <v>205</v>
      </c>
      <c r="D1107" s="177"/>
      <c r="E1107" s="174"/>
      <c r="F1107" s="176">
        <v>3665.84</v>
      </c>
      <c r="G1107" s="175" t="s">
        <v>195</v>
      </c>
      <c r="H1107" s="174">
        <v>1</v>
      </c>
      <c r="I1107" s="173">
        <v>1832.92</v>
      </c>
      <c r="J1107" s="174">
        <v>4.05</v>
      </c>
      <c r="K1107" s="173">
        <v>7423.33</v>
      </c>
    </row>
    <row r="1108" spans="1:22" ht="99.75" x14ac:dyDescent="0.2">
      <c r="A1108" s="179" t="s">
        <v>1896</v>
      </c>
      <c r="B1108" s="178" t="s">
        <v>1897</v>
      </c>
      <c r="C1108" s="178" t="s">
        <v>210</v>
      </c>
      <c r="D1108" s="177" t="s">
        <v>1533</v>
      </c>
      <c r="E1108" s="174">
        <v>0.159</v>
      </c>
      <c r="F1108" s="176">
        <v>46902.5</v>
      </c>
      <c r="G1108" s="182" t="s">
        <v>195</v>
      </c>
      <c r="H1108" s="174">
        <v>1</v>
      </c>
      <c r="I1108" s="173">
        <v>7457.5</v>
      </c>
      <c r="J1108" s="174">
        <v>2.2000000000000002</v>
      </c>
      <c r="K1108" s="173">
        <v>16406.5</v>
      </c>
      <c r="Q1108" s="160">
        <f>[2]Source!X1083</f>
        <v>0</v>
      </c>
      <c r="R1108" s="160">
        <f>[2]Source!X1084</f>
        <v>0</v>
      </c>
      <c r="S1108" s="160">
        <f>[2]Source!Y1083</f>
        <v>0</v>
      </c>
      <c r="T1108" s="160">
        <f>[2]Source!Y1084</f>
        <v>0</v>
      </c>
      <c r="U1108" s="160">
        <f>ROUND((175/100)*ROUND([2]Source!R1083, 2), 2)</f>
        <v>0</v>
      </c>
      <c r="V1108" s="160">
        <f>ROUND((157/100)*ROUND([2]Source!R1084, 2), 2)</f>
        <v>0</v>
      </c>
    </row>
    <row r="1109" spans="1:22" ht="99.75" x14ac:dyDescent="0.2">
      <c r="A1109" s="179" t="s">
        <v>1898</v>
      </c>
      <c r="B1109" s="178" t="s">
        <v>1899</v>
      </c>
      <c r="C1109" s="178" t="s">
        <v>209</v>
      </c>
      <c r="D1109" s="177" t="s">
        <v>1533</v>
      </c>
      <c r="E1109" s="174">
        <v>0.1666</v>
      </c>
      <c r="F1109" s="176">
        <v>46894.27</v>
      </c>
      <c r="G1109" s="182" t="s">
        <v>195</v>
      </c>
      <c r="H1109" s="174">
        <v>1</v>
      </c>
      <c r="I1109" s="173">
        <v>7812.59</v>
      </c>
      <c r="J1109" s="174">
        <v>2.1</v>
      </c>
      <c r="K1109" s="173">
        <v>16406.439999999999</v>
      </c>
      <c r="Q1109" s="160">
        <f>[2]Source!X1085</f>
        <v>0</v>
      </c>
      <c r="R1109" s="160">
        <f>[2]Source!X1086</f>
        <v>0</v>
      </c>
      <c r="S1109" s="160">
        <f>[2]Source!Y1085</f>
        <v>0</v>
      </c>
      <c r="T1109" s="160">
        <f>[2]Source!Y1086</f>
        <v>0</v>
      </c>
      <c r="U1109" s="160">
        <f>ROUND((175/100)*ROUND([2]Source!R1085, 2), 2)</f>
        <v>0</v>
      </c>
      <c r="V1109" s="160">
        <f>ROUND((157/100)*ROUND([2]Source!R1086, 2), 2)</f>
        <v>0</v>
      </c>
    </row>
    <row r="1110" spans="1:22" ht="99.75" x14ac:dyDescent="0.2">
      <c r="A1110" s="179" t="s">
        <v>1900</v>
      </c>
      <c r="B1110" s="178" t="s">
        <v>1901</v>
      </c>
      <c r="C1110" s="178" t="s">
        <v>208</v>
      </c>
      <c r="D1110" s="177" t="s">
        <v>1533</v>
      </c>
      <c r="E1110" s="174">
        <v>0.52200000000000002</v>
      </c>
      <c r="F1110" s="176">
        <v>46868.77</v>
      </c>
      <c r="G1110" s="182" t="s">
        <v>195</v>
      </c>
      <c r="H1110" s="174">
        <v>1</v>
      </c>
      <c r="I1110" s="173">
        <v>24465.5</v>
      </c>
      <c r="J1110" s="174">
        <v>2.33</v>
      </c>
      <c r="K1110" s="173">
        <v>57004.62</v>
      </c>
      <c r="Q1110" s="160">
        <f>[2]Source!X1087</f>
        <v>0</v>
      </c>
      <c r="R1110" s="160">
        <f>[2]Source!X1088</f>
        <v>0</v>
      </c>
      <c r="S1110" s="160">
        <f>[2]Source!Y1087</f>
        <v>0</v>
      </c>
      <c r="T1110" s="160">
        <f>[2]Source!Y1088</f>
        <v>0</v>
      </c>
      <c r="U1110" s="160">
        <f>ROUND((175/100)*ROUND([2]Source!R1087, 2), 2)</f>
        <v>0</v>
      </c>
      <c r="V1110" s="160">
        <f>ROUND((157/100)*ROUND([2]Source!R1088, 2), 2)</f>
        <v>0</v>
      </c>
    </row>
    <row r="1111" spans="1:22" ht="14.25" x14ac:dyDescent="0.2">
      <c r="A1111" s="179"/>
      <c r="B1111" s="178"/>
      <c r="C1111" s="178" t="s">
        <v>194</v>
      </c>
      <c r="D1111" s="177" t="s">
        <v>187</v>
      </c>
      <c r="E1111" s="174">
        <v>85</v>
      </c>
      <c r="F1111" s="176"/>
      <c r="G1111" s="175"/>
      <c r="H1111" s="174"/>
      <c r="I1111" s="173">
        <v>537.49</v>
      </c>
      <c r="J1111" s="174">
        <v>68</v>
      </c>
      <c r="K1111" s="173">
        <v>10040.299999999999</v>
      </c>
    </row>
    <row r="1112" spans="1:22" ht="14.25" x14ac:dyDescent="0.2">
      <c r="A1112" s="179"/>
      <c r="B1112" s="178"/>
      <c r="C1112" s="178" t="s">
        <v>193</v>
      </c>
      <c r="D1112" s="177" t="s">
        <v>187</v>
      </c>
      <c r="E1112" s="174">
        <v>70</v>
      </c>
      <c r="F1112" s="176"/>
      <c r="G1112" s="175"/>
      <c r="H1112" s="174"/>
      <c r="I1112" s="173">
        <v>442.64</v>
      </c>
      <c r="J1112" s="174">
        <v>41</v>
      </c>
      <c r="K1112" s="173">
        <v>6053.71</v>
      </c>
    </row>
    <row r="1113" spans="1:22" ht="14.25" x14ac:dyDescent="0.2">
      <c r="A1113" s="179"/>
      <c r="B1113" s="178"/>
      <c r="C1113" s="178" t="s">
        <v>188</v>
      </c>
      <c r="D1113" s="177" t="s">
        <v>187</v>
      </c>
      <c r="E1113" s="174">
        <v>175</v>
      </c>
      <c r="F1113" s="176"/>
      <c r="G1113" s="175"/>
      <c r="H1113" s="174"/>
      <c r="I1113" s="173">
        <v>5.62</v>
      </c>
      <c r="J1113" s="174">
        <v>157</v>
      </c>
      <c r="K1113" s="173">
        <v>117.67</v>
      </c>
    </row>
    <row r="1114" spans="1:22" ht="14.25" x14ac:dyDescent="0.2">
      <c r="A1114" s="172"/>
      <c r="B1114" s="171"/>
      <c r="C1114" s="171" t="s">
        <v>192</v>
      </c>
      <c r="D1114" s="170" t="s">
        <v>191</v>
      </c>
      <c r="E1114" s="167">
        <v>93.33</v>
      </c>
      <c r="F1114" s="169"/>
      <c r="G1114" s="168" t="s">
        <v>1548</v>
      </c>
      <c r="H1114" s="167">
        <v>1</v>
      </c>
      <c r="I1114" s="166">
        <v>53.66</v>
      </c>
      <c r="J1114" s="167"/>
      <c r="K1114" s="166"/>
    </row>
    <row r="1115" spans="1:22" ht="15" x14ac:dyDescent="0.25">
      <c r="A1115" s="164"/>
      <c r="B1115" s="164"/>
      <c r="C1115" s="165" t="s">
        <v>183</v>
      </c>
      <c r="D1115" s="164"/>
      <c r="E1115" s="164"/>
      <c r="F1115" s="164"/>
      <c r="G1115" s="164"/>
      <c r="H1115" s="414">
        <v>43207.01</v>
      </c>
      <c r="I1115" s="414"/>
      <c r="J1115" s="414">
        <v>128361.19</v>
      </c>
      <c r="K1115" s="414"/>
      <c r="O1115" s="163">
        <f>I1104+I1105+I1107+I1111+I1112+I1113+SUM(I1108:I1110)</f>
        <v>43207.01</v>
      </c>
      <c r="P1115" s="163">
        <f>K1104+K1105+K1107+K1111+K1112+K1113+SUM(K1108:K1110)</f>
        <v>128361.19</v>
      </c>
    </row>
    <row r="1117" spans="1:22" ht="52.5" x14ac:dyDescent="0.2">
      <c r="A1117" s="179" t="s">
        <v>1902</v>
      </c>
      <c r="B1117" s="178" t="s">
        <v>207</v>
      </c>
      <c r="C1117" s="178" t="s">
        <v>206</v>
      </c>
      <c r="D1117" s="177" t="s">
        <v>1903</v>
      </c>
      <c r="E1117" s="174">
        <v>8</v>
      </c>
      <c r="F1117" s="176"/>
      <c r="G1117" s="175"/>
      <c r="H1117" s="174"/>
      <c r="I1117" s="173"/>
      <c r="J1117" s="174"/>
      <c r="K1117" s="173"/>
      <c r="Q1117" s="160">
        <f>[2]Source!X1089</f>
        <v>124.58</v>
      </c>
      <c r="R1117" s="160">
        <f>[2]Source!X1090</f>
        <v>2333.5300000000002</v>
      </c>
      <c r="S1117" s="160">
        <f>[2]Source!Y1089</f>
        <v>95.83</v>
      </c>
      <c r="T1117" s="160">
        <f>[2]Source!Y1090</f>
        <v>1310.6099999999999</v>
      </c>
      <c r="U1117" s="160">
        <f>ROUND((175/100)*ROUND([2]Source!R1089, 2), 2)</f>
        <v>1.58</v>
      </c>
      <c r="V1117" s="160">
        <f>ROUND((157/100)*ROUND([2]Source!R1090, 2), 2)</f>
        <v>33</v>
      </c>
    </row>
    <row r="1118" spans="1:22" ht="14.25" x14ac:dyDescent="0.2">
      <c r="A1118" s="179"/>
      <c r="B1118" s="178"/>
      <c r="C1118" s="178" t="s">
        <v>197</v>
      </c>
      <c r="D1118" s="177"/>
      <c r="E1118" s="174"/>
      <c r="F1118" s="176">
        <v>14.88</v>
      </c>
      <c r="G1118" s="175" t="s">
        <v>1548</v>
      </c>
      <c r="H1118" s="174">
        <v>1</v>
      </c>
      <c r="I1118" s="173">
        <v>136.9</v>
      </c>
      <c r="J1118" s="174">
        <v>23.35</v>
      </c>
      <c r="K1118" s="173">
        <v>3196.62</v>
      </c>
    </row>
    <row r="1119" spans="1:22" ht="14.25" x14ac:dyDescent="0.2">
      <c r="A1119" s="179"/>
      <c r="B1119" s="178"/>
      <c r="C1119" s="178" t="s">
        <v>184</v>
      </c>
      <c r="D1119" s="177"/>
      <c r="E1119" s="174"/>
      <c r="F1119" s="176">
        <v>1.99</v>
      </c>
      <c r="G1119" s="175" t="s">
        <v>1549</v>
      </c>
      <c r="H1119" s="174">
        <v>1</v>
      </c>
      <c r="I1119" s="173">
        <v>19.899999999999999</v>
      </c>
      <c r="J1119" s="174">
        <v>7.23</v>
      </c>
      <c r="K1119" s="173">
        <v>143.88</v>
      </c>
    </row>
    <row r="1120" spans="1:22" ht="14.25" x14ac:dyDescent="0.2">
      <c r="A1120" s="179"/>
      <c r="B1120" s="178"/>
      <c r="C1120" s="178" t="s">
        <v>189</v>
      </c>
      <c r="D1120" s="177"/>
      <c r="E1120" s="174"/>
      <c r="F1120" s="176">
        <v>0.09</v>
      </c>
      <c r="G1120" s="175" t="s">
        <v>1549</v>
      </c>
      <c r="H1120" s="174">
        <v>1</v>
      </c>
      <c r="I1120" s="180">
        <v>0.9</v>
      </c>
      <c r="J1120" s="174">
        <v>23.35</v>
      </c>
      <c r="K1120" s="180">
        <v>21.02</v>
      </c>
    </row>
    <row r="1121" spans="1:22" ht="14.25" x14ac:dyDescent="0.2">
      <c r="A1121" s="179"/>
      <c r="B1121" s="178"/>
      <c r="C1121" s="178" t="s">
        <v>205</v>
      </c>
      <c r="D1121" s="177"/>
      <c r="E1121" s="174"/>
      <c r="F1121" s="176">
        <v>0.41</v>
      </c>
      <c r="G1121" s="175" t="s">
        <v>195</v>
      </c>
      <c r="H1121" s="174">
        <v>1</v>
      </c>
      <c r="I1121" s="173">
        <v>3.28</v>
      </c>
      <c r="J1121" s="174">
        <v>4.71</v>
      </c>
      <c r="K1121" s="173">
        <v>15.45</v>
      </c>
    </row>
    <row r="1122" spans="1:22" ht="28.5" x14ac:dyDescent="0.2">
      <c r="A1122" s="179" t="s">
        <v>1904</v>
      </c>
      <c r="B1122" s="178" t="s">
        <v>1905</v>
      </c>
      <c r="C1122" s="178" t="s">
        <v>204</v>
      </c>
      <c r="D1122" s="177" t="s">
        <v>1661</v>
      </c>
      <c r="E1122" s="174">
        <v>8</v>
      </c>
      <c r="F1122" s="176">
        <v>272.64999999999998</v>
      </c>
      <c r="G1122" s="182" t="s">
        <v>195</v>
      </c>
      <c r="H1122" s="174">
        <v>1</v>
      </c>
      <c r="I1122" s="173">
        <v>2181.1999999999998</v>
      </c>
      <c r="J1122" s="174">
        <v>4.3</v>
      </c>
      <c r="K1122" s="173">
        <v>9379.16</v>
      </c>
      <c r="Q1122" s="160">
        <f>[2]Source!X1091</f>
        <v>0</v>
      </c>
      <c r="R1122" s="160">
        <f>[2]Source!X1092</f>
        <v>0</v>
      </c>
      <c r="S1122" s="160">
        <f>[2]Source!Y1091</f>
        <v>0</v>
      </c>
      <c r="T1122" s="160">
        <f>[2]Source!Y1092</f>
        <v>0</v>
      </c>
      <c r="U1122" s="160">
        <f>ROUND((175/100)*ROUND([2]Source!R1091, 2), 2)</f>
        <v>0</v>
      </c>
      <c r="V1122" s="160">
        <f>ROUND((157/100)*ROUND([2]Source!R1092, 2), 2)</f>
        <v>0</v>
      </c>
    </row>
    <row r="1123" spans="1:22" ht="14.25" x14ac:dyDescent="0.2">
      <c r="A1123" s="179"/>
      <c r="B1123" s="178"/>
      <c r="C1123" s="178" t="s">
        <v>194</v>
      </c>
      <c r="D1123" s="177" t="s">
        <v>187</v>
      </c>
      <c r="E1123" s="174">
        <v>91</v>
      </c>
      <c r="F1123" s="176"/>
      <c r="G1123" s="175"/>
      <c r="H1123" s="174"/>
      <c r="I1123" s="173">
        <v>124.58</v>
      </c>
      <c r="J1123" s="174">
        <v>73</v>
      </c>
      <c r="K1123" s="173">
        <v>2333.5300000000002</v>
      </c>
    </row>
    <row r="1124" spans="1:22" ht="14.25" x14ac:dyDescent="0.2">
      <c r="A1124" s="179"/>
      <c r="B1124" s="178"/>
      <c r="C1124" s="178" t="s">
        <v>193</v>
      </c>
      <c r="D1124" s="177" t="s">
        <v>187</v>
      </c>
      <c r="E1124" s="174">
        <v>70</v>
      </c>
      <c r="F1124" s="176"/>
      <c r="G1124" s="175"/>
      <c r="H1124" s="174"/>
      <c r="I1124" s="173">
        <v>95.83</v>
      </c>
      <c r="J1124" s="174">
        <v>41</v>
      </c>
      <c r="K1124" s="173">
        <v>1310.6099999999999</v>
      </c>
    </row>
    <row r="1125" spans="1:22" ht="14.25" x14ac:dyDescent="0.2">
      <c r="A1125" s="179"/>
      <c r="B1125" s="178"/>
      <c r="C1125" s="178" t="s">
        <v>188</v>
      </c>
      <c r="D1125" s="177" t="s">
        <v>187</v>
      </c>
      <c r="E1125" s="174">
        <v>175</v>
      </c>
      <c r="F1125" s="176"/>
      <c r="G1125" s="175"/>
      <c r="H1125" s="174"/>
      <c r="I1125" s="173">
        <v>1.58</v>
      </c>
      <c r="J1125" s="174">
        <v>157</v>
      </c>
      <c r="K1125" s="173">
        <v>33</v>
      </c>
    </row>
    <row r="1126" spans="1:22" ht="14.25" x14ac:dyDescent="0.2">
      <c r="A1126" s="172"/>
      <c r="B1126" s="171"/>
      <c r="C1126" s="171" t="s">
        <v>192</v>
      </c>
      <c r="D1126" s="170" t="s">
        <v>191</v>
      </c>
      <c r="E1126" s="167">
        <v>1.1100000000000001</v>
      </c>
      <c r="F1126" s="169"/>
      <c r="G1126" s="168" t="s">
        <v>1548</v>
      </c>
      <c r="H1126" s="167">
        <v>1</v>
      </c>
      <c r="I1126" s="166">
        <v>10.210000000000001</v>
      </c>
      <c r="J1126" s="167"/>
      <c r="K1126" s="166"/>
    </row>
    <row r="1127" spans="1:22" ht="15" x14ac:dyDescent="0.25">
      <c r="A1127" s="164"/>
      <c r="B1127" s="164"/>
      <c r="C1127" s="165" t="s">
        <v>183</v>
      </c>
      <c r="D1127" s="164"/>
      <c r="E1127" s="164"/>
      <c r="F1127" s="164"/>
      <c r="G1127" s="164"/>
      <c r="H1127" s="414">
        <v>2563.27</v>
      </c>
      <c r="I1127" s="414"/>
      <c r="J1127" s="414">
        <v>16412.25</v>
      </c>
      <c r="K1127" s="414"/>
      <c r="O1127" s="163">
        <f>I1118+I1119+I1121+I1123+I1124+I1125+SUM(I1122:I1122)</f>
        <v>2563.27</v>
      </c>
      <c r="P1127" s="163">
        <f>K1118+K1119+K1121+K1123+K1124+K1125+SUM(K1122:K1122)</f>
        <v>16412.25</v>
      </c>
    </row>
    <row r="1129" spans="1:22" ht="52.5" x14ac:dyDescent="0.2">
      <c r="A1129" s="179" t="s">
        <v>1906</v>
      </c>
      <c r="B1129" s="178" t="s">
        <v>203</v>
      </c>
      <c r="C1129" s="178" t="s">
        <v>202</v>
      </c>
      <c r="D1129" s="177" t="s">
        <v>1907</v>
      </c>
      <c r="E1129" s="174">
        <v>102</v>
      </c>
      <c r="F1129" s="176"/>
      <c r="G1129" s="175"/>
      <c r="H1129" s="174"/>
      <c r="I1129" s="173"/>
      <c r="J1129" s="174"/>
      <c r="K1129" s="173"/>
      <c r="Q1129" s="160">
        <f>[2]Source!X1093</f>
        <v>477.88</v>
      </c>
      <c r="R1129" s="160">
        <f>[2]Source!X1094</f>
        <v>9032.99</v>
      </c>
      <c r="S1129" s="160">
        <f>[2]Source!Y1093</f>
        <v>318.58</v>
      </c>
      <c r="T1129" s="160">
        <f>[2]Source!Y1094</f>
        <v>4357.09</v>
      </c>
      <c r="U1129" s="160">
        <f>ROUND((175/100)*ROUND([2]Source!R1093, 2), 2)</f>
        <v>4.46</v>
      </c>
      <c r="V1129" s="160">
        <f>ROUND((157/100)*ROUND([2]Source!R1094, 2), 2)</f>
        <v>93.48</v>
      </c>
    </row>
    <row r="1130" spans="1:22" x14ac:dyDescent="0.2">
      <c r="C1130" s="181" t="s">
        <v>1908</v>
      </c>
    </row>
    <row r="1131" spans="1:22" ht="14.25" x14ac:dyDescent="0.2">
      <c r="A1131" s="179"/>
      <c r="B1131" s="178"/>
      <c r="C1131" s="178" t="s">
        <v>197</v>
      </c>
      <c r="D1131" s="177"/>
      <c r="E1131" s="174"/>
      <c r="F1131" s="176">
        <v>3.88</v>
      </c>
      <c r="G1131" s="175" t="s">
        <v>1548</v>
      </c>
      <c r="H1131" s="174">
        <v>1</v>
      </c>
      <c r="I1131" s="173">
        <v>455.12</v>
      </c>
      <c r="J1131" s="174">
        <v>23.35</v>
      </c>
      <c r="K1131" s="173">
        <v>10627.05</v>
      </c>
    </row>
    <row r="1132" spans="1:22" ht="14.25" x14ac:dyDescent="0.2">
      <c r="A1132" s="179"/>
      <c r="B1132" s="178"/>
      <c r="C1132" s="178" t="s">
        <v>184</v>
      </c>
      <c r="D1132" s="177"/>
      <c r="E1132" s="174"/>
      <c r="F1132" s="176">
        <v>0.18</v>
      </c>
      <c r="G1132" s="175" t="s">
        <v>1549</v>
      </c>
      <c r="H1132" s="174">
        <v>1</v>
      </c>
      <c r="I1132" s="173">
        <v>22.95</v>
      </c>
      <c r="J1132" s="174">
        <v>8.61</v>
      </c>
      <c r="K1132" s="173">
        <v>197.6</v>
      </c>
    </row>
    <row r="1133" spans="1:22" ht="14.25" x14ac:dyDescent="0.2">
      <c r="A1133" s="179"/>
      <c r="B1133" s="178"/>
      <c r="C1133" s="178" t="s">
        <v>189</v>
      </c>
      <c r="D1133" s="177"/>
      <c r="E1133" s="174"/>
      <c r="F1133" s="176">
        <v>0.02</v>
      </c>
      <c r="G1133" s="175" t="s">
        <v>1549</v>
      </c>
      <c r="H1133" s="174">
        <v>1</v>
      </c>
      <c r="I1133" s="180">
        <v>2.5499999999999998</v>
      </c>
      <c r="J1133" s="174">
        <v>23.35</v>
      </c>
      <c r="K1133" s="180">
        <v>59.54</v>
      </c>
    </row>
    <row r="1134" spans="1:22" ht="28.5" x14ac:dyDescent="0.2">
      <c r="A1134" s="179" t="s">
        <v>1909</v>
      </c>
      <c r="B1134" s="178" t="s">
        <v>1910</v>
      </c>
      <c r="C1134" s="178" t="s">
        <v>201</v>
      </c>
      <c r="D1134" s="177" t="s">
        <v>1661</v>
      </c>
      <c r="E1134" s="174">
        <v>101</v>
      </c>
      <c r="F1134" s="176">
        <v>269.44</v>
      </c>
      <c r="G1134" s="182" t="s">
        <v>195</v>
      </c>
      <c r="H1134" s="174">
        <v>1</v>
      </c>
      <c r="I1134" s="173">
        <v>27213.439999999999</v>
      </c>
      <c r="J1134" s="174">
        <v>3.46</v>
      </c>
      <c r="K1134" s="173">
        <v>94158.5</v>
      </c>
      <c r="Q1134" s="160">
        <f>[2]Source!X1095</f>
        <v>0</v>
      </c>
      <c r="R1134" s="160">
        <f>[2]Source!X1096</f>
        <v>0</v>
      </c>
      <c r="S1134" s="160">
        <f>[2]Source!Y1095</f>
        <v>0</v>
      </c>
      <c r="T1134" s="160">
        <f>[2]Source!Y1096</f>
        <v>0</v>
      </c>
      <c r="U1134" s="160">
        <f>ROUND((175/100)*ROUND([2]Source!R1095, 2), 2)</f>
        <v>0</v>
      </c>
      <c r="V1134" s="160">
        <f>ROUND((157/100)*ROUND([2]Source!R1096, 2), 2)</f>
        <v>0</v>
      </c>
    </row>
    <row r="1135" spans="1:22" ht="71.25" x14ac:dyDescent="0.2">
      <c r="A1135" s="179" t="s">
        <v>1911</v>
      </c>
      <c r="B1135" s="178" t="s">
        <v>1912</v>
      </c>
      <c r="C1135" s="178" t="s">
        <v>200</v>
      </c>
      <c r="D1135" s="177" t="s">
        <v>1913</v>
      </c>
      <c r="E1135" s="174">
        <v>1</v>
      </c>
      <c r="F1135" s="176">
        <v>1296.72</v>
      </c>
      <c r="G1135" s="182" t="s">
        <v>195</v>
      </c>
      <c r="H1135" s="174">
        <v>1</v>
      </c>
      <c r="I1135" s="173">
        <v>1296.72</v>
      </c>
      <c r="J1135" s="174">
        <v>6.03</v>
      </c>
      <c r="K1135" s="173">
        <v>7819.22</v>
      </c>
      <c r="Q1135" s="160">
        <f>[2]Source!X1097</f>
        <v>0</v>
      </c>
      <c r="R1135" s="160">
        <f>[2]Source!X1098</f>
        <v>0</v>
      </c>
      <c r="S1135" s="160">
        <f>[2]Source!Y1097</f>
        <v>0</v>
      </c>
      <c r="T1135" s="160">
        <f>[2]Source!Y1098</f>
        <v>0</v>
      </c>
      <c r="U1135" s="160">
        <f>ROUND((175/100)*ROUND([2]Source!R1097, 2), 2)</f>
        <v>0</v>
      </c>
      <c r="V1135" s="160">
        <f>ROUND((157/100)*ROUND([2]Source!R1098, 2), 2)</f>
        <v>0</v>
      </c>
    </row>
    <row r="1136" spans="1:22" ht="14.25" x14ac:dyDescent="0.2">
      <c r="A1136" s="179"/>
      <c r="B1136" s="178"/>
      <c r="C1136" s="178" t="s">
        <v>194</v>
      </c>
      <c r="D1136" s="177" t="s">
        <v>187</v>
      </c>
      <c r="E1136" s="174">
        <v>105</v>
      </c>
      <c r="F1136" s="176"/>
      <c r="G1136" s="175"/>
      <c r="H1136" s="174"/>
      <c r="I1136" s="173">
        <v>477.88</v>
      </c>
      <c r="J1136" s="174">
        <v>85</v>
      </c>
      <c r="K1136" s="173">
        <v>9032.99</v>
      </c>
    </row>
    <row r="1137" spans="1:22" ht="14.25" x14ac:dyDescent="0.2">
      <c r="A1137" s="179"/>
      <c r="B1137" s="178"/>
      <c r="C1137" s="178" t="s">
        <v>193</v>
      </c>
      <c r="D1137" s="177" t="s">
        <v>187</v>
      </c>
      <c r="E1137" s="174">
        <v>70</v>
      </c>
      <c r="F1137" s="176"/>
      <c r="G1137" s="175"/>
      <c r="H1137" s="174"/>
      <c r="I1137" s="173">
        <v>318.58</v>
      </c>
      <c r="J1137" s="174">
        <v>41</v>
      </c>
      <c r="K1137" s="173">
        <v>4357.09</v>
      </c>
    </row>
    <row r="1138" spans="1:22" ht="14.25" x14ac:dyDescent="0.2">
      <c r="A1138" s="179"/>
      <c r="B1138" s="178"/>
      <c r="C1138" s="178" t="s">
        <v>188</v>
      </c>
      <c r="D1138" s="177" t="s">
        <v>187</v>
      </c>
      <c r="E1138" s="174">
        <v>175</v>
      </c>
      <c r="F1138" s="176"/>
      <c r="G1138" s="175"/>
      <c r="H1138" s="174"/>
      <c r="I1138" s="173">
        <v>4.46</v>
      </c>
      <c r="J1138" s="174">
        <v>157</v>
      </c>
      <c r="K1138" s="173">
        <v>93.48</v>
      </c>
    </row>
    <row r="1139" spans="1:22" ht="14.25" x14ac:dyDescent="0.2">
      <c r="A1139" s="172"/>
      <c r="B1139" s="171"/>
      <c r="C1139" s="171" t="s">
        <v>192</v>
      </c>
      <c r="D1139" s="170" t="s">
        <v>191</v>
      </c>
      <c r="E1139" s="167">
        <v>0.27</v>
      </c>
      <c r="F1139" s="169"/>
      <c r="G1139" s="168" t="s">
        <v>1548</v>
      </c>
      <c r="H1139" s="167">
        <v>1</v>
      </c>
      <c r="I1139" s="166">
        <v>31.67</v>
      </c>
      <c r="J1139" s="167"/>
      <c r="K1139" s="166"/>
    </row>
    <row r="1140" spans="1:22" ht="15" x14ac:dyDescent="0.25">
      <c r="A1140" s="164"/>
      <c r="B1140" s="164"/>
      <c r="C1140" s="165" t="s">
        <v>183</v>
      </c>
      <c r="D1140" s="164"/>
      <c r="E1140" s="164"/>
      <c r="F1140" s="164"/>
      <c r="G1140" s="164"/>
      <c r="H1140" s="414">
        <v>29789.15</v>
      </c>
      <c r="I1140" s="414"/>
      <c r="J1140" s="414">
        <v>126285.93</v>
      </c>
      <c r="K1140" s="414"/>
      <c r="O1140" s="163">
        <f>I1131+I1132+I1136+I1137+I1138+SUM(I1134:I1135)</f>
        <v>29789.15</v>
      </c>
      <c r="P1140" s="163">
        <f>K1131+K1132+K1136+K1137+K1138+SUM(K1134:K1135)</f>
        <v>126285.93</v>
      </c>
    </row>
    <row r="1142" spans="1:22" ht="52.5" x14ac:dyDescent="0.2">
      <c r="A1142" s="179" t="s">
        <v>1914</v>
      </c>
      <c r="B1142" s="178" t="s">
        <v>199</v>
      </c>
      <c r="C1142" s="178" t="s">
        <v>198</v>
      </c>
      <c r="D1142" s="177" t="s">
        <v>1915</v>
      </c>
      <c r="E1142" s="174">
        <v>1.06</v>
      </c>
      <c r="F1142" s="176"/>
      <c r="G1142" s="175"/>
      <c r="H1142" s="174"/>
      <c r="I1142" s="173"/>
      <c r="J1142" s="174"/>
      <c r="K1142" s="173"/>
      <c r="Q1142" s="160">
        <f>[2]Source!X1103</f>
        <v>162.76</v>
      </c>
      <c r="R1142" s="160">
        <f>[2]Source!X1104</f>
        <v>3040.32</v>
      </c>
      <c r="S1142" s="160">
        <f>[2]Source!Y1103</f>
        <v>134.04</v>
      </c>
      <c r="T1142" s="160">
        <f>[2]Source!Y1104</f>
        <v>1833.13</v>
      </c>
      <c r="U1142" s="160">
        <f>ROUND((175/100)*ROUND([2]Source!R1103, 2), 2)</f>
        <v>0.93</v>
      </c>
      <c r="V1142" s="160">
        <f>ROUND((157/100)*ROUND([2]Source!R1104, 2), 2)</f>
        <v>19.440000000000001</v>
      </c>
    </row>
    <row r="1143" spans="1:22" x14ac:dyDescent="0.2">
      <c r="C1143" s="181" t="s">
        <v>1916</v>
      </c>
    </row>
    <row r="1144" spans="1:22" ht="14.25" x14ac:dyDescent="0.2">
      <c r="A1144" s="179"/>
      <c r="B1144" s="178"/>
      <c r="C1144" s="178" t="s">
        <v>197</v>
      </c>
      <c r="D1144" s="177"/>
      <c r="E1144" s="174"/>
      <c r="F1144" s="176">
        <v>157.08000000000001</v>
      </c>
      <c r="G1144" s="175" t="s">
        <v>1548</v>
      </c>
      <c r="H1144" s="174">
        <v>1</v>
      </c>
      <c r="I1144" s="173">
        <v>191.48</v>
      </c>
      <c r="J1144" s="174">
        <v>23.35</v>
      </c>
      <c r="K1144" s="173">
        <v>4471.0600000000004</v>
      </c>
    </row>
    <row r="1145" spans="1:22" ht="14.25" x14ac:dyDescent="0.2">
      <c r="A1145" s="179"/>
      <c r="B1145" s="178"/>
      <c r="C1145" s="178" t="s">
        <v>184</v>
      </c>
      <c r="D1145" s="177"/>
      <c r="E1145" s="174"/>
      <c r="F1145" s="176">
        <v>2.15</v>
      </c>
      <c r="G1145" s="175" t="s">
        <v>1549</v>
      </c>
      <c r="H1145" s="174">
        <v>1</v>
      </c>
      <c r="I1145" s="173">
        <v>2.85</v>
      </c>
      <c r="J1145" s="174">
        <v>8.89</v>
      </c>
      <c r="K1145" s="173">
        <v>25.34</v>
      </c>
    </row>
    <row r="1146" spans="1:22" ht="14.25" x14ac:dyDescent="0.2">
      <c r="A1146" s="179"/>
      <c r="B1146" s="178"/>
      <c r="C1146" s="178" t="s">
        <v>189</v>
      </c>
      <c r="D1146" s="177"/>
      <c r="E1146" s="174"/>
      <c r="F1146" s="176">
        <v>0.4</v>
      </c>
      <c r="G1146" s="175" t="s">
        <v>1549</v>
      </c>
      <c r="H1146" s="174">
        <v>1</v>
      </c>
      <c r="I1146" s="180">
        <v>0.53</v>
      </c>
      <c r="J1146" s="174">
        <v>23.35</v>
      </c>
      <c r="K1146" s="180">
        <v>12.38</v>
      </c>
    </row>
    <row r="1147" spans="1:22" ht="42.75" x14ac:dyDescent="0.2">
      <c r="A1147" s="179" t="s">
        <v>1917</v>
      </c>
      <c r="B1147" s="178" t="s">
        <v>1918</v>
      </c>
      <c r="C1147" s="178" t="s">
        <v>196</v>
      </c>
      <c r="D1147" s="177" t="s">
        <v>1913</v>
      </c>
      <c r="E1147" s="174">
        <v>1.06</v>
      </c>
      <c r="F1147" s="176">
        <v>19.7</v>
      </c>
      <c r="G1147" s="182" t="s">
        <v>195</v>
      </c>
      <c r="H1147" s="174">
        <v>1</v>
      </c>
      <c r="I1147" s="173">
        <v>20.88</v>
      </c>
      <c r="J1147" s="174">
        <v>5.61</v>
      </c>
      <c r="K1147" s="173">
        <v>117.14</v>
      </c>
      <c r="Q1147" s="160">
        <f>[2]Source!X1105</f>
        <v>0</v>
      </c>
      <c r="R1147" s="160">
        <f>[2]Source!X1106</f>
        <v>0</v>
      </c>
      <c r="S1147" s="160">
        <f>[2]Source!Y1105</f>
        <v>0</v>
      </c>
      <c r="T1147" s="160">
        <f>[2]Source!Y1106</f>
        <v>0</v>
      </c>
      <c r="U1147" s="160">
        <f>ROUND((175/100)*ROUND([2]Source!R1105, 2), 2)</f>
        <v>0</v>
      </c>
      <c r="V1147" s="160">
        <f>ROUND((157/100)*ROUND([2]Source!R1106, 2), 2)</f>
        <v>0</v>
      </c>
    </row>
    <row r="1148" spans="1:22" ht="14.25" x14ac:dyDescent="0.2">
      <c r="A1148" s="179"/>
      <c r="B1148" s="178"/>
      <c r="C1148" s="178" t="s">
        <v>194</v>
      </c>
      <c r="D1148" s="177" t="s">
        <v>187</v>
      </c>
      <c r="E1148" s="174">
        <v>85</v>
      </c>
      <c r="F1148" s="176"/>
      <c r="G1148" s="175"/>
      <c r="H1148" s="174"/>
      <c r="I1148" s="173">
        <v>162.76</v>
      </c>
      <c r="J1148" s="174">
        <v>68</v>
      </c>
      <c r="K1148" s="173">
        <v>3040.32</v>
      </c>
    </row>
    <row r="1149" spans="1:22" ht="14.25" x14ac:dyDescent="0.2">
      <c r="A1149" s="179"/>
      <c r="B1149" s="178"/>
      <c r="C1149" s="178" t="s">
        <v>193</v>
      </c>
      <c r="D1149" s="177" t="s">
        <v>187</v>
      </c>
      <c r="E1149" s="174">
        <v>70</v>
      </c>
      <c r="F1149" s="176"/>
      <c r="G1149" s="175"/>
      <c r="H1149" s="174"/>
      <c r="I1149" s="173">
        <v>134.04</v>
      </c>
      <c r="J1149" s="174">
        <v>41</v>
      </c>
      <c r="K1149" s="173">
        <v>1833.13</v>
      </c>
    </row>
    <row r="1150" spans="1:22" ht="14.25" x14ac:dyDescent="0.2">
      <c r="A1150" s="179"/>
      <c r="B1150" s="178"/>
      <c r="C1150" s="178" t="s">
        <v>188</v>
      </c>
      <c r="D1150" s="177" t="s">
        <v>187</v>
      </c>
      <c r="E1150" s="174">
        <v>175</v>
      </c>
      <c r="F1150" s="176"/>
      <c r="G1150" s="175"/>
      <c r="H1150" s="174"/>
      <c r="I1150" s="173">
        <v>0.93</v>
      </c>
      <c r="J1150" s="174">
        <v>157</v>
      </c>
      <c r="K1150" s="173">
        <v>19.440000000000001</v>
      </c>
    </row>
    <row r="1151" spans="1:22" ht="14.25" x14ac:dyDescent="0.2">
      <c r="A1151" s="172"/>
      <c r="B1151" s="171"/>
      <c r="C1151" s="171" t="s">
        <v>192</v>
      </c>
      <c r="D1151" s="170" t="s">
        <v>191</v>
      </c>
      <c r="E1151" s="167">
        <v>11.9</v>
      </c>
      <c r="F1151" s="169"/>
      <c r="G1151" s="168" t="s">
        <v>1548</v>
      </c>
      <c r="H1151" s="167">
        <v>1</v>
      </c>
      <c r="I1151" s="166">
        <v>14.51</v>
      </c>
      <c r="J1151" s="167"/>
      <c r="K1151" s="166"/>
    </row>
    <row r="1152" spans="1:22" ht="15" x14ac:dyDescent="0.25">
      <c r="A1152" s="164"/>
      <c r="B1152" s="164"/>
      <c r="C1152" s="165" t="s">
        <v>183</v>
      </c>
      <c r="D1152" s="164"/>
      <c r="E1152" s="164"/>
      <c r="F1152" s="164"/>
      <c r="G1152" s="164"/>
      <c r="H1152" s="414">
        <v>512.94000000000005</v>
      </c>
      <c r="I1152" s="414"/>
      <c r="J1152" s="414">
        <v>9506.43</v>
      </c>
      <c r="K1152" s="414"/>
      <c r="O1152" s="163">
        <f>I1144+I1145+I1148+I1149+I1150+SUM(I1147:I1147)</f>
        <v>512.94000000000005</v>
      </c>
      <c r="P1152" s="163">
        <f>K1144+K1145+K1148+K1149+K1150+SUM(K1147:K1147)</f>
        <v>9506.43</v>
      </c>
    </row>
    <row r="1155" spans="1:22" ht="15" x14ac:dyDescent="0.25">
      <c r="A1155" s="417" t="s">
        <v>1919</v>
      </c>
      <c r="B1155" s="417"/>
      <c r="C1155" s="417"/>
      <c r="D1155" s="417"/>
      <c r="E1155" s="417"/>
      <c r="F1155" s="417"/>
      <c r="G1155" s="417"/>
      <c r="H1155" s="415">
        <v>196015.75</v>
      </c>
      <c r="I1155" s="416"/>
      <c r="J1155" s="415">
        <v>1271263.73</v>
      </c>
      <c r="K1155" s="416"/>
    </row>
    <row r="1156" spans="1:22" hidden="1" x14ac:dyDescent="0.2">
      <c r="A1156" s="160" t="s">
        <v>182</v>
      </c>
      <c r="I1156" s="160">
        <v>0</v>
      </c>
      <c r="J1156" s="160">
        <v>0</v>
      </c>
    </row>
    <row r="1157" spans="1:22" hidden="1" x14ac:dyDescent="0.2">
      <c r="A1157" s="160" t="s">
        <v>181</v>
      </c>
      <c r="I1157" s="160">
        <v>0</v>
      </c>
      <c r="J1157" s="160">
        <v>0</v>
      </c>
    </row>
    <row r="1158" spans="1:22" ht="14.25" x14ac:dyDescent="0.2">
      <c r="C1158" s="410" t="s">
        <v>1920</v>
      </c>
      <c r="D1158" s="410"/>
      <c r="E1158" s="410"/>
      <c r="F1158" s="410"/>
      <c r="G1158" s="410"/>
      <c r="H1158" s="411">
        <v>188935.99</v>
      </c>
      <c r="I1158" s="411"/>
      <c r="J1158" s="411">
        <v>1151366.03</v>
      </c>
      <c r="K1158" s="411"/>
    </row>
    <row r="1160" spans="1:22" ht="16.5" x14ac:dyDescent="0.25">
      <c r="A1160" s="413" t="s">
        <v>1921</v>
      </c>
      <c r="B1160" s="413"/>
      <c r="C1160" s="413"/>
      <c r="D1160" s="413"/>
      <c r="E1160" s="413"/>
      <c r="F1160" s="413"/>
      <c r="G1160" s="413"/>
      <c r="H1160" s="413"/>
      <c r="I1160" s="413"/>
      <c r="J1160" s="413"/>
      <c r="K1160" s="413"/>
    </row>
    <row r="1161" spans="1:22" ht="42.75" x14ac:dyDescent="0.2">
      <c r="A1161" s="179" t="s">
        <v>1922</v>
      </c>
      <c r="B1161" s="178" t="s">
        <v>1923</v>
      </c>
      <c r="C1161" s="178" t="s">
        <v>190</v>
      </c>
      <c r="D1161" s="177" t="s">
        <v>1785</v>
      </c>
      <c r="E1161" s="174">
        <v>1277.0194080000001</v>
      </c>
      <c r="F1161" s="176"/>
      <c r="G1161" s="175"/>
      <c r="H1161" s="174"/>
      <c r="I1161" s="173"/>
      <c r="J1161" s="174"/>
      <c r="K1161" s="173"/>
      <c r="Q1161" s="160">
        <f>[2]Source!X1142</f>
        <v>0</v>
      </c>
      <c r="R1161" s="160">
        <f>[2]Source!X1143</f>
        <v>0</v>
      </c>
      <c r="S1161" s="160">
        <f>[2]Source!Y1142</f>
        <v>0</v>
      </c>
      <c r="T1161" s="160">
        <f>[2]Source!Y1143</f>
        <v>0</v>
      </c>
      <c r="U1161" s="160">
        <f>ROUND((175/100)*ROUND([2]Source!R1142, 2), 2)</f>
        <v>3307.48</v>
      </c>
      <c r="V1161" s="160">
        <f>ROUND((157/100)*ROUND([2]Source!R1143, 2), 2)</f>
        <v>69286.09</v>
      </c>
    </row>
    <row r="1162" spans="1:22" ht="25.5" x14ac:dyDescent="0.2">
      <c r="C1162" s="181" t="s">
        <v>1924</v>
      </c>
    </row>
    <row r="1163" spans="1:22" ht="14.25" x14ac:dyDescent="0.2">
      <c r="A1163" s="179"/>
      <c r="B1163" s="178"/>
      <c r="C1163" s="178" t="s">
        <v>184</v>
      </c>
      <c r="D1163" s="177"/>
      <c r="E1163" s="174"/>
      <c r="F1163" s="176">
        <v>8.86</v>
      </c>
      <c r="G1163" s="175" t="s">
        <v>195</v>
      </c>
      <c r="H1163" s="174">
        <v>1</v>
      </c>
      <c r="I1163" s="173">
        <v>11314.39</v>
      </c>
      <c r="J1163" s="174">
        <v>8.36</v>
      </c>
      <c r="K1163" s="173">
        <v>94588.3</v>
      </c>
    </row>
    <row r="1164" spans="1:22" ht="14.25" x14ac:dyDescent="0.2">
      <c r="A1164" s="179"/>
      <c r="B1164" s="178"/>
      <c r="C1164" s="178" t="s">
        <v>189</v>
      </c>
      <c r="D1164" s="177"/>
      <c r="E1164" s="174"/>
      <c r="F1164" s="176">
        <v>1.48</v>
      </c>
      <c r="G1164" s="175" t="s">
        <v>195</v>
      </c>
      <c r="H1164" s="174">
        <v>1</v>
      </c>
      <c r="I1164" s="180">
        <v>1889.99</v>
      </c>
      <c r="J1164" s="174">
        <v>23.35</v>
      </c>
      <c r="K1164" s="180">
        <v>44131.27</v>
      </c>
    </row>
    <row r="1165" spans="1:22" ht="14.25" x14ac:dyDescent="0.2">
      <c r="A1165" s="172"/>
      <c r="B1165" s="171"/>
      <c r="C1165" s="171" t="s">
        <v>188</v>
      </c>
      <c r="D1165" s="170" t="s">
        <v>187</v>
      </c>
      <c r="E1165" s="167">
        <v>175</v>
      </c>
      <c r="F1165" s="169"/>
      <c r="G1165" s="168"/>
      <c r="H1165" s="167"/>
      <c r="I1165" s="166">
        <v>3307.48</v>
      </c>
      <c r="J1165" s="167">
        <v>157</v>
      </c>
      <c r="K1165" s="166">
        <v>69286.09</v>
      </c>
    </row>
    <row r="1166" spans="1:22" ht="15" x14ac:dyDescent="0.25">
      <c r="A1166" s="164"/>
      <c r="B1166" s="164"/>
      <c r="C1166" s="165" t="s">
        <v>183</v>
      </c>
      <c r="D1166" s="164"/>
      <c r="E1166" s="164"/>
      <c r="F1166" s="164"/>
      <c r="G1166" s="164"/>
      <c r="H1166" s="414">
        <v>14621.87</v>
      </c>
      <c r="I1166" s="414"/>
      <c r="J1166" s="414">
        <v>163874.39000000001</v>
      </c>
      <c r="K1166" s="414"/>
      <c r="O1166" s="163">
        <f>I1163+I1165</f>
        <v>14621.87</v>
      </c>
      <c r="P1166" s="163">
        <f>K1163+K1165</f>
        <v>163874.39000000001</v>
      </c>
    </row>
    <row r="1169" spans="1:22" ht="15" x14ac:dyDescent="0.25">
      <c r="A1169" s="417" t="s">
        <v>1925</v>
      </c>
      <c r="B1169" s="417"/>
      <c r="C1169" s="417"/>
      <c r="D1169" s="417"/>
      <c r="E1169" s="417"/>
      <c r="F1169" s="417"/>
      <c r="G1169" s="417"/>
      <c r="H1169" s="415">
        <v>14621.87</v>
      </c>
      <c r="I1169" s="416"/>
      <c r="J1169" s="415">
        <v>163874.39000000001</v>
      </c>
      <c r="K1169" s="416"/>
    </row>
    <row r="1170" spans="1:22" hidden="1" x14ac:dyDescent="0.2">
      <c r="A1170" s="160" t="s">
        <v>182</v>
      </c>
      <c r="I1170" s="160">
        <v>0</v>
      </c>
      <c r="J1170" s="160">
        <v>0</v>
      </c>
    </row>
    <row r="1171" spans="1:22" hidden="1" x14ac:dyDescent="0.2">
      <c r="A1171" s="160" t="s">
        <v>181</v>
      </c>
      <c r="I1171" s="160">
        <v>0</v>
      </c>
      <c r="J1171" s="160">
        <v>0</v>
      </c>
    </row>
    <row r="1173" spans="1:22" ht="16.5" x14ac:dyDescent="0.25">
      <c r="A1173" s="413" t="s">
        <v>1926</v>
      </c>
      <c r="B1173" s="413"/>
      <c r="C1173" s="413"/>
      <c r="D1173" s="413"/>
      <c r="E1173" s="413"/>
      <c r="F1173" s="413"/>
      <c r="G1173" s="413"/>
      <c r="H1173" s="413"/>
      <c r="I1173" s="413"/>
      <c r="J1173" s="413"/>
      <c r="K1173" s="413"/>
    </row>
    <row r="1174" spans="1:22" ht="42.75" x14ac:dyDescent="0.2">
      <c r="A1174" s="179" t="s">
        <v>1927</v>
      </c>
      <c r="B1174" s="178" t="s">
        <v>1928</v>
      </c>
      <c r="C1174" s="178" t="s">
        <v>186</v>
      </c>
      <c r="D1174" s="177" t="s">
        <v>1533</v>
      </c>
      <c r="E1174" s="174">
        <v>1277.0194080000001</v>
      </c>
      <c r="F1174" s="176"/>
      <c r="G1174" s="175"/>
      <c r="H1174" s="174"/>
      <c r="I1174" s="173"/>
      <c r="J1174" s="174"/>
      <c r="K1174" s="173"/>
      <c r="Q1174" s="160">
        <f>[2]Source!X1179</f>
        <v>0</v>
      </c>
      <c r="R1174" s="160">
        <f>[2]Source!X1180</f>
        <v>0</v>
      </c>
      <c r="S1174" s="160">
        <f>[2]Source!Y1179</f>
        <v>0</v>
      </c>
      <c r="T1174" s="160">
        <f>[2]Source!Y1180</f>
        <v>0</v>
      </c>
      <c r="U1174" s="160">
        <f>ROUND((175/100)*ROUND([2]Source!R1179, 2), 2)</f>
        <v>0</v>
      </c>
      <c r="V1174" s="160">
        <f>ROUND((157/100)*ROUND([2]Source!R1180, 2), 2)</f>
        <v>0</v>
      </c>
    </row>
    <row r="1175" spans="1:22" ht="14.25" x14ac:dyDescent="0.2">
      <c r="A1175" s="172"/>
      <c r="B1175" s="171"/>
      <c r="C1175" s="171" t="s">
        <v>184</v>
      </c>
      <c r="D1175" s="170"/>
      <c r="E1175" s="167"/>
      <c r="F1175" s="169">
        <v>27.84</v>
      </c>
      <c r="G1175" s="168" t="s">
        <v>195</v>
      </c>
      <c r="H1175" s="167">
        <v>1</v>
      </c>
      <c r="I1175" s="166">
        <v>35552.22</v>
      </c>
      <c r="J1175" s="167">
        <v>10.64</v>
      </c>
      <c r="K1175" s="166">
        <v>378275.62</v>
      </c>
    </row>
    <row r="1176" spans="1:22" ht="15" x14ac:dyDescent="0.25">
      <c r="A1176" s="164"/>
      <c r="B1176" s="164"/>
      <c r="C1176" s="165" t="s">
        <v>183</v>
      </c>
      <c r="D1176" s="164"/>
      <c r="E1176" s="164"/>
      <c r="F1176" s="164"/>
      <c r="G1176" s="164"/>
      <c r="H1176" s="414">
        <v>35552.22</v>
      </c>
      <c r="I1176" s="414"/>
      <c r="J1176" s="414">
        <v>378275.62</v>
      </c>
      <c r="K1176" s="414"/>
      <c r="O1176" s="163">
        <f>I1175</f>
        <v>35552.22</v>
      </c>
      <c r="P1176" s="163">
        <f>K1175</f>
        <v>378275.62</v>
      </c>
    </row>
    <row r="1178" spans="1:22" ht="28.5" x14ac:dyDescent="0.2">
      <c r="A1178" s="179" t="s">
        <v>1929</v>
      </c>
      <c r="B1178" s="178" t="s">
        <v>1930</v>
      </c>
      <c r="C1178" s="178" t="s">
        <v>185</v>
      </c>
      <c r="D1178" s="177" t="s">
        <v>1785</v>
      </c>
      <c r="E1178" s="174">
        <v>1277.0194080000001</v>
      </c>
      <c r="F1178" s="176"/>
      <c r="G1178" s="175"/>
      <c r="H1178" s="174"/>
      <c r="I1178" s="173"/>
      <c r="J1178" s="174"/>
      <c r="K1178" s="173"/>
      <c r="Q1178" s="160">
        <f>[2]Source!X1181</f>
        <v>0</v>
      </c>
      <c r="R1178" s="160">
        <f>[2]Source!X1182</f>
        <v>0</v>
      </c>
      <c r="S1178" s="160">
        <f>[2]Source!Y1181</f>
        <v>0</v>
      </c>
      <c r="T1178" s="160">
        <f>[2]Source!Y1182</f>
        <v>0</v>
      </c>
      <c r="U1178" s="160">
        <f>ROUND((175/100)*ROUND([2]Source!R1181, 2), 2)</f>
        <v>0</v>
      </c>
      <c r="V1178" s="160">
        <f>ROUND((157/100)*ROUND([2]Source!R1182, 2), 2)</f>
        <v>0</v>
      </c>
    </row>
    <row r="1179" spans="1:22" ht="14.25" x14ac:dyDescent="0.2">
      <c r="A1179" s="172"/>
      <c r="B1179" s="171"/>
      <c r="C1179" s="171" t="s">
        <v>184</v>
      </c>
      <c r="D1179" s="170"/>
      <c r="E1179" s="167"/>
      <c r="F1179" s="169">
        <v>101</v>
      </c>
      <c r="G1179" s="168" t="s">
        <v>195</v>
      </c>
      <c r="H1179" s="167">
        <v>1</v>
      </c>
      <c r="I1179" s="166">
        <v>128978.96</v>
      </c>
      <c r="J1179" s="167">
        <v>1.96</v>
      </c>
      <c r="K1179" s="166">
        <v>252798.76</v>
      </c>
    </row>
    <row r="1180" spans="1:22" ht="15" x14ac:dyDescent="0.25">
      <c r="A1180" s="164"/>
      <c r="B1180" s="164"/>
      <c r="C1180" s="165" t="s">
        <v>183</v>
      </c>
      <c r="D1180" s="164"/>
      <c r="E1180" s="164"/>
      <c r="F1180" s="164"/>
      <c r="G1180" s="164"/>
      <c r="H1180" s="414">
        <v>128978.96</v>
      </c>
      <c r="I1180" s="414"/>
      <c r="J1180" s="414">
        <v>252798.76</v>
      </c>
      <c r="K1180" s="414"/>
      <c r="O1180" s="163">
        <f>I1179</f>
        <v>128978.96</v>
      </c>
      <c r="P1180" s="163">
        <f>K1179</f>
        <v>252798.76</v>
      </c>
    </row>
    <row r="1183" spans="1:22" ht="15" x14ac:dyDescent="0.25">
      <c r="A1183" s="417" t="s">
        <v>1931</v>
      </c>
      <c r="B1183" s="417"/>
      <c r="C1183" s="417"/>
      <c r="D1183" s="417"/>
      <c r="E1183" s="417"/>
      <c r="F1183" s="417"/>
      <c r="G1183" s="417"/>
      <c r="H1183" s="415">
        <v>164531.18</v>
      </c>
      <c r="I1183" s="416"/>
      <c r="J1183" s="415">
        <v>631074.38</v>
      </c>
      <c r="K1183" s="416"/>
    </row>
    <row r="1184" spans="1:22" hidden="1" x14ac:dyDescent="0.2">
      <c r="A1184" s="160" t="s">
        <v>182</v>
      </c>
      <c r="I1184" s="160">
        <v>0</v>
      </c>
      <c r="J1184" s="160">
        <v>0</v>
      </c>
    </row>
    <row r="1185" spans="1:11" hidden="1" x14ac:dyDescent="0.2">
      <c r="A1185" s="160" t="s">
        <v>181</v>
      </c>
      <c r="I1185" s="160">
        <v>0</v>
      </c>
      <c r="J1185" s="160">
        <v>0</v>
      </c>
    </row>
    <row r="1187" spans="1:11" ht="15" x14ac:dyDescent="0.25">
      <c r="A1187" s="417" t="s">
        <v>1932</v>
      </c>
      <c r="B1187" s="417"/>
      <c r="C1187" s="417"/>
      <c r="D1187" s="417"/>
      <c r="E1187" s="417"/>
      <c r="F1187" s="417"/>
      <c r="G1187" s="417"/>
      <c r="H1187" s="415">
        <v>4539562.99</v>
      </c>
      <c r="I1187" s="416"/>
      <c r="J1187" s="415">
        <v>35995043.590000004</v>
      </c>
      <c r="K1187" s="416"/>
    </row>
    <row r="1188" spans="1:11" hidden="1" x14ac:dyDescent="0.2">
      <c r="A1188" s="160" t="s">
        <v>182</v>
      </c>
      <c r="I1188" s="160">
        <v>0</v>
      </c>
      <c r="J1188" s="160">
        <v>0</v>
      </c>
    </row>
    <row r="1189" spans="1:11" hidden="1" x14ac:dyDescent="0.2">
      <c r="A1189" s="160" t="s">
        <v>181</v>
      </c>
      <c r="I1189" s="160">
        <v>0</v>
      </c>
      <c r="J1189" s="160">
        <v>0</v>
      </c>
    </row>
    <row r="1190" spans="1:11" ht="14.25" x14ac:dyDescent="0.2">
      <c r="C1190" s="410" t="s">
        <v>1920</v>
      </c>
      <c r="D1190" s="410"/>
      <c r="E1190" s="410"/>
      <c r="F1190" s="410"/>
      <c r="G1190" s="410"/>
      <c r="H1190" s="411">
        <v>3795213.51</v>
      </c>
      <c r="I1190" s="411"/>
      <c r="J1190" s="411">
        <v>22920271.59</v>
      </c>
      <c r="K1190" s="411"/>
    </row>
    <row r="1191" spans="1:11" ht="14.25" x14ac:dyDescent="0.2">
      <c r="C1191" s="410" t="s">
        <v>1933</v>
      </c>
      <c r="D1191" s="410"/>
      <c r="E1191" s="410"/>
      <c r="F1191" s="410"/>
      <c r="G1191" s="410"/>
      <c r="H1191" s="411">
        <v>3130001.74</v>
      </c>
      <c r="I1191" s="411"/>
      <c r="J1191" s="411">
        <v>11172861.640000001</v>
      </c>
      <c r="K1191" s="411"/>
    </row>
    <row r="1192" spans="1:11" ht="14.25" x14ac:dyDescent="0.2">
      <c r="C1192" s="410" t="s">
        <v>1934</v>
      </c>
      <c r="D1192" s="410"/>
      <c r="E1192" s="410"/>
      <c r="F1192" s="410"/>
      <c r="G1192" s="410"/>
      <c r="H1192" s="411">
        <v>3130001.74</v>
      </c>
      <c r="I1192" s="411"/>
      <c r="J1192" s="411">
        <v>11172861.640000001</v>
      </c>
      <c r="K1192" s="411"/>
    </row>
    <row r="1193" spans="1:11" ht="14.25" x14ac:dyDescent="0.2">
      <c r="C1193" s="410" t="s">
        <v>1935</v>
      </c>
      <c r="D1193" s="410"/>
      <c r="E1193" s="410"/>
      <c r="F1193" s="410"/>
      <c r="G1193" s="410"/>
      <c r="H1193" s="411">
        <v>0</v>
      </c>
      <c r="I1193" s="411"/>
      <c r="J1193" s="411">
        <v>0</v>
      </c>
      <c r="K1193" s="411"/>
    </row>
    <row r="1194" spans="1:11" ht="14.25" x14ac:dyDescent="0.2">
      <c r="C1194" s="410" t="s">
        <v>1936</v>
      </c>
      <c r="D1194" s="410"/>
      <c r="E1194" s="410"/>
      <c r="F1194" s="410"/>
      <c r="G1194" s="410"/>
      <c r="H1194" s="411">
        <v>202313.89</v>
      </c>
      <c r="I1194" s="411"/>
      <c r="J1194" s="411">
        <v>938744.43</v>
      </c>
      <c r="K1194" s="411"/>
    </row>
    <row r="1195" spans="1:11" ht="14.25" x14ac:dyDescent="0.2">
      <c r="C1195" s="410" t="s">
        <v>1937</v>
      </c>
      <c r="D1195" s="410"/>
      <c r="E1195" s="410"/>
      <c r="F1195" s="410"/>
      <c r="G1195" s="410"/>
      <c r="H1195" s="411">
        <v>7047.97</v>
      </c>
      <c r="I1195" s="411"/>
      <c r="J1195" s="411">
        <v>164570.14000000001</v>
      </c>
      <c r="K1195" s="411"/>
    </row>
    <row r="1196" spans="1:11" ht="14.25" x14ac:dyDescent="0.2">
      <c r="C1196" s="410" t="s">
        <v>1938</v>
      </c>
      <c r="D1196" s="410"/>
      <c r="E1196" s="410"/>
      <c r="F1196" s="410"/>
      <c r="G1196" s="410"/>
      <c r="H1196" s="411">
        <v>462897.88</v>
      </c>
      <c r="I1196" s="411"/>
      <c r="J1196" s="411">
        <v>10808665.52</v>
      </c>
      <c r="K1196" s="411"/>
    </row>
    <row r="1197" spans="1:11" ht="14.25" x14ac:dyDescent="0.2">
      <c r="C1197" s="410" t="s">
        <v>1939</v>
      </c>
      <c r="D1197" s="410"/>
      <c r="E1197" s="410"/>
      <c r="F1197" s="410"/>
      <c r="G1197" s="410"/>
      <c r="H1197" s="411">
        <v>4375031.8099999996</v>
      </c>
      <c r="I1197" s="411"/>
      <c r="J1197" s="411">
        <v>35363969.210000001</v>
      </c>
      <c r="K1197" s="411"/>
    </row>
    <row r="1198" spans="1:11" ht="14.25" x14ac:dyDescent="0.2">
      <c r="C1198" s="410" t="s">
        <v>1940</v>
      </c>
      <c r="D1198" s="410"/>
      <c r="E1198" s="410"/>
      <c r="F1198" s="410"/>
      <c r="G1198" s="410"/>
      <c r="H1198" s="411">
        <v>0</v>
      </c>
      <c r="I1198" s="411"/>
      <c r="J1198" s="411">
        <v>0</v>
      </c>
      <c r="K1198" s="411"/>
    </row>
    <row r="1199" spans="1:11" ht="14.25" x14ac:dyDescent="0.2">
      <c r="C1199" s="410" t="s">
        <v>1941</v>
      </c>
      <c r="D1199" s="410"/>
      <c r="E1199" s="410"/>
      <c r="F1199" s="410"/>
      <c r="G1199" s="410"/>
      <c r="H1199" s="411">
        <v>164531.18</v>
      </c>
      <c r="I1199" s="411"/>
      <c r="J1199" s="411">
        <v>631074.38</v>
      </c>
      <c r="K1199" s="411"/>
    </row>
    <row r="1200" spans="1:11" ht="14.25" x14ac:dyDescent="0.2">
      <c r="C1200" s="410" t="s">
        <v>1942</v>
      </c>
      <c r="D1200" s="410"/>
      <c r="E1200" s="410"/>
      <c r="F1200" s="410"/>
      <c r="G1200" s="410"/>
      <c r="H1200" s="411">
        <v>439211.89</v>
      </c>
      <c r="I1200" s="411"/>
      <c r="J1200" s="411">
        <v>8384844.0099999998</v>
      </c>
      <c r="K1200" s="411"/>
    </row>
    <row r="1201" spans="1:11" ht="14.25" x14ac:dyDescent="0.2">
      <c r="C1201" s="410" t="s">
        <v>1943</v>
      </c>
      <c r="D1201" s="410"/>
      <c r="E1201" s="410"/>
      <c r="F1201" s="410"/>
      <c r="G1201" s="410"/>
      <c r="H1201" s="411">
        <v>292803.59000000003</v>
      </c>
      <c r="I1201" s="411"/>
      <c r="J1201" s="411">
        <v>4431552.87</v>
      </c>
      <c r="K1201" s="411"/>
    </row>
    <row r="1202" spans="1:11" ht="14.25" x14ac:dyDescent="0.2">
      <c r="C1202" s="410" t="s">
        <v>1944</v>
      </c>
      <c r="D1202" s="410"/>
      <c r="E1202" s="410"/>
      <c r="F1202" s="410"/>
      <c r="G1202" s="410"/>
      <c r="H1202" s="411">
        <v>4539562.99</v>
      </c>
      <c r="I1202" s="411"/>
      <c r="J1202" s="411">
        <v>35995043.590000004</v>
      </c>
      <c r="K1202" s="411"/>
    </row>
    <row r="1205" spans="1:11" ht="14.25" x14ac:dyDescent="0.2">
      <c r="A1205" s="412" t="s">
        <v>180</v>
      </c>
      <c r="B1205" s="412"/>
      <c r="C1205" s="162" t="s">
        <v>107</v>
      </c>
      <c r="D1205" s="162"/>
      <c r="E1205" s="162"/>
      <c r="F1205" s="162"/>
      <c r="G1205" s="162"/>
      <c r="H1205" s="161" t="s">
        <v>107</v>
      </c>
      <c r="I1205" s="161"/>
      <c r="J1205" s="161"/>
      <c r="K1205" s="161"/>
    </row>
    <row r="1206" spans="1:11" ht="14.25" x14ac:dyDescent="0.2">
      <c r="A1206" s="161"/>
      <c r="B1206" s="161"/>
      <c r="C1206" s="409" t="s">
        <v>72</v>
      </c>
      <c r="D1206" s="409"/>
      <c r="E1206" s="409"/>
      <c r="F1206" s="409"/>
      <c r="G1206" s="409"/>
      <c r="H1206" s="161"/>
      <c r="I1206" s="161"/>
      <c r="J1206" s="161"/>
      <c r="K1206" s="161"/>
    </row>
    <row r="1207" spans="1:11" ht="14.25" x14ac:dyDescent="0.2">
      <c r="A1207" s="161"/>
      <c r="B1207" s="161"/>
      <c r="C1207" s="161"/>
      <c r="D1207" s="161"/>
      <c r="E1207" s="161"/>
      <c r="F1207" s="161"/>
      <c r="G1207" s="161"/>
      <c r="H1207" s="161"/>
      <c r="I1207" s="161"/>
      <c r="J1207" s="161"/>
      <c r="K1207" s="161"/>
    </row>
    <row r="1208" spans="1:11" ht="14.25" x14ac:dyDescent="0.2">
      <c r="A1208" s="412" t="s">
        <v>179</v>
      </c>
      <c r="B1208" s="412"/>
      <c r="C1208" s="162" t="s">
        <v>107</v>
      </c>
      <c r="D1208" s="162"/>
      <c r="E1208" s="162"/>
      <c r="F1208" s="162"/>
      <c r="G1208" s="162"/>
      <c r="H1208" s="161" t="s">
        <v>107</v>
      </c>
      <c r="I1208" s="161"/>
      <c r="J1208" s="161"/>
      <c r="K1208" s="161"/>
    </row>
    <row r="1209" spans="1:11" ht="14.25" x14ac:dyDescent="0.2">
      <c r="A1209" s="161"/>
      <c r="B1209" s="161"/>
      <c r="C1209" s="409" t="s">
        <v>72</v>
      </c>
      <c r="D1209" s="409"/>
      <c r="E1209" s="409"/>
      <c r="F1209" s="409"/>
      <c r="G1209" s="409"/>
      <c r="H1209" s="161"/>
      <c r="I1209" s="161"/>
      <c r="J1209" s="161"/>
      <c r="K1209" s="161"/>
    </row>
  </sheetData>
  <mergeCells count="306"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36:K36"/>
    <mergeCell ref="J44:K44"/>
    <mergeCell ref="H44:I44"/>
    <mergeCell ref="J53:K53"/>
    <mergeCell ref="H53:I53"/>
    <mergeCell ref="J62:K62"/>
    <mergeCell ref="H62:I62"/>
    <mergeCell ref="J65:K65"/>
    <mergeCell ref="H65:I65"/>
    <mergeCell ref="A65:G65"/>
    <mergeCell ref="A69:K69"/>
    <mergeCell ref="A71:K71"/>
    <mergeCell ref="J85:K85"/>
    <mergeCell ref="H85:I85"/>
    <mergeCell ref="J95:K95"/>
    <mergeCell ref="H95:I95"/>
    <mergeCell ref="J109:K109"/>
    <mergeCell ref="H109:I109"/>
    <mergeCell ref="J123:K123"/>
    <mergeCell ref="H123:I123"/>
    <mergeCell ref="J137:K137"/>
    <mergeCell ref="H137:I137"/>
    <mergeCell ref="J140:K140"/>
    <mergeCell ref="H140:I140"/>
    <mergeCell ref="A140:G140"/>
    <mergeCell ref="A144:K144"/>
    <mergeCell ref="J158:K158"/>
    <mergeCell ref="H158:I158"/>
    <mergeCell ref="J167:K167"/>
    <mergeCell ref="H167:I167"/>
    <mergeCell ref="J182:K182"/>
    <mergeCell ref="H182:I182"/>
    <mergeCell ref="J196:K196"/>
    <mergeCell ref="H196:I196"/>
    <mergeCell ref="J211:K211"/>
    <mergeCell ref="H211:I211"/>
    <mergeCell ref="J220:K220"/>
    <mergeCell ref="H220:I220"/>
    <mergeCell ref="J235:K235"/>
    <mergeCell ref="H235:I235"/>
    <mergeCell ref="J250:K250"/>
    <mergeCell ref="H250:I250"/>
    <mergeCell ref="J264:K264"/>
    <mergeCell ref="H264:I264"/>
    <mergeCell ref="J277:K277"/>
    <mergeCell ref="H277:I277"/>
    <mergeCell ref="J292:K292"/>
    <mergeCell ref="H292:I292"/>
    <mergeCell ref="J301:K301"/>
    <mergeCell ref="H301:I301"/>
    <mergeCell ref="J317:K317"/>
    <mergeCell ref="H317:I317"/>
    <mergeCell ref="J332:K332"/>
    <mergeCell ref="H332:I332"/>
    <mergeCell ref="J335:K335"/>
    <mergeCell ref="H335:I335"/>
    <mergeCell ref="A335:G335"/>
    <mergeCell ref="A339:K339"/>
    <mergeCell ref="J356:K356"/>
    <mergeCell ref="H356:I356"/>
    <mergeCell ref="J367:K367"/>
    <mergeCell ref="H367:I367"/>
    <mergeCell ref="J370:K370"/>
    <mergeCell ref="H370:I370"/>
    <mergeCell ref="A370:G370"/>
    <mergeCell ref="A374:K374"/>
    <mergeCell ref="J390:K390"/>
    <mergeCell ref="H390:I390"/>
    <mergeCell ref="J405:K405"/>
    <mergeCell ref="H405:I405"/>
    <mergeCell ref="J408:K408"/>
    <mergeCell ref="H408:I408"/>
    <mergeCell ref="A408:G408"/>
    <mergeCell ref="A412:K412"/>
    <mergeCell ref="J428:K428"/>
    <mergeCell ref="H428:I428"/>
    <mergeCell ref="J443:K443"/>
    <mergeCell ref="H443:I443"/>
    <mergeCell ref="J446:K446"/>
    <mergeCell ref="H446:I446"/>
    <mergeCell ref="A446:G446"/>
    <mergeCell ref="A450:K450"/>
    <mergeCell ref="J464:K464"/>
    <mergeCell ref="H464:I464"/>
    <mergeCell ref="J477:K477"/>
    <mergeCell ref="H477:I477"/>
    <mergeCell ref="J493:K493"/>
    <mergeCell ref="H493:I493"/>
    <mergeCell ref="J507:K507"/>
    <mergeCell ref="H507:I507"/>
    <mergeCell ref="J510:K510"/>
    <mergeCell ref="H510:I510"/>
    <mergeCell ref="A510:G510"/>
    <mergeCell ref="J514:K514"/>
    <mergeCell ref="H514:I514"/>
    <mergeCell ref="A514:G514"/>
    <mergeCell ref="A518:K518"/>
    <mergeCell ref="A520:K520"/>
    <mergeCell ref="J531:K531"/>
    <mergeCell ref="H531:I531"/>
    <mergeCell ref="J544:K544"/>
    <mergeCell ref="H544:I544"/>
    <mergeCell ref="J556:K556"/>
    <mergeCell ref="H556:I556"/>
    <mergeCell ref="J569:K569"/>
    <mergeCell ref="H569:I569"/>
    <mergeCell ref="J582:K582"/>
    <mergeCell ref="H582:I582"/>
    <mergeCell ref="J594:K594"/>
    <mergeCell ref="H594:I594"/>
    <mergeCell ref="J609:K609"/>
    <mergeCell ref="H609:I609"/>
    <mergeCell ref="J612:K612"/>
    <mergeCell ref="H612:I612"/>
    <mergeCell ref="A612:G612"/>
    <mergeCell ref="A616:K616"/>
    <mergeCell ref="J628:K628"/>
    <mergeCell ref="H628:I628"/>
    <mergeCell ref="J640:K640"/>
    <mergeCell ref="H640:I640"/>
    <mergeCell ref="J652:K652"/>
    <mergeCell ref="H652:I652"/>
    <mergeCell ref="J665:K665"/>
    <mergeCell ref="H665:I665"/>
    <mergeCell ref="J677:K677"/>
    <mergeCell ref="H677:I677"/>
    <mergeCell ref="J690:K690"/>
    <mergeCell ref="H690:I690"/>
    <mergeCell ref="J705:K705"/>
    <mergeCell ref="H705:I705"/>
    <mergeCell ref="J708:K708"/>
    <mergeCell ref="H708:I708"/>
    <mergeCell ref="A708:G708"/>
    <mergeCell ref="A712:K712"/>
    <mergeCell ref="J724:K724"/>
    <mergeCell ref="H724:I724"/>
    <mergeCell ref="J736:K736"/>
    <mergeCell ref="H736:I736"/>
    <mergeCell ref="J749:K749"/>
    <mergeCell ref="H749:I749"/>
    <mergeCell ref="J761:K761"/>
    <mergeCell ref="H761:I761"/>
    <mergeCell ref="J774:K774"/>
    <mergeCell ref="H774:I774"/>
    <mergeCell ref="J787:K787"/>
    <mergeCell ref="H787:I787"/>
    <mergeCell ref="J790:K790"/>
    <mergeCell ref="H790:I790"/>
    <mergeCell ref="A790:G790"/>
    <mergeCell ref="A794:K794"/>
    <mergeCell ref="J806:K806"/>
    <mergeCell ref="H806:I806"/>
    <mergeCell ref="J818:K818"/>
    <mergeCell ref="H818:I818"/>
    <mergeCell ref="J830:K830"/>
    <mergeCell ref="H830:I830"/>
    <mergeCell ref="J843:K843"/>
    <mergeCell ref="H843:I843"/>
    <mergeCell ref="J855:K855"/>
    <mergeCell ref="H855:I855"/>
    <mergeCell ref="J868:K868"/>
    <mergeCell ref="H868:I868"/>
    <mergeCell ref="J882:K882"/>
    <mergeCell ref="H882:I882"/>
    <mergeCell ref="J885:K885"/>
    <mergeCell ref="H885:I885"/>
    <mergeCell ref="A885:G885"/>
    <mergeCell ref="A889:K889"/>
    <mergeCell ref="J901:K901"/>
    <mergeCell ref="H901:I901"/>
    <mergeCell ref="J913:K913"/>
    <mergeCell ref="H913:I913"/>
    <mergeCell ref="J925:K925"/>
    <mergeCell ref="H925:I925"/>
    <mergeCell ref="J938:K938"/>
    <mergeCell ref="H938:I938"/>
    <mergeCell ref="J950:K950"/>
    <mergeCell ref="H950:I950"/>
    <mergeCell ref="J963:K963"/>
    <mergeCell ref="H963:I963"/>
    <mergeCell ref="J977:K977"/>
    <mergeCell ref="H977:I977"/>
    <mergeCell ref="J980:K980"/>
    <mergeCell ref="H980:I980"/>
    <mergeCell ref="A980:G980"/>
    <mergeCell ref="A984:K984"/>
    <mergeCell ref="J995:K995"/>
    <mergeCell ref="H995:I995"/>
    <mergeCell ref="J1007:K1007"/>
    <mergeCell ref="H1007:I1007"/>
    <mergeCell ref="J1020:K1020"/>
    <mergeCell ref="H1020:I1020"/>
    <mergeCell ref="J1032:K1032"/>
    <mergeCell ref="H1032:I1032"/>
    <mergeCell ref="J1045:K1045"/>
    <mergeCell ref="H1045:I1045"/>
    <mergeCell ref="J1060:K1060"/>
    <mergeCell ref="H1060:I1060"/>
    <mergeCell ref="J1063:K1063"/>
    <mergeCell ref="H1063:I1063"/>
    <mergeCell ref="A1063:G1063"/>
    <mergeCell ref="J1067:K1067"/>
    <mergeCell ref="H1067:I1067"/>
    <mergeCell ref="A1067:G1067"/>
    <mergeCell ref="A1071:K1071"/>
    <mergeCell ref="J1087:K1087"/>
    <mergeCell ref="H1087:I1087"/>
    <mergeCell ref="J1100:K1100"/>
    <mergeCell ref="H1100:I1100"/>
    <mergeCell ref="J1115:K1115"/>
    <mergeCell ref="H1115:I1115"/>
    <mergeCell ref="J1127:K1127"/>
    <mergeCell ref="H1127:I1127"/>
    <mergeCell ref="J1140:K1140"/>
    <mergeCell ref="H1140:I1140"/>
    <mergeCell ref="J1152:K1152"/>
    <mergeCell ref="H1152:I1152"/>
    <mergeCell ref="J1155:K1155"/>
    <mergeCell ref="H1155:I1155"/>
    <mergeCell ref="A1155:G1155"/>
    <mergeCell ref="C1158:G1158"/>
    <mergeCell ref="H1158:I1158"/>
    <mergeCell ref="J1158:K1158"/>
    <mergeCell ref="A1160:K1160"/>
    <mergeCell ref="J1166:K1166"/>
    <mergeCell ref="H1166:I1166"/>
    <mergeCell ref="J1169:K1169"/>
    <mergeCell ref="H1169:I1169"/>
    <mergeCell ref="A1169:G1169"/>
    <mergeCell ref="A1173:K1173"/>
    <mergeCell ref="J1176:K1176"/>
    <mergeCell ref="H1176:I1176"/>
    <mergeCell ref="J1180:K1180"/>
    <mergeCell ref="H1180:I1180"/>
    <mergeCell ref="J1183:K1183"/>
    <mergeCell ref="H1183:I1183"/>
    <mergeCell ref="A1183:G1183"/>
    <mergeCell ref="J1187:K1187"/>
    <mergeCell ref="H1187:I1187"/>
    <mergeCell ref="A1187:G1187"/>
    <mergeCell ref="C1190:G1190"/>
    <mergeCell ref="H1190:I1190"/>
    <mergeCell ref="J1190:K1190"/>
    <mergeCell ref="C1191:G1191"/>
    <mergeCell ref="H1191:I1191"/>
    <mergeCell ref="J1191:K1191"/>
    <mergeCell ref="C1192:G1192"/>
    <mergeCell ref="H1192:I1192"/>
    <mergeCell ref="J1192:K1192"/>
    <mergeCell ref="C1193:G1193"/>
    <mergeCell ref="H1193:I1193"/>
    <mergeCell ref="J1193:K1193"/>
    <mergeCell ref="C1194:G1194"/>
    <mergeCell ref="H1194:I1194"/>
    <mergeCell ref="J1194:K1194"/>
    <mergeCell ref="C1195:G1195"/>
    <mergeCell ref="H1195:I1195"/>
    <mergeCell ref="J1195:K1195"/>
    <mergeCell ref="C1196:G1196"/>
    <mergeCell ref="H1196:I1196"/>
    <mergeCell ref="J1196:K1196"/>
    <mergeCell ref="C1197:G1197"/>
    <mergeCell ref="H1197:I1197"/>
    <mergeCell ref="J1197:K1197"/>
    <mergeCell ref="C1198:G1198"/>
    <mergeCell ref="H1198:I1198"/>
    <mergeCell ref="J1198:K1198"/>
    <mergeCell ref="C1209:G1209"/>
    <mergeCell ref="C1202:G1202"/>
    <mergeCell ref="H1202:I1202"/>
    <mergeCell ref="J1202:K1202"/>
    <mergeCell ref="A1205:B1205"/>
    <mergeCell ref="C1206:G1206"/>
    <mergeCell ref="A1208:B1208"/>
    <mergeCell ref="C1199:G1199"/>
    <mergeCell ref="H1199:I1199"/>
    <mergeCell ref="J1199:K1199"/>
    <mergeCell ref="C1200:G1200"/>
    <mergeCell ref="H1200:I1200"/>
    <mergeCell ref="J1200:K1200"/>
    <mergeCell ref="C1201:G1201"/>
    <mergeCell ref="H1201:I1201"/>
    <mergeCell ref="J1201:K1201"/>
  </mergeCells>
  <pageMargins left="0.4" right="0.2" top="0.2" bottom="0.4" header="0.2" footer="0.2"/>
  <pageSetup paperSize="9" scale="63" fitToHeight="0" orientation="portrait" r:id="rId1"/>
  <headerFooter>
    <oddHeader>&amp;L&amp;8</oddHead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F776"/>
  <sheetViews>
    <sheetView view="pageBreakPreview" topLeftCell="A741" zoomScaleNormal="100" zoomScaleSheetLayoutView="100" workbookViewId="0">
      <selection activeCell="A13" sqref="A13:K13"/>
    </sheetView>
  </sheetViews>
  <sheetFormatPr defaultColWidth="9.140625" defaultRowHeight="12.75" x14ac:dyDescent="0.2"/>
  <cols>
    <col min="1" max="1" width="5.7109375" style="160" customWidth="1"/>
    <col min="2" max="2" width="11.7109375" style="160" customWidth="1"/>
    <col min="3" max="3" width="40.7109375" style="160" customWidth="1"/>
    <col min="4" max="6" width="11.7109375" style="160" customWidth="1"/>
    <col min="7" max="7" width="12.7109375" style="160" customWidth="1"/>
    <col min="8" max="8" width="10.7109375" style="160" customWidth="1"/>
    <col min="9" max="11" width="12.7109375" style="160" customWidth="1"/>
    <col min="12" max="14" width="9.140625" style="160"/>
    <col min="15" max="30" width="0" style="160" hidden="1" customWidth="1"/>
    <col min="31" max="31" width="150.7109375" style="160" hidden="1" customWidth="1"/>
    <col min="32" max="32" width="104.7109375" style="160" hidden="1" customWidth="1"/>
    <col min="33" max="36" width="0" style="160" hidden="1" customWidth="1"/>
    <col min="37" max="16384" width="9.140625" style="160"/>
  </cols>
  <sheetData>
    <row r="1" spans="1:31" x14ac:dyDescent="0.2">
      <c r="A1" s="200" t="s">
        <v>1523</v>
      </c>
    </row>
    <row r="2" spans="1:31" ht="14.25" x14ac:dyDescent="0.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61" t="s">
        <v>381</v>
      </c>
    </row>
    <row r="3" spans="1:31" ht="16.5" x14ac:dyDescent="0.25">
      <c r="A3" s="199"/>
      <c r="B3" s="428" t="s">
        <v>380</v>
      </c>
      <c r="C3" s="428"/>
      <c r="D3" s="428"/>
      <c r="E3" s="428"/>
      <c r="F3" s="161"/>
      <c r="G3" s="428" t="s">
        <v>0</v>
      </c>
      <c r="H3" s="428"/>
      <c r="I3" s="428"/>
      <c r="J3" s="428"/>
      <c r="K3" s="428"/>
    </row>
    <row r="4" spans="1:31" ht="14.25" x14ac:dyDescent="0.2">
      <c r="A4" s="161"/>
      <c r="B4" s="418"/>
      <c r="C4" s="418"/>
      <c r="D4" s="418"/>
      <c r="E4" s="418"/>
      <c r="F4" s="161"/>
      <c r="G4" s="418"/>
      <c r="H4" s="418"/>
      <c r="I4" s="418"/>
      <c r="J4" s="418"/>
      <c r="K4" s="418"/>
    </row>
    <row r="5" spans="1:31" ht="14.25" x14ac:dyDescent="0.2">
      <c r="A5" s="198"/>
      <c r="B5" s="198"/>
      <c r="C5" s="197"/>
      <c r="D5" s="197"/>
      <c r="E5" s="197"/>
      <c r="F5" s="161"/>
      <c r="G5" s="187"/>
      <c r="H5" s="197"/>
      <c r="I5" s="197"/>
      <c r="J5" s="197"/>
      <c r="K5" s="187"/>
    </row>
    <row r="6" spans="1:31" ht="14.25" x14ac:dyDescent="0.2">
      <c r="A6" s="187"/>
      <c r="B6" s="418" t="s">
        <v>1524</v>
      </c>
      <c r="C6" s="418"/>
      <c r="D6" s="418"/>
      <c r="E6" s="418"/>
      <c r="F6" s="161"/>
      <c r="G6" s="418" t="s">
        <v>1524</v>
      </c>
      <c r="H6" s="418"/>
      <c r="I6" s="418"/>
      <c r="J6" s="418"/>
      <c r="K6" s="418"/>
    </row>
    <row r="7" spans="1:31" ht="14.25" x14ac:dyDescent="0.2">
      <c r="A7" s="196"/>
      <c r="B7" s="429" t="s">
        <v>379</v>
      </c>
      <c r="C7" s="429"/>
      <c r="D7" s="429"/>
      <c r="E7" s="429"/>
      <c r="F7" s="161"/>
      <c r="G7" s="429" t="s">
        <v>379</v>
      </c>
      <c r="H7" s="429"/>
      <c r="I7" s="429"/>
      <c r="J7" s="429"/>
      <c r="K7" s="429"/>
    </row>
    <row r="9" spans="1:31" ht="14.25" x14ac:dyDescent="0.2">
      <c r="A9" s="161"/>
      <c r="B9" s="161"/>
      <c r="C9" s="161"/>
      <c r="D9" s="161"/>
      <c r="E9" s="161"/>
      <c r="F9" s="161"/>
      <c r="G9" s="161"/>
      <c r="H9" s="161"/>
      <c r="I9" s="161"/>
      <c r="J9" s="161"/>
      <c r="K9" s="161"/>
    </row>
    <row r="10" spans="1:31" ht="47.25" x14ac:dyDescent="0.25">
      <c r="A10" s="422" t="s">
        <v>3850</v>
      </c>
      <c r="B10" s="422"/>
      <c r="C10" s="422"/>
      <c r="D10" s="422"/>
      <c r="E10" s="422"/>
      <c r="F10" s="422"/>
      <c r="G10" s="422"/>
      <c r="H10" s="422"/>
      <c r="I10" s="422"/>
      <c r="J10" s="422"/>
      <c r="K10" s="422"/>
      <c r="AE10" s="194" t="str">
        <f>IF([3]Source!G12&lt;&gt;"Новый объект", [3]Source!G12,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09" t="s">
        <v>75</v>
      </c>
      <c r="B11" s="409"/>
      <c r="C11" s="409"/>
      <c r="D11" s="409"/>
      <c r="E11" s="409"/>
      <c r="F11" s="409"/>
      <c r="G11" s="409"/>
      <c r="H11" s="409"/>
      <c r="I11" s="409"/>
      <c r="J11" s="409"/>
      <c r="K11" s="409"/>
    </row>
    <row r="12" spans="1:31" ht="14.25" x14ac:dyDescent="0.2">
      <c r="A12" s="161"/>
      <c r="B12" s="161"/>
      <c r="C12" s="161"/>
      <c r="D12" s="161"/>
      <c r="E12" s="161"/>
      <c r="F12" s="161"/>
      <c r="G12" s="161"/>
      <c r="H12" s="161"/>
      <c r="I12" s="161"/>
      <c r="J12" s="161"/>
      <c r="K12" s="161"/>
    </row>
    <row r="13" spans="1:31" ht="15.75" x14ac:dyDescent="0.25">
      <c r="A13" s="422" t="s">
        <v>3882</v>
      </c>
      <c r="B13" s="423"/>
      <c r="C13" s="423"/>
      <c r="D13" s="423"/>
      <c r="E13" s="423"/>
      <c r="F13" s="423"/>
      <c r="G13" s="423"/>
      <c r="H13" s="423"/>
      <c r="I13" s="423"/>
      <c r="J13" s="423"/>
      <c r="K13" s="423"/>
    </row>
    <row r="14" spans="1:31" ht="14.25" x14ac:dyDescent="0.2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</row>
    <row r="15" spans="1:31" ht="18" x14ac:dyDescent="0.25">
      <c r="A15" s="424" t="s">
        <v>1945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</row>
    <row r="16" spans="1:31" x14ac:dyDescent="0.2">
      <c r="A16" s="425" t="s">
        <v>378</v>
      </c>
      <c r="B16" s="426"/>
      <c r="C16" s="426"/>
      <c r="D16" s="426"/>
      <c r="E16" s="426"/>
      <c r="F16" s="426"/>
      <c r="G16" s="426"/>
      <c r="H16" s="426"/>
      <c r="I16" s="426"/>
      <c r="J16" s="426"/>
      <c r="K16" s="426"/>
    </row>
    <row r="17" spans="1:31" ht="14.25" x14ac:dyDescent="0.2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</row>
    <row r="18" spans="1:31" ht="14.25" x14ac:dyDescent="0.2">
      <c r="A18" s="421" t="s">
        <v>3858</v>
      </c>
      <c r="B18" s="421"/>
      <c r="C18" s="421"/>
      <c r="D18" s="421"/>
      <c r="E18" s="421"/>
      <c r="F18" s="421"/>
      <c r="G18" s="421"/>
      <c r="H18" s="421"/>
      <c r="I18" s="421"/>
      <c r="J18" s="421"/>
      <c r="K18" s="421"/>
    </row>
    <row r="19" spans="1:31" ht="14.25" x14ac:dyDescent="0.2">
      <c r="A19" s="193"/>
      <c r="B19" s="193"/>
      <c r="C19" s="193"/>
      <c r="D19" s="193"/>
      <c r="E19" s="193"/>
      <c r="F19" s="193"/>
      <c r="G19" s="193"/>
      <c r="H19" s="193"/>
      <c r="I19" s="193"/>
      <c r="J19" s="193"/>
      <c r="K19" s="193"/>
    </row>
    <row r="20" spans="1:31" ht="28.5" x14ac:dyDescent="0.2">
      <c r="A20" s="161"/>
      <c r="B20" s="161"/>
      <c r="C20" s="161"/>
      <c r="D20" s="161"/>
      <c r="E20" s="161"/>
      <c r="F20" s="161"/>
      <c r="G20" s="161"/>
      <c r="H20" s="161"/>
      <c r="I20" s="192" t="s">
        <v>377</v>
      </c>
      <c r="J20" s="192" t="s">
        <v>376</v>
      </c>
      <c r="K20" s="161"/>
    </row>
    <row r="21" spans="1:31" ht="15" x14ac:dyDescent="0.25">
      <c r="A21" s="161"/>
      <c r="B21" s="161"/>
      <c r="C21" s="161"/>
      <c r="D21" s="161"/>
      <c r="E21" s="161"/>
      <c r="F21" s="427" t="s">
        <v>375</v>
      </c>
      <c r="G21" s="427"/>
      <c r="H21" s="427"/>
      <c r="I21" s="191">
        <v>4089.63</v>
      </c>
      <c r="J21" s="191">
        <v>65825.37</v>
      </c>
      <c r="K21" s="190" t="s">
        <v>366</v>
      </c>
    </row>
    <row r="22" spans="1:31" ht="14.25" x14ac:dyDescent="0.2">
      <c r="A22" s="161"/>
      <c r="B22" s="161"/>
      <c r="C22" s="161"/>
      <c r="D22" s="161"/>
      <c r="E22" s="161"/>
      <c r="F22" s="418" t="s">
        <v>374</v>
      </c>
      <c r="G22" s="418"/>
      <c r="H22" s="418"/>
      <c r="I22" s="186">
        <v>4003.91</v>
      </c>
      <c r="J22" s="186">
        <v>65492.51</v>
      </c>
      <c r="K22" s="161" t="s">
        <v>366</v>
      </c>
    </row>
    <row r="23" spans="1:31" ht="14.25" x14ac:dyDescent="0.2">
      <c r="A23" s="161"/>
      <c r="B23" s="161"/>
      <c r="C23" s="161"/>
      <c r="D23" s="161"/>
      <c r="E23" s="161"/>
      <c r="F23" s="418" t="s">
        <v>373</v>
      </c>
      <c r="G23" s="418"/>
      <c r="H23" s="418"/>
      <c r="I23" s="186">
        <v>0</v>
      </c>
      <c r="J23" s="186">
        <v>0</v>
      </c>
      <c r="K23" s="161" t="s">
        <v>366</v>
      </c>
    </row>
    <row r="24" spans="1:31" ht="14.25" x14ac:dyDescent="0.2">
      <c r="A24" s="161"/>
      <c r="B24" s="161"/>
      <c r="C24" s="161"/>
      <c r="D24" s="161"/>
      <c r="E24" s="161"/>
      <c r="F24" s="418" t="s">
        <v>106</v>
      </c>
      <c r="G24" s="418"/>
      <c r="H24" s="418"/>
      <c r="I24" s="186">
        <v>0</v>
      </c>
      <c r="J24" s="186">
        <v>0</v>
      </c>
      <c r="K24" s="161" t="s">
        <v>366</v>
      </c>
    </row>
    <row r="25" spans="1:31" ht="14.25" x14ac:dyDescent="0.2">
      <c r="A25" s="161"/>
      <c r="B25" s="161"/>
      <c r="C25" s="161"/>
      <c r="D25" s="161"/>
      <c r="E25" s="161"/>
      <c r="F25" s="418" t="s">
        <v>372</v>
      </c>
      <c r="G25" s="418"/>
      <c r="H25" s="418"/>
      <c r="I25" s="186">
        <v>85.72</v>
      </c>
      <c r="J25" s="186">
        <v>332.86</v>
      </c>
      <c r="K25" s="161" t="s">
        <v>366</v>
      </c>
    </row>
    <row r="26" spans="1:31" ht="14.25" x14ac:dyDescent="0.2">
      <c r="A26" s="161"/>
      <c r="B26" s="161"/>
      <c r="C26" s="161"/>
      <c r="D26" s="161"/>
      <c r="E26" s="161"/>
      <c r="F26" s="418" t="s">
        <v>371</v>
      </c>
      <c r="G26" s="418"/>
      <c r="H26" s="418"/>
      <c r="I26" s="186">
        <v>1127.77</v>
      </c>
      <c r="J26" s="186">
        <v>26333.53</v>
      </c>
      <c r="K26" s="161" t="s">
        <v>366</v>
      </c>
    </row>
    <row r="27" spans="1:31" ht="14.25" x14ac:dyDescent="0.2">
      <c r="A27" s="161"/>
      <c r="B27" s="161"/>
      <c r="C27" s="161"/>
      <c r="D27" s="161"/>
      <c r="E27" s="161"/>
      <c r="F27" s="418" t="s">
        <v>370</v>
      </c>
      <c r="G27" s="418"/>
      <c r="H27" s="418"/>
      <c r="I27" s="186">
        <v>23850.799999999999</v>
      </c>
      <c r="J27" s="186"/>
      <c r="K27" s="161" t="s">
        <v>369</v>
      </c>
    </row>
    <row r="28" spans="1:31" ht="14.25" hidden="1" x14ac:dyDescent="0.2">
      <c r="A28" s="161"/>
      <c r="B28" s="161"/>
      <c r="C28" s="161"/>
      <c r="D28" s="161"/>
      <c r="E28" s="161"/>
      <c r="F28" s="188" t="s">
        <v>368</v>
      </c>
      <c r="G28" s="188"/>
      <c r="H28" s="188"/>
      <c r="I28" s="186"/>
      <c r="J28" s="186"/>
      <c r="K28" s="161"/>
    </row>
    <row r="29" spans="1:31" ht="14.25" hidden="1" x14ac:dyDescent="0.2">
      <c r="A29" s="161"/>
      <c r="B29" s="161"/>
      <c r="C29" s="161"/>
      <c r="D29" s="161"/>
      <c r="E29" s="161"/>
      <c r="F29" s="419" t="s">
        <v>367</v>
      </c>
      <c r="G29" s="420"/>
      <c r="H29" s="420"/>
      <c r="I29" s="186">
        <v>0</v>
      </c>
      <c r="J29" s="186">
        <v>0</v>
      </c>
      <c r="K29" s="161" t="s">
        <v>366</v>
      </c>
    </row>
    <row r="30" spans="1:31" ht="14.25" x14ac:dyDescent="0.2">
      <c r="A30" s="161"/>
      <c r="B30" s="161"/>
      <c r="C30" s="161"/>
      <c r="D30" s="161"/>
      <c r="E30" s="161"/>
      <c r="F30" s="187"/>
      <c r="G30" s="187"/>
      <c r="H30" s="187"/>
      <c r="I30" s="186"/>
      <c r="J30" s="186"/>
      <c r="K30" s="161"/>
    </row>
    <row r="31" spans="1:31" ht="14.25" x14ac:dyDescent="0.2">
      <c r="A31" s="161" t="s">
        <v>365</v>
      </c>
      <c r="B31" s="161"/>
      <c r="C31" s="161"/>
      <c r="D31" s="161"/>
      <c r="E31" s="161"/>
      <c r="F31" s="187"/>
      <c r="G31" s="187"/>
      <c r="H31" s="187"/>
      <c r="I31" s="186"/>
      <c r="J31" s="186"/>
      <c r="K31" s="161"/>
    </row>
    <row r="32" spans="1:31" ht="28.5" x14ac:dyDescent="0.2">
      <c r="A32" s="421" t="s">
        <v>364</v>
      </c>
      <c r="B32" s="421"/>
      <c r="C32" s="421"/>
      <c r="D32" s="421"/>
      <c r="E32" s="421"/>
      <c r="F32" s="421"/>
      <c r="G32" s="421"/>
      <c r="H32" s="421"/>
      <c r="I32" s="421"/>
      <c r="J32" s="421"/>
      <c r="K32" s="421"/>
      <c r="AE32" s="185" t="s">
        <v>364</v>
      </c>
    </row>
    <row r="33" spans="1:22" ht="85.5" x14ac:dyDescent="0.2">
      <c r="A33" s="183" t="s">
        <v>81</v>
      </c>
      <c r="B33" s="183" t="s">
        <v>363</v>
      </c>
      <c r="C33" s="183" t="s">
        <v>83</v>
      </c>
      <c r="D33" s="183" t="s">
        <v>362</v>
      </c>
      <c r="E33" s="183" t="s">
        <v>361</v>
      </c>
      <c r="F33" s="183" t="s">
        <v>360</v>
      </c>
      <c r="G33" s="184" t="s">
        <v>359</v>
      </c>
      <c r="H33" s="184" t="s">
        <v>358</v>
      </c>
      <c r="I33" s="183" t="s">
        <v>357</v>
      </c>
      <c r="J33" s="183" t="s">
        <v>356</v>
      </c>
      <c r="K33" s="183" t="s">
        <v>355</v>
      </c>
    </row>
    <row r="34" spans="1:22" ht="14.25" x14ac:dyDescent="0.2">
      <c r="A34" s="183">
        <v>1</v>
      </c>
      <c r="B34" s="183">
        <v>2</v>
      </c>
      <c r="C34" s="183">
        <v>3</v>
      </c>
      <c r="D34" s="183">
        <v>4</v>
      </c>
      <c r="E34" s="183">
        <v>5</v>
      </c>
      <c r="F34" s="183">
        <v>6</v>
      </c>
      <c r="G34" s="183">
        <v>7</v>
      </c>
      <c r="H34" s="183">
        <v>8</v>
      </c>
      <c r="I34" s="183">
        <v>9</v>
      </c>
      <c r="J34" s="183">
        <v>10</v>
      </c>
      <c r="K34" s="183">
        <v>11</v>
      </c>
    </row>
    <row r="36" spans="1:22" ht="16.5" x14ac:dyDescent="0.25">
      <c r="A36" s="413" t="s">
        <v>1947</v>
      </c>
      <c r="B36" s="413"/>
      <c r="C36" s="413"/>
      <c r="D36" s="413"/>
      <c r="E36" s="413"/>
      <c r="F36" s="413"/>
      <c r="G36" s="413"/>
      <c r="H36" s="413"/>
      <c r="I36" s="413"/>
      <c r="J36" s="413"/>
      <c r="K36" s="413"/>
    </row>
    <row r="37" spans="1:22" ht="99.75" x14ac:dyDescent="0.2">
      <c r="A37" s="179" t="s">
        <v>719</v>
      </c>
      <c r="B37" s="178" t="s">
        <v>1948</v>
      </c>
      <c r="C37" s="178" t="s">
        <v>475</v>
      </c>
      <c r="D37" s="177" t="s">
        <v>1949</v>
      </c>
      <c r="E37" s="174">
        <v>2.9</v>
      </c>
      <c r="F37" s="176"/>
      <c r="G37" s="175"/>
      <c r="H37" s="174"/>
      <c r="I37" s="173"/>
      <c r="J37" s="174"/>
      <c r="K37" s="173"/>
      <c r="Q37" s="160">
        <f>[3]Source!X28</f>
        <v>251.23</v>
      </c>
      <c r="R37" s="160">
        <f>[3]Source!X29</f>
        <v>4705.92</v>
      </c>
      <c r="S37" s="160">
        <f>[3]Source!Y28</f>
        <v>193.26</v>
      </c>
      <c r="T37" s="160">
        <f>[3]Source!Y29</f>
        <v>2643.05</v>
      </c>
      <c r="U37" s="160">
        <f>ROUND((175/100)*ROUND([3]Source!R28, 2), 2)</f>
        <v>0</v>
      </c>
      <c r="V37" s="160">
        <f>ROUND((157/100)*ROUND([3]Source!R29, 2), 2)</f>
        <v>0</v>
      </c>
    </row>
    <row r="38" spans="1:22" ht="14.25" x14ac:dyDescent="0.2">
      <c r="A38" s="179"/>
      <c r="B38" s="178"/>
      <c r="C38" s="178" t="s">
        <v>197</v>
      </c>
      <c r="D38" s="177"/>
      <c r="E38" s="174"/>
      <c r="F38" s="176">
        <v>95.2</v>
      </c>
      <c r="G38" s="175" t="s">
        <v>195</v>
      </c>
      <c r="H38" s="174">
        <v>1</v>
      </c>
      <c r="I38" s="173">
        <v>276.08</v>
      </c>
      <c r="J38" s="174">
        <v>23.35</v>
      </c>
      <c r="K38" s="173">
        <v>6446.47</v>
      </c>
    </row>
    <row r="39" spans="1:22" ht="14.25" x14ac:dyDescent="0.2">
      <c r="A39" s="179" t="s">
        <v>1531</v>
      </c>
      <c r="B39" s="178" t="s">
        <v>1950</v>
      </c>
      <c r="C39" s="178" t="s">
        <v>351</v>
      </c>
      <c r="D39" s="177" t="s">
        <v>1533</v>
      </c>
      <c r="E39" s="174">
        <v>-2.6680000000000001</v>
      </c>
      <c r="F39" s="176">
        <v>0</v>
      </c>
      <c r="G39" s="182" t="s">
        <v>195</v>
      </c>
      <c r="H39" s="174">
        <v>1</v>
      </c>
      <c r="I39" s="173">
        <v>0</v>
      </c>
      <c r="J39" s="174">
        <v>1</v>
      </c>
      <c r="K39" s="173">
        <v>0</v>
      </c>
      <c r="Q39" s="160">
        <f>[3]Source!X30</f>
        <v>0</v>
      </c>
      <c r="R39" s="160">
        <f>[3]Source!X31</f>
        <v>0</v>
      </c>
      <c r="S39" s="160">
        <f>[3]Source!Y30</f>
        <v>0</v>
      </c>
      <c r="T39" s="160">
        <f>[3]Source!Y31</f>
        <v>0</v>
      </c>
      <c r="U39" s="160">
        <f>ROUND((175/100)*ROUND([3]Source!R30, 2), 2)</f>
        <v>0</v>
      </c>
      <c r="V39" s="160">
        <f>ROUND((157/100)*ROUND([3]Source!R31, 2), 2)</f>
        <v>0</v>
      </c>
    </row>
    <row r="40" spans="1:22" ht="14.25" x14ac:dyDescent="0.2">
      <c r="A40" s="179"/>
      <c r="B40" s="178"/>
      <c r="C40" s="178" t="s">
        <v>194</v>
      </c>
      <c r="D40" s="177" t="s">
        <v>187</v>
      </c>
      <c r="E40" s="174">
        <v>91</v>
      </c>
      <c r="F40" s="176"/>
      <c r="G40" s="175"/>
      <c r="H40" s="174"/>
      <c r="I40" s="173">
        <v>251.23</v>
      </c>
      <c r="J40" s="174">
        <v>73</v>
      </c>
      <c r="K40" s="173">
        <v>4705.92</v>
      </c>
    </row>
    <row r="41" spans="1:22" ht="14.25" x14ac:dyDescent="0.2">
      <c r="A41" s="172"/>
      <c r="B41" s="171"/>
      <c r="C41" s="171" t="s">
        <v>193</v>
      </c>
      <c r="D41" s="170" t="s">
        <v>187</v>
      </c>
      <c r="E41" s="167">
        <v>70</v>
      </c>
      <c r="F41" s="169"/>
      <c r="G41" s="168"/>
      <c r="H41" s="167"/>
      <c r="I41" s="166">
        <v>193.26</v>
      </c>
      <c r="J41" s="167">
        <v>41</v>
      </c>
      <c r="K41" s="166">
        <v>2643.05</v>
      </c>
    </row>
    <row r="42" spans="1:22" ht="15" x14ac:dyDescent="0.25">
      <c r="A42" s="164"/>
      <c r="B42" s="164"/>
      <c r="C42" s="165" t="s">
        <v>183</v>
      </c>
      <c r="D42" s="164"/>
      <c r="E42" s="164"/>
      <c r="F42" s="164"/>
      <c r="G42" s="164"/>
      <c r="H42" s="414">
        <v>720.57</v>
      </c>
      <c r="I42" s="414"/>
      <c r="J42" s="414">
        <v>13795.44</v>
      </c>
      <c r="K42" s="414"/>
      <c r="O42" s="163">
        <f>I38+I40+I41+SUM(I39:I39)</f>
        <v>720.57</v>
      </c>
      <c r="P42" s="163">
        <f>K38+K40+K41+SUM(K39:K39)</f>
        <v>13795.44</v>
      </c>
    </row>
    <row r="44" spans="1:22" ht="28.5" x14ac:dyDescent="0.2">
      <c r="A44" s="179" t="s">
        <v>1534</v>
      </c>
      <c r="B44" s="178" t="s">
        <v>1528</v>
      </c>
      <c r="C44" s="178" t="s">
        <v>474</v>
      </c>
      <c r="D44" s="177" t="s">
        <v>1529</v>
      </c>
      <c r="E44" s="174">
        <v>195.9</v>
      </c>
      <c r="F44" s="176"/>
      <c r="G44" s="175"/>
      <c r="H44" s="174"/>
      <c r="I44" s="173"/>
      <c r="J44" s="174"/>
      <c r="K44" s="173"/>
      <c r="Q44" s="160">
        <f>[3]Source!X32</f>
        <v>25429.38</v>
      </c>
      <c r="R44" s="160">
        <f>[3]Source!X33</f>
        <v>504709.7</v>
      </c>
      <c r="S44" s="160">
        <f>[3]Source!Y32</f>
        <v>17482.7</v>
      </c>
      <c r="T44" s="160">
        <f>[3]Source!Y33</f>
        <v>304310.26</v>
      </c>
      <c r="U44" s="160">
        <f>ROUND((175/100)*ROUND([3]Source!R32, 2), 2)</f>
        <v>0</v>
      </c>
      <c r="V44" s="160">
        <f>ROUND((157/100)*ROUND([3]Source!R33, 2), 2)</f>
        <v>0</v>
      </c>
    </row>
    <row r="45" spans="1:22" x14ac:dyDescent="0.2">
      <c r="C45" s="181" t="s">
        <v>1951</v>
      </c>
    </row>
    <row r="46" spans="1:22" ht="14.25" x14ac:dyDescent="0.2">
      <c r="A46" s="179"/>
      <c r="B46" s="178"/>
      <c r="C46" s="178" t="s">
        <v>197</v>
      </c>
      <c r="D46" s="177"/>
      <c r="E46" s="174"/>
      <c r="F46" s="176">
        <v>162.26</v>
      </c>
      <c r="G46" s="175" t="s">
        <v>195</v>
      </c>
      <c r="H46" s="174">
        <v>1</v>
      </c>
      <c r="I46" s="173">
        <v>31786.73</v>
      </c>
      <c r="J46" s="174">
        <v>23.35</v>
      </c>
      <c r="K46" s="173">
        <v>742220.15</v>
      </c>
    </row>
    <row r="47" spans="1:22" ht="28.5" x14ac:dyDescent="0.2">
      <c r="A47" s="179" t="s">
        <v>1538</v>
      </c>
      <c r="B47" s="178" t="s">
        <v>1532</v>
      </c>
      <c r="C47" s="178" t="s">
        <v>351</v>
      </c>
      <c r="D47" s="177" t="s">
        <v>1533</v>
      </c>
      <c r="E47" s="174">
        <v>-391.8</v>
      </c>
      <c r="F47" s="176">
        <v>0</v>
      </c>
      <c r="G47" s="182" t="s">
        <v>195</v>
      </c>
      <c r="H47" s="174">
        <v>1</v>
      </c>
      <c r="I47" s="173">
        <v>0</v>
      </c>
      <c r="J47" s="174">
        <v>1</v>
      </c>
      <c r="K47" s="173">
        <v>0</v>
      </c>
      <c r="Q47" s="160">
        <f>[3]Source!X34</f>
        <v>0</v>
      </c>
      <c r="R47" s="160">
        <f>[3]Source!X35</f>
        <v>0</v>
      </c>
      <c r="S47" s="160">
        <f>[3]Source!Y34</f>
        <v>0</v>
      </c>
      <c r="T47" s="160">
        <f>[3]Source!Y35</f>
        <v>0</v>
      </c>
      <c r="U47" s="160">
        <f>ROUND((175/100)*ROUND([3]Source!R34, 2), 2)</f>
        <v>0</v>
      </c>
      <c r="V47" s="160">
        <f>ROUND((157/100)*ROUND([3]Source!R35, 2), 2)</f>
        <v>0</v>
      </c>
    </row>
    <row r="48" spans="1:22" ht="14.25" x14ac:dyDescent="0.2">
      <c r="A48" s="179"/>
      <c r="B48" s="178"/>
      <c r="C48" s="178" t="s">
        <v>194</v>
      </c>
      <c r="D48" s="177" t="s">
        <v>187</v>
      </c>
      <c r="E48" s="174">
        <v>80</v>
      </c>
      <c r="F48" s="176"/>
      <c r="G48" s="175"/>
      <c r="H48" s="174"/>
      <c r="I48" s="173">
        <v>25429.38</v>
      </c>
      <c r="J48" s="174">
        <v>68</v>
      </c>
      <c r="K48" s="173">
        <v>504709.7</v>
      </c>
    </row>
    <row r="49" spans="1:22" ht="14.25" x14ac:dyDescent="0.2">
      <c r="A49" s="179"/>
      <c r="B49" s="178"/>
      <c r="C49" s="178" t="s">
        <v>193</v>
      </c>
      <c r="D49" s="177" t="s">
        <v>187</v>
      </c>
      <c r="E49" s="174">
        <v>55</v>
      </c>
      <c r="F49" s="176"/>
      <c r="G49" s="175"/>
      <c r="H49" s="174"/>
      <c r="I49" s="173">
        <v>17482.7</v>
      </c>
      <c r="J49" s="174">
        <v>41</v>
      </c>
      <c r="K49" s="173">
        <v>304310.26</v>
      </c>
    </row>
    <row r="50" spans="1:22" ht="14.25" x14ac:dyDescent="0.2">
      <c r="A50" s="172"/>
      <c r="B50" s="171"/>
      <c r="C50" s="171" t="s">
        <v>192</v>
      </c>
      <c r="D50" s="170" t="s">
        <v>191</v>
      </c>
      <c r="E50" s="167">
        <v>15.88</v>
      </c>
      <c r="F50" s="169"/>
      <c r="G50" s="168" t="s">
        <v>195</v>
      </c>
      <c r="H50" s="167">
        <v>1</v>
      </c>
      <c r="I50" s="166">
        <v>3110.89</v>
      </c>
      <c r="J50" s="167"/>
      <c r="K50" s="166"/>
    </row>
    <row r="51" spans="1:22" ht="15" x14ac:dyDescent="0.25">
      <c r="A51" s="164"/>
      <c r="B51" s="164"/>
      <c r="C51" s="165" t="s">
        <v>183</v>
      </c>
      <c r="D51" s="164"/>
      <c r="E51" s="164"/>
      <c r="F51" s="164"/>
      <c r="G51" s="164"/>
      <c r="H51" s="414">
        <v>74698.81</v>
      </c>
      <c r="I51" s="414"/>
      <c r="J51" s="414">
        <v>1551240.11</v>
      </c>
      <c r="K51" s="414"/>
      <c r="O51" s="163">
        <f>I46+I48+I49+SUM(I47:I47)</f>
        <v>74698.81</v>
      </c>
      <c r="P51" s="163">
        <f>K46+K48+K49+SUM(K47:K47)</f>
        <v>1551240.11</v>
      </c>
    </row>
    <row r="53" spans="1:22" ht="28.5" x14ac:dyDescent="0.2">
      <c r="A53" s="179" t="s">
        <v>104</v>
      </c>
      <c r="B53" s="178" t="s">
        <v>1952</v>
      </c>
      <c r="C53" s="178" t="s">
        <v>473</v>
      </c>
      <c r="D53" s="177" t="s">
        <v>1738</v>
      </c>
      <c r="E53" s="174">
        <v>19.937999999999999</v>
      </c>
      <c r="F53" s="176"/>
      <c r="G53" s="175"/>
      <c r="H53" s="174"/>
      <c r="I53" s="173"/>
      <c r="J53" s="174"/>
      <c r="K53" s="173"/>
      <c r="Q53" s="160">
        <f>[3]Source!X36</f>
        <v>12459.66</v>
      </c>
      <c r="R53" s="160">
        <f>[3]Source!X37</f>
        <v>247293.02</v>
      </c>
      <c r="S53" s="160">
        <f>[3]Source!Y36</f>
        <v>8566.01</v>
      </c>
      <c r="T53" s="160">
        <f>[3]Source!Y37</f>
        <v>149103.15</v>
      </c>
      <c r="U53" s="160">
        <f>ROUND((175/100)*ROUND([3]Source!R36, 2), 2)</f>
        <v>671.67</v>
      </c>
      <c r="V53" s="160">
        <f>ROUND((157/100)*ROUND([3]Source!R37, 2), 2)</f>
        <v>14070.28</v>
      </c>
    </row>
    <row r="54" spans="1:22" ht="14.25" x14ac:dyDescent="0.2">
      <c r="A54" s="179"/>
      <c r="B54" s="178"/>
      <c r="C54" s="178" t="s">
        <v>197</v>
      </c>
      <c r="D54" s="177"/>
      <c r="E54" s="174"/>
      <c r="F54" s="176">
        <v>781.15</v>
      </c>
      <c r="G54" s="175" t="s">
        <v>195</v>
      </c>
      <c r="H54" s="174">
        <v>1</v>
      </c>
      <c r="I54" s="173">
        <v>15574.57</v>
      </c>
      <c r="J54" s="174">
        <v>23.35</v>
      </c>
      <c r="K54" s="173">
        <v>363666.21</v>
      </c>
    </row>
    <row r="55" spans="1:22" ht="14.25" x14ac:dyDescent="0.2">
      <c r="A55" s="179"/>
      <c r="B55" s="178"/>
      <c r="C55" s="178" t="s">
        <v>184</v>
      </c>
      <c r="D55" s="177"/>
      <c r="E55" s="174"/>
      <c r="F55" s="176">
        <v>64.48</v>
      </c>
      <c r="G55" s="175" t="s">
        <v>195</v>
      </c>
      <c r="H55" s="174">
        <v>1</v>
      </c>
      <c r="I55" s="173">
        <v>1285.5999999999999</v>
      </c>
      <c r="J55" s="174">
        <v>10.17</v>
      </c>
      <c r="K55" s="173">
        <v>13074.55</v>
      </c>
    </row>
    <row r="56" spans="1:22" ht="14.25" x14ac:dyDescent="0.2">
      <c r="A56" s="179"/>
      <c r="B56" s="178"/>
      <c r="C56" s="178" t="s">
        <v>189</v>
      </c>
      <c r="D56" s="177"/>
      <c r="E56" s="174"/>
      <c r="F56" s="176">
        <v>19.25</v>
      </c>
      <c r="G56" s="175" t="s">
        <v>195</v>
      </c>
      <c r="H56" s="174">
        <v>1</v>
      </c>
      <c r="I56" s="180">
        <v>383.81</v>
      </c>
      <c r="J56" s="174">
        <v>23.35</v>
      </c>
      <c r="K56" s="180">
        <v>8961.9599999999991</v>
      </c>
    </row>
    <row r="57" spans="1:22" ht="14.25" x14ac:dyDescent="0.2">
      <c r="A57" s="179" t="s">
        <v>1542</v>
      </c>
      <c r="B57" s="178" t="s">
        <v>1950</v>
      </c>
      <c r="C57" s="178" t="s">
        <v>351</v>
      </c>
      <c r="D57" s="177" t="s">
        <v>1533</v>
      </c>
      <c r="E57" s="174">
        <v>-103.6776</v>
      </c>
      <c r="F57" s="176">
        <v>0</v>
      </c>
      <c r="G57" s="182" t="s">
        <v>195</v>
      </c>
      <c r="H57" s="174">
        <v>1</v>
      </c>
      <c r="I57" s="173">
        <v>0</v>
      </c>
      <c r="J57" s="174">
        <v>1</v>
      </c>
      <c r="K57" s="173">
        <v>0</v>
      </c>
      <c r="Q57" s="160">
        <f>[3]Source!X38</f>
        <v>0</v>
      </c>
      <c r="R57" s="160">
        <f>[3]Source!X39</f>
        <v>0</v>
      </c>
      <c r="S57" s="160">
        <f>[3]Source!Y38</f>
        <v>0</v>
      </c>
      <c r="T57" s="160">
        <f>[3]Source!Y39</f>
        <v>0</v>
      </c>
      <c r="U57" s="160">
        <f>ROUND((175/100)*ROUND([3]Source!R38, 2), 2)</f>
        <v>0</v>
      </c>
      <c r="V57" s="160">
        <f>ROUND((157/100)*ROUND([3]Source!R39, 2), 2)</f>
        <v>0</v>
      </c>
    </row>
    <row r="58" spans="1:22" ht="14.25" x14ac:dyDescent="0.2">
      <c r="A58" s="179"/>
      <c r="B58" s="178"/>
      <c r="C58" s="178" t="s">
        <v>194</v>
      </c>
      <c r="D58" s="177" t="s">
        <v>187</v>
      </c>
      <c r="E58" s="174">
        <v>80</v>
      </c>
      <c r="F58" s="176"/>
      <c r="G58" s="175"/>
      <c r="H58" s="174"/>
      <c r="I58" s="173">
        <v>12459.66</v>
      </c>
      <c r="J58" s="174">
        <v>68</v>
      </c>
      <c r="K58" s="173">
        <v>247293.02</v>
      </c>
    </row>
    <row r="59" spans="1:22" ht="14.25" x14ac:dyDescent="0.2">
      <c r="A59" s="179"/>
      <c r="B59" s="178"/>
      <c r="C59" s="178" t="s">
        <v>193</v>
      </c>
      <c r="D59" s="177" t="s">
        <v>187</v>
      </c>
      <c r="E59" s="174">
        <v>55</v>
      </c>
      <c r="F59" s="176"/>
      <c r="G59" s="175"/>
      <c r="H59" s="174"/>
      <c r="I59" s="173">
        <v>8566.01</v>
      </c>
      <c r="J59" s="174">
        <v>41</v>
      </c>
      <c r="K59" s="173">
        <v>149103.15</v>
      </c>
    </row>
    <row r="60" spans="1:22" ht="14.25" x14ac:dyDescent="0.2">
      <c r="A60" s="172"/>
      <c r="B60" s="171"/>
      <c r="C60" s="171" t="s">
        <v>188</v>
      </c>
      <c r="D60" s="170" t="s">
        <v>187</v>
      </c>
      <c r="E60" s="167">
        <v>175</v>
      </c>
      <c r="F60" s="169"/>
      <c r="G60" s="168"/>
      <c r="H60" s="167"/>
      <c r="I60" s="166">
        <v>671.67</v>
      </c>
      <c r="J60" s="167">
        <v>157</v>
      </c>
      <c r="K60" s="166">
        <v>14070.28</v>
      </c>
    </row>
    <row r="61" spans="1:22" ht="15" x14ac:dyDescent="0.25">
      <c r="A61" s="164"/>
      <c r="B61" s="164"/>
      <c r="C61" s="165" t="s">
        <v>183</v>
      </c>
      <c r="D61" s="164"/>
      <c r="E61" s="164"/>
      <c r="F61" s="164"/>
      <c r="G61" s="164"/>
      <c r="H61" s="414">
        <v>38557.51</v>
      </c>
      <c r="I61" s="414"/>
      <c r="J61" s="414">
        <v>787207.21</v>
      </c>
      <c r="K61" s="414"/>
      <c r="O61" s="163">
        <f>I54+I55+I58+I59+I60+SUM(I57:I57)</f>
        <v>38557.51</v>
      </c>
      <c r="P61" s="163">
        <f>K54+K55+K58+K59+K60+SUM(K57:K57)</f>
        <v>787207.21</v>
      </c>
    </row>
    <row r="63" spans="1:22" ht="28.5" x14ac:dyDescent="0.2">
      <c r="A63" s="179" t="s">
        <v>1546</v>
      </c>
      <c r="B63" s="178" t="s">
        <v>1953</v>
      </c>
      <c r="C63" s="178" t="s">
        <v>472</v>
      </c>
      <c r="D63" s="177" t="s">
        <v>1738</v>
      </c>
      <c r="E63" s="174">
        <v>7.2359999999999998</v>
      </c>
      <c r="F63" s="176"/>
      <c r="G63" s="175"/>
      <c r="H63" s="174"/>
      <c r="I63" s="173"/>
      <c r="J63" s="174"/>
      <c r="K63" s="173"/>
      <c r="Q63" s="160">
        <f>[3]Source!X40</f>
        <v>673.87</v>
      </c>
      <c r="R63" s="160">
        <f>[3]Source!X41</f>
        <v>13374.68</v>
      </c>
      <c r="S63" s="160">
        <f>[3]Source!Y40</f>
        <v>463.29</v>
      </c>
      <c r="T63" s="160">
        <f>[3]Source!Y41</f>
        <v>8064.14</v>
      </c>
      <c r="U63" s="160">
        <f>ROUND((175/100)*ROUND([3]Source!R40, 2), 2)</f>
        <v>0</v>
      </c>
      <c r="V63" s="160">
        <f>ROUND((157/100)*ROUND([3]Source!R41, 2), 2)</f>
        <v>0</v>
      </c>
    </row>
    <row r="64" spans="1:22" ht="14.25" x14ac:dyDescent="0.2">
      <c r="A64" s="179"/>
      <c r="B64" s="178"/>
      <c r="C64" s="178" t="s">
        <v>197</v>
      </c>
      <c r="D64" s="177"/>
      <c r="E64" s="174"/>
      <c r="F64" s="176">
        <v>116.41</v>
      </c>
      <c r="G64" s="175" t="s">
        <v>195</v>
      </c>
      <c r="H64" s="174">
        <v>1</v>
      </c>
      <c r="I64" s="173">
        <v>842.34</v>
      </c>
      <c r="J64" s="174">
        <v>23.35</v>
      </c>
      <c r="K64" s="173">
        <v>19668.64</v>
      </c>
    </row>
    <row r="65" spans="1:22" ht="14.25" x14ac:dyDescent="0.2">
      <c r="A65" s="179" t="s">
        <v>1550</v>
      </c>
      <c r="B65" s="178" t="s">
        <v>1950</v>
      </c>
      <c r="C65" s="178" t="s">
        <v>351</v>
      </c>
      <c r="D65" s="177" t="s">
        <v>1533</v>
      </c>
      <c r="E65" s="174">
        <v>-3.4009200000000002</v>
      </c>
      <c r="F65" s="176">
        <v>0</v>
      </c>
      <c r="G65" s="182" t="s">
        <v>195</v>
      </c>
      <c r="H65" s="174">
        <v>1</v>
      </c>
      <c r="I65" s="173">
        <v>0</v>
      </c>
      <c r="J65" s="174">
        <v>1</v>
      </c>
      <c r="K65" s="173">
        <v>0</v>
      </c>
      <c r="Q65" s="160">
        <f>[3]Source!X42</f>
        <v>0</v>
      </c>
      <c r="R65" s="160">
        <f>[3]Source!X43</f>
        <v>0</v>
      </c>
      <c r="S65" s="160">
        <f>[3]Source!Y42</f>
        <v>0</v>
      </c>
      <c r="T65" s="160">
        <f>[3]Source!Y43</f>
        <v>0</v>
      </c>
      <c r="U65" s="160">
        <f>ROUND((175/100)*ROUND([3]Source!R42, 2), 2)</f>
        <v>0</v>
      </c>
      <c r="V65" s="160">
        <f>ROUND((157/100)*ROUND([3]Source!R43, 2), 2)</f>
        <v>0</v>
      </c>
    </row>
    <row r="66" spans="1:22" ht="14.25" x14ac:dyDescent="0.2">
      <c r="A66" s="179"/>
      <c r="B66" s="178"/>
      <c r="C66" s="178" t="s">
        <v>194</v>
      </c>
      <c r="D66" s="177" t="s">
        <v>187</v>
      </c>
      <c r="E66" s="174">
        <v>80</v>
      </c>
      <c r="F66" s="176"/>
      <c r="G66" s="175"/>
      <c r="H66" s="174"/>
      <c r="I66" s="173">
        <v>673.87</v>
      </c>
      <c r="J66" s="174">
        <v>68</v>
      </c>
      <c r="K66" s="173">
        <v>13374.68</v>
      </c>
    </row>
    <row r="67" spans="1:22" ht="14.25" x14ac:dyDescent="0.2">
      <c r="A67" s="172"/>
      <c r="B67" s="171"/>
      <c r="C67" s="171" t="s">
        <v>193</v>
      </c>
      <c r="D67" s="170" t="s">
        <v>187</v>
      </c>
      <c r="E67" s="167">
        <v>55</v>
      </c>
      <c r="F67" s="169"/>
      <c r="G67" s="168"/>
      <c r="H67" s="167"/>
      <c r="I67" s="166">
        <v>463.29</v>
      </c>
      <c r="J67" s="167">
        <v>41</v>
      </c>
      <c r="K67" s="166">
        <v>8064.14</v>
      </c>
    </row>
    <row r="68" spans="1:22" ht="15" x14ac:dyDescent="0.25">
      <c r="A68" s="164"/>
      <c r="B68" s="164"/>
      <c r="C68" s="165" t="s">
        <v>183</v>
      </c>
      <c r="D68" s="164"/>
      <c r="E68" s="164"/>
      <c r="F68" s="164"/>
      <c r="G68" s="164"/>
      <c r="H68" s="414">
        <v>1979.5</v>
      </c>
      <c r="I68" s="414"/>
      <c r="J68" s="414">
        <v>41107.46</v>
      </c>
      <c r="K68" s="414"/>
      <c r="O68" s="163">
        <f>I64+I66+I67+SUM(I65:I65)</f>
        <v>1979.5</v>
      </c>
      <c r="P68" s="163">
        <f>K64+K66+K67+SUM(K65:K65)</f>
        <v>41107.46</v>
      </c>
    </row>
    <row r="70" spans="1:22" ht="28.5" x14ac:dyDescent="0.2">
      <c r="A70" s="179" t="s">
        <v>105</v>
      </c>
      <c r="B70" s="178" t="s">
        <v>1954</v>
      </c>
      <c r="C70" s="178" t="s">
        <v>471</v>
      </c>
      <c r="D70" s="177" t="s">
        <v>1738</v>
      </c>
      <c r="E70" s="174">
        <v>2.0350000000000001</v>
      </c>
      <c r="F70" s="176"/>
      <c r="G70" s="175"/>
      <c r="H70" s="174"/>
      <c r="I70" s="173"/>
      <c r="J70" s="174"/>
      <c r="K70" s="173"/>
      <c r="Q70" s="160">
        <f>[3]Source!X44</f>
        <v>814.44</v>
      </c>
      <c r="R70" s="160">
        <f>[3]Source!X45</f>
        <v>16164.6</v>
      </c>
      <c r="S70" s="160">
        <f>[3]Source!Y44</f>
        <v>559.92999999999995</v>
      </c>
      <c r="T70" s="160">
        <f>[3]Source!Y45</f>
        <v>9746.2999999999993</v>
      </c>
      <c r="U70" s="160">
        <f>ROUND((175/100)*ROUND([3]Source!R44, 2), 2)</f>
        <v>0</v>
      </c>
      <c r="V70" s="160">
        <f>ROUND((157/100)*ROUND([3]Source!R45, 2), 2)</f>
        <v>0</v>
      </c>
    </row>
    <row r="71" spans="1:22" ht="14.25" x14ac:dyDescent="0.2">
      <c r="A71" s="179"/>
      <c r="B71" s="178"/>
      <c r="C71" s="178" t="s">
        <v>197</v>
      </c>
      <c r="D71" s="177"/>
      <c r="E71" s="174"/>
      <c r="F71" s="176">
        <v>500.27</v>
      </c>
      <c r="G71" s="175" t="s">
        <v>195</v>
      </c>
      <c r="H71" s="174">
        <v>1</v>
      </c>
      <c r="I71" s="173">
        <v>1018.05</v>
      </c>
      <c r="J71" s="174">
        <v>23.35</v>
      </c>
      <c r="K71" s="173">
        <v>23771.47</v>
      </c>
    </row>
    <row r="72" spans="1:22" ht="14.25" x14ac:dyDescent="0.2">
      <c r="A72" s="179" t="s">
        <v>1558</v>
      </c>
      <c r="B72" s="178" t="s">
        <v>1950</v>
      </c>
      <c r="C72" s="178" t="s">
        <v>351</v>
      </c>
      <c r="D72" s="177" t="s">
        <v>1533</v>
      </c>
      <c r="E72" s="174">
        <v>-5.6980000000000004</v>
      </c>
      <c r="F72" s="176">
        <v>0</v>
      </c>
      <c r="G72" s="182" t="s">
        <v>195</v>
      </c>
      <c r="H72" s="174">
        <v>1</v>
      </c>
      <c r="I72" s="173">
        <v>0</v>
      </c>
      <c r="J72" s="174">
        <v>1</v>
      </c>
      <c r="K72" s="173">
        <v>0</v>
      </c>
      <c r="Q72" s="160">
        <f>[3]Source!X46</f>
        <v>0</v>
      </c>
      <c r="R72" s="160">
        <f>[3]Source!X47</f>
        <v>0</v>
      </c>
      <c r="S72" s="160">
        <f>[3]Source!Y46</f>
        <v>0</v>
      </c>
      <c r="T72" s="160">
        <f>[3]Source!Y47</f>
        <v>0</v>
      </c>
      <c r="U72" s="160">
        <f>ROUND((175/100)*ROUND([3]Source!R46, 2), 2)</f>
        <v>0</v>
      </c>
      <c r="V72" s="160">
        <f>ROUND((157/100)*ROUND([3]Source!R47, 2), 2)</f>
        <v>0</v>
      </c>
    </row>
    <row r="73" spans="1:22" ht="14.25" x14ac:dyDescent="0.2">
      <c r="A73" s="179"/>
      <c r="B73" s="178"/>
      <c r="C73" s="178" t="s">
        <v>194</v>
      </c>
      <c r="D73" s="177" t="s">
        <v>187</v>
      </c>
      <c r="E73" s="174">
        <v>80</v>
      </c>
      <c r="F73" s="176"/>
      <c r="G73" s="175"/>
      <c r="H73" s="174"/>
      <c r="I73" s="173">
        <v>814.44</v>
      </c>
      <c r="J73" s="174">
        <v>68</v>
      </c>
      <c r="K73" s="173">
        <v>16164.6</v>
      </c>
    </row>
    <row r="74" spans="1:22" ht="14.25" x14ac:dyDescent="0.2">
      <c r="A74" s="172"/>
      <c r="B74" s="171"/>
      <c r="C74" s="171" t="s">
        <v>193</v>
      </c>
      <c r="D74" s="170" t="s">
        <v>187</v>
      </c>
      <c r="E74" s="167">
        <v>55</v>
      </c>
      <c r="F74" s="169"/>
      <c r="G74" s="168"/>
      <c r="H74" s="167"/>
      <c r="I74" s="166">
        <v>559.92999999999995</v>
      </c>
      <c r="J74" s="167">
        <v>41</v>
      </c>
      <c r="K74" s="166">
        <v>9746.2999999999993</v>
      </c>
    </row>
    <row r="75" spans="1:22" ht="15" x14ac:dyDescent="0.25">
      <c r="A75" s="164"/>
      <c r="B75" s="164"/>
      <c r="C75" s="165" t="s">
        <v>183</v>
      </c>
      <c r="D75" s="164"/>
      <c r="E75" s="164"/>
      <c r="F75" s="164"/>
      <c r="G75" s="164"/>
      <c r="H75" s="414">
        <v>2392.42</v>
      </c>
      <c r="I75" s="414"/>
      <c r="J75" s="414">
        <v>49682.37</v>
      </c>
      <c r="K75" s="414"/>
      <c r="O75" s="163">
        <f>I71+I73+I74+SUM(I72:I72)</f>
        <v>2392.42</v>
      </c>
      <c r="P75" s="163">
        <f>K71+K73+K74+SUM(K72:K72)</f>
        <v>49682.37</v>
      </c>
    </row>
    <row r="77" spans="1:22" ht="71.25" x14ac:dyDescent="0.2">
      <c r="A77" s="179" t="s">
        <v>1560</v>
      </c>
      <c r="B77" s="178" t="s">
        <v>1955</v>
      </c>
      <c r="C77" s="178" t="s">
        <v>469</v>
      </c>
      <c r="D77" s="177" t="s">
        <v>1956</v>
      </c>
      <c r="E77" s="174">
        <v>5196.8999999999996</v>
      </c>
      <c r="F77" s="176"/>
      <c r="G77" s="175"/>
      <c r="H77" s="174"/>
      <c r="I77" s="173"/>
      <c r="J77" s="174"/>
      <c r="K77" s="173"/>
      <c r="Q77" s="160">
        <f>[3]Source!X48</f>
        <v>129880.93</v>
      </c>
      <c r="R77" s="160">
        <f>[3]Source!X49</f>
        <v>2426175.7200000002</v>
      </c>
      <c r="S77" s="160">
        <f>[3]Source!Y48</f>
        <v>100362.53</v>
      </c>
      <c r="T77" s="160">
        <f>[3]Source!Y49</f>
        <v>1130377.32</v>
      </c>
      <c r="U77" s="160">
        <f>ROUND((175/100)*ROUND([3]Source!R48, 2), 2)</f>
        <v>0</v>
      </c>
      <c r="V77" s="160">
        <f>ROUND((157/100)*ROUND([3]Source!R49, 2), 2)</f>
        <v>0</v>
      </c>
    </row>
    <row r="78" spans="1:22" x14ac:dyDescent="0.2">
      <c r="C78" s="181" t="s">
        <v>1957</v>
      </c>
    </row>
    <row r="79" spans="1:22" ht="14.25" x14ac:dyDescent="0.2">
      <c r="A79" s="179"/>
      <c r="B79" s="178"/>
      <c r="C79" s="178" t="s">
        <v>197</v>
      </c>
      <c r="D79" s="177"/>
      <c r="E79" s="174"/>
      <c r="F79" s="176">
        <v>22.72</v>
      </c>
      <c r="G79" s="175" t="s">
        <v>195</v>
      </c>
      <c r="H79" s="174">
        <v>1</v>
      </c>
      <c r="I79" s="173">
        <v>118073.57</v>
      </c>
      <c r="J79" s="174">
        <v>23.35</v>
      </c>
      <c r="K79" s="173">
        <v>2757017.86</v>
      </c>
    </row>
    <row r="80" spans="1:22" ht="14.25" x14ac:dyDescent="0.2">
      <c r="A80" s="179"/>
      <c r="B80" s="178"/>
      <c r="C80" s="178" t="s">
        <v>194</v>
      </c>
      <c r="D80" s="177" t="s">
        <v>187</v>
      </c>
      <c r="E80" s="174">
        <v>110</v>
      </c>
      <c r="F80" s="176"/>
      <c r="G80" s="175"/>
      <c r="H80" s="174"/>
      <c r="I80" s="173">
        <v>129880.93</v>
      </c>
      <c r="J80" s="174">
        <v>88</v>
      </c>
      <c r="K80" s="173">
        <v>2426175.7200000002</v>
      </c>
    </row>
    <row r="81" spans="1:22" ht="14.25" x14ac:dyDescent="0.2">
      <c r="A81" s="179"/>
      <c r="B81" s="178"/>
      <c r="C81" s="178" t="s">
        <v>193</v>
      </c>
      <c r="D81" s="177" t="s">
        <v>187</v>
      </c>
      <c r="E81" s="174">
        <v>85</v>
      </c>
      <c r="F81" s="176"/>
      <c r="G81" s="175"/>
      <c r="H81" s="174"/>
      <c r="I81" s="173">
        <v>100362.53</v>
      </c>
      <c r="J81" s="174">
        <v>41</v>
      </c>
      <c r="K81" s="173">
        <v>1130377.32</v>
      </c>
    </row>
    <row r="82" spans="1:22" ht="14.25" x14ac:dyDescent="0.2">
      <c r="A82" s="172"/>
      <c r="B82" s="171"/>
      <c r="C82" s="171" t="s">
        <v>192</v>
      </c>
      <c r="D82" s="170" t="s">
        <v>191</v>
      </c>
      <c r="E82" s="167">
        <v>1.9</v>
      </c>
      <c r="F82" s="169"/>
      <c r="G82" s="168" t="s">
        <v>195</v>
      </c>
      <c r="H82" s="167">
        <v>1</v>
      </c>
      <c r="I82" s="166">
        <v>9874.11</v>
      </c>
      <c r="J82" s="167"/>
      <c r="K82" s="166"/>
    </row>
    <row r="83" spans="1:22" ht="15" x14ac:dyDescent="0.25">
      <c r="A83" s="164"/>
      <c r="B83" s="164"/>
      <c r="C83" s="165" t="s">
        <v>183</v>
      </c>
      <c r="D83" s="164"/>
      <c r="E83" s="164"/>
      <c r="F83" s="164"/>
      <c r="G83" s="164"/>
      <c r="H83" s="414">
        <v>348317.03</v>
      </c>
      <c r="I83" s="414"/>
      <c r="J83" s="414">
        <v>6313570.9000000004</v>
      </c>
      <c r="K83" s="414"/>
      <c r="O83" s="163">
        <f>I79+I80+I81</f>
        <v>348317.03</v>
      </c>
      <c r="P83" s="163">
        <f>K79+K80+K81</f>
        <v>6313570.9000000004</v>
      </c>
    </row>
    <row r="85" spans="1:22" ht="71.25" x14ac:dyDescent="0.2">
      <c r="A85" s="179" t="s">
        <v>1565</v>
      </c>
      <c r="B85" s="178" t="s">
        <v>470</v>
      </c>
      <c r="C85" s="178" t="s">
        <v>469</v>
      </c>
      <c r="D85" s="177" t="s">
        <v>1956</v>
      </c>
      <c r="E85" s="174">
        <v>2198.3000000000002</v>
      </c>
      <c r="F85" s="176"/>
      <c r="G85" s="175"/>
      <c r="H85" s="174"/>
      <c r="I85" s="173"/>
      <c r="J85" s="174"/>
      <c r="K85" s="173"/>
      <c r="Q85" s="160">
        <f>[3]Source!X50</f>
        <v>65927.899999999994</v>
      </c>
      <c r="R85" s="160">
        <f>[3]Source!X51</f>
        <v>1231533.08</v>
      </c>
      <c r="S85" s="160">
        <f>[3]Source!Y50</f>
        <v>50944.28</v>
      </c>
      <c r="T85" s="160">
        <f>[3]Source!Y51</f>
        <v>573782.46</v>
      </c>
      <c r="U85" s="160">
        <f>ROUND((175/100)*ROUND([3]Source!R50, 2), 2)</f>
        <v>0</v>
      </c>
      <c r="V85" s="160">
        <f>ROUND((157/100)*ROUND([3]Source!R51, 2), 2)</f>
        <v>0</v>
      </c>
    </row>
    <row r="86" spans="1:22" x14ac:dyDescent="0.2">
      <c r="C86" s="181" t="s">
        <v>1958</v>
      </c>
    </row>
    <row r="87" spans="1:22" ht="14.25" x14ac:dyDescent="0.2">
      <c r="A87" s="179"/>
      <c r="B87" s="178"/>
      <c r="C87" s="178" t="s">
        <v>197</v>
      </c>
      <c r="D87" s="177"/>
      <c r="E87" s="174"/>
      <c r="F87" s="176">
        <v>22.72</v>
      </c>
      <c r="G87" s="175" t="s">
        <v>1959</v>
      </c>
      <c r="H87" s="174">
        <v>1</v>
      </c>
      <c r="I87" s="173">
        <v>59934.45</v>
      </c>
      <c r="J87" s="174">
        <v>23.35</v>
      </c>
      <c r="K87" s="173">
        <v>1399469.41</v>
      </c>
    </row>
    <row r="88" spans="1:22" ht="14.25" x14ac:dyDescent="0.2">
      <c r="A88" s="179"/>
      <c r="B88" s="178"/>
      <c r="C88" s="178" t="s">
        <v>194</v>
      </c>
      <c r="D88" s="177" t="s">
        <v>187</v>
      </c>
      <c r="E88" s="174">
        <v>110</v>
      </c>
      <c r="F88" s="176"/>
      <c r="G88" s="175"/>
      <c r="H88" s="174"/>
      <c r="I88" s="173">
        <v>65927.899999999994</v>
      </c>
      <c r="J88" s="174">
        <v>88</v>
      </c>
      <c r="K88" s="173">
        <v>1231533.08</v>
      </c>
    </row>
    <row r="89" spans="1:22" ht="14.25" x14ac:dyDescent="0.2">
      <c r="A89" s="179"/>
      <c r="B89" s="178"/>
      <c r="C89" s="178" t="s">
        <v>193</v>
      </c>
      <c r="D89" s="177" t="s">
        <v>187</v>
      </c>
      <c r="E89" s="174">
        <v>85</v>
      </c>
      <c r="F89" s="176"/>
      <c r="G89" s="175"/>
      <c r="H89" s="174"/>
      <c r="I89" s="173">
        <v>50944.28</v>
      </c>
      <c r="J89" s="174">
        <v>41</v>
      </c>
      <c r="K89" s="173">
        <v>573782.46</v>
      </c>
    </row>
    <row r="90" spans="1:22" ht="14.25" x14ac:dyDescent="0.2">
      <c r="A90" s="172"/>
      <c r="B90" s="171"/>
      <c r="C90" s="171" t="s">
        <v>192</v>
      </c>
      <c r="D90" s="170" t="s">
        <v>191</v>
      </c>
      <c r="E90" s="167">
        <v>1.9</v>
      </c>
      <c r="F90" s="169"/>
      <c r="G90" s="168" t="s">
        <v>1959</v>
      </c>
      <c r="H90" s="167">
        <v>1</v>
      </c>
      <c r="I90" s="166">
        <v>5012.12</v>
      </c>
      <c r="J90" s="167"/>
      <c r="K90" s="166"/>
    </row>
    <row r="91" spans="1:22" ht="15" x14ac:dyDescent="0.25">
      <c r="A91" s="164"/>
      <c r="B91" s="164"/>
      <c r="C91" s="165" t="s">
        <v>183</v>
      </c>
      <c r="D91" s="164"/>
      <c r="E91" s="164"/>
      <c r="F91" s="164"/>
      <c r="G91" s="164"/>
      <c r="H91" s="414">
        <v>176806.63</v>
      </c>
      <c r="I91" s="414"/>
      <c r="J91" s="414">
        <v>3204784.95</v>
      </c>
      <c r="K91" s="414"/>
      <c r="O91" s="163">
        <f>I87+I88+I89</f>
        <v>176806.63</v>
      </c>
      <c r="P91" s="163">
        <f>K87+K88+K89</f>
        <v>3204784.95</v>
      </c>
    </row>
    <row r="93" spans="1:22" ht="71.25" x14ac:dyDescent="0.2">
      <c r="A93" s="179" t="s">
        <v>1572</v>
      </c>
      <c r="B93" s="178" t="s">
        <v>1960</v>
      </c>
      <c r="C93" s="178" t="s">
        <v>468</v>
      </c>
      <c r="D93" s="177" t="s">
        <v>1956</v>
      </c>
      <c r="E93" s="174">
        <v>239.2</v>
      </c>
      <c r="F93" s="176"/>
      <c r="G93" s="175"/>
      <c r="H93" s="174"/>
      <c r="I93" s="173"/>
      <c r="J93" s="174"/>
      <c r="K93" s="173"/>
      <c r="Q93" s="160">
        <f>[3]Source!X52</f>
        <v>15984.54</v>
      </c>
      <c r="R93" s="160">
        <f>[3]Source!X53</f>
        <v>298591.21000000002</v>
      </c>
      <c r="S93" s="160">
        <f>[3]Source!Y52</f>
        <v>12351.69</v>
      </c>
      <c r="T93" s="160">
        <f>[3]Source!Y53</f>
        <v>139116.35999999999</v>
      </c>
      <c r="U93" s="160">
        <f>ROUND((175/100)*ROUND([3]Source!R52, 2), 2)</f>
        <v>0</v>
      </c>
      <c r="V93" s="160">
        <f>ROUND((157/100)*ROUND([3]Source!R53, 2), 2)</f>
        <v>0</v>
      </c>
    </row>
    <row r="94" spans="1:22" x14ac:dyDescent="0.2">
      <c r="C94" s="181" t="s">
        <v>1961</v>
      </c>
    </row>
    <row r="95" spans="1:22" ht="14.25" x14ac:dyDescent="0.2">
      <c r="A95" s="179"/>
      <c r="B95" s="178"/>
      <c r="C95" s="178" t="s">
        <v>197</v>
      </c>
      <c r="D95" s="177"/>
      <c r="E95" s="174"/>
      <c r="F95" s="176">
        <v>60.75</v>
      </c>
      <c r="G95" s="175" t="s">
        <v>195</v>
      </c>
      <c r="H95" s="174">
        <v>1</v>
      </c>
      <c r="I95" s="173">
        <v>14531.4</v>
      </c>
      <c r="J95" s="174">
        <v>23.35</v>
      </c>
      <c r="K95" s="173">
        <v>339308.19</v>
      </c>
    </row>
    <row r="96" spans="1:22" ht="14.25" x14ac:dyDescent="0.2">
      <c r="A96" s="179"/>
      <c r="B96" s="178"/>
      <c r="C96" s="178" t="s">
        <v>194</v>
      </c>
      <c r="D96" s="177" t="s">
        <v>187</v>
      </c>
      <c r="E96" s="174">
        <v>110</v>
      </c>
      <c r="F96" s="176"/>
      <c r="G96" s="175"/>
      <c r="H96" s="174"/>
      <c r="I96" s="173">
        <v>15984.54</v>
      </c>
      <c r="J96" s="174">
        <v>88</v>
      </c>
      <c r="K96" s="173">
        <v>298591.21000000002</v>
      </c>
    </row>
    <row r="97" spans="1:22" ht="14.25" x14ac:dyDescent="0.2">
      <c r="A97" s="179"/>
      <c r="B97" s="178"/>
      <c r="C97" s="178" t="s">
        <v>193</v>
      </c>
      <c r="D97" s="177" t="s">
        <v>187</v>
      </c>
      <c r="E97" s="174">
        <v>85</v>
      </c>
      <c r="F97" s="176"/>
      <c r="G97" s="175"/>
      <c r="H97" s="174"/>
      <c r="I97" s="173">
        <v>12351.69</v>
      </c>
      <c r="J97" s="174">
        <v>41</v>
      </c>
      <c r="K97" s="173">
        <v>139116.35999999999</v>
      </c>
    </row>
    <row r="98" spans="1:22" ht="14.25" x14ac:dyDescent="0.2">
      <c r="A98" s="172"/>
      <c r="B98" s="171"/>
      <c r="C98" s="171" t="s">
        <v>192</v>
      </c>
      <c r="D98" s="170" t="s">
        <v>191</v>
      </c>
      <c r="E98" s="167">
        <v>4.5</v>
      </c>
      <c r="F98" s="169"/>
      <c r="G98" s="168" t="s">
        <v>195</v>
      </c>
      <c r="H98" s="167">
        <v>1</v>
      </c>
      <c r="I98" s="166">
        <v>1076.4000000000001</v>
      </c>
      <c r="J98" s="167"/>
      <c r="K98" s="166"/>
    </row>
    <row r="99" spans="1:22" ht="15" x14ac:dyDescent="0.25">
      <c r="A99" s="164"/>
      <c r="B99" s="164"/>
      <c r="C99" s="165" t="s">
        <v>183</v>
      </c>
      <c r="D99" s="164"/>
      <c r="E99" s="164"/>
      <c r="F99" s="164"/>
      <c r="G99" s="164"/>
      <c r="H99" s="414">
        <v>42867.63</v>
      </c>
      <c r="I99" s="414"/>
      <c r="J99" s="414">
        <v>777015.76</v>
      </c>
      <c r="K99" s="414"/>
      <c r="O99" s="163">
        <f>I95+I96+I97</f>
        <v>42867.63</v>
      </c>
      <c r="P99" s="163">
        <f>K95+K96+K97</f>
        <v>777015.76</v>
      </c>
    </row>
    <row r="101" spans="1:22" ht="14.25" x14ac:dyDescent="0.2">
      <c r="A101" s="179" t="s">
        <v>1578</v>
      </c>
      <c r="B101" s="178" t="s">
        <v>1962</v>
      </c>
      <c r="C101" s="178" t="s">
        <v>467</v>
      </c>
      <c r="D101" s="177" t="s">
        <v>1963</v>
      </c>
      <c r="E101" s="174">
        <v>625.5</v>
      </c>
      <c r="F101" s="176"/>
      <c r="G101" s="175"/>
      <c r="H101" s="174"/>
      <c r="I101" s="173"/>
      <c r="J101" s="174"/>
      <c r="K101" s="173"/>
      <c r="Q101" s="160">
        <f>[3]Source!X54</f>
        <v>6292.53</v>
      </c>
      <c r="R101" s="160">
        <f>[3]Source!X55</f>
        <v>119013.77</v>
      </c>
      <c r="S101" s="160">
        <f>[3]Source!Y54</f>
        <v>4027.22</v>
      </c>
      <c r="T101" s="160">
        <f>[3]Source!Y55</f>
        <v>60241.54</v>
      </c>
      <c r="U101" s="160">
        <f>ROUND((175/100)*ROUND([3]Source!R54, 2), 2)</f>
        <v>0</v>
      </c>
      <c r="V101" s="160">
        <f>ROUND((157/100)*ROUND([3]Source!R55, 2), 2)</f>
        <v>0</v>
      </c>
    </row>
    <row r="102" spans="1:22" ht="14.25" x14ac:dyDescent="0.2">
      <c r="A102" s="179"/>
      <c r="B102" s="178"/>
      <c r="C102" s="178" t="s">
        <v>197</v>
      </c>
      <c r="D102" s="177"/>
      <c r="E102" s="174"/>
      <c r="F102" s="176">
        <v>10.06</v>
      </c>
      <c r="G102" s="175" t="s">
        <v>195</v>
      </c>
      <c r="H102" s="174">
        <v>1</v>
      </c>
      <c r="I102" s="173">
        <v>6292.53</v>
      </c>
      <c r="J102" s="174">
        <v>23.35</v>
      </c>
      <c r="K102" s="173">
        <v>146930.57999999999</v>
      </c>
    </row>
    <row r="103" spans="1:22" ht="14.25" x14ac:dyDescent="0.2">
      <c r="A103" s="179"/>
      <c r="B103" s="178"/>
      <c r="C103" s="178" t="s">
        <v>194</v>
      </c>
      <c r="D103" s="177" t="s">
        <v>187</v>
      </c>
      <c r="E103" s="174">
        <v>100</v>
      </c>
      <c r="F103" s="176"/>
      <c r="G103" s="175"/>
      <c r="H103" s="174"/>
      <c r="I103" s="173">
        <v>6292.53</v>
      </c>
      <c r="J103" s="174">
        <v>81</v>
      </c>
      <c r="K103" s="173">
        <v>119013.77</v>
      </c>
    </row>
    <row r="104" spans="1:22" ht="14.25" x14ac:dyDescent="0.2">
      <c r="A104" s="179"/>
      <c r="B104" s="178"/>
      <c r="C104" s="178" t="s">
        <v>193</v>
      </c>
      <c r="D104" s="177" t="s">
        <v>187</v>
      </c>
      <c r="E104" s="174">
        <v>64</v>
      </c>
      <c r="F104" s="176"/>
      <c r="G104" s="175"/>
      <c r="H104" s="174"/>
      <c r="I104" s="173">
        <v>4027.22</v>
      </c>
      <c r="J104" s="174">
        <v>41</v>
      </c>
      <c r="K104" s="173">
        <v>60241.54</v>
      </c>
    </row>
    <row r="105" spans="1:22" ht="14.25" x14ac:dyDescent="0.2">
      <c r="A105" s="172"/>
      <c r="B105" s="171"/>
      <c r="C105" s="171" t="s">
        <v>192</v>
      </c>
      <c r="D105" s="170" t="s">
        <v>191</v>
      </c>
      <c r="E105" s="167">
        <v>0.9</v>
      </c>
      <c r="F105" s="169"/>
      <c r="G105" s="168" t="s">
        <v>195</v>
      </c>
      <c r="H105" s="167">
        <v>1</v>
      </c>
      <c r="I105" s="166">
        <v>562.95000000000005</v>
      </c>
      <c r="J105" s="167"/>
      <c r="K105" s="166"/>
    </row>
    <row r="106" spans="1:22" ht="15" x14ac:dyDescent="0.25">
      <c r="A106" s="164"/>
      <c r="B106" s="164"/>
      <c r="C106" s="165" t="s">
        <v>183</v>
      </c>
      <c r="D106" s="164"/>
      <c r="E106" s="164"/>
      <c r="F106" s="164"/>
      <c r="G106" s="164"/>
      <c r="H106" s="414">
        <v>16612.28</v>
      </c>
      <c r="I106" s="414"/>
      <c r="J106" s="414">
        <v>326185.89</v>
      </c>
      <c r="K106" s="414"/>
      <c r="O106" s="163">
        <f>I102+I103+I104</f>
        <v>16612.28</v>
      </c>
      <c r="P106" s="163">
        <f>K102+K103+K104</f>
        <v>326185.89</v>
      </c>
    </row>
    <row r="108" spans="1:22" ht="171" x14ac:dyDescent="0.2">
      <c r="A108" s="179" t="s">
        <v>1587</v>
      </c>
      <c r="B108" s="178" t="s">
        <v>1964</v>
      </c>
      <c r="C108" s="178" t="s">
        <v>466</v>
      </c>
      <c r="D108" s="177" t="s">
        <v>1965</v>
      </c>
      <c r="E108" s="174">
        <v>226.1</v>
      </c>
      <c r="F108" s="176"/>
      <c r="G108" s="175"/>
      <c r="H108" s="174"/>
      <c r="I108" s="173"/>
      <c r="J108" s="174"/>
      <c r="K108" s="173"/>
      <c r="Q108" s="160">
        <f>[3]Source!X60</f>
        <v>27266.12</v>
      </c>
      <c r="R108" s="160">
        <f>[3]Source!X61</f>
        <v>510730.4</v>
      </c>
      <c r="S108" s="160">
        <f>[3]Source!Y60</f>
        <v>20973.94</v>
      </c>
      <c r="T108" s="160">
        <f>[3]Source!Y61</f>
        <v>286848.58</v>
      </c>
      <c r="U108" s="160">
        <f>ROUND((175/100)*ROUND([3]Source!R60, 2), 2)</f>
        <v>0</v>
      </c>
      <c r="V108" s="160">
        <f>ROUND((157/100)*ROUND([3]Source!R61, 2), 2)</f>
        <v>0</v>
      </c>
    </row>
    <row r="109" spans="1:22" ht="14.25" x14ac:dyDescent="0.2">
      <c r="A109" s="179"/>
      <c r="B109" s="178"/>
      <c r="C109" s="178" t="s">
        <v>197</v>
      </c>
      <c r="D109" s="177"/>
      <c r="E109" s="174"/>
      <c r="F109" s="176">
        <v>132.52000000000001</v>
      </c>
      <c r="G109" s="175" t="s">
        <v>195</v>
      </c>
      <c r="H109" s="174">
        <v>1</v>
      </c>
      <c r="I109" s="173">
        <v>29962.77</v>
      </c>
      <c r="J109" s="174">
        <v>23.35</v>
      </c>
      <c r="K109" s="173">
        <v>699630.68</v>
      </c>
    </row>
    <row r="110" spans="1:22" ht="14.25" x14ac:dyDescent="0.2">
      <c r="A110" s="179"/>
      <c r="B110" s="178"/>
      <c r="C110" s="178" t="s">
        <v>205</v>
      </c>
      <c r="D110" s="177"/>
      <c r="E110" s="174"/>
      <c r="F110" s="176">
        <v>13.74</v>
      </c>
      <c r="G110" s="175" t="s">
        <v>195</v>
      </c>
      <c r="H110" s="174">
        <v>1</v>
      </c>
      <c r="I110" s="173">
        <v>3106.61</v>
      </c>
      <c r="J110" s="174">
        <v>7.5</v>
      </c>
      <c r="K110" s="173">
        <v>23299.58</v>
      </c>
    </row>
    <row r="111" spans="1:22" ht="28.5" x14ac:dyDescent="0.2">
      <c r="A111" s="179" t="s">
        <v>1588</v>
      </c>
      <c r="B111" s="178" t="s">
        <v>1966</v>
      </c>
      <c r="C111" s="178" t="s">
        <v>464</v>
      </c>
      <c r="D111" s="177" t="s">
        <v>1661</v>
      </c>
      <c r="E111" s="174">
        <v>9496.2000000000007</v>
      </c>
      <c r="F111" s="176">
        <v>4.91</v>
      </c>
      <c r="G111" s="182" t="s">
        <v>195</v>
      </c>
      <c r="H111" s="174">
        <v>1</v>
      </c>
      <c r="I111" s="173">
        <v>46626.34</v>
      </c>
      <c r="J111" s="174">
        <v>12.15</v>
      </c>
      <c r="K111" s="173">
        <v>566510.03</v>
      </c>
      <c r="Q111" s="160">
        <f>[3]Source!X62</f>
        <v>0</v>
      </c>
      <c r="R111" s="160">
        <f>[3]Source!X63</f>
        <v>0</v>
      </c>
      <c r="S111" s="160">
        <f>[3]Source!Y62</f>
        <v>0</v>
      </c>
      <c r="T111" s="160">
        <f>[3]Source!Y63</f>
        <v>0</v>
      </c>
      <c r="U111" s="160">
        <f>ROUND((175/100)*ROUND([3]Source!R62, 2), 2)</f>
        <v>0</v>
      </c>
      <c r="V111" s="160">
        <f>ROUND((157/100)*ROUND([3]Source!R63, 2), 2)</f>
        <v>0</v>
      </c>
    </row>
    <row r="112" spans="1:22" ht="28.5" x14ac:dyDescent="0.2">
      <c r="A112" s="179" t="s">
        <v>1967</v>
      </c>
      <c r="B112" s="178" t="s">
        <v>1598</v>
      </c>
      <c r="C112" s="178" t="s">
        <v>272</v>
      </c>
      <c r="D112" s="177" t="s">
        <v>1594</v>
      </c>
      <c r="E112" s="174">
        <v>16.731400000000001</v>
      </c>
      <c r="F112" s="176">
        <v>481.69</v>
      </c>
      <c r="G112" s="182" t="s">
        <v>195</v>
      </c>
      <c r="H112" s="174">
        <v>1</v>
      </c>
      <c r="I112" s="173">
        <v>8059.35</v>
      </c>
      <c r="J112" s="174">
        <v>6.45</v>
      </c>
      <c r="K112" s="173">
        <v>51982.81</v>
      </c>
      <c r="Q112" s="160">
        <f>[3]Source!X64</f>
        <v>0</v>
      </c>
      <c r="R112" s="160">
        <f>[3]Source!X65</f>
        <v>0</v>
      </c>
      <c r="S112" s="160">
        <f>[3]Source!Y64</f>
        <v>0</v>
      </c>
      <c r="T112" s="160">
        <f>[3]Source!Y65</f>
        <v>0</v>
      </c>
      <c r="U112" s="160">
        <f>ROUND((175/100)*ROUND([3]Source!R64, 2), 2)</f>
        <v>0</v>
      </c>
      <c r="V112" s="160">
        <f>ROUND((157/100)*ROUND([3]Source!R65, 2), 2)</f>
        <v>0</v>
      </c>
    </row>
    <row r="113" spans="1:22" ht="28.5" x14ac:dyDescent="0.2">
      <c r="A113" s="179" t="s">
        <v>1968</v>
      </c>
      <c r="B113" s="178" t="s">
        <v>1532</v>
      </c>
      <c r="C113" s="178" t="s">
        <v>351</v>
      </c>
      <c r="D113" s="177" t="s">
        <v>1533</v>
      </c>
      <c r="E113" s="174">
        <v>-94.962000000000003</v>
      </c>
      <c r="F113" s="176">
        <v>0</v>
      </c>
      <c r="G113" s="182" t="s">
        <v>195</v>
      </c>
      <c r="H113" s="174">
        <v>1</v>
      </c>
      <c r="I113" s="173">
        <v>0</v>
      </c>
      <c r="J113" s="174">
        <v>1</v>
      </c>
      <c r="K113" s="173">
        <v>0</v>
      </c>
      <c r="Q113" s="160">
        <f>[3]Source!X66</f>
        <v>0</v>
      </c>
      <c r="R113" s="160">
        <f>[3]Source!X67</f>
        <v>0</v>
      </c>
      <c r="S113" s="160">
        <f>[3]Source!Y66</f>
        <v>0</v>
      </c>
      <c r="T113" s="160">
        <f>[3]Source!Y67</f>
        <v>0</v>
      </c>
      <c r="U113" s="160">
        <f>ROUND((175/100)*ROUND([3]Source!R66, 2), 2)</f>
        <v>0</v>
      </c>
      <c r="V113" s="160">
        <f>ROUND((157/100)*ROUND([3]Source!R67, 2), 2)</f>
        <v>0</v>
      </c>
    </row>
    <row r="114" spans="1:22" ht="14.25" x14ac:dyDescent="0.2">
      <c r="A114" s="179"/>
      <c r="B114" s="178"/>
      <c r="C114" s="178" t="s">
        <v>194</v>
      </c>
      <c r="D114" s="177" t="s">
        <v>187</v>
      </c>
      <c r="E114" s="174">
        <v>91</v>
      </c>
      <c r="F114" s="176"/>
      <c r="G114" s="175"/>
      <c r="H114" s="174"/>
      <c r="I114" s="173">
        <v>27266.12</v>
      </c>
      <c r="J114" s="174">
        <v>73</v>
      </c>
      <c r="K114" s="173">
        <v>510730.4</v>
      </c>
    </row>
    <row r="115" spans="1:22" ht="14.25" x14ac:dyDescent="0.2">
      <c r="A115" s="179"/>
      <c r="B115" s="178"/>
      <c r="C115" s="178" t="s">
        <v>193</v>
      </c>
      <c r="D115" s="177" t="s">
        <v>187</v>
      </c>
      <c r="E115" s="174">
        <v>70</v>
      </c>
      <c r="F115" s="176"/>
      <c r="G115" s="175"/>
      <c r="H115" s="174"/>
      <c r="I115" s="173">
        <v>20973.94</v>
      </c>
      <c r="J115" s="174">
        <v>41</v>
      </c>
      <c r="K115" s="173">
        <v>286848.58</v>
      </c>
    </row>
    <row r="116" spans="1:22" ht="14.25" x14ac:dyDescent="0.2">
      <c r="A116" s="172"/>
      <c r="B116" s="171"/>
      <c r="C116" s="171" t="s">
        <v>192</v>
      </c>
      <c r="D116" s="170" t="s">
        <v>191</v>
      </c>
      <c r="E116" s="167">
        <v>9.68</v>
      </c>
      <c r="F116" s="169"/>
      <c r="G116" s="168" t="s">
        <v>195</v>
      </c>
      <c r="H116" s="167">
        <v>1</v>
      </c>
      <c r="I116" s="166">
        <v>2188.65</v>
      </c>
      <c r="J116" s="167"/>
      <c r="K116" s="166"/>
    </row>
    <row r="117" spans="1:22" ht="15" x14ac:dyDescent="0.25">
      <c r="A117" s="164"/>
      <c r="B117" s="164"/>
      <c r="C117" s="165" t="s">
        <v>183</v>
      </c>
      <c r="D117" s="164"/>
      <c r="E117" s="164"/>
      <c r="F117" s="164"/>
      <c r="G117" s="164"/>
      <c r="H117" s="414">
        <v>135995.13</v>
      </c>
      <c r="I117" s="414"/>
      <c r="J117" s="414">
        <v>2139002.08</v>
      </c>
      <c r="K117" s="414"/>
      <c r="O117" s="163">
        <f>I109+I110+I114+I115+SUM(I111:I113)</f>
        <v>135995.13</v>
      </c>
      <c r="P117" s="163">
        <f>K109+K110+K114+K115+SUM(K111:K113)</f>
        <v>2139002.08</v>
      </c>
    </row>
    <row r="119" spans="1:22" ht="57" x14ac:dyDescent="0.2">
      <c r="A119" s="179" t="s">
        <v>1589</v>
      </c>
      <c r="B119" s="178" t="s">
        <v>1969</v>
      </c>
      <c r="C119" s="178" t="s">
        <v>465</v>
      </c>
      <c r="D119" s="177" t="s">
        <v>1529</v>
      </c>
      <c r="E119" s="174">
        <v>12.2</v>
      </c>
      <c r="F119" s="176"/>
      <c r="G119" s="175"/>
      <c r="H119" s="174"/>
      <c r="I119" s="173"/>
      <c r="J119" s="174"/>
      <c r="K119" s="173"/>
      <c r="Q119" s="160">
        <f>[3]Source!X68</f>
        <v>1633.66</v>
      </c>
      <c r="R119" s="160">
        <f>[3]Source!X69</f>
        <v>30600.59</v>
      </c>
      <c r="S119" s="160">
        <f>[3]Source!Y68</f>
        <v>1256.6600000000001</v>
      </c>
      <c r="T119" s="160">
        <f>[3]Source!Y69</f>
        <v>17186.63</v>
      </c>
      <c r="U119" s="160">
        <f>ROUND((175/100)*ROUND([3]Source!R68, 2), 2)</f>
        <v>0</v>
      </c>
      <c r="V119" s="160">
        <f>ROUND((157/100)*ROUND([3]Source!R69, 2), 2)</f>
        <v>0</v>
      </c>
    </row>
    <row r="120" spans="1:22" ht="14.25" x14ac:dyDescent="0.2">
      <c r="A120" s="179"/>
      <c r="B120" s="178"/>
      <c r="C120" s="178" t="s">
        <v>197</v>
      </c>
      <c r="D120" s="177"/>
      <c r="E120" s="174"/>
      <c r="F120" s="176">
        <v>147.15</v>
      </c>
      <c r="G120" s="175" t="s">
        <v>195</v>
      </c>
      <c r="H120" s="174">
        <v>1</v>
      </c>
      <c r="I120" s="173">
        <v>1795.23</v>
      </c>
      <c r="J120" s="174">
        <v>23.35</v>
      </c>
      <c r="K120" s="173">
        <v>41918.620000000003</v>
      </c>
    </row>
    <row r="121" spans="1:22" ht="28.5" x14ac:dyDescent="0.2">
      <c r="A121" s="179" t="s">
        <v>1592</v>
      </c>
      <c r="B121" s="178" t="s">
        <v>1966</v>
      </c>
      <c r="C121" s="178" t="s">
        <v>464</v>
      </c>
      <c r="D121" s="177" t="s">
        <v>1661</v>
      </c>
      <c r="E121" s="174">
        <v>2562</v>
      </c>
      <c r="F121" s="176">
        <v>4.91</v>
      </c>
      <c r="G121" s="182" t="s">
        <v>195</v>
      </c>
      <c r="H121" s="174">
        <v>1</v>
      </c>
      <c r="I121" s="173">
        <v>12579.42</v>
      </c>
      <c r="J121" s="174">
        <v>12.15</v>
      </c>
      <c r="K121" s="173">
        <v>152839.95000000001</v>
      </c>
      <c r="Q121" s="160">
        <f>[3]Source!X70</f>
        <v>0</v>
      </c>
      <c r="R121" s="160">
        <f>[3]Source!X71</f>
        <v>0</v>
      </c>
      <c r="S121" s="160">
        <f>[3]Source!Y70</f>
        <v>0</v>
      </c>
      <c r="T121" s="160">
        <f>[3]Source!Y71</f>
        <v>0</v>
      </c>
      <c r="U121" s="160">
        <f>ROUND((175/100)*ROUND([3]Source!R70, 2), 2)</f>
        <v>0</v>
      </c>
      <c r="V121" s="160">
        <f>ROUND((157/100)*ROUND([3]Source!R71, 2), 2)</f>
        <v>0</v>
      </c>
    </row>
    <row r="122" spans="1:22" ht="28.5" x14ac:dyDescent="0.2">
      <c r="A122" s="179" t="s">
        <v>1595</v>
      </c>
      <c r="B122" s="178" t="s">
        <v>1598</v>
      </c>
      <c r="C122" s="178" t="s">
        <v>272</v>
      </c>
      <c r="D122" s="177" t="s">
        <v>1594</v>
      </c>
      <c r="E122" s="174">
        <v>3.5135999999999998</v>
      </c>
      <c r="F122" s="176">
        <v>481.69</v>
      </c>
      <c r="G122" s="182" t="s">
        <v>195</v>
      </c>
      <c r="H122" s="174">
        <v>1</v>
      </c>
      <c r="I122" s="173">
        <v>1692.47</v>
      </c>
      <c r="J122" s="174">
        <v>6.45</v>
      </c>
      <c r="K122" s="173">
        <v>10916.43</v>
      </c>
      <c r="Q122" s="160">
        <f>[3]Source!X72</f>
        <v>0</v>
      </c>
      <c r="R122" s="160">
        <f>[3]Source!X73</f>
        <v>0</v>
      </c>
      <c r="S122" s="160">
        <f>[3]Source!Y72</f>
        <v>0</v>
      </c>
      <c r="T122" s="160">
        <f>[3]Source!Y73</f>
        <v>0</v>
      </c>
      <c r="U122" s="160">
        <f>ROUND((175/100)*ROUND([3]Source!R72, 2), 2)</f>
        <v>0</v>
      </c>
      <c r="V122" s="160">
        <f>ROUND((157/100)*ROUND([3]Source!R73, 2), 2)</f>
        <v>0</v>
      </c>
    </row>
    <row r="123" spans="1:22" ht="14.25" x14ac:dyDescent="0.2">
      <c r="A123" s="179"/>
      <c r="B123" s="178"/>
      <c r="C123" s="178" t="s">
        <v>194</v>
      </c>
      <c r="D123" s="177" t="s">
        <v>187</v>
      </c>
      <c r="E123" s="174">
        <v>91</v>
      </c>
      <c r="F123" s="176"/>
      <c r="G123" s="175"/>
      <c r="H123" s="174"/>
      <c r="I123" s="173">
        <v>1633.66</v>
      </c>
      <c r="J123" s="174">
        <v>73</v>
      </c>
      <c r="K123" s="173">
        <v>30600.59</v>
      </c>
    </row>
    <row r="124" spans="1:22" ht="14.25" x14ac:dyDescent="0.2">
      <c r="A124" s="179"/>
      <c r="B124" s="178"/>
      <c r="C124" s="178" t="s">
        <v>193</v>
      </c>
      <c r="D124" s="177" t="s">
        <v>187</v>
      </c>
      <c r="E124" s="174">
        <v>70</v>
      </c>
      <c r="F124" s="176"/>
      <c r="G124" s="175"/>
      <c r="H124" s="174"/>
      <c r="I124" s="173">
        <v>1256.6600000000001</v>
      </c>
      <c r="J124" s="174">
        <v>41</v>
      </c>
      <c r="K124" s="173">
        <v>17186.63</v>
      </c>
    </row>
    <row r="125" spans="1:22" ht="14.25" x14ac:dyDescent="0.2">
      <c r="A125" s="172"/>
      <c r="B125" s="171"/>
      <c r="C125" s="171" t="s">
        <v>192</v>
      </c>
      <c r="D125" s="170" t="s">
        <v>191</v>
      </c>
      <c r="E125" s="167">
        <v>11.55</v>
      </c>
      <c r="F125" s="169"/>
      <c r="G125" s="168" t="s">
        <v>195</v>
      </c>
      <c r="H125" s="167">
        <v>1</v>
      </c>
      <c r="I125" s="166">
        <v>140.91</v>
      </c>
      <c r="J125" s="167"/>
      <c r="K125" s="166"/>
    </row>
    <row r="126" spans="1:22" ht="15" x14ac:dyDescent="0.25">
      <c r="A126" s="164"/>
      <c r="B126" s="164"/>
      <c r="C126" s="165" t="s">
        <v>183</v>
      </c>
      <c r="D126" s="164"/>
      <c r="E126" s="164"/>
      <c r="F126" s="164"/>
      <c r="G126" s="164"/>
      <c r="H126" s="414">
        <v>18957.439999999999</v>
      </c>
      <c r="I126" s="414"/>
      <c r="J126" s="414">
        <v>253462.22</v>
      </c>
      <c r="K126" s="414"/>
      <c r="O126" s="163">
        <f>I120+I123+I124+SUM(I121:I122)</f>
        <v>18957.439999999999</v>
      </c>
      <c r="P126" s="163">
        <f>K120+K123+K124+SUM(K121:K122)</f>
        <v>253462.22</v>
      </c>
    </row>
    <row r="128" spans="1:22" ht="71.25" x14ac:dyDescent="0.2">
      <c r="A128" s="179" t="s">
        <v>1599</v>
      </c>
      <c r="B128" s="178" t="s">
        <v>1970</v>
      </c>
      <c r="C128" s="178" t="s">
        <v>463</v>
      </c>
      <c r="D128" s="177" t="s">
        <v>1956</v>
      </c>
      <c r="E128" s="174">
        <v>12.7</v>
      </c>
      <c r="F128" s="176"/>
      <c r="G128" s="175"/>
      <c r="H128" s="174"/>
      <c r="I128" s="173"/>
      <c r="J128" s="174"/>
      <c r="K128" s="173"/>
      <c r="Q128" s="160">
        <f>[3]Source!X74</f>
        <v>867.54</v>
      </c>
      <c r="R128" s="160">
        <f>[3]Source!X75</f>
        <v>16205.59</v>
      </c>
      <c r="S128" s="160">
        <f>[3]Source!Y74</f>
        <v>670.37</v>
      </c>
      <c r="T128" s="160">
        <f>[3]Source!Y75</f>
        <v>7550.33</v>
      </c>
      <c r="U128" s="160">
        <f>ROUND((175/100)*ROUND([3]Source!R74, 2), 2)</f>
        <v>0</v>
      </c>
      <c r="V128" s="160">
        <f>ROUND((157/100)*ROUND([3]Source!R75, 2), 2)</f>
        <v>0</v>
      </c>
    </row>
    <row r="129" spans="1:22" ht="14.25" x14ac:dyDescent="0.2">
      <c r="A129" s="179"/>
      <c r="B129" s="178"/>
      <c r="C129" s="178" t="s">
        <v>197</v>
      </c>
      <c r="D129" s="177"/>
      <c r="E129" s="174"/>
      <c r="F129" s="176">
        <v>62.1</v>
      </c>
      <c r="G129" s="175" t="s">
        <v>195</v>
      </c>
      <c r="H129" s="174">
        <v>1</v>
      </c>
      <c r="I129" s="173">
        <v>788.67</v>
      </c>
      <c r="J129" s="174">
        <v>23.35</v>
      </c>
      <c r="K129" s="173">
        <v>18415.439999999999</v>
      </c>
    </row>
    <row r="130" spans="1:22" ht="14.25" x14ac:dyDescent="0.2">
      <c r="A130" s="179"/>
      <c r="B130" s="178"/>
      <c r="C130" s="178" t="s">
        <v>194</v>
      </c>
      <c r="D130" s="177" t="s">
        <v>187</v>
      </c>
      <c r="E130" s="174">
        <v>110</v>
      </c>
      <c r="F130" s="176"/>
      <c r="G130" s="175"/>
      <c r="H130" s="174"/>
      <c r="I130" s="173">
        <v>867.54</v>
      </c>
      <c r="J130" s="174">
        <v>88</v>
      </c>
      <c r="K130" s="173">
        <v>16205.59</v>
      </c>
    </row>
    <row r="131" spans="1:22" ht="14.25" x14ac:dyDescent="0.2">
      <c r="A131" s="172"/>
      <c r="B131" s="171"/>
      <c r="C131" s="171" t="s">
        <v>193</v>
      </c>
      <c r="D131" s="170" t="s">
        <v>187</v>
      </c>
      <c r="E131" s="167">
        <v>85</v>
      </c>
      <c r="F131" s="169"/>
      <c r="G131" s="168"/>
      <c r="H131" s="167"/>
      <c r="I131" s="166">
        <v>670.37</v>
      </c>
      <c r="J131" s="167">
        <v>41</v>
      </c>
      <c r="K131" s="166">
        <v>7550.33</v>
      </c>
    </row>
    <row r="132" spans="1:22" ht="15" x14ac:dyDescent="0.25">
      <c r="A132" s="164"/>
      <c r="B132" s="164"/>
      <c r="C132" s="165" t="s">
        <v>183</v>
      </c>
      <c r="D132" s="164"/>
      <c r="E132" s="164"/>
      <c r="F132" s="164"/>
      <c r="G132" s="164"/>
      <c r="H132" s="414">
        <v>2326.58</v>
      </c>
      <c r="I132" s="414"/>
      <c r="J132" s="414">
        <v>42171.360000000001</v>
      </c>
      <c r="K132" s="414"/>
      <c r="O132" s="163">
        <f>I129+I130+I131</f>
        <v>2326.58</v>
      </c>
      <c r="P132" s="163">
        <f>K129+K130+K131</f>
        <v>42171.360000000001</v>
      </c>
    </row>
    <row r="134" spans="1:22" ht="99.75" x14ac:dyDescent="0.2">
      <c r="A134" s="179" t="s">
        <v>1602</v>
      </c>
      <c r="B134" s="178" t="s">
        <v>1971</v>
      </c>
      <c r="C134" s="178" t="s">
        <v>462</v>
      </c>
      <c r="D134" s="177" t="s">
        <v>1956</v>
      </c>
      <c r="E134" s="174">
        <v>53.5</v>
      </c>
      <c r="F134" s="176"/>
      <c r="G134" s="175"/>
      <c r="H134" s="174"/>
      <c r="I134" s="173"/>
      <c r="J134" s="174"/>
      <c r="K134" s="173"/>
      <c r="Q134" s="160">
        <f>[3]Source!X78</f>
        <v>1735.13</v>
      </c>
      <c r="R134" s="160">
        <f>[3]Source!X79</f>
        <v>32501.34</v>
      </c>
      <c r="S134" s="160">
        <f>[3]Source!Y78</f>
        <v>1334.72</v>
      </c>
      <c r="T134" s="160">
        <f>[3]Source!Y79</f>
        <v>18254.18</v>
      </c>
      <c r="U134" s="160">
        <f>ROUND((175/100)*ROUND([3]Source!R78, 2), 2)</f>
        <v>0</v>
      </c>
      <c r="V134" s="160">
        <f>ROUND((157/100)*ROUND([3]Source!R79, 2), 2)</f>
        <v>0</v>
      </c>
    </row>
    <row r="135" spans="1:22" ht="14.25" x14ac:dyDescent="0.2">
      <c r="A135" s="179"/>
      <c r="B135" s="178"/>
      <c r="C135" s="178" t="s">
        <v>197</v>
      </c>
      <c r="D135" s="177"/>
      <c r="E135" s="174"/>
      <c r="F135" s="176">
        <v>35.64</v>
      </c>
      <c r="G135" s="175" t="s">
        <v>195</v>
      </c>
      <c r="H135" s="174">
        <v>1</v>
      </c>
      <c r="I135" s="173">
        <v>1906.74</v>
      </c>
      <c r="J135" s="174">
        <v>23.35</v>
      </c>
      <c r="K135" s="173">
        <v>44522.38</v>
      </c>
    </row>
    <row r="136" spans="1:22" ht="14.25" x14ac:dyDescent="0.2">
      <c r="A136" s="179"/>
      <c r="B136" s="178"/>
      <c r="C136" s="178" t="s">
        <v>194</v>
      </c>
      <c r="D136" s="177" t="s">
        <v>187</v>
      </c>
      <c r="E136" s="174">
        <v>91</v>
      </c>
      <c r="F136" s="176"/>
      <c r="G136" s="175"/>
      <c r="H136" s="174"/>
      <c r="I136" s="173">
        <v>1735.13</v>
      </c>
      <c r="J136" s="174">
        <v>73</v>
      </c>
      <c r="K136" s="173">
        <v>32501.34</v>
      </c>
    </row>
    <row r="137" spans="1:22" ht="14.25" x14ac:dyDescent="0.2">
      <c r="A137" s="172"/>
      <c r="B137" s="171"/>
      <c r="C137" s="171" t="s">
        <v>193</v>
      </c>
      <c r="D137" s="170" t="s">
        <v>187</v>
      </c>
      <c r="E137" s="167">
        <v>70</v>
      </c>
      <c r="F137" s="169"/>
      <c r="G137" s="168"/>
      <c r="H137" s="167"/>
      <c r="I137" s="166">
        <v>1334.72</v>
      </c>
      <c r="J137" s="167">
        <v>41</v>
      </c>
      <c r="K137" s="166">
        <v>18254.18</v>
      </c>
    </row>
    <row r="138" spans="1:22" ht="15" x14ac:dyDescent="0.25">
      <c r="A138" s="164"/>
      <c r="B138" s="164"/>
      <c r="C138" s="165" t="s">
        <v>183</v>
      </c>
      <c r="D138" s="164"/>
      <c r="E138" s="164"/>
      <c r="F138" s="164"/>
      <c r="G138" s="164"/>
      <c r="H138" s="414">
        <v>4976.59</v>
      </c>
      <c r="I138" s="414"/>
      <c r="J138" s="414">
        <v>95277.9</v>
      </c>
      <c r="K138" s="414"/>
      <c r="O138" s="163">
        <f>I135+I136+I137</f>
        <v>4976.59</v>
      </c>
      <c r="P138" s="163">
        <f>K135+K136+K137</f>
        <v>95277.9</v>
      </c>
    </row>
    <row r="140" spans="1:22" ht="71.25" x14ac:dyDescent="0.2">
      <c r="A140" s="179" t="s">
        <v>1607</v>
      </c>
      <c r="B140" s="178" t="s">
        <v>1972</v>
      </c>
      <c r="C140" s="178" t="s">
        <v>461</v>
      </c>
      <c r="D140" s="177" t="s">
        <v>1956</v>
      </c>
      <c r="E140" s="174">
        <v>17.7</v>
      </c>
      <c r="F140" s="176"/>
      <c r="G140" s="175"/>
      <c r="H140" s="174"/>
      <c r="I140" s="173"/>
      <c r="J140" s="174"/>
      <c r="K140" s="173"/>
      <c r="Q140" s="160">
        <f>[3]Source!X86</f>
        <v>348.72</v>
      </c>
      <c r="R140" s="160">
        <f>[3]Source!X87</f>
        <v>6532</v>
      </c>
      <c r="S140" s="160">
        <f>[3]Source!Y86</f>
        <v>268.25</v>
      </c>
      <c r="T140" s="160">
        <f>[3]Source!Y87</f>
        <v>3668.66</v>
      </c>
      <c r="U140" s="160">
        <f>ROUND((175/100)*ROUND([3]Source!R86, 2), 2)</f>
        <v>0</v>
      </c>
      <c r="V140" s="160">
        <f>ROUND((157/100)*ROUND([3]Source!R87, 2), 2)</f>
        <v>0</v>
      </c>
    </row>
    <row r="141" spans="1:22" ht="14.25" x14ac:dyDescent="0.2">
      <c r="A141" s="179"/>
      <c r="B141" s="178"/>
      <c r="C141" s="178" t="s">
        <v>197</v>
      </c>
      <c r="D141" s="177"/>
      <c r="E141" s="174"/>
      <c r="F141" s="176">
        <v>21.65</v>
      </c>
      <c r="G141" s="175" t="s">
        <v>195</v>
      </c>
      <c r="H141" s="174">
        <v>1</v>
      </c>
      <c r="I141" s="173">
        <v>383.21</v>
      </c>
      <c r="J141" s="174">
        <v>23.35</v>
      </c>
      <c r="K141" s="173">
        <v>8947.9500000000007</v>
      </c>
    </row>
    <row r="142" spans="1:22" ht="14.25" x14ac:dyDescent="0.2">
      <c r="A142" s="179"/>
      <c r="B142" s="178"/>
      <c r="C142" s="178" t="s">
        <v>205</v>
      </c>
      <c r="D142" s="177"/>
      <c r="E142" s="174"/>
      <c r="F142" s="176">
        <v>4.41</v>
      </c>
      <c r="G142" s="175" t="s">
        <v>195</v>
      </c>
      <c r="H142" s="174">
        <v>1</v>
      </c>
      <c r="I142" s="173">
        <v>78.06</v>
      </c>
      <c r="J142" s="174">
        <v>24.94</v>
      </c>
      <c r="K142" s="173">
        <v>1946.82</v>
      </c>
    </row>
    <row r="143" spans="1:22" ht="28.5" x14ac:dyDescent="0.2">
      <c r="A143" s="179" t="s">
        <v>1608</v>
      </c>
      <c r="B143" s="178" t="s">
        <v>1973</v>
      </c>
      <c r="C143" s="178" t="s">
        <v>460</v>
      </c>
      <c r="D143" s="177" t="s">
        <v>1584</v>
      </c>
      <c r="E143" s="174">
        <v>601.79999999999995</v>
      </c>
      <c r="F143" s="176">
        <v>23.98</v>
      </c>
      <c r="G143" s="182" t="s">
        <v>195</v>
      </c>
      <c r="H143" s="174">
        <v>1</v>
      </c>
      <c r="I143" s="173">
        <v>14431.16</v>
      </c>
      <c r="J143" s="174">
        <v>0.18</v>
      </c>
      <c r="K143" s="173">
        <v>2597.61</v>
      </c>
      <c r="Q143" s="160">
        <f>[3]Source!X88</f>
        <v>0</v>
      </c>
      <c r="R143" s="160">
        <f>[3]Source!X89</f>
        <v>0</v>
      </c>
      <c r="S143" s="160">
        <f>[3]Source!Y88</f>
        <v>0</v>
      </c>
      <c r="T143" s="160">
        <f>[3]Source!Y89</f>
        <v>0</v>
      </c>
      <c r="U143" s="160">
        <f>ROUND((175/100)*ROUND([3]Source!R88, 2), 2)</f>
        <v>0</v>
      </c>
      <c r="V143" s="160">
        <f>ROUND((157/100)*ROUND([3]Source!R89, 2), 2)</f>
        <v>0</v>
      </c>
    </row>
    <row r="144" spans="1:22" ht="14.25" x14ac:dyDescent="0.2">
      <c r="A144" s="179"/>
      <c r="B144" s="178"/>
      <c r="C144" s="178" t="s">
        <v>194</v>
      </c>
      <c r="D144" s="177" t="s">
        <v>187</v>
      </c>
      <c r="E144" s="174">
        <v>91</v>
      </c>
      <c r="F144" s="176"/>
      <c r="G144" s="175"/>
      <c r="H144" s="174"/>
      <c r="I144" s="173">
        <v>348.72</v>
      </c>
      <c r="J144" s="174">
        <v>73</v>
      </c>
      <c r="K144" s="173">
        <v>6532</v>
      </c>
    </row>
    <row r="145" spans="1:22" ht="14.25" x14ac:dyDescent="0.2">
      <c r="A145" s="172"/>
      <c r="B145" s="171"/>
      <c r="C145" s="171" t="s">
        <v>193</v>
      </c>
      <c r="D145" s="170" t="s">
        <v>187</v>
      </c>
      <c r="E145" s="167">
        <v>70</v>
      </c>
      <c r="F145" s="169"/>
      <c r="G145" s="168"/>
      <c r="H145" s="167"/>
      <c r="I145" s="166">
        <v>268.25</v>
      </c>
      <c r="J145" s="167">
        <v>41</v>
      </c>
      <c r="K145" s="166">
        <v>3668.66</v>
      </c>
    </row>
    <row r="146" spans="1:22" ht="15" x14ac:dyDescent="0.25">
      <c r="A146" s="164"/>
      <c r="B146" s="164"/>
      <c r="C146" s="165" t="s">
        <v>183</v>
      </c>
      <c r="D146" s="164"/>
      <c r="E146" s="164"/>
      <c r="F146" s="164"/>
      <c r="G146" s="164"/>
      <c r="H146" s="414">
        <v>15509.4</v>
      </c>
      <c r="I146" s="414"/>
      <c r="J146" s="414">
        <v>23693.040000000001</v>
      </c>
      <c r="K146" s="414"/>
      <c r="O146" s="163">
        <f>I141+I142+I144+I145+SUM(I143:I143)</f>
        <v>15509.4</v>
      </c>
      <c r="P146" s="163">
        <f>K141+K142+K144+K145+SUM(K143:K143)</f>
        <v>23693.040000000001</v>
      </c>
    </row>
    <row r="148" spans="1:22" ht="71.25" x14ac:dyDescent="0.2">
      <c r="A148" s="179" t="s">
        <v>1609</v>
      </c>
      <c r="B148" s="178" t="s">
        <v>1974</v>
      </c>
      <c r="C148" s="178" t="s">
        <v>457</v>
      </c>
      <c r="D148" s="177" t="s">
        <v>1975</v>
      </c>
      <c r="E148" s="174">
        <v>519.69000000000005</v>
      </c>
      <c r="F148" s="176"/>
      <c r="G148" s="175"/>
      <c r="H148" s="174"/>
      <c r="I148" s="173"/>
      <c r="J148" s="174"/>
      <c r="K148" s="173"/>
      <c r="Q148" s="160">
        <f>[3]Source!X90</f>
        <v>8477.7000000000007</v>
      </c>
      <c r="R148" s="160">
        <f>[3]Source!X91</f>
        <v>158363.44</v>
      </c>
      <c r="S148" s="160">
        <f>[3]Source!Y90</f>
        <v>6550.95</v>
      </c>
      <c r="T148" s="160">
        <f>[3]Source!Y91</f>
        <v>73782.960000000006</v>
      </c>
      <c r="U148" s="160">
        <f>ROUND((175/100)*ROUND([3]Source!R90, 2), 2)</f>
        <v>0</v>
      </c>
      <c r="V148" s="160">
        <f>ROUND((157/100)*ROUND([3]Source!R91, 2), 2)</f>
        <v>0</v>
      </c>
    </row>
    <row r="149" spans="1:22" x14ac:dyDescent="0.2">
      <c r="C149" s="181" t="s">
        <v>1976</v>
      </c>
    </row>
    <row r="150" spans="1:22" ht="14.25" x14ac:dyDescent="0.2">
      <c r="A150" s="179"/>
      <c r="B150" s="178"/>
      <c r="C150" s="178" t="s">
        <v>197</v>
      </c>
      <c r="D150" s="177"/>
      <c r="E150" s="174"/>
      <c r="F150" s="176">
        <v>14.83</v>
      </c>
      <c r="G150" s="175" t="s">
        <v>195</v>
      </c>
      <c r="H150" s="174">
        <v>1</v>
      </c>
      <c r="I150" s="173">
        <v>7707</v>
      </c>
      <c r="J150" s="174">
        <v>23.35</v>
      </c>
      <c r="K150" s="173">
        <v>179958.45</v>
      </c>
    </row>
    <row r="151" spans="1:22" ht="57" x14ac:dyDescent="0.2">
      <c r="A151" s="179" t="s">
        <v>1611</v>
      </c>
      <c r="B151" s="178" t="s">
        <v>1977</v>
      </c>
      <c r="C151" s="178" t="s">
        <v>454</v>
      </c>
      <c r="D151" s="177" t="s">
        <v>1584</v>
      </c>
      <c r="E151" s="174">
        <v>1195.287</v>
      </c>
      <c r="F151" s="176">
        <v>46.71</v>
      </c>
      <c r="G151" s="182" t="s">
        <v>195</v>
      </c>
      <c r="H151" s="174">
        <v>1</v>
      </c>
      <c r="I151" s="173">
        <v>55831.86</v>
      </c>
      <c r="J151" s="174">
        <v>3.57</v>
      </c>
      <c r="K151" s="173">
        <v>199319.74</v>
      </c>
      <c r="Q151" s="160">
        <f>[3]Source!X92</f>
        <v>0</v>
      </c>
      <c r="R151" s="160">
        <f>[3]Source!X93</f>
        <v>0</v>
      </c>
      <c r="S151" s="160">
        <f>[3]Source!Y92</f>
        <v>0</v>
      </c>
      <c r="T151" s="160">
        <f>[3]Source!Y93</f>
        <v>0</v>
      </c>
      <c r="U151" s="160">
        <f>ROUND((175/100)*ROUND([3]Source!R92, 2), 2)</f>
        <v>0</v>
      </c>
      <c r="V151" s="160">
        <f>ROUND((157/100)*ROUND([3]Source!R93, 2), 2)</f>
        <v>0</v>
      </c>
    </row>
    <row r="152" spans="1:22" ht="14.25" x14ac:dyDescent="0.2">
      <c r="A152" s="179"/>
      <c r="B152" s="178"/>
      <c r="C152" s="178" t="s">
        <v>194</v>
      </c>
      <c r="D152" s="177" t="s">
        <v>187</v>
      </c>
      <c r="E152" s="174">
        <v>110</v>
      </c>
      <c r="F152" s="176"/>
      <c r="G152" s="175"/>
      <c r="H152" s="174"/>
      <c r="I152" s="173">
        <v>8477.7000000000007</v>
      </c>
      <c r="J152" s="174">
        <v>88</v>
      </c>
      <c r="K152" s="173">
        <v>158363.44</v>
      </c>
    </row>
    <row r="153" spans="1:22" ht="14.25" x14ac:dyDescent="0.2">
      <c r="A153" s="179"/>
      <c r="B153" s="178"/>
      <c r="C153" s="178" t="s">
        <v>193</v>
      </c>
      <c r="D153" s="177" t="s">
        <v>187</v>
      </c>
      <c r="E153" s="174">
        <v>85</v>
      </c>
      <c r="F153" s="176"/>
      <c r="G153" s="175"/>
      <c r="H153" s="174"/>
      <c r="I153" s="173">
        <v>6550.95</v>
      </c>
      <c r="J153" s="174">
        <v>41</v>
      </c>
      <c r="K153" s="173">
        <v>73782.960000000006</v>
      </c>
    </row>
    <row r="154" spans="1:22" ht="14.25" x14ac:dyDescent="0.2">
      <c r="A154" s="172"/>
      <c r="B154" s="171"/>
      <c r="C154" s="171" t="s">
        <v>192</v>
      </c>
      <c r="D154" s="170" t="s">
        <v>191</v>
      </c>
      <c r="E154" s="167">
        <v>1.24</v>
      </c>
      <c r="F154" s="169"/>
      <c r="G154" s="168" t="s">
        <v>195</v>
      </c>
      <c r="H154" s="167">
        <v>1</v>
      </c>
      <c r="I154" s="166">
        <v>644.41999999999996</v>
      </c>
      <c r="J154" s="167"/>
      <c r="K154" s="166"/>
    </row>
    <row r="155" spans="1:22" ht="15" x14ac:dyDescent="0.25">
      <c r="A155" s="164"/>
      <c r="B155" s="164"/>
      <c r="C155" s="165" t="s">
        <v>183</v>
      </c>
      <c r="D155" s="164"/>
      <c r="E155" s="164"/>
      <c r="F155" s="164"/>
      <c r="G155" s="164"/>
      <c r="H155" s="414">
        <v>78567.509999999995</v>
      </c>
      <c r="I155" s="414"/>
      <c r="J155" s="414">
        <v>611424.59</v>
      </c>
      <c r="K155" s="414"/>
      <c r="O155" s="163">
        <f>I150+I152+I153+SUM(I151:I151)</f>
        <v>78567.509999999995</v>
      </c>
      <c r="P155" s="163">
        <f>K150+K152+K153+SUM(K151:K151)</f>
        <v>611424.59</v>
      </c>
    </row>
    <row r="157" spans="1:22" ht="71.25" x14ac:dyDescent="0.2">
      <c r="A157" s="179" t="s">
        <v>1617</v>
      </c>
      <c r="B157" s="178" t="s">
        <v>1978</v>
      </c>
      <c r="C157" s="178" t="s">
        <v>459</v>
      </c>
      <c r="D157" s="177" t="s">
        <v>1975</v>
      </c>
      <c r="E157" s="174">
        <v>23.92</v>
      </c>
      <c r="F157" s="176"/>
      <c r="G157" s="175"/>
      <c r="H157" s="174"/>
      <c r="I157" s="173"/>
      <c r="J157" s="174"/>
      <c r="K157" s="173"/>
      <c r="Q157" s="160">
        <f>[3]Source!X96</f>
        <v>440.46</v>
      </c>
      <c r="R157" s="160">
        <f>[3]Source!X97</f>
        <v>8227.83</v>
      </c>
      <c r="S157" s="160">
        <f>[3]Source!Y96</f>
        <v>340.36</v>
      </c>
      <c r="T157" s="160">
        <f>[3]Source!Y97</f>
        <v>3833.42</v>
      </c>
      <c r="U157" s="160">
        <f>ROUND((175/100)*ROUND([3]Source!R96, 2), 2)</f>
        <v>0</v>
      </c>
      <c r="V157" s="160">
        <f>ROUND((157/100)*ROUND([3]Source!R97, 2), 2)</f>
        <v>0</v>
      </c>
    </row>
    <row r="158" spans="1:22" x14ac:dyDescent="0.2">
      <c r="C158" s="181" t="s">
        <v>1979</v>
      </c>
    </row>
    <row r="159" spans="1:22" ht="14.25" x14ac:dyDescent="0.2">
      <c r="A159" s="179"/>
      <c r="B159" s="178"/>
      <c r="C159" s="178" t="s">
        <v>197</v>
      </c>
      <c r="D159" s="177"/>
      <c r="E159" s="174"/>
      <c r="F159" s="176">
        <v>16.739999999999998</v>
      </c>
      <c r="G159" s="175" t="s">
        <v>195</v>
      </c>
      <c r="H159" s="174">
        <v>1</v>
      </c>
      <c r="I159" s="173">
        <v>400.42</v>
      </c>
      <c r="J159" s="174">
        <v>23.35</v>
      </c>
      <c r="K159" s="173">
        <v>9349.81</v>
      </c>
    </row>
    <row r="160" spans="1:22" ht="57" x14ac:dyDescent="0.2">
      <c r="A160" s="179" t="s">
        <v>1619</v>
      </c>
      <c r="B160" s="178" t="s">
        <v>1977</v>
      </c>
      <c r="C160" s="178" t="s">
        <v>454</v>
      </c>
      <c r="D160" s="177" t="s">
        <v>1584</v>
      </c>
      <c r="E160" s="174">
        <v>55.015999999999998</v>
      </c>
      <c r="F160" s="176">
        <v>46.71</v>
      </c>
      <c r="G160" s="182" t="s">
        <v>195</v>
      </c>
      <c r="H160" s="174">
        <v>1</v>
      </c>
      <c r="I160" s="173">
        <v>2569.8000000000002</v>
      </c>
      <c r="J160" s="174">
        <v>3.57</v>
      </c>
      <c r="K160" s="173">
        <v>9174.19</v>
      </c>
      <c r="Q160" s="160">
        <f>[3]Source!X98</f>
        <v>0</v>
      </c>
      <c r="R160" s="160">
        <f>[3]Source!X99</f>
        <v>0</v>
      </c>
      <c r="S160" s="160">
        <f>[3]Source!Y98</f>
        <v>0</v>
      </c>
      <c r="T160" s="160">
        <f>[3]Source!Y99</f>
        <v>0</v>
      </c>
      <c r="U160" s="160">
        <f>ROUND((175/100)*ROUND([3]Source!R98, 2), 2)</f>
        <v>0</v>
      </c>
      <c r="V160" s="160">
        <f>ROUND((157/100)*ROUND([3]Source!R99, 2), 2)</f>
        <v>0</v>
      </c>
    </row>
    <row r="161" spans="1:22" ht="14.25" x14ac:dyDescent="0.2">
      <c r="A161" s="179"/>
      <c r="B161" s="178"/>
      <c r="C161" s="178" t="s">
        <v>194</v>
      </c>
      <c r="D161" s="177" t="s">
        <v>187</v>
      </c>
      <c r="E161" s="174">
        <v>110</v>
      </c>
      <c r="F161" s="176"/>
      <c r="G161" s="175"/>
      <c r="H161" s="174"/>
      <c r="I161" s="173">
        <v>440.46</v>
      </c>
      <c r="J161" s="174">
        <v>88</v>
      </c>
      <c r="K161" s="173">
        <v>8227.83</v>
      </c>
    </row>
    <row r="162" spans="1:22" ht="14.25" x14ac:dyDescent="0.2">
      <c r="A162" s="179"/>
      <c r="B162" s="178"/>
      <c r="C162" s="178" t="s">
        <v>193</v>
      </c>
      <c r="D162" s="177" t="s">
        <v>187</v>
      </c>
      <c r="E162" s="174">
        <v>85</v>
      </c>
      <c r="F162" s="176"/>
      <c r="G162" s="175"/>
      <c r="H162" s="174"/>
      <c r="I162" s="173">
        <v>340.36</v>
      </c>
      <c r="J162" s="174">
        <v>41</v>
      </c>
      <c r="K162" s="173">
        <v>3833.42</v>
      </c>
    </row>
    <row r="163" spans="1:22" ht="14.25" x14ac:dyDescent="0.2">
      <c r="A163" s="172"/>
      <c r="B163" s="171"/>
      <c r="C163" s="171" t="s">
        <v>192</v>
      </c>
      <c r="D163" s="170" t="s">
        <v>191</v>
      </c>
      <c r="E163" s="167">
        <v>1.4</v>
      </c>
      <c r="F163" s="169"/>
      <c r="G163" s="168" t="s">
        <v>195</v>
      </c>
      <c r="H163" s="167">
        <v>1</v>
      </c>
      <c r="I163" s="166">
        <v>33.49</v>
      </c>
      <c r="J163" s="167"/>
      <c r="K163" s="166"/>
    </row>
    <row r="164" spans="1:22" ht="15" x14ac:dyDescent="0.25">
      <c r="A164" s="164"/>
      <c r="B164" s="164"/>
      <c r="C164" s="165" t="s">
        <v>183</v>
      </c>
      <c r="D164" s="164"/>
      <c r="E164" s="164"/>
      <c r="F164" s="164"/>
      <c r="G164" s="164"/>
      <c r="H164" s="414">
        <v>3751.04</v>
      </c>
      <c r="I164" s="414"/>
      <c r="J164" s="414">
        <v>30585.25</v>
      </c>
      <c r="K164" s="414"/>
      <c r="O164" s="163">
        <f>I159+I161+I162+SUM(I160:I160)</f>
        <v>3751.04</v>
      </c>
      <c r="P164" s="163">
        <f>K159+K161+K162+SUM(K160:K160)</f>
        <v>30585.25</v>
      </c>
    </row>
    <row r="166" spans="1:22" ht="71.25" x14ac:dyDescent="0.2">
      <c r="A166" s="179" t="s">
        <v>1622</v>
      </c>
      <c r="B166" s="178" t="s">
        <v>458</v>
      </c>
      <c r="C166" s="178" t="s">
        <v>457</v>
      </c>
      <c r="D166" s="177" t="s">
        <v>1975</v>
      </c>
      <c r="E166" s="174">
        <v>219.83</v>
      </c>
      <c r="F166" s="176"/>
      <c r="G166" s="175"/>
      <c r="H166" s="174"/>
      <c r="I166" s="173"/>
      <c r="J166" s="174"/>
      <c r="K166" s="173"/>
      <c r="Q166" s="160">
        <f>[3]Source!X100</f>
        <v>4303.3</v>
      </c>
      <c r="R166" s="160">
        <f>[3]Source!X101</f>
        <v>80385.62</v>
      </c>
      <c r="S166" s="160">
        <f>[3]Source!Y100</f>
        <v>3325.28</v>
      </c>
      <c r="T166" s="160">
        <f>[3]Source!Y101</f>
        <v>37452.39</v>
      </c>
      <c r="U166" s="160">
        <f>ROUND((175/100)*ROUND([3]Source!R100, 2), 2)</f>
        <v>0</v>
      </c>
      <c r="V166" s="160">
        <f>ROUND((157/100)*ROUND([3]Source!R101, 2), 2)</f>
        <v>0</v>
      </c>
    </row>
    <row r="167" spans="1:22" x14ac:dyDescent="0.2">
      <c r="C167" s="181" t="s">
        <v>1980</v>
      </c>
    </row>
    <row r="168" spans="1:22" ht="14.25" x14ac:dyDescent="0.2">
      <c r="A168" s="179"/>
      <c r="B168" s="178"/>
      <c r="C168" s="178" t="s">
        <v>197</v>
      </c>
      <c r="D168" s="177"/>
      <c r="E168" s="174"/>
      <c r="F168" s="176">
        <v>14.83</v>
      </c>
      <c r="G168" s="175" t="s">
        <v>1959</v>
      </c>
      <c r="H168" s="174">
        <v>1</v>
      </c>
      <c r="I168" s="173">
        <v>3912.09</v>
      </c>
      <c r="J168" s="174">
        <v>23.35</v>
      </c>
      <c r="K168" s="173">
        <v>91347.3</v>
      </c>
    </row>
    <row r="169" spans="1:22" ht="57" x14ac:dyDescent="0.2">
      <c r="A169" s="179" t="s">
        <v>1623</v>
      </c>
      <c r="B169" s="178" t="s">
        <v>1977</v>
      </c>
      <c r="C169" s="178" t="s">
        <v>454</v>
      </c>
      <c r="D169" s="177" t="s">
        <v>1584</v>
      </c>
      <c r="E169" s="174">
        <v>505.60899999999998</v>
      </c>
      <c r="F169" s="176">
        <v>46.71</v>
      </c>
      <c r="G169" s="182" t="s">
        <v>195</v>
      </c>
      <c r="H169" s="174">
        <v>1</v>
      </c>
      <c r="I169" s="173">
        <v>23617</v>
      </c>
      <c r="J169" s="174">
        <v>3.57</v>
      </c>
      <c r="K169" s="173">
        <v>84312.69</v>
      </c>
      <c r="Q169" s="160">
        <f>[3]Source!X102</f>
        <v>0</v>
      </c>
      <c r="R169" s="160">
        <f>[3]Source!X103</f>
        <v>0</v>
      </c>
      <c r="S169" s="160">
        <f>[3]Source!Y102</f>
        <v>0</v>
      </c>
      <c r="T169" s="160">
        <f>[3]Source!Y103</f>
        <v>0</v>
      </c>
      <c r="U169" s="160">
        <f>ROUND((175/100)*ROUND([3]Source!R102, 2), 2)</f>
        <v>0</v>
      </c>
      <c r="V169" s="160">
        <f>ROUND((157/100)*ROUND([3]Source!R103, 2), 2)</f>
        <v>0</v>
      </c>
    </row>
    <row r="170" spans="1:22" ht="14.25" x14ac:dyDescent="0.2">
      <c r="A170" s="179"/>
      <c r="B170" s="178"/>
      <c r="C170" s="178" t="s">
        <v>194</v>
      </c>
      <c r="D170" s="177" t="s">
        <v>187</v>
      </c>
      <c r="E170" s="174">
        <v>110</v>
      </c>
      <c r="F170" s="176"/>
      <c r="G170" s="175"/>
      <c r="H170" s="174"/>
      <c r="I170" s="173">
        <v>4303.3</v>
      </c>
      <c r="J170" s="174">
        <v>88</v>
      </c>
      <c r="K170" s="173">
        <v>80385.62</v>
      </c>
    </row>
    <row r="171" spans="1:22" ht="14.25" x14ac:dyDescent="0.2">
      <c r="A171" s="179"/>
      <c r="B171" s="178"/>
      <c r="C171" s="178" t="s">
        <v>193</v>
      </c>
      <c r="D171" s="177" t="s">
        <v>187</v>
      </c>
      <c r="E171" s="174">
        <v>85</v>
      </c>
      <c r="F171" s="176"/>
      <c r="G171" s="175"/>
      <c r="H171" s="174"/>
      <c r="I171" s="173">
        <v>3325.28</v>
      </c>
      <c r="J171" s="174">
        <v>41</v>
      </c>
      <c r="K171" s="173">
        <v>37452.39</v>
      </c>
    </row>
    <row r="172" spans="1:22" ht="14.25" x14ac:dyDescent="0.2">
      <c r="A172" s="172"/>
      <c r="B172" s="171"/>
      <c r="C172" s="171" t="s">
        <v>192</v>
      </c>
      <c r="D172" s="170" t="s">
        <v>191</v>
      </c>
      <c r="E172" s="167">
        <v>1.24</v>
      </c>
      <c r="F172" s="169"/>
      <c r="G172" s="168" t="s">
        <v>1959</v>
      </c>
      <c r="H172" s="167">
        <v>1</v>
      </c>
      <c r="I172" s="166">
        <v>327.11</v>
      </c>
      <c r="J172" s="167"/>
      <c r="K172" s="166"/>
    </row>
    <row r="173" spans="1:22" ht="15" x14ac:dyDescent="0.25">
      <c r="A173" s="164"/>
      <c r="B173" s="164"/>
      <c r="C173" s="165" t="s">
        <v>183</v>
      </c>
      <c r="D173" s="164"/>
      <c r="E173" s="164"/>
      <c r="F173" s="164"/>
      <c r="G173" s="164"/>
      <c r="H173" s="414">
        <v>35157.67</v>
      </c>
      <c r="I173" s="414"/>
      <c r="J173" s="414">
        <v>293498</v>
      </c>
      <c r="K173" s="414"/>
      <c r="O173" s="163">
        <f>I168+I170+I171+SUM(I169:I169)</f>
        <v>35157.67</v>
      </c>
      <c r="P173" s="163">
        <f>K168+K170+K171+SUM(K169:K169)</f>
        <v>293498</v>
      </c>
    </row>
    <row r="175" spans="1:22" ht="52.5" x14ac:dyDescent="0.2">
      <c r="A175" s="179" t="s">
        <v>1625</v>
      </c>
      <c r="B175" s="178" t="s">
        <v>456</v>
      </c>
      <c r="C175" s="178" t="s">
        <v>455</v>
      </c>
      <c r="D175" s="177" t="s">
        <v>1540</v>
      </c>
      <c r="E175" s="174">
        <v>6.2549999999999999</v>
      </c>
      <c r="F175" s="176"/>
      <c r="G175" s="175"/>
      <c r="H175" s="174"/>
      <c r="I175" s="173"/>
      <c r="J175" s="174"/>
      <c r="K175" s="173"/>
      <c r="Q175" s="160">
        <f>[3]Source!X106</f>
        <v>456.7</v>
      </c>
      <c r="R175" s="160">
        <f>[3]Source!X107</f>
        <v>8637.7999999999993</v>
      </c>
      <c r="S175" s="160">
        <f>[3]Source!Y106</f>
        <v>292.29000000000002</v>
      </c>
      <c r="T175" s="160">
        <f>[3]Source!Y107</f>
        <v>4372.22</v>
      </c>
      <c r="U175" s="160">
        <f>ROUND((175/100)*ROUND([3]Source!R106, 2), 2)</f>
        <v>1.91</v>
      </c>
      <c r="V175" s="160">
        <f>ROUND((157/100)*ROUND([3]Source!R107, 2), 2)</f>
        <v>39.96</v>
      </c>
    </row>
    <row r="176" spans="1:22" x14ac:dyDescent="0.2">
      <c r="C176" s="181" t="s">
        <v>1981</v>
      </c>
    </row>
    <row r="177" spans="1:22" ht="14.25" x14ac:dyDescent="0.2">
      <c r="A177" s="179"/>
      <c r="B177" s="178"/>
      <c r="C177" s="178" t="s">
        <v>197</v>
      </c>
      <c r="D177" s="177"/>
      <c r="E177" s="174"/>
      <c r="F177" s="176">
        <v>63.49</v>
      </c>
      <c r="G177" s="175" t="s">
        <v>1548</v>
      </c>
      <c r="H177" s="174">
        <v>1</v>
      </c>
      <c r="I177" s="173">
        <v>456.7</v>
      </c>
      <c r="J177" s="174">
        <v>23.35</v>
      </c>
      <c r="K177" s="173">
        <v>10663.95</v>
      </c>
    </row>
    <row r="178" spans="1:22" ht="14.25" x14ac:dyDescent="0.2">
      <c r="A178" s="179"/>
      <c r="B178" s="178"/>
      <c r="C178" s="178" t="s">
        <v>184</v>
      </c>
      <c r="D178" s="177"/>
      <c r="E178" s="174"/>
      <c r="F178" s="176">
        <v>0.82</v>
      </c>
      <c r="G178" s="175" t="s">
        <v>1549</v>
      </c>
      <c r="H178" s="174">
        <v>1</v>
      </c>
      <c r="I178" s="173">
        <v>6.41</v>
      </c>
      <c r="J178" s="174">
        <v>8.68</v>
      </c>
      <c r="K178" s="173">
        <v>55.64</v>
      </c>
    </row>
    <row r="179" spans="1:22" ht="14.25" x14ac:dyDescent="0.2">
      <c r="A179" s="179"/>
      <c r="B179" s="178"/>
      <c r="C179" s="178" t="s">
        <v>189</v>
      </c>
      <c r="D179" s="177"/>
      <c r="E179" s="174"/>
      <c r="F179" s="176">
        <v>0.14000000000000001</v>
      </c>
      <c r="G179" s="175" t="s">
        <v>1549</v>
      </c>
      <c r="H179" s="174">
        <v>1</v>
      </c>
      <c r="I179" s="180">
        <v>1.0900000000000001</v>
      </c>
      <c r="J179" s="174">
        <v>23.35</v>
      </c>
      <c r="K179" s="180">
        <v>25.45</v>
      </c>
    </row>
    <row r="180" spans="1:22" ht="57" x14ac:dyDescent="0.2">
      <c r="A180" s="179" t="s">
        <v>1627</v>
      </c>
      <c r="B180" s="178" t="s">
        <v>1977</v>
      </c>
      <c r="C180" s="178" t="s">
        <v>454</v>
      </c>
      <c r="D180" s="177" t="s">
        <v>1584</v>
      </c>
      <c r="E180" s="174">
        <v>64.426500000000004</v>
      </c>
      <c r="F180" s="176">
        <v>46.71</v>
      </c>
      <c r="G180" s="182" t="s">
        <v>195</v>
      </c>
      <c r="H180" s="174">
        <v>1</v>
      </c>
      <c r="I180" s="173">
        <v>3009.36</v>
      </c>
      <c r="J180" s="174">
        <v>3.57</v>
      </c>
      <c r="K180" s="173">
        <v>10743.42</v>
      </c>
      <c r="Q180" s="160">
        <f>[3]Source!X108</f>
        <v>0</v>
      </c>
      <c r="R180" s="160">
        <f>[3]Source!X109</f>
        <v>0</v>
      </c>
      <c r="S180" s="160">
        <f>[3]Source!Y108</f>
        <v>0</v>
      </c>
      <c r="T180" s="160">
        <f>[3]Source!Y109</f>
        <v>0</v>
      </c>
      <c r="U180" s="160">
        <f>ROUND((175/100)*ROUND([3]Source!R108, 2), 2)</f>
        <v>0</v>
      </c>
      <c r="V180" s="160">
        <f>ROUND((157/100)*ROUND([3]Source!R109, 2), 2)</f>
        <v>0</v>
      </c>
    </row>
    <row r="181" spans="1:22" ht="14.25" x14ac:dyDescent="0.2">
      <c r="A181" s="179"/>
      <c r="B181" s="178"/>
      <c r="C181" s="178" t="s">
        <v>194</v>
      </c>
      <c r="D181" s="177" t="s">
        <v>187</v>
      </c>
      <c r="E181" s="174">
        <v>100</v>
      </c>
      <c r="F181" s="176"/>
      <c r="G181" s="175"/>
      <c r="H181" s="174"/>
      <c r="I181" s="173">
        <v>456.7</v>
      </c>
      <c r="J181" s="174">
        <v>81</v>
      </c>
      <c r="K181" s="173">
        <v>8637.7999999999993</v>
      </c>
    </row>
    <row r="182" spans="1:22" ht="14.25" x14ac:dyDescent="0.2">
      <c r="A182" s="179"/>
      <c r="B182" s="178"/>
      <c r="C182" s="178" t="s">
        <v>193</v>
      </c>
      <c r="D182" s="177" t="s">
        <v>187</v>
      </c>
      <c r="E182" s="174">
        <v>64</v>
      </c>
      <c r="F182" s="176"/>
      <c r="G182" s="175"/>
      <c r="H182" s="174"/>
      <c r="I182" s="173">
        <v>292.29000000000002</v>
      </c>
      <c r="J182" s="174">
        <v>41</v>
      </c>
      <c r="K182" s="173">
        <v>4372.22</v>
      </c>
    </row>
    <row r="183" spans="1:22" ht="14.25" x14ac:dyDescent="0.2">
      <c r="A183" s="179"/>
      <c r="B183" s="178"/>
      <c r="C183" s="178" t="s">
        <v>188</v>
      </c>
      <c r="D183" s="177" t="s">
        <v>187</v>
      </c>
      <c r="E183" s="174">
        <v>175</v>
      </c>
      <c r="F183" s="176"/>
      <c r="G183" s="175"/>
      <c r="H183" s="174"/>
      <c r="I183" s="173">
        <v>1.91</v>
      </c>
      <c r="J183" s="174">
        <v>157</v>
      </c>
      <c r="K183" s="173">
        <v>39.96</v>
      </c>
    </row>
    <row r="184" spans="1:22" ht="14.25" x14ac:dyDescent="0.2">
      <c r="A184" s="172"/>
      <c r="B184" s="171"/>
      <c r="C184" s="171" t="s">
        <v>192</v>
      </c>
      <c r="D184" s="170" t="s">
        <v>191</v>
      </c>
      <c r="E184" s="167">
        <v>5.68</v>
      </c>
      <c r="F184" s="169"/>
      <c r="G184" s="168" t="s">
        <v>1548</v>
      </c>
      <c r="H184" s="167">
        <v>1</v>
      </c>
      <c r="I184" s="166">
        <v>40.86</v>
      </c>
      <c r="J184" s="167"/>
      <c r="K184" s="166"/>
    </row>
    <row r="185" spans="1:22" ht="15" x14ac:dyDescent="0.25">
      <c r="A185" s="164"/>
      <c r="B185" s="164"/>
      <c r="C185" s="165" t="s">
        <v>183</v>
      </c>
      <c r="D185" s="164"/>
      <c r="E185" s="164"/>
      <c r="F185" s="164"/>
      <c r="G185" s="164"/>
      <c r="H185" s="414">
        <v>4223.37</v>
      </c>
      <c r="I185" s="414"/>
      <c r="J185" s="414">
        <v>34512.99</v>
      </c>
      <c r="K185" s="414"/>
      <c r="O185" s="163">
        <f>I177+I178+I181+I182+I183+SUM(I180:I180)</f>
        <v>4223.37</v>
      </c>
      <c r="P185" s="163">
        <f>K177+K178+K181+K182+K183+SUM(K180:K180)</f>
        <v>34512.99</v>
      </c>
    </row>
    <row r="188" spans="1:22" ht="15" x14ac:dyDescent="0.25">
      <c r="A188" s="417" t="s">
        <v>1982</v>
      </c>
      <c r="B188" s="417"/>
      <c r="C188" s="417"/>
      <c r="D188" s="417"/>
      <c r="E188" s="417"/>
      <c r="F188" s="417"/>
      <c r="G188" s="417"/>
      <c r="H188" s="415">
        <v>1002417.11</v>
      </c>
      <c r="I188" s="416"/>
      <c r="J188" s="415">
        <v>16588217.52</v>
      </c>
      <c r="K188" s="416"/>
    </row>
    <row r="189" spans="1:22" hidden="1" x14ac:dyDescent="0.2">
      <c r="A189" s="160" t="s">
        <v>182</v>
      </c>
      <c r="I189" s="160">
        <v>0</v>
      </c>
      <c r="J189" s="160">
        <v>0</v>
      </c>
    </row>
    <row r="190" spans="1:22" hidden="1" x14ac:dyDescent="0.2">
      <c r="A190" s="160" t="s">
        <v>181</v>
      </c>
      <c r="I190" s="160">
        <v>0</v>
      </c>
      <c r="J190" s="160">
        <v>0</v>
      </c>
    </row>
    <row r="192" spans="1:22" ht="16.5" x14ac:dyDescent="0.25">
      <c r="A192" s="413" t="s">
        <v>1983</v>
      </c>
      <c r="B192" s="413"/>
      <c r="C192" s="413"/>
      <c r="D192" s="413"/>
      <c r="E192" s="413"/>
      <c r="F192" s="413"/>
      <c r="G192" s="413"/>
      <c r="H192" s="413"/>
      <c r="I192" s="413"/>
      <c r="J192" s="413"/>
      <c r="K192" s="413"/>
    </row>
    <row r="194" spans="1:22" ht="16.5" x14ac:dyDescent="0.25">
      <c r="A194" s="413" t="s">
        <v>1984</v>
      </c>
      <c r="B194" s="413"/>
      <c r="C194" s="413"/>
      <c r="D194" s="413"/>
      <c r="E194" s="413"/>
      <c r="F194" s="413"/>
      <c r="G194" s="413"/>
      <c r="H194" s="413"/>
      <c r="I194" s="413"/>
      <c r="J194" s="413"/>
      <c r="K194" s="413"/>
    </row>
    <row r="195" spans="1:22" ht="28.5" x14ac:dyDescent="0.2">
      <c r="A195" s="179" t="s">
        <v>1629</v>
      </c>
      <c r="B195" s="178" t="s">
        <v>1985</v>
      </c>
      <c r="C195" s="178" t="s">
        <v>432</v>
      </c>
      <c r="D195" s="177" t="s">
        <v>1986</v>
      </c>
      <c r="E195" s="174">
        <v>616</v>
      </c>
      <c r="F195" s="176"/>
      <c r="G195" s="175"/>
      <c r="H195" s="174"/>
      <c r="I195" s="173"/>
      <c r="J195" s="174"/>
      <c r="K195" s="173"/>
      <c r="Q195" s="160">
        <f>[3]Source!X149</f>
        <v>4695.7700000000004</v>
      </c>
      <c r="R195" s="160">
        <f>[3]Source!X150</f>
        <v>88761.2</v>
      </c>
      <c r="S195" s="160">
        <f>[3]Source!Y149</f>
        <v>3130.51</v>
      </c>
      <c r="T195" s="160">
        <f>[3]Source!Y150</f>
        <v>42814.23</v>
      </c>
      <c r="U195" s="160">
        <f>ROUND((175/100)*ROUND([3]Source!R149, 2), 2)</f>
        <v>0</v>
      </c>
      <c r="V195" s="160">
        <f>ROUND((157/100)*ROUND([3]Source!R150, 2), 2)</f>
        <v>0</v>
      </c>
    </row>
    <row r="196" spans="1:22" ht="25.5" x14ac:dyDescent="0.2">
      <c r="C196" s="181" t="s">
        <v>1987</v>
      </c>
    </row>
    <row r="197" spans="1:22" ht="14.25" x14ac:dyDescent="0.2">
      <c r="A197" s="179"/>
      <c r="B197" s="178"/>
      <c r="C197" s="178" t="s">
        <v>197</v>
      </c>
      <c r="D197" s="177"/>
      <c r="E197" s="174"/>
      <c r="F197" s="176">
        <v>7.26</v>
      </c>
      <c r="G197" s="175" t="s">
        <v>195</v>
      </c>
      <c r="H197" s="174">
        <v>1</v>
      </c>
      <c r="I197" s="173">
        <v>4472.16</v>
      </c>
      <c r="J197" s="174">
        <v>23.35</v>
      </c>
      <c r="K197" s="173">
        <v>104424.94</v>
      </c>
    </row>
    <row r="198" spans="1:22" ht="28.5" x14ac:dyDescent="0.2">
      <c r="A198" s="179" t="s">
        <v>1630</v>
      </c>
      <c r="B198" s="178" t="s">
        <v>1532</v>
      </c>
      <c r="C198" s="178" t="s">
        <v>351</v>
      </c>
      <c r="D198" s="177" t="s">
        <v>1533</v>
      </c>
      <c r="E198" s="174">
        <v>-25.872</v>
      </c>
      <c r="F198" s="176">
        <v>0</v>
      </c>
      <c r="G198" s="182" t="s">
        <v>195</v>
      </c>
      <c r="H198" s="174">
        <v>1</v>
      </c>
      <c r="I198" s="173">
        <v>0</v>
      </c>
      <c r="J198" s="174">
        <v>1</v>
      </c>
      <c r="K198" s="173">
        <v>0</v>
      </c>
      <c r="Q198" s="160">
        <f>[3]Source!X151</f>
        <v>0</v>
      </c>
      <c r="R198" s="160">
        <f>[3]Source!X152</f>
        <v>0</v>
      </c>
      <c r="S198" s="160">
        <f>[3]Source!Y151</f>
        <v>0</v>
      </c>
      <c r="T198" s="160">
        <f>[3]Source!Y152</f>
        <v>0</v>
      </c>
      <c r="U198" s="160">
        <f>ROUND((175/100)*ROUND([3]Source!R151, 2), 2)</f>
        <v>0</v>
      </c>
      <c r="V198" s="160">
        <f>ROUND((157/100)*ROUND([3]Source!R152, 2), 2)</f>
        <v>0</v>
      </c>
    </row>
    <row r="199" spans="1:22" ht="14.25" x14ac:dyDescent="0.2">
      <c r="A199" s="179"/>
      <c r="B199" s="178"/>
      <c r="C199" s="178" t="s">
        <v>194</v>
      </c>
      <c r="D199" s="177" t="s">
        <v>187</v>
      </c>
      <c r="E199" s="174">
        <v>105</v>
      </c>
      <c r="F199" s="176"/>
      <c r="G199" s="175"/>
      <c r="H199" s="174"/>
      <c r="I199" s="173">
        <v>4695.7700000000004</v>
      </c>
      <c r="J199" s="174">
        <v>85</v>
      </c>
      <c r="K199" s="173">
        <v>88761.2</v>
      </c>
    </row>
    <row r="200" spans="1:22" ht="14.25" x14ac:dyDescent="0.2">
      <c r="A200" s="179"/>
      <c r="B200" s="178"/>
      <c r="C200" s="178" t="s">
        <v>193</v>
      </c>
      <c r="D200" s="177" t="s">
        <v>187</v>
      </c>
      <c r="E200" s="174">
        <v>70</v>
      </c>
      <c r="F200" s="176"/>
      <c r="G200" s="175"/>
      <c r="H200" s="174"/>
      <c r="I200" s="173">
        <v>3130.51</v>
      </c>
      <c r="J200" s="174">
        <v>41</v>
      </c>
      <c r="K200" s="173">
        <v>42814.23</v>
      </c>
    </row>
    <row r="201" spans="1:22" ht="14.25" x14ac:dyDescent="0.2">
      <c r="A201" s="172"/>
      <c r="B201" s="171"/>
      <c r="C201" s="171" t="s">
        <v>192</v>
      </c>
      <c r="D201" s="170" t="s">
        <v>191</v>
      </c>
      <c r="E201" s="167">
        <v>0.56999999999999995</v>
      </c>
      <c r="F201" s="169"/>
      <c r="G201" s="168" t="s">
        <v>195</v>
      </c>
      <c r="H201" s="167">
        <v>1</v>
      </c>
      <c r="I201" s="166">
        <v>351.12</v>
      </c>
      <c r="J201" s="167"/>
      <c r="K201" s="166"/>
    </row>
    <row r="202" spans="1:22" ht="15" x14ac:dyDescent="0.25">
      <c r="A202" s="164"/>
      <c r="B202" s="164"/>
      <c r="C202" s="165" t="s">
        <v>183</v>
      </c>
      <c r="D202" s="164"/>
      <c r="E202" s="164"/>
      <c r="F202" s="164"/>
      <c r="G202" s="164"/>
      <c r="H202" s="414">
        <v>12298.44</v>
      </c>
      <c r="I202" s="414"/>
      <c r="J202" s="414">
        <v>236000.37</v>
      </c>
      <c r="K202" s="414"/>
      <c r="O202" s="163">
        <f>I197+I199+I200+SUM(I198:I198)</f>
        <v>12298.44</v>
      </c>
      <c r="P202" s="163">
        <f>K197+K199+K200+SUM(K198:K198)</f>
        <v>236000.37</v>
      </c>
    </row>
    <row r="204" spans="1:22" ht="42.75" x14ac:dyDescent="0.2">
      <c r="A204" s="179" t="s">
        <v>1633</v>
      </c>
      <c r="B204" s="178" t="s">
        <v>1988</v>
      </c>
      <c r="C204" s="178" t="s">
        <v>433</v>
      </c>
      <c r="D204" s="177" t="s">
        <v>1989</v>
      </c>
      <c r="E204" s="174">
        <v>165</v>
      </c>
      <c r="F204" s="176"/>
      <c r="G204" s="175"/>
      <c r="H204" s="174"/>
      <c r="I204" s="173"/>
      <c r="J204" s="174"/>
      <c r="K204" s="173"/>
      <c r="Q204" s="160">
        <f>[3]Source!X153</f>
        <v>3111.57</v>
      </c>
      <c r="R204" s="160">
        <f>[3]Source!X154</f>
        <v>58816.08</v>
      </c>
      <c r="S204" s="160">
        <f>[3]Source!Y153</f>
        <v>2074.38</v>
      </c>
      <c r="T204" s="160">
        <f>[3]Source!Y154</f>
        <v>28370.11</v>
      </c>
      <c r="U204" s="160">
        <f>ROUND((175/100)*ROUND([3]Source!R153, 2), 2)</f>
        <v>0</v>
      </c>
      <c r="V204" s="160">
        <f>ROUND((157/100)*ROUND([3]Source!R154, 2), 2)</f>
        <v>0</v>
      </c>
    </row>
    <row r="205" spans="1:22" x14ac:dyDescent="0.2">
      <c r="C205" s="181" t="s">
        <v>1990</v>
      </c>
    </row>
    <row r="206" spans="1:22" ht="14.25" x14ac:dyDescent="0.2">
      <c r="A206" s="179"/>
      <c r="B206" s="178"/>
      <c r="C206" s="178" t="s">
        <v>197</v>
      </c>
      <c r="D206" s="177"/>
      <c r="E206" s="174"/>
      <c r="F206" s="176">
        <v>17.96</v>
      </c>
      <c r="G206" s="175" t="s">
        <v>195</v>
      </c>
      <c r="H206" s="174">
        <v>1</v>
      </c>
      <c r="I206" s="173">
        <v>2963.4</v>
      </c>
      <c r="J206" s="174">
        <v>23.35</v>
      </c>
      <c r="K206" s="173">
        <v>69195.39</v>
      </c>
    </row>
    <row r="207" spans="1:22" ht="28.5" x14ac:dyDescent="0.2">
      <c r="A207" s="179" t="s">
        <v>1634</v>
      </c>
      <c r="B207" s="178" t="s">
        <v>1532</v>
      </c>
      <c r="C207" s="178" t="s">
        <v>351</v>
      </c>
      <c r="D207" s="177" t="s">
        <v>1533</v>
      </c>
      <c r="E207" s="174">
        <v>-3.4649999999999999</v>
      </c>
      <c r="F207" s="176">
        <v>0</v>
      </c>
      <c r="G207" s="182" t="s">
        <v>195</v>
      </c>
      <c r="H207" s="174">
        <v>1</v>
      </c>
      <c r="I207" s="173">
        <v>0</v>
      </c>
      <c r="J207" s="174">
        <v>1</v>
      </c>
      <c r="K207" s="173">
        <v>0</v>
      </c>
      <c r="Q207" s="160">
        <f>[3]Source!X155</f>
        <v>0</v>
      </c>
      <c r="R207" s="160">
        <f>[3]Source!X156</f>
        <v>0</v>
      </c>
      <c r="S207" s="160">
        <f>[3]Source!Y155</f>
        <v>0</v>
      </c>
      <c r="T207" s="160">
        <f>[3]Source!Y156</f>
        <v>0</v>
      </c>
      <c r="U207" s="160">
        <f>ROUND((175/100)*ROUND([3]Source!R155, 2), 2)</f>
        <v>0</v>
      </c>
      <c r="V207" s="160">
        <f>ROUND((157/100)*ROUND([3]Source!R156, 2), 2)</f>
        <v>0</v>
      </c>
    </row>
    <row r="208" spans="1:22" ht="14.25" x14ac:dyDescent="0.2">
      <c r="A208" s="179"/>
      <c r="B208" s="178"/>
      <c r="C208" s="178" t="s">
        <v>194</v>
      </c>
      <c r="D208" s="177" t="s">
        <v>187</v>
      </c>
      <c r="E208" s="174">
        <v>105</v>
      </c>
      <c r="F208" s="176"/>
      <c r="G208" s="175"/>
      <c r="H208" s="174"/>
      <c r="I208" s="173">
        <v>3111.57</v>
      </c>
      <c r="J208" s="174">
        <v>85</v>
      </c>
      <c r="K208" s="173">
        <v>58816.08</v>
      </c>
    </row>
    <row r="209" spans="1:22" ht="14.25" x14ac:dyDescent="0.2">
      <c r="A209" s="179"/>
      <c r="B209" s="178"/>
      <c r="C209" s="178" t="s">
        <v>193</v>
      </c>
      <c r="D209" s="177" t="s">
        <v>187</v>
      </c>
      <c r="E209" s="174">
        <v>70</v>
      </c>
      <c r="F209" s="176"/>
      <c r="G209" s="175"/>
      <c r="H209" s="174"/>
      <c r="I209" s="173">
        <v>2074.38</v>
      </c>
      <c r="J209" s="174">
        <v>41</v>
      </c>
      <c r="K209" s="173">
        <v>28370.11</v>
      </c>
    </row>
    <row r="210" spans="1:22" ht="14.25" x14ac:dyDescent="0.2">
      <c r="A210" s="172"/>
      <c r="B210" s="171"/>
      <c r="C210" s="171" t="s">
        <v>192</v>
      </c>
      <c r="D210" s="170" t="s">
        <v>191</v>
      </c>
      <c r="E210" s="167">
        <v>1.41</v>
      </c>
      <c r="F210" s="169"/>
      <c r="G210" s="168" t="s">
        <v>195</v>
      </c>
      <c r="H210" s="167">
        <v>1</v>
      </c>
      <c r="I210" s="166">
        <v>232.65</v>
      </c>
      <c r="J210" s="167"/>
      <c r="K210" s="166"/>
    </row>
    <row r="211" spans="1:22" ht="15" x14ac:dyDescent="0.25">
      <c r="A211" s="164"/>
      <c r="B211" s="164"/>
      <c r="C211" s="165" t="s">
        <v>183</v>
      </c>
      <c r="D211" s="164"/>
      <c r="E211" s="164"/>
      <c r="F211" s="164"/>
      <c r="G211" s="164"/>
      <c r="H211" s="414">
        <v>8149.35</v>
      </c>
      <c r="I211" s="414"/>
      <c r="J211" s="414">
        <v>156381.57999999999</v>
      </c>
      <c r="K211" s="414"/>
      <c r="O211" s="163">
        <f>I206+I208+I209+SUM(I207:I207)</f>
        <v>8149.35</v>
      </c>
      <c r="P211" s="163">
        <f>K206+K208+K209+SUM(K207:K207)</f>
        <v>156381.57999999999</v>
      </c>
    </row>
    <row r="213" spans="1:22" ht="42.75" x14ac:dyDescent="0.2">
      <c r="A213" s="179" t="s">
        <v>1635</v>
      </c>
      <c r="B213" s="178" t="s">
        <v>1991</v>
      </c>
      <c r="C213" s="178" t="s">
        <v>453</v>
      </c>
      <c r="D213" s="177" t="s">
        <v>1992</v>
      </c>
      <c r="E213" s="174">
        <v>165</v>
      </c>
      <c r="F213" s="176"/>
      <c r="G213" s="175"/>
      <c r="H213" s="174"/>
      <c r="I213" s="173"/>
      <c r="J213" s="174"/>
      <c r="K213" s="173"/>
      <c r="Q213" s="160">
        <f>[3]Source!X157</f>
        <v>1567.91</v>
      </c>
      <c r="R213" s="160">
        <f>[3]Source!X158</f>
        <v>29637.279999999999</v>
      </c>
      <c r="S213" s="160">
        <f>[3]Source!Y157</f>
        <v>1045.28</v>
      </c>
      <c r="T213" s="160">
        <f>[3]Source!Y158</f>
        <v>14295.63</v>
      </c>
      <c r="U213" s="160">
        <f>ROUND((175/100)*ROUND([3]Source!R157, 2), 2)</f>
        <v>0</v>
      </c>
      <c r="V213" s="160">
        <f>ROUND((157/100)*ROUND([3]Source!R158, 2), 2)</f>
        <v>0</v>
      </c>
    </row>
    <row r="214" spans="1:22" x14ac:dyDescent="0.2">
      <c r="C214" s="181" t="s">
        <v>1990</v>
      </c>
    </row>
    <row r="215" spans="1:22" ht="14.25" x14ac:dyDescent="0.2">
      <c r="A215" s="179"/>
      <c r="B215" s="178"/>
      <c r="C215" s="178" t="s">
        <v>197</v>
      </c>
      <c r="D215" s="177"/>
      <c r="E215" s="174"/>
      <c r="F215" s="176">
        <v>9.0500000000000007</v>
      </c>
      <c r="G215" s="175" t="s">
        <v>195</v>
      </c>
      <c r="H215" s="174">
        <v>1</v>
      </c>
      <c r="I215" s="173">
        <v>1493.25</v>
      </c>
      <c r="J215" s="174">
        <v>23.35</v>
      </c>
      <c r="K215" s="173">
        <v>34867.39</v>
      </c>
    </row>
    <row r="216" spans="1:22" ht="28.5" x14ac:dyDescent="0.2">
      <c r="A216" s="179" t="s">
        <v>1638</v>
      </c>
      <c r="B216" s="178" t="s">
        <v>1532</v>
      </c>
      <c r="C216" s="178" t="s">
        <v>351</v>
      </c>
      <c r="D216" s="177" t="s">
        <v>1533</v>
      </c>
      <c r="E216" s="174">
        <v>-2.4750000000000001</v>
      </c>
      <c r="F216" s="176">
        <v>0</v>
      </c>
      <c r="G216" s="182" t="s">
        <v>195</v>
      </c>
      <c r="H216" s="174">
        <v>1</v>
      </c>
      <c r="I216" s="173">
        <v>0</v>
      </c>
      <c r="J216" s="174">
        <v>1</v>
      </c>
      <c r="K216" s="173">
        <v>0</v>
      </c>
      <c r="Q216" s="160">
        <f>[3]Source!X159</f>
        <v>0</v>
      </c>
      <c r="R216" s="160">
        <f>[3]Source!X160</f>
        <v>0</v>
      </c>
      <c r="S216" s="160">
        <f>[3]Source!Y159</f>
        <v>0</v>
      </c>
      <c r="T216" s="160">
        <f>[3]Source!Y160</f>
        <v>0</v>
      </c>
      <c r="U216" s="160">
        <f>ROUND((175/100)*ROUND([3]Source!R159, 2), 2)</f>
        <v>0</v>
      </c>
      <c r="V216" s="160">
        <f>ROUND((157/100)*ROUND([3]Source!R160, 2), 2)</f>
        <v>0</v>
      </c>
    </row>
    <row r="217" spans="1:22" ht="14.25" x14ac:dyDescent="0.2">
      <c r="A217" s="179"/>
      <c r="B217" s="178"/>
      <c r="C217" s="178" t="s">
        <v>194</v>
      </c>
      <c r="D217" s="177" t="s">
        <v>187</v>
      </c>
      <c r="E217" s="174">
        <v>105</v>
      </c>
      <c r="F217" s="176"/>
      <c r="G217" s="175"/>
      <c r="H217" s="174"/>
      <c r="I217" s="173">
        <v>1567.91</v>
      </c>
      <c r="J217" s="174">
        <v>85</v>
      </c>
      <c r="K217" s="173">
        <v>29637.279999999999</v>
      </c>
    </row>
    <row r="218" spans="1:22" ht="14.25" x14ac:dyDescent="0.2">
      <c r="A218" s="179"/>
      <c r="B218" s="178"/>
      <c r="C218" s="178" t="s">
        <v>193</v>
      </c>
      <c r="D218" s="177" t="s">
        <v>187</v>
      </c>
      <c r="E218" s="174">
        <v>70</v>
      </c>
      <c r="F218" s="176"/>
      <c r="G218" s="175"/>
      <c r="H218" s="174"/>
      <c r="I218" s="173">
        <v>1045.28</v>
      </c>
      <c r="J218" s="174">
        <v>41</v>
      </c>
      <c r="K218" s="173">
        <v>14295.63</v>
      </c>
    </row>
    <row r="219" spans="1:22" ht="14.25" x14ac:dyDescent="0.2">
      <c r="A219" s="172"/>
      <c r="B219" s="171"/>
      <c r="C219" s="171" t="s">
        <v>192</v>
      </c>
      <c r="D219" s="170" t="s">
        <v>191</v>
      </c>
      <c r="E219" s="167">
        <v>0.71</v>
      </c>
      <c r="F219" s="169"/>
      <c r="G219" s="168" t="s">
        <v>195</v>
      </c>
      <c r="H219" s="167">
        <v>1</v>
      </c>
      <c r="I219" s="166">
        <v>117.15</v>
      </c>
      <c r="J219" s="167"/>
      <c r="K219" s="166"/>
    </row>
    <row r="220" spans="1:22" ht="15" x14ac:dyDescent="0.25">
      <c r="A220" s="164"/>
      <c r="B220" s="164"/>
      <c r="C220" s="165" t="s">
        <v>183</v>
      </c>
      <c r="D220" s="164"/>
      <c r="E220" s="164"/>
      <c r="F220" s="164"/>
      <c r="G220" s="164"/>
      <c r="H220" s="414">
        <v>4106.4399999999996</v>
      </c>
      <c r="I220" s="414"/>
      <c r="J220" s="414">
        <v>78800.3</v>
      </c>
      <c r="K220" s="414"/>
      <c r="O220" s="163">
        <f>I215+I217+I218+SUM(I216:I216)</f>
        <v>4106.4399999999996</v>
      </c>
      <c r="P220" s="163">
        <f>K215+K217+K218+SUM(K216:K216)</f>
        <v>78800.3</v>
      </c>
    </row>
    <row r="222" spans="1:22" ht="57" x14ac:dyDescent="0.2">
      <c r="A222" s="179" t="s">
        <v>1645</v>
      </c>
      <c r="B222" s="178" t="s">
        <v>1993</v>
      </c>
      <c r="C222" s="178" t="s">
        <v>431</v>
      </c>
      <c r="D222" s="177" t="s">
        <v>1994</v>
      </c>
      <c r="E222" s="174">
        <v>1048.3</v>
      </c>
      <c r="F222" s="176"/>
      <c r="G222" s="175"/>
      <c r="H222" s="174"/>
      <c r="I222" s="173"/>
      <c r="J222" s="174"/>
      <c r="K222" s="173"/>
      <c r="Q222" s="160">
        <f>[3]Source!X161</f>
        <v>70296.06</v>
      </c>
      <c r="R222" s="160">
        <f>[3]Source!X162</f>
        <v>1328762.93</v>
      </c>
      <c r="S222" s="160">
        <f>[3]Source!Y161</f>
        <v>46864.04</v>
      </c>
      <c r="T222" s="160">
        <f>[3]Source!Y162</f>
        <v>640932.71</v>
      </c>
      <c r="U222" s="160">
        <f>ROUND((175/100)*ROUND([3]Source!R161, 2), 2)</f>
        <v>110.08</v>
      </c>
      <c r="V222" s="160">
        <f>ROUND((157/100)*ROUND([3]Source!R162, 2), 2)</f>
        <v>2305.89</v>
      </c>
    </row>
    <row r="223" spans="1:22" ht="14.25" x14ac:dyDescent="0.2">
      <c r="A223" s="179"/>
      <c r="B223" s="178"/>
      <c r="C223" s="178" t="s">
        <v>197</v>
      </c>
      <c r="D223" s="177"/>
      <c r="E223" s="174"/>
      <c r="F223" s="176">
        <v>53.22</v>
      </c>
      <c r="G223" s="175" t="s">
        <v>1995</v>
      </c>
      <c r="H223" s="174">
        <v>1</v>
      </c>
      <c r="I223" s="173">
        <v>66948.63</v>
      </c>
      <c r="J223" s="174">
        <v>23.35</v>
      </c>
      <c r="K223" s="173">
        <v>1563250.51</v>
      </c>
    </row>
    <row r="224" spans="1:22" ht="14.25" x14ac:dyDescent="0.2">
      <c r="A224" s="179"/>
      <c r="B224" s="178"/>
      <c r="C224" s="178" t="s">
        <v>184</v>
      </c>
      <c r="D224" s="177"/>
      <c r="E224" s="174"/>
      <c r="F224" s="176">
        <v>0.3</v>
      </c>
      <c r="G224" s="175" t="s">
        <v>195</v>
      </c>
      <c r="H224" s="174">
        <v>1</v>
      </c>
      <c r="I224" s="173">
        <v>314.49</v>
      </c>
      <c r="J224" s="174">
        <v>8.9700000000000006</v>
      </c>
      <c r="K224" s="173">
        <v>2820.98</v>
      </c>
    </row>
    <row r="225" spans="1:22" ht="14.25" x14ac:dyDescent="0.2">
      <c r="A225" s="179"/>
      <c r="B225" s="178"/>
      <c r="C225" s="178" t="s">
        <v>189</v>
      </c>
      <c r="D225" s="177"/>
      <c r="E225" s="174"/>
      <c r="F225" s="176">
        <v>0.06</v>
      </c>
      <c r="G225" s="175" t="s">
        <v>195</v>
      </c>
      <c r="H225" s="174">
        <v>1</v>
      </c>
      <c r="I225" s="180">
        <v>62.9</v>
      </c>
      <c r="J225" s="174">
        <v>23.35</v>
      </c>
      <c r="K225" s="180">
        <v>1468.72</v>
      </c>
    </row>
    <row r="226" spans="1:22" ht="14.25" x14ac:dyDescent="0.2">
      <c r="A226" s="179"/>
      <c r="B226" s="178"/>
      <c r="C226" s="178" t="s">
        <v>205</v>
      </c>
      <c r="D226" s="177"/>
      <c r="E226" s="174"/>
      <c r="F226" s="176">
        <v>5</v>
      </c>
      <c r="G226" s="175" t="s">
        <v>195</v>
      </c>
      <c r="H226" s="174">
        <v>1</v>
      </c>
      <c r="I226" s="173">
        <v>5241.5</v>
      </c>
      <c r="J226" s="174">
        <v>15.84</v>
      </c>
      <c r="K226" s="173">
        <v>83025.36</v>
      </c>
    </row>
    <row r="227" spans="1:22" ht="42.75" x14ac:dyDescent="0.2">
      <c r="A227" s="179" t="s">
        <v>1647</v>
      </c>
      <c r="B227" s="178" t="s">
        <v>1996</v>
      </c>
      <c r="C227" s="178" t="s">
        <v>427</v>
      </c>
      <c r="D227" s="177" t="s">
        <v>1594</v>
      </c>
      <c r="E227" s="174">
        <v>25.16</v>
      </c>
      <c r="F227" s="176">
        <v>6634.93</v>
      </c>
      <c r="G227" s="182" t="s">
        <v>195</v>
      </c>
      <c r="H227" s="174">
        <v>1</v>
      </c>
      <c r="I227" s="173">
        <v>166934.84</v>
      </c>
      <c r="J227" s="174">
        <v>8.4499999999999993</v>
      </c>
      <c r="K227" s="173">
        <v>1410599.4</v>
      </c>
      <c r="Q227" s="160">
        <f>[3]Source!X163</f>
        <v>0</v>
      </c>
      <c r="R227" s="160">
        <f>[3]Source!X164</f>
        <v>0</v>
      </c>
      <c r="S227" s="160">
        <f>[3]Source!Y163</f>
        <v>0</v>
      </c>
      <c r="T227" s="160">
        <f>[3]Source!Y164</f>
        <v>0</v>
      </c>
      <c r="U227" s="160">
        <f>ROUND((175/100)*ROUND([3]Source!R163, 2), 2)</f>
        <v>0</v>
      </c>
      <c r="V227" s="160">
        <f>ROUND((157/100)*ROUND([3]Source!R164, 2), 2)</f>
        <v>0</v>
      </c>
    </row>
    <row r="228" spans="1:22" ht="14.25" x14ac:dyDescent="0.2">
      <c r="A228" s="179"/>
      <c r="B228" s="178"/>
      <c r="C228" s="178" t="s">
        <v>194</v>
      </c>
      <c r="D228" s="177" t="s">
        <v>187</v>
      </c>
      <c r="E228" s="174">
        <v>105</v>
      </c>
      <c r="F228" s="176"/>
      <c r="G228" s="175"/>
      <c r="H228" s="174"/>
      <c r="I228" s="173">
        <v>70296.06</v>
      </c>
      <c r="J228" s="174">
        <v>85</v>
      </c>
      <c r="K228" s="173">
        <v>1328762.93</v>
      </c>
    </row>
    <row r="229" spans="1:22" ht="14.25" x14ac:dyDescent="0.2">
      <c r="A229" s="179"/>
      <c r="B229" s="178"/>
      <c r="C229" s="178" t="s">
        <v>193</v>
      </c>
      <c r="D229" s="177" t="s">
        <v>187</v>
      </c>
      <c r="E229" s="174">
        <v>70</v>
      </c>
      <c r="F229" s="176"/>
      <c r="G229" s="175"/>
      <c r="H229" s="174"/>
      <c r="I229" s="173">
        <v>46864.04</v>
      </c>
      <c r="J229" s="174">
        <v>41</v>
      </c>
      <c r="K229" s="173">
        <v>640932.71</v>
      </c>
    </row>
    <row r="230" spans="1:22" ht="14.25" x14ac:dyDescent="0.2">
      <c r="A230" s="172"/>
      <c r="B230" s="171"/>
      <c r="C230" s="171" t="s">
        <v>188</v>
      </c>
      <c r="D230" s="170" t="s">
        <v>187</v>
      </c>
      <c r="E230" s="167">
        <v>175</v>
      </c>
      <c r="F230" s="169"/>
      <c r="G230" s="168"/>
      <c r="H230" s="167"/>
      <c r="I230" s="166">
        <v>110.08</v>
      </c>
      <c r="J230" s="167">
        <v>157</v>
      </c>
      <c r="K230" s="166">
        <v>2305.89</v>
      </c>
    </row>
    <row r="231" spans="1:22" ht="15" x14ac:dyDescent="0.25">
      <c r="A231" s="164"/>
      <c r="B231" s="164"/>
      <c r="C231" s="165" t="s">
        <v>183</v>
      </c>
      <c r="D231" s="164"/>
      <c r="E231" s="164"/>
      <c r="F231" s="164"/>
      <c r="G231" s="164"/>
      <c r="H231" s="414">
        <v>356709.64</v>
      </c>
      <c r="I231" s="414"/>
      <c r="J231" s="414">
        <v>5031697.78</v>
      </c>
      <c r="K231" s="414"/>
      <c r="O231" s="163">
        <f>I223+I224+I226+I228+I229+I230+SUM(I227:I227)</f>
        <v>356709.64</v>
      </c>
      <c r="P231" s="163">
        <f>K223+K224+K226+K228+K229+K230+SUM(K227:K227)</f>
        <v>5031697.78</v>
      </c>
    </row>
    <row r="233" spans="1:22" ht="57" x14ac:dyDescent="0.2">
      <c r="A233" s="179" t="s">
        <v>1652</v>
      </c>
      <c r="B233" s="178" t="s">
        <v>1997</v>
      </c>
      <c r="C233" s="178" t="s">
        <v>430</v>
      </c>
      <c r="D233" s="177" t="s">
        <v>1994</v>
      </c>
      <c r="E233" s="174">
        <v>170.8</v>
      </c>
      <c r="F233" s="176"/>
      <c r="G233" s="175"/>
      <c r="H233" s="174"/>
      <c r="I233" s="173"/>
      <c r="J233" s="174"/>
      <c r="K233" s="173"/>
      <c r="Q233" s="160">
        <f>[3]Source!X165</f>
        <v>31409.61</v>
      </c>
      <c r="R233" s="160">
        <f>[3]Source!X166</f>
        <v>593716.32999999996</v>
      </c>
      <c r="S233" s="160">
        <f>[3]Source!Y165</f>
        <v>20939.740000000002</v>
      </c>
      <c r="T233" s="160">
        <f>[3]Source!Y166</f>
        <v>286380.82</v>
      </c>
      <c r="U233" s="160">
        <f>ROUND((175/100)*ROUND([3]Source!R165, 2), 2)</f>
        <v>23.91</v>
      </c>
      <c r="V233" s="160">
        <f>ROUND((157/100)*ROUND([3]Source!R166, 2), 2)</f>
        <v>500.77</v>
      </c>
    </row>
    <row r="234" spans="1:22" ht="14.25" x14ac:dyDescent="0.2">
      <c r="A234" s="179"/>
      <c r="B234" s="178"/>
      <c r="C234" s="178" t="s">
        <v>197</v>
      </c>
      <c r="D234" s="177"/>
      <c r="E234" s="174"/>
      <c r="F234" s="176">
        <v>145.94999999999999</v>
      </c>
      <c r="G234" s="175" t="s">
        <v>1995</v>
      </c>
      <c r="H234" s="174">
        <v>1</v>
      </c>
      <c r="I234" s="173">
        <v>29913.91</v>
      </c>
      <c r="J234" s="174">
        <v>23.35</v>
      </c>
      <c r="K234" s="173">
        <v>698489.8</v>
      </c>
    </row>
    <row r="235" spans="1:22" ht="14.25" x14ac:dyDescent="0.2">
      <c r="A235" s="179"/>
      <c r="B235" s="178"/>
      <c r="C235" s="178" t="s">
        <v>184</v>
      </c>
      <c r="D235" s="177"/>
      <c r="E235" s="174"/>
      <c r="F235" s="176">
        <v>0.4</v>
      </c>
      <c r="G235" s="175" t="s">
        <v>195</v>
      </c>
      <c r="H235" s="174">
        <v>1</v>
      </c>
      <c r="I235" s="173">
        <v>68.319999999999993</v>
      </c>
      <c r="J235" s="174">
        <v>8.9499999999999993</v>
      </c>
      <c r="K235" s="173">
        <v>611.46</v>
      </c>
    </row>
    <row r="236" spans="1:22" ht="14.25" x14ac:dyDescent="0.2">
      <c r="A236" s="179"/>
      <c r="B236" s="178"/>
      <c r="C236" s="178" t="s">
        <v>189</v>
      </c>
      <c r="D236" s="177"/>
      <c r="E236" s="174"/>
      <c r="F236" s="176">
        <v>0.08</v>
      </c>
      <c r="G236" s="175" t="s">
        <v>195</v>
      </c>
      <c r="H236" s="174">
        <v>1</v>
      </c>
      <c r="I236" s="180">
        <v>13.66</v>
      </c>
      <c r="J236" s="174">
        <v>23.35</v>
      </c>
      <c r="K236" s="180">
        <v>318.95999999999998</v>
      </c>
    </row>
    <row r="237" spans="1:22" ht="14.25" x14ac:dyDescent="0.2">
      <c r="A237" s="179"/>
      <c r="B237" s="178"/>
      <c r="C237" s="178" t="s">
        <v>205</v>
      </c>
      <c r="D237" s="177"/>
      <c r="E237" s="174"/>
      <c r="F237" s="176">
        <v>6.37</v>
      </c>
      <c r="G237" s="175" t="s">
        <v>195</v>
      </c>
      <c r="H237" s="174">
        <v>1</v>
      </c>
      <c r="I237" s="173">
        <v>1088</v>
      </c>
      <c r="J237" s="174">
        <v>15.95</v>
      </c>
      <c r="K237" s="173">
        <v>17353.599999999999</v>
      </c>
    </row>
    <row r="238" spans="1:22" ht="42.75" x14ac:dyDescent="0.2">
      <c r="A238" s="179" t="s">
        <v>1655</v>
      </c>
      <c r="B238" s="178" t="s">
        <v>1996</v>
      </c>
      <c r="C238" s="178" t="s">
        <v>427</v>
      </c>
      <c r="D238" s="177" t="s">
        <v>1594</v>
      </c>
      <c r="E238" s="174">
        <v>5.12</v>
      </c>
      <c r="F238" s="176">
        <v>6634.93</v>
      </c>
      <c r="G238" s="182" t="s">
        <v>195</v>
      </c>
      <c r="H238" s="174">
        <v>1</v>
      </c>
      <c r="I238" s="173">
        <v>33970.839999999997</v>
      </c>
      <c r="J238" s="174">
        <v>8.4499999999999993</v>
      </c>
      <c r="K238" s="173">
        <v>287053.59999999998</v>
      </c>
      <c r="Q238" s="160">
        <f>[3]Source!X167</f>
        <v>0</v>
      </c>
      <c r="R238" s="160">
        <f>[3]Source!X168</f>
        <v>0</v>
      </c>
      <c r="S238" s="160">
        <f>[3]Source!Y167</f>
        <v>0</v>
      </c>
      <c r="T238" s="160">
        <f>[3]Source!Y168</f>
        <v>0</v>
      </c>
      <c r="U238" s="160">
        <f>ROUND((175/100)*ROUND([3]Source!R167, 2), 2)</f>
        <v>0</v>
      </c>
      <c r="V238" s="160">
        <f>ROUND((157/100)*ROUND([3]Source!R168, 2), 2)</f>
        <v>0</v>
      </c>
    </row>
    <row r="239" spans="1:22" ht="14.25" x14ac:dyDescent="0.2">
      <c r="A239" s="179"/>
      <c r="B239" s="178"/>
      <c r="C239" s="178" t="s">
        <v>194</v>
      </c>
      <c r="D239" s="177" t="s">
        <v>187</v>
      </c>
      <c r="E239" s="174">
        <v>105</v>
      </c>
      <c r="F239" s="176"/>
      <c r="G239" s="175"/>
      <c r="H239" s="174"/>
      <c r="I239" s="173">
        <v>31409.61</v>
      </c>
      <c r="J239" s="174">
        <v>85</v>
      </c>
      <c r="K239" s="173">
        <v>593716.32999999996</v>
      </c>
    </row>
    <row r="240" spans="1:22" ht="14.25" x14ac:dyDescent="0.2">
      <c r="A240" s="179"/>
      <c r="B240" s="178"/>
      <c r="C240" s="178" t="s">
        <v>193</v>
      </c>
      <c r="D240" s="177" t="s">
        <v>187</v>
      </c>
      <c r="E240" s="174">
        <v>70</v>
      </c>
      <c r="F240" s="176"/>
      <c r="G240" s="175"/>
      <c r="H240" s="174"/>
      <c r="I240" s="173">
        <v>20939.740000000002</v>
      </c>
      <c r="J240" s="174">
        <v>41</v>
      </c>
      <c r="K240" s="173">
        <v>286380.82</v>
      </c>
    </row>
    <row r="241" spans="1:22" ht="14.25" x14ac:dyDescent="0.2">
      <c r="A241" s="172"/>
      <c r="B241" s="171"/>
      <c r="C241" s="171" t="s">
        <v>188</v>
      </c>
      <c r="D241" s="170" t="s">
        <v>187</v>
      </c>
      <c r="E241" s="167">
        <v>175</v>
      </c>
      <c r="F241" s="169"/>
      <c r="G241" s="168"/>
      <c r="H241" s="167"/>
      <c r="I241" s="166">
        <v>23.91</v>
      </c>
      <c r="J241" s="167">
        <v>157</v>
      </c>
      <c r="K241" s="166">
        <v>500.77</v>
      </c>
    </row>
    <row r="242" spans="1:22" ht="15" x14ac:dyDescent="0.25">
      <c r="A242" s="164"/>
      <c r="B242" s="164"/>
      <c r="C242" s="165" t="s">
        <v>183</v>
      </c>
      <c r="D242" s="164"/>
      <c r="E242" s="164"/>
      <c r="F242" s="164"/>
      <c r="G242" s="164"/>
      <c r="H242" s="414">
        <v>117414.33</v>
      </c>
      <c r="I242" s="414"/>
      <c r="J242" s="414">
        <v>1884106.38</v>
      </c>
      <c r="K242" s="414"/>
      <c r="O242" s="163">
        <f>I234+I235+I237+I239+I240+I241+SUM(I238:I238)</f>
        <v>117414.33</v>
      </c>
      <c r="P242" s="163">
        <f>K234+K235+K237+K239+K240+K241+SUM(K238:K238)</f>
        <v>1884106.38</v>
      </c>
    </row>
    <row r="244" spans="1:22" ht="42.75" x14ac:dyDescent="0.2">
      <c r="A244" s="179" t="s">
        <v>1665</v>
      </c>
      <c r="B244" s="178" t="s">
        <v>1998</v>
      </c>
      <c r="C244" s="178" t="s">
        <v>452</v>
      </c>
      <c r="D244" s="177" t="s">
        <v>1999</v>
      </c>
      <c r="E244" s="174">
        <v>195</v>
      </c>
      <c r="F244" s="176"/>
      <c r="G244" s="175"/>
      <c r="H244" s="174"/>
      <c r="I244" s="173"/>
      <c r="J244" s="174"/>
      <c r="K244" s="173"/>
      <c r="Q244" s="160">
        <f>[3]Source!X169</f>
        <v>13199</v>
      </c>
      <c r="R244" s="160">
        <f>[3]Source!X170</f>
        <v>249492.6</v>
      </c>
      <c r="S244" s="160">
        <f>[3]Source!Y169</f>
        <v>8799.34</v>
      </c>
      <c r="T244" s="160">
        <f>[3]Source!Y170</f>
        <v>120343.49</v>
      </c>
      <c r="U244" s="160">
        <f>ROUND((175/100)*ROUND([3]Source!R169, 2), 2)</f>
        <v>6.83</v>
      </c>
      <c r="V244" s="160">
        <f>ROUND((157/100)*ROUND([3]Source!R170, 2), 2)</f>
        <v>142.97999999999999</v>
      </c>
    </row>
    <row r="245" spans="1:22" ht="14.25" x14ac:dyDescent="0.2">
      <c r="A245" s="179"/>
      <c r="B245" s="178"/>
      <c r="C245" s="178" t="s">
        <v>197</v>
      </c>
      <c r="D245" s="177"/>
      <c r="E245" s="174"/>
      <c r="F245" s="176">
        <v>53.72</v>
      </c>
      <c r="G245" s="175" t="s">
        <v>1995</v>
      </c>
      <c r="H245" s="174">
        <v>1</v>
      </c>
      <c r="I245" s="173">
        <v>12570.48</v>
      </c>
      <c r="J245" s="174">
        <v>23.35</v>
      </c>
      <c r="K245" s="173">
        <v>293520.71000000002</v>
      </c>
    </row>
    <row r="246" spans="1:22" ht="14.25" x14ac:dyDescent="0.2">
      <c r="A246" s="179"/>
      <c r="B246" s="178"/>
      <c r="C246" s="178" t="s">
        <v>184</v>
      </c>
      <c r="D246" s="177"/>
      <c r="E246" s="174"/>
      <c r="F246" s="176">
        <v>0.1</v>
      </c>
      <c r="G246" s="175" t="s">
        <v>195</v>
      </c>
      <c r="H246" s="174">
        <v>1</v>
      </c>
      <c r="I246" s="173">
        <v>19.5</v>
      </c>
      <c r="J246" s="174">
        <v>9</v>
      </c>
      <c r="K246" s="173">
        <v>175.5</v>
      </c>
    </row>
    <row r="247" spans="1:22" ht="14.25" x14ac:dyDescent="0.2">
      <c r="A247" s="179"/>
      <c r="B247" s="178"/>
      <c r="C247" s="178" t="s">
        <v>189</v>
      </c>
      <c r="D247" s="177"/>
      <c r="E247" s="174"/>
      <c r="F247" s="176">
        <v>0.02</v>
      </c>
      <c r="G247" s="175" t="s">
        <v>195</v>
      </c>
      <c r="H247" s="174">
        <v>1</v>
      </c>
      <c r="I247" s="180">
        <v>3.9</v>
      </c>
      <c r="J247" s="174">
        <v>23.35</v>
      </c>
      <c r="K247" s="180">
        <v>91.07</v>
      </c>
    </row>
    <row r="248" spans="1:22" ht="14.25" x14ac:dyDescent="0.2">
      <c r="A248" s="179"/>
      <c r="B248" s="178"/>
      <c r="C248" s="178" t="s">
        <v>205</v>
      </c>
      <c r="D248" s="177"/>
      <c r="E248" s="174"/>
      <c r="F248" s="176">
        <v>159.9</v>
      </c>
      <c r="G248" s="175" t="s">
        <v>195</v>
      </c>
      <c r="H248" s="174">
        <v>1</v>
      </c>
      <c r="I248" s="173">
        <v>31180.5</v>
      </c>
      <c r="J248" s="174">
        <v>6.48</v>
      </c>
      <c r="K248" s="173">
        <v>202049.64</v>
      </c>
    </row>
    <row r="249" spans="1:22" ht="14.25" x14ac:dyDescent="0.2">
      <c r="A249" s="179"/>
      <c r="B249" s="178"/>
      <c r="C249" s="178" t="s">
        <v>194</v>
      </c>
      <c r="D249" s="177" t="s">
        <v>187</v>
      </c>
      <c r="E249" s="174">
        <v>105</v>
      </c>
      <c r="F249" s="176"/>
      <c r="G249" s="175"/>
      <c r="H249" s="174"/>
      <c r="I249" s="173">
        <v>13199</v>
      </c>
      <c r="J249" s="174">
        <v>85</v>
      </c>
      <c r="K249" s="173">
        <v>249492.6</v>
      </c>
    </row>
    <row r="250" spans="1:22" ht="14.25" x14ac:dyDescent="0.2">
      <c r="A250" s="179"/>
      <c r="B250" s="178"/>
      <c r="C250" s="178" t="s">
        <v>193</v>
      </c>
      <c r="D250" s="177" t="s">
        <v>187</v>
      </c>
      <c r="E250" s="174">
        <v>70</v>
      </c>
      <c r="F250" s="176"/>
      <c r="G250" s="175"/>
      <c r="H250" s="174"/>
      <c r="I250" s="173">
        <v>8799.34</v>
      </c>
      <c r="J250" s="174">
        <v>41</v>
      </c>
      <c r="K250" s="173">
        <v>120343.49</v>
      </c>
    </row>
    <row r="251" spans="1:22" ht="14.25" x14ac:dyDescent="0.2">
      <c r="A251" s="172"/>
      <c r="B251" s="171"/>
      <c r="C251" s="171" t="s">
        <v>188</v>
      </c>
      <c r="D251" s="170" t="s">
        <v>187</v>
      </c>
      <c r="E251" s="167">
        <v>175</v>
      </c>
      <c r="F251" s="169"/>
      <c r="G251" s="168"/>
      <c r="H251" s="167"/>
      <c r="I251" s="166">
        <v>6.83</v>
      </c>
      <c r="J251" s="167">
        <v>157</v>
      </c>
      <c r="K251" s="166">
        <v>142.97999999999999</v>
      </c>
    </row>
    <row r="252" spans="1:22" ht="15" x14ac:dyDescent="0.25">
      <c r="A252" s="164"/>
      <c r="B252" s="164"/>
      <c r="C252" s="165" t="s">
        <v>183</v>
      </c>
      <c r="D252" s="164"/>
      <c r="E252" s="164"/>
      <c r="F252" s="164"/>
      <c r="G252" s="164"/>
      <c r="H252" s="414">
        <v>65775.649999999994</v>
      </c>
      <c r="I252" s="414"/>
      <c r="J252" s="414">
        <v>865724.92</v>
      </c>
      <c r="K252" s="414"/>
      <c r="O252" s="163">
        <f>I245+I246+I248+I249+I250+I251</f>
        <v>65775.649999999994</v>
      </c>
      <c r="P252" s="163">
        <f>K245+K246+K248+K249+K250+K251</f>
        <v>865724.92</v>
      </c>
    </row>
    <row r="254" spans="1:22" ht="57" x14ac:dyDescent="0.2">
      <c r="A254" s="179" t="s">
        <v>1672</v>
      </c>
      <c r="B254" s="178" t="s">
        <v>2000</v>
      </c>
      <c r="C254" s="178" t="s">
        <v>451</v>
      </c>
      <c r="D254" s="177" t="s">
        <v>2001</v>
      </c>
      <c r="E254" s="174">
        <v>342.97</v>
      </c>
      <c r="F254" s="176"/>
      <c r="G254" s="175"/>
      <c r="H254" s="174"/>
      <c r="I254" s="173"/>
      <c r="J254" s="174"/>
      <c r="K254" s="173"/>
      <c r="Q254" s="160">
        <f>[3]Source!X171</f>
        <v>305273.89</v>
      </c>
      <c r="R254" s="160">
        <f>[3]Source!X172</f>
        <v>5770403.4000000004</v>
      </c>
      <c r="S254" s="160">
        <f>[3]Source!Y171</f>
        <v>203515.93</v>
      </c>
      <c r="T254" s="160">
        <f>[3]Source!Y172</f>
        <v>2783371.05</v>
      </c>
      <c r="U254" s="160">
        <f>ROUND((175/100)*ROUND([3]Source!R171, 2), 2)</f>
        <v>84.04</v>
      </c>
      <c r="V254" s="160">
        <f>ROUND((157/100)*ROUND([3]Source!R172, 2), 2)</f>
        <v>1760.39</v>
      </c>
    </row>
    <row r="255" spans="1:22" ht="14.25" x14ac:dyDescent="0.2">
      <c r="A255" s="179"/>
      <c r="B255" s="178"/>
      <c r="C255" s="178" t="s">
        <v>197</v>
      </c>
      <c r="D255" s="177"/>
      <c r="E255" s="174"/>
      <c r="F255" s="176">
        <v>706.42</v>
      </c>
      <c r="G255" s="175" t="s">
        <v>1995</v>
      </c>
      <c r="H255" s="174">
        <v>1</v>
      </c>
      <c r="I255" s="173">
        <v>290737.03999999998</v>
      </c>
      <c r="J255" s="174">
        <v>23.35</v>
      </c>
      <c r="K255" s="173">
        <v>6788709.8799999999</v>
      </c>
    </row>
    <row r="256" spans="1:22" ht="14.25" x14ac:dyDescent="0.2">
      <c r="A256" s="179"/>
      <c r="B256" s="178"/>
      <c r="C256" s="178" t="s">
        <v>184</v>
      </c>
      <c r="D256" s="177"/>
      <c r="E256" s="174"/>
      <c r="F256" s="176">
        <v>0.7</v>
      </c>
      <c r="G256" s="175" t="s">
        <v>195</v>
      </c>
      <c r="H256" s="174">
        <v>1</v>
      </c>
      <c r="I256" s="173">
        <v>240.08</v>
      </c>
      <c r="J256" s="174">
        <v>8.9600000000000009</v>
      </c>
      <c r="K256" s="173">
        <v>2151.12</v>
      </c>
    </row>
    <row r="257" spans="1:22" ht="14.25" x14ac:dyDescent="0.2">
      <c r="A257" s="179"/>
      <c r="B257" s="178"/>
      <c r="C257" s="178" t="s">
        <v>189</v>
      </c>
      <c r="D257" s="177"/>
      <c r="E257" s="174"/>
      <c r="F257" s="176">
        <v>0.14000000000000001</v>
      </c>
      <c r="G257" s="175" t="s">
        <v>195</v>
      </c>
      <c r="H257" s="174">
        <v>1</v>
      </c>
      <c r="I257" s="180">
        <v>48.02</v>
      </c>
      <c r="J257" s="174">
        <v>23.35</v>
      </c>
      <c r="K257" s="180">
        <v>1121.27</v>
      </c>
    </row>
    <row r="258" spans="1:22" ht="14.25" x14ac:dyDescent="0.2">
      <c r="A258" s="179"/>
      <c r="B258" s="178"/>
      <c r="C258" s="178" t="s">
        <v>205</v>
      </c>
      <c r="D258" s="177"/>
      <c r="E258" s="174"/>
      <c r="F258" s="176">
        <v>4.18</v>
      </c>
      <c r="G258" s="175" t="s">
        <v>195</v>
      </c>
      <c r="H258" s="174">
        <v>1</v>
      </c>
      <c r="I258" s="173">
        <v>1433.61</v>
      </c>
      <c r="J258" s="174">
        <v>4.6399999999999997</v>
      </c>
      <c r="K258" s="173">
        <v>6651.95</v>
      </c>
    </row>
    <row r="259" spans="1:22" ht="42.75" x14ac:dyDescent="0.2">
      <c r="A259" s="179" t="s">
        <v>1675</v>
      </c>
      <c r="B259" s="178" t="s">
        <v>1996</v>
      </c>
      <c r="C259" s="178" t="s">
        <v>427</v>
      </c>
      <c r="D259" s="177" t="s">
        <v>1594</v>
      </c>
      <c r="E259" s="174">
        <v>19.21</v>
      </c>
      <c r="F259" s="176">
        <v>6634.93</v>
      </c>
      <c r="G259" s="182" t="s">
        <v>195</v>
      </c>
      <c r="H259" s="174">
        <v>1</v>
      </c>
      <c r="I259" s="173">
        <v>127457.01</v>
      </c>
      <c r="J259" s="174">
        <v>8.4499999999999993</v>
      </c>
      <c r="K259" s="173">
        <v>1077011.73</v>
      </c>
      <c r="Q259" s="160">
        <f>[3]Source!X173</f>
        <v>0</v>
      </c>
      <c r="R259" s="160">
        <f>[3]Source!X174</f>
        <v>0</v>
      </c>
      <c r="S259" s="160">
        <f>[3]Source!Y173</f>
        <v>0</v>
      </c>
      <c r="T259" s="160">
        <f>[3]Source!Y174</f>
        <v>0</v>
      </c>
      <c r="U259" s="160">
        <f>ROUND((175/100)*ROUND([3]Source!R173, 2), 2)</f>
        <v>0</v>
      </c>
      <c r="V259" s="160">
        <f>ROUND((157/100)*ROUND([3]Source!R174, 2), 2)</f>
        <v>0</v>
      </c>
    </row>
    <row r="260" spans="1:22" ht="14.25" x14ac:dyDescent="0.2">
      <c r="A260" s="179"/>
      <c r="B260" s="178"/>
      <c r="C260" s="178" t="s">
        <v>194</v>
      </c>
      <c r="D260" s="177" t="s">
        <v>187</v>
      </c>
      <c r="E260" s="174">
        <v>105</v>
      </c>
      <c r="F260" s="176"/>
      <c r="G260" s="175"/>
      <c r="H260" s="174"/>
      <c r="I260" s="173">
        <v>305273.89</v>
      </c>
      <c r="J260" s="174">
        <v>85</v>
      </c>
      <c r="K260" s="173">
        <v>5770403.4000000004</v>
      </c>
    </row>
    <row r="261" spans="1:22" ht="14.25" x14ac:dyDescent="0.2">
      <c r="A261" s="179"/>
      <c r="B261" s="178"/>
      <c r="C261" s="178" t="s">
        <v>193</v>
      </c>
      <c r="D261" s="177" t="s">
        <v>187</v>
      </c>
      <c r="E261" s="174">
        <v>70</v>
      </c>
      <c r="F261" s="176"/>
      <c r="G261" s="175"/>
      <c r="H261" s="174"/>
      <c r="I261" s="173">
        <v>203515.93</v>
      </c>
      <c r="J261" s="174">
        <v>41</v>
      </c>
      <c r="K261" s="173">
        <v>2783371.05</v>
      </c>
    </row>
    <row r="262" spans="1:22" ht="14.25" x14ac:dyDescent="0.2">
      <c r="A262" s="172"/>
      <c r="B262" s="171"/>
      <c r="C262" s="171" t="s">
        <v>188</v>
      </c>
      <c r="D262" s="170" t="s">
        <v>187</v>
      </c>
      <c r="E262" s="167">
        <v>175</v>
      </c>
      <c r="F262" s="169"/>
      <c r="G262" s="168"/>
      <c r="H262" s="167"/>
      <c r="I262" s="166">
        <v>84.04</v>
      </c>
      <c r="J262" s="167">
        <v>157</v>
      </c>
      <c r="K262" s="166">
        <v>1760.39</v>
      </c>
    </row>
    <row r="263" spans="1:22" ht="15" x14ac:dyDescent="0.25">
      <c r="A263" s="164"/>
      <c r="B263" s="164"/>
      <c r="C263" s="165" t="s">
        <v>183</v>
      </c>
      <c r="D263" s="164"/>
      <c r="E263" s="164"/>
      <c r="F263" s="164"/>
      <c r="G263" s="164"/>
      <c r="H263" s="414">
        <v>928741.6</v>
      </c>
      <c r="I263" s="414"/>
      <c r="J263" s="414">
        <v>16430059.52</v>
      </c>
      <c r="K263" s="414"/>
      <c r="O263" s="163">
        <f>I255+I256+I258+I260+I261+I262+SUM(I259:I259)</f>
        <v>928741.6</v>
      </c>
      <c r="P263" s="163">
        <f>K255+K256+K258+K260+K261+K262+SUM(K259:K259)</f>
        <v>16430059.52</v>
      </c>
    </row>
    <row r="265" spans="1:22" ht="71.25" x14ac:dyDescent="0.2">
      <c r="A265" s="179" t="s">
        <v>1685</v>
      </c>
      <c r="B265" s="178" t="s">
        <v>2002</v>
      </c>
      <c r="C265" s="178" t="s">
        <v>450</v>
      </c>
      <c r="D265" s="177" t="s">
        <v>2001</v>
      </c>
      <c r="E265" s="174">
        <v>1.82</v>
      </c>
      <c r="F265" s="176"/>
      <c r="G265" s="175"/>
      <c r="H265" s="174"/>
      <c r="I265" s="173"/>
      <c r="J265" s="174"/>
      <c r="K265" s="173"/>
      <c r="Q265" s="160">
        <f>[3]Source!X175</f>
        <v>1980.36</v>
      </c>
      <c r="R265" s="160">
        <f>[3]Source!X176</f>
        <v>37433.58</v>
      </c>
      <c r="S265" s="160">
        <f>[3]Source!Y175</f>
        <v>1320.24</v>
      </c>
      <c r="T265" s="160">
        <f>[3]Source!Y176</f>
        <v>18056.2</v>
      </c>
      <c r="U265" s="160">
        <f>ROUND((175/100)*ROUND([3]Source!R175, 2), 2)</f>
        <v>0.7</v>
      </c>
      <c r="V265" s="160">
        <f>ROUND((157/100)*ROUND([3]Source!R176, 2), 2)</f>
        <v>14.66</v>
      </c>
    </row>
    <row r="266" spans="1:22" ht="14.25" x14ac:dyDescent="0.2">
      <c r="A266" s="179"/>
      <c r="B266" s="178"/>
      <c r="C266" s="178" t="s">
        <v>197</v>
      </c>
      <c r="D266" s="177"/>
      <c r="E266" s="174"/>
      <c r="F266" s="176">
        <v>863.58</v>
      </c>
      <c r="G266" s="175" t="s">
        <v>1995</v>
      </c>
      <c r="H266" s="174">
        <v>1</v>
      </c>
      <c r="I266" s="173">
        <v>1886.06</v>
      </c>
      <c r="J266" s="174">
        <v>23.35</v>
      </c>
      <c r="K266" s="173">
        <v>44039.5</v>
      </c>
    </row>
    <row r="267" spans="1:22" ht="14.25" x14ac:dyDescent="0.2">
      <c r="A267" s="179"/>
      <c r="B267" s="178"/>
      <c r="C267" s="178" t="s">
        <v>184</v>
      </c>
      <c r="D267" s="177"/>
      <c r="E267" s="174"/>
      <c r="F267" s="176">
        <v>1.1000000000000001</v>
      </c>
      <c r="G267" s="175" t="s">
        <v>195</v>
      </c>
      <c r="H267" s="174">
        <v>1</v>
      </c>
      <c r="I267" s="173">
        <v>2</v>
      </c>
      <c r="J267" s="174">
        <v>8.9499999999999993</v>
      </c>
      <c r="K267" s="173">
        <v>17.899999999999999</v>
      </c>
    </row>
    <row r="268" spans="1:22" ht="14.25" x14ac:dyDescent="0.2">
      <c r="A268" s="179"/>
      <c r="B268" s="178"/>
      <c r="C268" s="178" t="s">
        <v>189</v>
      </c>
      <c r="D268" s="177"/>
      <c r="E268" s="174"/>
      <c r="F268" s="176">
        <v>0.22</v>
      </c>
      <c r="G268" s="175" t="s">
        <v>195</v>
      </c>
      <c r="H268" s="174">
        <v>1</v>
      </c>
      <c r="I268" s="180">
        <v>0.4</v>
      </c>
      <c r="J268" s="174">
        <v>23.35</v>
      </c>
      <c r="K268" s="180">
        <v>9.34</v>
      </c>
    </row>
    <row r="269" spans="1:22" ht="14.25" x14ac:dyDescent="0.2">
      <c r="A269" s="179"/>
      <c r="B269" s="178"/>
      <c r="C269" s="178" t="s">
        <v>205</v>
      </c>
      <c r="D269" s="177"/>
      <c r="E269" s="174"/>
      <c r="F269" s="176">
        <v>5.28</v>
      </c>
      <c r="G269" s="175" t="s">
        <v>195</v>
      </c>
      <c r="H269" s="174">
        <v>1</v>
      </c>
      <c r="I269" s="173">
        <v>9.61</v>
      </c>
      <c r="J269" s="174">
        <v>4.1399999999999997</v>
      </c>
      <c r="K269" s="173">
        <v>39.79</v>
      </c>
    </row>
    <row r="270" spans="1:22" ht="42.75" x14ac:dyDescent="0.2">
      <c r="A270" s="179" t="s">
        <v>1688</v>
      </c>
      <c r="B270" s="178" t="s">
        <v>1996</v>
      </c>
      <c r="C270" s="178" t="s">
        <v>427</v>
      </c>
      <c r="D270" s="177" t="s">
        <v>1594</v>
      </c>
      <c r="E270" s="174">
        <v>0.15</v>
      </c>
      <c r="F270" s="176">
        <v>6634.93</v>
      </c>
      <c r="G270" s="182" t="s">
        <v>195</v>
      </c>
      <c r="H270" s="174">
        <v>1</v>
      </c>
      <c r="I270" s="173">
        <v>995.24</v>
      </c>
      <c r="J270" s="174">
        <v>8.4499999999999993</v>
      </c>
      <c r="K270" s="173">
        <v>8409.7800000000007</v>
      </c>
      <c r="Q270" s="160">
        <f>[3]Source!X177</f>
        <v>0</v>
      </c>
      <c r="R270" s="160">
        <f>[3]Source!X178</f>
        <v>0</v>
      </c>
      <c r="S270" s="160">
        <f>[3]Source!Y177</f>
        <v>0</v>
      </c>
      <c r="T270" s="160">
        <f>[3]Source!Y178</f>
        <v>0</v>
      </c>
      <c r="U270" s="160">
        <f>ROUND((175/100)*ROUND([3]Source!R177, 2), 2)</f>
        <v>0</v>
      </c>
      <c r="V270" s="160">
        <f>ROUND((157/100)*ROUND([3]Source!R178, 2), 2)</f>
        <v>0</v>
      </c>
    </row>
    <row r="271" spans="1:22" ht="14.25" x14ac:dyDescent="0.2">
      <c r="A271" s="179"/>
      <c r="B271" s="178"/>
      <c r="C271" s="178" t="s">
        <v>194</v>
      </c>
      <c r="D271" s="177" t="s">
        <v>187</v>
      </c>
      <c r="E271" s="174">
        <v>105</v>
      </c>
      <c r="F271" s="176"/>
      <c r="G271" s="175"/>
      <c r="H271" s="174"/>
      <c r="I271" s="173">
        <v>1980.36</v>
      </c>
      <c r="J271" s="174">
        <v>85</v>
      </c>
      <c r="K271" s="173">
        <v>37433.58</v>
      </c>
    </row>
    <row r="272" spans="1:22" ht="14.25" x14ac:dyDescent="0.2">
      <c r="A272" s="179"/>
      <c r="B272" s="178"/>
      <c r="C272" s="178" t="s">
        <v>193</v>
      </c>
      <c r="D272" s="177" t="s">
        <v>187</v>
      </c>
      <c r="E272" s="174">
        <v>70</v>
      </c>
      <c r="F272" s="176"/>
      <c r="G272" s="175"/>
      <c r="H272" s="174"/>
      <c r="I272" s="173">
        <v>1320.24</v>
      </c>
      <c r="J272" s="174">
        <v>41</v>
      </c>
      <c r="K272" s="173">
        <v>18056.2</v>
      </c>
    </row>
    <row r="273" spans="1:22" ht="14.25" x14ac:dyDescent="0.2">
      <c r="A273" s="172"/>
      <c r="B273" s="171"/>
      <c r="C273" s="171" t="s">
        <v>188</v>
      </c>
      <c r="D273" s="170" t="s">
        <v>187</v>
      </c>
      <c r="E273" s="167">
        <v>175</v>
      </c>
      <c r="F273" s="169"/>
      <c r="G273" s="168"/>
      <c r="H273" s="167"/>
      <c r="I273" s="166">
        <v>0.7</v>
      </c>
      <c r="J273" s="167">
        <v>157</v>
      </c>
      <c r="K273" s="166">
        <v>14.66</v>
      </c>
    </row>
    <row r="274" spans="1:22" ht="15" x14ac:dyDescent="0.25">
      <c r="A274" s="164"/>
      <c r="B274" s="164"/>
      <c r="C274" s="165" t="s">
        <v>183</v>
      </c>
      <c r="D274" s="164"/>
      <c r="E274" s="164"/>
      <c r="F274" s="164"/>
      <c r="G274" s="164"/>
      <c r="H274" s="414">
        <v>6194.21</v>
      </c>
      <c r="I274" s="414"/>
      <c r="J274" s="414">
        <v>108011.41</v>
      </c>
      <c r="K274" s="414"/>
      <c r="O274" s="163">
        <f>I266+I267+I269+I271+I272+I273+SUM(I270:I270)</f>
        <v>6194.21</v>
      </c>
      <c r="P274" s="163">
        <f>K266+K267+K269+K271+K272+K273+SUM(K270:K270)</f>
        <v>108011.41</v>
      </c>
    </row>
    <row r="276" spans="1:22" ht="57" x14ac:dyDescent="0.2">
      <c r="A276" s="179" t="s">
        <v>1696</v>
      </c>
      <c r="B276" s="178" t="s">
        <v>2003</v>
      </c>
      <c r="C276" s="178" t="s">
        <v>449</v>
      </c>
      <c r="D276" s="177" t="s">
        <v>2001</v>
      </c>
      <c r="E276" s="174">
        <v>117.64</v>
      </c>
      <c r="F276" s="176"/>
      <c r="G276" s="175"/>
      <c r="H276" s="174"/>
      <c r="I276" s="173"/>
      <c r="J276" s="174"/>
      <c r="K276" s="173"/>
      <c r="Q276" s="160">
        <f>[3]Source!X179</f>
        <v>116704.57</v>
      </c>
      <c r="R276" s="160">
        <f>[3]Source!X180</f>
        <v>2205994.25</v>
      </c>
      <c r="S276" s="160">
        <f>[3]Source!Y179</f>
        <v>77803.05</v>
      </c>
      <c r="T276" s="160">
        <f>[3]Source!Y180</f>
        <v>1064067.81</v>
      </c>
      <c r="U276" s="160">
        <f>ROUND((175/100)*ROUND([3]Source!R179, 2), 2)</f>
        <v>28.82</v>
      </c>
      <c r="V276" s="160">
        <f>ROUND((157/100)*ROUND([3]Source!R180, 2), 2)</f>
        <v>603.77</v>
      </c>
    </row>
    <row r="277" spans="1:22" ht="14.25" x14ac:dyDescent="0.2">
      <c r="A277" s="179"/>
      <c r="B277" s="178"/>
      <c r="C277" s="178" t="s">
        <v>197</v>
      </c>
      <c r="D277" s="177"/>
      <c r="E277" s="174"/>
      <c r="F277" s="176">
        <v>787.34</v>
      </c>
      <c r="G277" s="175" t="s">
        <v>1995</v>
      </c>
      <c r="H277" s="174">
        <v>1</v>
      </c>
      <c r="I277" s="173">
        <v>111147.21</v>
      </c>
      <c r="J277" s="174">
        <v>23.35</v>
      </c>
      <c r="K277" s="173">
        <v>2595287.35</v>
      </c>
    </row>
    <row r="278" spans="1:22" ht="14.25" x14ac:dyDescent="0.2">
      <c r="A278" s="179"/>
      <c r="B278" s="178"/>
      <c r="C278" s="178" t="s">
        <v>184</v>
      </c>
      <c r="D278" s="177"/>
      <c r="E278" s="174"/>
      <c r="F278" s="176">
        <v>0.7</v>
      </c>
      <c r="G278" s="175" t="s">
        <v>195</v>
      </c>
      <c r="H278" s="174">
        <v>1</v>
      </c>
      <c r="I278" s="173">
        <v>82.35</v>
      </c>
      <c r="J278" s="174">
        <v>8.9600000000000009</v>
      </c>
      <c r="K278" s="173">
        <v>737.86</v>
      </c>
    </row>
    <row r="279" spans="1:22" ht="14.25" x14ac:dyDescent="0.2">
      <c r="A279" s="179"/>
      <c r="B279" s="178"/>
      <c r="C279" s="178" t="s">
        <v>189</v>
      </c>
      <c r="D279" s="177"/>
      <c r="E279" s="174"/>
      <c r="F279" s="176">
        <v>0.14000000000000001</v>
      </c>
      <c r="G279" s="175" t="s">
        <v>195</v>
      </c>
      <c r="H279" s="174">
        <v>1</v>
      </c>
      <c r="I279" s="180">
        <v>16.47</v>
      </c>
      <c r="J279" s="174">
        <v>23.35</v>
      </c>
      <c r="K279" s="180">
        <v>384.57</v>
      </c>
    </row>
    <row r="280" spans="1:22" ht="14.25" x14ac:dyDescent="0.2">
      <c r="A280" s="179"/>
      <c r="B280" s="178"/>
      <c r="C280" s="178" t="s">
        <v>205</v>
      </c>
      <c r="D280" s="177"/>
      <c r="E280" s="174"/>
      <c r="F280" s="176">
        <v>4.26</v>
      </c>
      <c r="G280" s="175" t="s">
        <v>195</v>
      </c>
      <c r="H280" s="174">
        <v>1</v>
      </c>
      <c r="I280" s="173">
        <v>501.15</v>
      </c>
      <c r="J280" s="174">
        <v>4.5599999999999996</v>
      </c>
      <c r="K280" s="173">
        <v>2285.2399999999998</v>
      </c>
    </row>
    <row r="281" spans="1:22" ht="42.75" x14ac:dyDescent="0.2">
      <c r="A281" s="179" t="s">
        <v>1699</v>
      </c>
      <c r="B281" s="178" t="s">
        <v>1996</v>
      </c>
      <c r="C281" s="178" t="s">
        <v>427</v>
      </c>
      <c r="D281" s="177" t="s">
        <v>1594</v>
      </c>
      <c r="E281" s="174">
        <v>6.59</v>
      </c>
      <c r="F281" s="176">
        <v>6634.93</v>
      </c>
      <c r="G281" s="182" t="s">
        <v>195</v>
      </c>
      <c r="H281" s="174">
        <v>1</v>
      </c>
      <c r="I281" s="173">
        <v>43724.19</v>
      </c>
      <c r="J281" s="174">
        <v>8.4499999999999993</v>
      </c>
      <c r="K281" s="173">
        <v>369469.41</v>
      </c>
      <c r="Q281" s="160">
        <f>[3]Source!X181</f>
        <v>0</v>
      </c>
      <c r="R281" s="160">
        <f>[3]Source!X182</f>
        <v>0</v>
      </c>
      <c r="S281" s="160">
        <f>[3]Source!Y181</f>
        <v>0</v>
      </c>
      <c r="T281" s="160">
        <f>[3]Source!Y182</f>
        <v>0</v>
      </c>
      <c r="U281" s="160">
        <f>ROUND((175/100)*ROUND([3]Source!R181, 2), 2)</f>
        <v>0</v>
      </c>
      <c r="V281" s="160">
        <f>ROUND((157/100)*ROUND([3]Source!R182, 2), 2)</f>
        <v>0</v>
      </c>
    </row>
    <row r="282" spans="1:22" ht="14.25" x14ac:dyDescent="0.2">
      <c r="A282" s="179"/>
      <c r="B282" s="178"/>
      <c r="C282" s="178" t="s">
        <v>194</v>
      </c>
      <c r="D282" s="177" t="s">
        <v>187</v>
      </c>
      <c r="E282" s="174">
        <v>105</v>
      </c>
      <c r="F282" s="176"/>
      <c r="G282" s="175"/>
      <c r="H282" s="174"/>
      <c r="I282" s="173">
        <v>116704.57</v>
      </c>
      <c r="J282" s="174">
        <v>85</v>
      </c>
      <c r="K282" s="173">
        <v>2205994.25</v>
      </c>
    </row>
    <row r="283" spans="1:22" ht="14.25" x14ac:dyDescent="0.2">
      <c r="A283" s="179"/>
      <c r="B283" s="178"/>
      <c r="C283" s="178" t="s">
        <v>193</v>
      </c>
      <c r="D283" s="177" t="s">
        <v>187</v>
      </c>
      <c r="E283" s="174">
        <v>70</v>
      </c>
      <c r="F283" s="176"/>
      <c r="G283" s="175"/>
      <c r="H283" s="174"/>
      <c r="I283" s="173">
        <v>77803.05</v>
      </c>
      <c r="J283" s="174">
        <v>41</v>
      </c>
      <c r="K283" s="173">
        <v>1064067.81</v>
      </c>
    </row>
    <row r="284" spans="1:22" ht="14.25" x14ac:dyDescent="0.2">
      <c r="A284" s="172"/>
      <c r="B284" s="171"/>
      <c r="C284" s="171" t="s">
        <v>188</v>
      </c>
      <c r="D284" s="170" t="s">
        <v>187</v>
      </c>
      <c r="E284" s="167">
        <v>175</v>
      </c>
      <c r="F284" s="169"/>
      <c r="G284" s="168"/>
      <c r="H284" s="167"/>
      <c r="I284" s="166">
        <v>28.82</v>
      </c>
      <c r="J284" s="167">
        <v>157</v>
      </c>
      <c r="K284" s="166">
        <v>603.77</v>
      </c>
    </row>
    <row r="285" spans="1:22" ht="15" x14ac:dyDescent="0.25">
      <c r="A285" s="164"/>
      <c r="B285" s="164"/>
      <c r="C285" s="165" t="s">
        <v>183</v>
      </c>
      <c r="D285" s="164"/>
      <c r="E285" s="164"/>
      <c r="F285" s="164"/>
      <c r="G285" s="164"/>
      <c r="H285" s="414">
        <v>349991.34</v>
      </c>
      <c r="I285" s="414"/>
      <c r="J285" s="414">
        <v>6238445.6900000004</v>
      </c>
      <c r="K285" s="414"/>
      <c r="O285" s="163">
        <f>I277+I278+I280+I282+I283+I284+SUM(I281:I281)</f>
        <v>349991.34</v>
      </c>
      <c r="P285" s="163">
        <f>K277+K278+K280+K282+K283+K284+SUM(K281:K281)</f>
        <v>6238445.6900000004</v>
      </c>
    </row>
    <row r="287" spans="1:22" ht="42.75" x14ac:dyDescent="0.2">
      <c r="A287" s="179" t="s">
        <v>1705</v>
      </c>
      <c r="B287" s="178" t="s">
        <v>2004</v>
      </c>
      <c r="C287" s="178" t="s">
        <v>399</v>
      </c>
      <c r="D287" s="177" t="s">
        <v>2005</v>
      </c>
      <c r="E287" s="174">
        <v>247.9</v>
      </c>
      <c r="F287" s="176"/>
      <c r="G287" s="175"/>
      <c r="H287" s="174"/>
      <c r="I287" s="173"/>
      <c r="J287" s="174"/>
      <c r="K287" s="173"/>
      <c r="Q287" s="160">
        <f>[3]Source!X183</f>
        <v>10723.11</v>
      </c>
      <c r="R287" s="160">
        <f>[3]Source!X184</f>
        <v>202692.39</v>
      </c>
      <c r="S287" s="160">
        <f>[3]Source!Y183</f>
        <v>7148.74</v>
      </c>
      <c r="T287" s="160">
        <f>[3]Source!Y184</f>
        <v>97769.27</v>
      </c>
      <c r="U287" s="160">
        <f>ROUND((175/100)*ROUND([3]Source!R183, 2), 2)</f>
        <v>8.68</v>
      </c>
      <c r="V287" s="160">
        <f>ROUND((157/100)*ROUND([3]Source!R184, 2), 2)</f>
        <v>181.84</v>
      </c>
    </row>
    <row r="288" spans="1:22" ht="14.25" x14ac:dyDescent="0.2">
      <c r="A288" s="179"/>
      <c r="B288" s="178"/>
      <c r="C288" s="178" t="s">
        <v>197</v>
      </c>
      <c r="D288" s="177"/>
      <c r="E288" s="174"/>
      <c r="F288" s="176">
        <v>34.33</v>
      </c>
      <c r="G288" s="175" t="s">
        <v>1995</v>
      </c>
      <c r="H288" s="174">
        <v>1</v>
      </c>
      <c r="I288" s="173">
        <v>10212.49</v>
      </c>
      <c r="J288" s="174">
        <v>23.35</v>
      </c>
      <c r="K288" s="173">
        <v>238461.64</v>
      </c>
    </row>
    <row r="289" spans="1:22" ht="14.25" x14ac:dyDescent="0.2">
      <c r="A289" s="179"/>
      <c r="B289" s="178"/>
      <c r="C289" s="178" t="s">
        <v>184</v>
      </c>
      <c r="D289" s="177"/>
      <c r="E289" s="174"/>
      <c r="F289" s="176">
        <v>2</v>
      </c>
      <c r="G289" s="175" t="s">
        <v>195</v>
      </c>
      <c r="H289" s="174">
        <v>1</v>
      </c>
      <c r="I289" s="173">
        <v>495.8</v>
      </c>
      <c r="J289" s="174">
        <v>4.1500000000000004</v>
      </c>
      <c r="K289" s="173">
        <v>2057.5700000000002</v>
      </c>
    </row>
    <row r="290" spans="1:22" ht="14.25" x14ac:dyDescent="0.2">
      <c r="A290" s="179"/>
      <c r="B290" s="178"/>
      <c r="C290" s="178" t="s">
        <v>189</v>
      </c>
      <c r="D290" s="177"/>
      <c r="E290" s="174"/>
      <c r="F290" s="176">
        <v>0.02</v>
      </c>
      <c r="G290" s="175" t="s">
        <v>195</v>
      </c>
      <c r="H290" s="174">
        <v>1</v>
      </c>
      <c r="I290" s="180">
        <v>4.96</v>
      </c>
      <c r="J290" s="174">
        <v>23.35</v>
      </c>
      <c r="K290" s="180">
        <v>115.82</v>
      </c>
    </row>
    <row r="291" spans="1:22" ht="14.25" x14ac:dyDescent="0.2">
      <c r="A291" s="179"/>
      <c r="B291" s="178"/>
      <c r="C291" s="178" t="s">
        <v>205</v>
      </c>
      <c r="D291" s="177"/>
      <c r="E291" s="174"/>
      <c r="F291" s="176">
        <v>61.81</v>
      </c>
      <c r="G291" s="175" t="s">
        <v>195</v>
      </c>
      <c r="H291" s="174">
        <v>1</v>
      </c>
      <c r="I291" s="173">
        <v>15322.7</v>
      </c>
      <c r="J291" s="174">
        <v>4.6399999999999997</v>
      </c>
      <c r="K291" s="173">
        <v>71097.33</v>
      </c>
    </row>
    <row r="292" spans="1:22" ht="28.5" x14ac:dyDescent="0.2">
      <c r="A292" s="179" t="s">
        <v>1707</v>
      </c>
      <c r="B292" s="178" t="s">
        <v>2006</v>
      </c>
      <c r="C292" s="178" t="s">
        <v>398</v>
      </c>
      <c r="D292" s="177" t="s">
        <v>1552</v>
      </c>
      <c r="E292" s="174">
        <v>532.98</v>
      </c>
      <c r="F292" s="176">
        <v>3.55</v>
      </c>
      <c r="G292" s="182" t="s">
        <v>195</v>
      </c>
      <c r="H292" s="174">
        <v>1</v>
      </c>
      <c r="I292" s="173">
        <v>1892.08</v>
      </c>
      <c r="J292" s="174">
        <v>2.44</v>
      </c>
      <c r="K292" s="173">
        <v>4616.68</v>
      </c>
      <c r="Q292" s="160">
        <f>[3]Source!X185</f>
        <v>0</v>
      </c>
      <c r="R292" s="160">
        <f>[3]Source!X186</f>
        <v>0</v>
      </c>
      <c r="S292" s="160">
        <f>[3]Source!Y185</f>
        <v>0</v>
      </c>
      <c r="T292" s="160">
        <f>[3]Source!Y186</f>
        <v>0</v>
      </c>
      <c r="U292" s="160">
        <f>ROUND((175/100)*ROUND([3]Source!R185, 2), 2)</f>
        <v>0</v>
      </c>
      <c r="V292" s="160">
        <f>ROUND((157/100)*ROUND([3]Source!R186, 2), 2)</f>
        <v>0</v>
      </c>
    </row>
    <row r="293" spans="1:22" ht="42.75" x14ac:dyDescent="0.2">
      <c r="A293" s="179" t="s">
        <v>1708</v>
      </c>
      <c r="B293" s="178" t="s">
        <v>2007</v>
      </c>
      <c r="C293" s="178" t="s">
        <v>397</v>
      </c>
      <c r="D293" s="177" t="s">
        <v>1557</v>
      </c>
      <c r="E293" s="174">
        <v>247.9</v>
      </c>
      <c r="F293" s="176">
        <v>354.98</v>
      </c>
      <c r="G293" s="182" t="s">
        <v>195</v>
      </c>
      <c r="H293" s="174">
        <v>1</v>
      </c>
      <c r="I293" s="173">
        <v>87999.54</v>
      </c>
      <c r="J293" s="174">
        <v>2.4500000000000002</v>
      </c>
      <c r="K293" s="173">
        <v>215598.87</v>
      </c>
      <c r="Q293" s="160">
        <f>[3]Source!X187</f>
        <v>0</v>
      </c>
      <c r="R293" s="160">
        <f>[3]Source!X188</f>
        <v>0</v>
      </c>
      <c r="S293" s="160">
        <f>[3]Source!Y187</f>
        <v>0</v>
      </c>
      <c r="T293" s="160">
        <f>[3]Source!Y188</f>
        <v>0</v>
      </c>
      <c r="U293" s="160">
        <f>ROUND((175/100)*ROUND([3]Source!R187, 2), 2)</f>
        <v>0</v>
      </c>
      <c r="V293" s="160">
        <f>ROUND((157/100)*ROUND([3]Source!R188, 2), 2)</f>
        <v>0</v>
      </c>
    </row>
    <row r="294" spans="1:22" ht="14.25" x14ac:dyDescent="0.2">
      <c r="A294" s="179"/>
      <c r="B294" s="178"/>
      <c r="C294" s="178" t="s">
        <v>194</v>
      </c>
      <c r="D294" s="177" t="s">
        <v>187</v>
      </c>
      <c r="E294" s="174">
        <v>105</v>
      </c>
      <c r="F294" s="176"/>
      <c r="G294" s="175"/>
      <c r="H294" s="174"/>
      <c r="I294" s="173">
        <v>10723.11</v>
      </c>
      <c r="J294" s="174">
        <v>85</v>
      </c>
      <c r="K294" s="173">
        <v>202692.39</v>
      </c>
    </row>
    <row r="295" spans="1:22" ht="14.25" x14ac:dyDescent="0.2">
      <c r="A295" s="179"/>
      <c r="B295" s="178"/>
      <c r="C295" s="178" t="s">
        <v>193</v>
      </c>
      <c r="D295" s="177" t="s">
        <v>187</v>
      </c>
      <c r="E295" s="174">
        <v>70</v>
      </c>
      <c r="F295" s="176"/>
      <c r="G295" s="175"/>
      <c r="H295" s="174"/>
      <c r="I295" s="173">
        <v>7148.74</v>
      </c>
      <c r="J295" s="174">
        <v>41</v>
      </c>
      <c r="K295" s="173">
        <v>97769.27</v>
      </c>
    </row>
    <row r="296" spans="1:22" ht="14.25" x14ac:dyDescent="0.2">
      <c r="A296" s="172"/>
      <c r="B296" s="171"/>
      <c r="C296" s="171" t="s">
        <v>188</v>
      </c>
      <c r="D296" s="170" t="s">
        <v>187</v>
      </c>
      <c r="E296" s="167">
        <v>175</v>
      </c>
      <c r="F296" s="169"/>
      <c r="G296" s="168"/>
      <c r="H296" s="167"/>
      <c r="I296" s="166">
        <v>8.68</v>
      </c>
      <c r="J296" s="167">
        <v>157</v>
      </c>
      <c r="K296" s="166">
        <v>181.84</v>
      </c>
    </row>
    <row r="297" spans="1:22" ht="15" x14ac:dyDescent="0.25">
      <c r="A297" s="164"/>
      <c r="B297" s="164"/>
      <c r="C297" s="165" t="s">
        <v>183</v>
      </c>
      <c r="D297" s="164"/>
      <c r="E297" s="164"/>
      <c r="F297" s="164"/>
      <c r="G297" s="164"/>
      <c r="H297" s="414">
        <v>133803.14000000001</v>
      </c>
      <c r="I297" s="414"/>
      <c r="J297" s="414">
        <v>832475.59</v>
      </c>
      <c r="K297" s="414"/>
      <c r="O297" s="163">
        <f>I288+I289+I291+I294+I295+I296+SUM(I292:I293)</f>
        <v>133803.14000000001</v>
      </c>
      <c r="P297" s="163">
        <f>K288+K289+K291+K294+K295+K296+SUM(K292:K293)</f>
        <v>832475.59</v>
      </c>
    </row>
    <row r="299" spans="1:22" ht="57" x14ac:dyDescent="0.2">
      <c r="A299" s="179" t="s">
        <v>1712</v>
      </c>
      <c r="B299" s="178" t="s">
        <v>2008</v>
      </c>
      <c r="C299" s="178" t="s">
        <v>448</v>
      </c>
      <c r="D299" s="177" t="s">
        <v>2009</v>
      </c>
      <c r="E299" s="174">
        <v>87.56</v>
      </c>
      <c r="F299" s="176"/>
      <c r="G299" s="175"/>
      <c r="H299" s="174"/>
      <c r="I299" s="173"/>
      <c r="J299" s="174"/>
      <c r="K299" s="173"/>
      <c r="Q299" s="160">
        <f>[3]Source!X189</f>
        <v>42180.79</v>
      </c>
      <c r="R299" s="160">
        <f>[3]Source!X190</f>
        <v>797317.34</v>
      </c>
      <c r="S299" s="160">
        <f>[3]Source!Y189</f>
        <v>28120.53</v>
      </c>
      <c r="T299" s="160">
        <f>[3]Source!Y190</f>
        <v>384588.36</v>
      </c>
      <c r="U299" s="160">
        <f>ROUND((175/100)*ROUND([3]Source!R189, 2), 2)</f>
        <v>30.64</v>
      </c>
      <c r="V299" s="160">
        <f>ROUND((157/100)*ROUND([3]Source!R190, 2), 2)</f>
        <v>641.91</v>
      </c>
    </row>
    <row r="300" spans="1:22" ht="14.25" x14ac:dyDescent="0.2">
      <c r="A300" s="179"/>
      <c r="B300" s="178"/>
      <c r="C300" s="178" t="s">
        <v>197</v>
      </c>
      <c r="D300" s="177"/>
      <c r="E300" s="174"/>
      <c r="F300" s="176">
        <v>382.33</v>
      </c>
      <c r="G300" s="175" t="s">
        <v>1995</v>
      </c>
      <c r="H300" s="174">
        <v>1</v>
      </c>
      <c r="I300" s="173">
        <v>40172.18</v>
      </c>
      <c r="J300" s="174">
        <v>23.35</v>
      </c>
      <c r="K300" s="173">
        <v>938020.4</v>
      </c>
    </row>
    <row r="301" spans="1:22" ht="14.25" x14ac:dyDescent="0.2">
      <c r="A301" s="179"/>
      <c r="B301" s="178"/>
      <c r="C301" s="178" t="s">
        <v>184</v>
      </c>
      <c r="D301" s="177"/>
      <c r="E301" s="174"/>
      <c r="F301" s="176">
        <v>1</v>
      </c>
      <c r="G301" s="175" t="s">
        <v>195</v>
      </c>
      <c r="H301" s="174">
        <v>1</v>
      </c>
      <c r="I301" s="173">
        <v>87.56</v>
      </c>
      <c r="J301" s="174">
        <v>8.9499999999999993</v>
      </c>
      <c r="K301" s="173">
        <v>783.66</v>
      </c>
    </row>
    <row r="302" spans="1:22" ht="14.25" x14ac:dyDescent="0.2">
      <c r="A302" s="179"/>
      <c r="B302" s="178"/>
      <c r="C302" s="178" t="s">
        <v>189</v>
      </c>
      <c r="D302" s="177"/>
      <c r="E302" s="174"/>
      <c r="F302" s="176">
        <v>0.2</v>
      </c>
      <c r="G302" s="175" t="s">
        <v>195</v>
      </c>
      <c r="H302" s="174">
        <v>1</v>
      </c>
      <c r="I302" s="180">
        <v>17.510000000000002</v>
      </c>
      <c r="J302" s="174">
        <v>23.35</v>
      </c>
      <c r="K302" s="180">
        <v>408.86</v>
      </c>
    </row>
    <row r="303" spans="1:22" ht="14.25" x14ac:dyDescent="0.2">
      <c r="A303" s="179"/>
      <c r="B303" s="178"/>
      <c r="C303" s="178" t="s">
        <v>205</v>
      </c>
      <c r="D303" s="177"/>
      <c r="E303" s="174"/>
      <c r="F303" s="176">
        <v>11.65</v>
      </c>
      <c r="G303" s="175" t="s">
        <v>195</v>
      </c>
      <c r="H303" s="174">
        <v>1</v>
      </c>
      <c r="I303" s="173">
        <v>1020.07</v>
      </c>
      <c r="J303" s="174">
        <v>3.19</v>
      </c>
      <c r="K303" s="173">
        <v>3254.02</v>
      </c>
    </row>
    <row r="304" spans="1:22" ht="42.75" x14ac:dyDescent="0.2">
      <c r="A304" s="179" t="s">
        <v>1715</v>
      </c>
      <c r="B304" s="178" t="s">
        <v>2010</v>
      </c>
      <c r="C304" s="178" t="s">
        <v>447</v>
      </c>
      <c r="D304" s="177" t="s">
        <v>1594</v>
      </c>
      <c r="E304" s="174">
        <v>6.04</v>
      </c>
      <c r="F304" s="176">
        <v>6634.93</v>
      </c>
      <c r="G304" s="182" t="s">
        <v>195</v>
      </c>
      <c r="H304" s="174">
        <v>1</v>
      </c>
      <c r="I304" s="173">
        <v>40074.980000000003</v>
      </c>
      <c r="J304" s="174">
        <v>7.45</v>
      </c>
      <c r="K304" s="173">
        <v>298558.59999999998</v>
      </c>
      <c r="Q304" s="160">
        <f>[3]Source!X191</f>
        <v>0</v>
      </c>
      <c r="R304" s="160">
        <f>[3]Source!X192</f>
        <v>0</v>
      </c>
      <c r="S304" s="160">
        <f>[3]Source!Y191</f>
        <v>0</v>
      </c>
      <c r="T304" s="160">
        <f>[3]Source!Y192</f>
        <v>0</v>
      </c>
      <c r="U304" s="160">
        <f>ROUND((175/100)*ROUND([3]Source!R191, 2), 2)</f>
        <v>0</v>
      </c>
      <c r="V304" s="160">
        <f>ROUND((157/100)*ROUND([3]Source!R192, 2), 2)</f>
        <v>0</v>
      </c>
    </row>
    <row r="305" spans="1:22" ht="14.25" x14ac:dyDescent="0.2">
      <c r="A305" s="179"/>
      <c r="B305" s="178"/>
      <c r="C305" s="178" t="s">
        <v>194</v>
      </c>
      <c r="D305" s="177" t="s">
        <v>187</v>
      </c>
      <c r="E305" s="174">
        <v>105</v>
      </c>
      <c r="F305" s="176"/>
      <c r="G305" s="175"/>
      <c r="H305" s="174"/>
      <c r="I305" s="173">
        <v>42180.79</v>
      </c>
      <c r="J305" s="174">
        <v>85</v>
      </c>
      <c r="K305" s="173">
        <v>797317.34</v>
      </c>
    </row>
    <row r="306" spans="1:22" ht="14.25" x14ac:dyDescent="0.2">
      <c r="A306" s="179"/>
      <c r="B306" s="178"/>
      <c r="C306" s="178" t="s">
        <v>193</v>
      </c>
      <c r="D306" s="177" t="s">
        <v>187</v>
      </c>
      <c r="E306" s="174">
        <v>70</v>
      </c>
      <c r="F306" s="176"/>
      <c r="G306" s="175"/>
      <c r="H306" s="174"/>
      <c r="I306" s="173">
        <v>28120.53</v>
      </c>
      <c r="J306" s="174">
        <v>41</v>
      </c>
      <c r="K306" s="173">
        <v>384588.36</v>
      </c>
    </row>
    <row r="307" spans="1:22" ht="14.25" x14ac:dyDescent="0.2">
      <c r="A307" s="172"/>
      <c r="B307" s="171"/>
      <c r="C307" s="171" t="s">
        <v>188</v>
      </c>
      <c r="D307" s="170" t="s">
        <v>187</v>
      </c>
      <c r="E307" s="167">
        <v>175</v>
      </c>
      <c r="F307" s="169"/>
      <c r="G307" s="168"/>
      <c r="H307" s="167"/>
      <c r="I307" s="166">
        <v>30.64</v>
      </c>
      <c r="J307" s="167">
        <v>157</v>
      </c>
      <c r="K307" s="166">
        <v>641.91</v>
      </c>
    </row>
    <row r="308" spans="1:22" ht="15" x14ac:dyDescent="0.25">
      <c r="A308" s="164"/>
      <c r="B308" s="164"/>
      <c r="C308" s="165" t="s">
        <v>183</v>
      </c>
      <c r="D308" s="164"/>
      <c r="E308" s="164"/>
      <c r="F308" s="164"/>
      <c r="G308" s="164"/>
      <c r="H308" s="414">
        <v>151686.75</v>
      </c>
      <c r="I308" s="414"/>
      <c r="J308" s="414">
        <v>2423164.29</v>
      </c>
      <c r="K308" s="414"/>
      <c r="O308" s="163">
        <f>I300+I301+I303+I305+I306+I307+SUM(I304:I304)</f>
        <v>151686.75</v>
      </c>
      <c r="P308" s="163">
        <f>K300+K301+K303+K305+K306+K307+SUM(K304:K304)</f>
        <v>2423164.29</v>
      </c>
    </row>
    <row r="310" spans="1:22" ht="57" x14ac:dyDescent="0.2">
      <c r="A310" s="179" t="s">
        <v>1719</v>
      </c>
      <c r="B310" s="178" t="s">
        <v>2011</v>
      </c>
      <c r="C310" s="178" t="s">
        <v>446</v>
      </c>
      <c r="D310" s="177" t="s">
        <v>2012</v>
      </c>
      <c r="E310" s="174">
        <v>4.66</v>
      </c>
      <c r="F310" s="176"/>
      <c r="G310" s="175"/>
      <c r="H310" s="174"/>
      <c r="I310" s="173"/>
      <c r="J310" s="174"/>
      <c r="K310" s="173"/>
      <c r="Q310" s="160">
        <f>[3]Source!X193</f>
        <v>2258.7199999999998</v>
      </c>
      <c r="R310" s="160">
        <f>[3]Source!X194</f>
        <v>35600.31</v>
      </c>
      <c r="S310" s="160">
        <f>[3]Source!Y193</f>
        <v>1581.11</v>
      </c>
      <c r="T310" s="160">
        <f>[3]Source!Y194</f>
        <v>18019.91</v>
      </c>
      <c r="U310" s="160">
        <f>ROUND((175/100)*ROUND([3]Source!R193, 2), 2)</f>
        <v>0</v>
      </c>
      <c r="V310" s="160">
        <f>ROUND((157/100)*ROUND([3]Source!R194, 2), 2)</f>
        <v>0</v>
      </c>
    </row>
    <row r="311" spans="1:22" ht="14.25" x14ac:dyDescent="0.2">
      <c r="A311" s="179"/>
      <c r="B311" s="178"/>
      <c r="C311" s="178" t="s">
        <v>197</v>
      </c>
      <c r="D311" s="177"/>
      <c r="E311" s="174"/>
      <c r="F311" s="176">
        <v>403.92</v>
      </c>
      <c r="G311" s="175" t="s">
        <v>195</v>
      </c>
      <c r="H311" s="174">
        <v>1</v>
      </c>
      <c r="I311" s="173">
        <v>1882.27</v>
      </c>
      <c r="J311" s="174">
        <v>23.35</v>
      </c>
      <c r="K311" s="173">
        <v>43951</v>
      </c>
    </row>
    <row r="312" spans="1:22" ht="14.25" x14ac:dyDescent="0.2">
      <c r="A312" s="179"/>
      <c r="B312" s="178"/>
      <c r="C312" s="178" t="s">
        <v>205</v>
      </c>
      <c r="D312" s="177"/>
      <c r="E312" s="174"/>
      <c r="F312" s="176">
        <v>0.49</v>
      </c>
      <c r="G312" s="175" t="s">
        <v>195</v>
      </c>
      <c r="H312" s="174">
        <v>1</v>
      </c>
      <c r="I312" s="173">
        <v>2.2799999999999998</v>
      </c>
      <c r="J312" s="174">
        <v>5.43</v>
      </c>
      <c r="K312" s="173">
        <v>12.38</v>
      </c>
    </row>
    <row r="313" spans="1:22" ht="14.25" x14ac:dyDescent="0.2">
      <c r="A313" s="179" t="s">
        <v>1720</v>
      </c>
      <c r="B313" s="178" t="s">
        <v>2013</v>
      </c>
      <c r="C313" s="178" t="s">
        <v>425</v>
      </c>
      <c r="D313" s="177" t="s">
        <v>1584</v>
      </c>
      <c r="E313" s="174">
        <v>118.83</v>
      </c>
      <c r="F313" s="176">
        <v>63.54</v>
      </c>
      <c r="G313" s="182" t="s">
        <v>195</v>
      </c>
      <c r="H313" s="174">
        <v>1</v>
      </c>
      <c r="I313" s="173">
        <v>7550.46</v>
      </c>
      <c r="J313" s="174">
        <v>1.61</v>
      </c>
      <c r="K313" s="173">
        <v>12156.24</v>
      </c>
      <c r="Q313" s="160">
        <f>[3]Source!X195</f>
        <v>0</v>
      </c>
      <c r="R313" s="160">
        <f>[3]Source!X196</f>
        <v>0</v>
      </c>
      <c r="S313" s="160">
        <f>[3]Source!Y195</f>
        <v>0</v>
      </c>
      <c r="T313" s="160">
        <f>[3]Source!Y196</f>
        <v>0</v>
      </c>
      <c r="U313" s="160">
        <f>ROUND((175/100)*ROUND([3]Source!R195, 2), 2)</f>
        <v>0</v>
      </c>
      <c r="V313" s="160">
        <f>ROUND((157/100)*ROUND([3]Source!R196, 2), 2)</f>
        <v>0</v>
      </c>
    </row>
    <row r="314" spans="1:22" ht="14.25" x14ac:dyDescent="0.2">
      <c r="A314" s="179"/>
      <c r="B314" s="178"/>
      <c r="C314" s="178" t="s">
        <v>194</v>
      </c>
      <c r="D314" s="177" t="s">
        <v>187</v>
      </c>
      <c r="E314" s="174">
        <v>120</v>
      </c>
      <c r="F314" s="176"/>
      <c r="G314" s="175"/>
      <c r="H314" s="174"/>
      <c r="I314" s="173">
        <v>2258.7199999999998</v>
      </c>
      <c r="J314" s="174">
        <v>81</v>
      </c>
      <c r="K314" s="173">
        <v>35600.31</v>
      </c>
    </row>
    <row r="315" spans="1:22" ht="14.25" x14ac:dyDescent="0.2">
      <c r="A315" s="172"/>
      <c r="B315" s="171"/>
      <c r="C315" s="171" t="s">
        <v>193</v>
      </c>
      <c r="D315" s="170" t="s">
        <v>187</v>
      </c>
      <c r="E315" s="167">
        <v>84</v>
      </c>
      <c r="F315" s="169"/>
      <c r="G315" s="168"/>
      <c r="H315" s="167"/>
      <c r="I315" s="166">
        <v>1581.11</v>
      </c>
      <c r="J315" s="167">
        <v>41</v>
      </c>
      <c r="K315" s="166">
        <v>18019.91</v>
      </c>
    </row>
    <row r="316" spans="1:22" ht="15" x14ac:dyDescent="0.25">
      <c r="A316" s="164"/>
      <c r="B316" s="164"/>
      <c r="C316" s="165" t="s">
        <v>183</v>
      </c>
      <c r="D316" s="164"/>
      <c r="E316" s="164"/>
      <c r="F316" s="164"/>
      <c r="G316" s="164"/>
      <c r="H316" s="414">
        <v>13274.84</v>
      </c>
      <c r="I316" s="414"/>
      <c r="J316" s="414">
        <v>109739.84</v>
      </c>
      <c r="K316" s="414"/>
      <c r="O316" s="163">
        <f>I311+I312+I314+I315+SUM(I313:I313)</f>
        <v>13274.84</v>
      </c>
      <c r="P316" s="163">
        <f>K311+K312+K314+K315+SUM(K313:K313)</f>
        <v>109739.84</v>
      </c>
    </row>
    <row r="318" spans="1:22" ht="57" x14ac:dyDescent="0.2">
      <c r="A318" s="179" t="s">
        <v>1722</v>
      </c>
      <c r="B318" s="178" t="s">
        <v>2011</v>
      </c>
      <c r="C318" s="178" t="s">
        <v>446</v>
      </c>
      <c r="D318" s="177" t="s">
        <v>2012</v>
      </c>
      <c r="E318" s="174">
        <v>4.66</v>
      </c>
      <c r="F318" s="176"/>
      <c r="G318" s="175"/>
      <c r="H318" s="174"/>
      <c r="I318" s="173"/>
      <c r="J318" s="174"/>
      <c r="K318" s="173"/>
      <c r="Q318" s="160">
        <f>[3]Source!X197</f>
        <v>2258.7199999999998</v>
      </c>
      <c r="R318" s="160">
        <f>[3]Source!X198</f>
        <v>35600.31</v>
      </c>
      <c r="S318" s="160">
        <f>[3]Source!Y197</f>
        <v>1581.11</v>
      </c>
      <c r="T318" s="160">
        <f>[3]Source!Y198</f>
        <v>18019.91</v>
      </c>
      <c r="U318" s="160">
        <f>ROUND((175/100)*ROUND([3]Source!R197, 2), 2)</f>
        <v>0</v>
      </c>
      <c r="V318" s="160">
        <f>ROUND((157/100)*ROUND([3]Source!R198, 2), 2)</f>
        <v>0</v>
      </c>
    </row>
    <row r="319" spans="1:22" ht="14.25" x14ac:dyDescent="0.2">
      <c r="A319" s="179"/>
      <c r="B319" s="178"/>
      <c r="C319" s="178" t="s">
        <v>197</v>
      </c>
      <c r="D319" s="177"/>
      <c r="E319" s="174"/>
      <c r="F319" s="176">
        <v>403.92</v>
      </c>
      <c r="G319" s="175" t="s">
        <v>195</v>
      </c>
      <c r="H319" s="174">
        <v>1</v>
      </c>
      <c r="I319" s="173">
        <v>1882.27</v>
      </c>
      <c r="J319" s="174">
        <v>23.35</v>
      </c>
      <c r="K319" s="173">
        <v>43951</v>
      </c>
    </row>
    <row r="320" spans="1:22" ht="14.25" x14ac:dyDescent="0.2">
      <c r="A320" s="179"/>
      <c r="B320" s="178"/>
      <c r="C320" s="178" t="s">
        <v>205</v>
      </c>
      <c r="D320" s="177"/>
      <c r="E320" s="174"/>
      <c r="F320" s="176">
        <v>0.49</v>
      </c>
      <c r="G320" s="175" t="s">
        <v>195</v>
      </c>
      <c r="H320" s="174">
        <v>1</v>
      </c>
      <c r="I320" s="173">
        <v>2.2799999999999998</v>
      </c>
      <c r="J320" s="174">
        <v>5.43</v>
      </c>
      <c r="K320" s="173">
        <v>12.38</v>
      </c>
    </row>
    <row r="321" spans="1:22" ht="14.25" x14ac:dyDescent="0.2">
      <c r="A321" s="179" t="s">
        <v>1724</v>
      </c>
      <c r="B321" s="178" t="s">
        <v>2014</v>
      </c>
      <c r="C321" s="178" t="s">
        <v>423</v>
      </c>
      <c r="D321" s="177" t="s">
        <v>1533</v>
      </c>
      <c r="E321" s="174">
        <v>0.12</v>
      </c>
      <c r="F321" s="176">
        <v>23604.84</v>
      </c>
      <c r="G321" s="182" t="s">
        <v>195</v>
      </c>
      <c r="H321" s="174">
        <v>1</v>
      </c>
      <c r="I321" s="173">
        <v>2832.58</v>
      </c>
      <c r="J321" s="174">
        <v>36.04</v>
      </c>
      <c r="K321" s="173">
        <v>102086.18</v>
      </c>
      <c r="Q321" s="160">
        <f>[3]Source!X199</f>
        <v>0</v>
      </c>
      <c r="R321" s="160">
        <f>[3]Source!X200</f>
        <v>0</v>
      </c>
      <c r="S321" s="160">
        <f>[3]Source!Y199</f>
        <v>0</v>
      </c>
      <c r="T321" s="160">
        <f>[3]Source!Y200</f>
        <v>0</v>
      </c>
      <c r="U321" s="160">
        <f>ROUND((175/100)*ROUND([3]Source!R199, 2), 2)</f>
        <v>0</v>
      </c>
      <c r="V321" s="160">
        <f>ROUND((157/100)*ROUND([3]Source!R200, 2), 2)</f>
        <v>0</v>
      </c>
    </row>
    <row r="322" spans="1:22" ht="14.25" x14ac:dyDescent="0.2">
      <c r="A322" s="179"/>
      <c r="B322" s="178"/>
      <c r="C322" s="178" t="s">
        <v>194</v>
      </c>
      <c r="D322" s="177" t="s">
        <v>187</v>
      </c>
      <c r="E322" s="174">
        <v>120</v>
      </c>
      <c r="F322" s="176"/>
      <c r="G322" s="175"/>
      <c r="H322" s="174"/>
      <c r="I322" s="173">
        <v>2258.7199999999998</v>
      </c>
      <c r="J322" s="174">
        <v>81</v>
      </c>
      <c r="K322" s="173">
        <v>35600.31</v>
      </c>
    </row>
    <row r="323" spans="1:22" ht="14.25" x14ac:dyDescent="0.2">
      <c r="A323" s="172"/>
      <c r="B323" s="171"/>
      <c r="C323" s="171" t="s">
        <v>193</v>
      </c>
      <c r="D323" s="170" t="s">
        <v>187</v>
      </c>
      <c r="E323" s="167">
        <v>84</v>
      </c>
      <c r="F323" s="169"/>
      <c r="G323" s="168"/>
      <c r="H323" s="167"/>
      <c r="I323" s="166">
        <v>1581.11</v>
      </c>
      <c r="J323" s="167">
        <v>41</v>
      </c>
      <c r="K323" s="166">
        <v>18019.91</v>
      </c>
    </row>
    <row r="324" spans="1:22" ht="15" x14ac:dyDescent="0.25">
      <c r="A324" s="164"/>
      <c r="B324" s="164"/>
      <c r="C324" s="165" t="s">
        <v>183</v>
      </c>
      <c r="D324" s="164"/>
      <c r="E324" s="164"/>
      <c r="F324" s="164"/>
      <c r="G324" s="164"/>
      <c r="H324" s="414">
        <v>8556.9599999999991</v>
      </c>
      <c r="I324" s="414"/>
      <c r="J324" s="414">
        <v>199669.78</v>
      </c>
      <c r="K324" s="414"/>
      <c r="O324" s="163">
        <f>I319+I320+I322+I323+SUM(I321:I321)</f>
        <v>8556.9599999999991</v>
      </c>
      <c r="P324" s="163">
        <f>K319+K320+K322+K323+SUM(K321:K321)</f>
        <v>199669.78</v>
      </c>
    </row>
    <row r="326" spans="1:22" ht="99.75" x14ac:dyDescent="0.2">
      <c r="A326" s="179" t="s">
        <v>1729</v>
      </c>
      <c r="B326" s="178" t="s">
        <v>2015</v>
      </c>
      <c r="C326" s="178" t="s">
        <v>445</v>
      </c>
      <c r="D326" s="177" t="s">
        <v>2016</v>
      </c>
      <c r="E326" s="174">
        <v>616</v>
      </c>
      <c r="F326" s="176"/>
      <c r="G326" s="175"/>
      <c r="H326" s="174"/>
      <c r="I326" s="173"/>
      <c r="J326" s="174"/>
      <c r="K326" s="173"/>
      <c r="Q326" s="160">
        <f>[3]Source!X201</f>
        <v>113416.69</v>
      </c>
      <c r="R326" s="160">
        <f>[3]Source!X202</f>
        <v>2118623.73</v>
      </c>
      <c r="S326" s="160">
        <f>[3]Source!Y201</f>
        <v>87640.17</v>
      </c>
      <c r="T326" s="160">
        <f>[3]Source!Y202</f>
        <v>987086.06</v>
      </c>
      <c r="U326" s="160">
        <f>ROUND((175/100)*ROUND([3]Source!R201, 2), 2)</f>
        <v>0</v>
      </c>
      <c r="V326" s="160">
        <f>ROUND((157/100)*ROUND([3]Source!R202, 2), 2)</f>
        <v>0</v>
      </c>
    </row>
    <row r="327" spans="1:22" ht="25.5" x14ac:dyDescent="0.2">
      <c r="C327" s="181" t="s">
        <v>1987</v>
      </c>
    </row>
    <row r="328" spans="1:22" ht="14.25" x14ac:dyDescent="0.2">
      <c r="A328" s="179"/>
      <c r="B328" s="178"/>
      <c r="C328" s="178" t="s">
        <v>197</v>
      </c>
      <c r="D328" s="177"/>
      <c r="E328" s="174"/>
      <c r="F328" s="176">
        <v>167.38</v>
      </c>
      <c r="G328" s="175" t="s">
        <v>195</v>
      </c>
      <c r="H328" s="174">
        <v>1</v>
      </c>
      <c r="I328" s="173">
        <v>103106.08</v>
      </c>
      <c r="J328" s="174">
        <v>23.35</v>
      </c>
      <c r="K328" s="173">
        <v>2407526.9700000002</v>
      </c>
    </row>
    <row r="329" spans="1:22" ht="14.25" x14ac:dyDescent="0.2">
      <c r="A329" s="179"/>
      <c r="B329" s="178"/>
      <c r="C329" s="178" t="s">
        <v>205</v>
      </c>
      <c r="D329" s="177"/>
      <c r="E329" s="174"/>
      <c r="F329" s="176">
        <v>24.55</v>
      </c>
      <c r="G329" s="175" t="s">
        <v>195</v>
      </c>
      <c r="H329" s="174">
        <v>1</v>
      </c>
      <c r="I329" s="173">
        <v>15122.8</v>
      </c>
      <c r="J329" s="174">
        <v>6</v>
      </c>
      <c r="K329" s="173">
        <v>90736.8</v>
      </c>
    </row>
    <row r="330" spans="1:22" ht="42.75" x14ac:dyDescent="0.2">
      <c r="A330" s="179" t="s">
        <v>1730</v>
      </c>
      <c r="B330" s="178" t="s">
        <v>2017</v>
      </c>
      <c r="C330" s="178" t="s">
        <v>444</v>
      </c>
      <c r="D330" s="177" t="s">
        <v>1533</v>
      </c>
      <c r="E330" s="174">
        <v>0.154</v>
      </c>
      <c r="F330" s="176">
        <v>6593.39</v>
      </c>
      <c r="G330" s="182" t="s">
        <v>195</v>
      </c>
      <c r="H330" s="174">
        <v>1</v>
      </c>
      <c r="I330" s="173">
        <v>1015.38</v>
      </c>
      <c r="J330" s="174">
        <v>5.78</v>
      </c>
      <c r="K330" s="173">
        <v>5868.9</v>
      </c>
      <c r="Q330" s="160">
        <f>[3]Source!X203</f>
        <v>0</v>
      </c>
      <c r="R330" s="160">
        <f>[3]Source!X204</f>
        <v>0</v>
      </c>
      <c r="S330" s="160">
        <f>[3]Source!Y203</f>
        <v>0</v>
      </c>
      <c r="T330" s="160">
        <f>[3]Source!Y204</f>
        <v>0</v>
      </c>
      <c r="U330" s="160">
        <f>ROUND((175/100)*ROUND([3]Source!R203, 2), 2)</f>
        <v>0</v>
      </c>
      <c r="V330" s="160">
        <f>ROUND((157/100)*ROUND([3]Source!R204, 2), 2)</f>
        <v>0</v>
      </c>
    </row>
    <row r="331" spans="1:22" ht="42.75" x14ac:dyDescent="0.2">
      <c r="A331" s="179" t="s">
        <v>1732</v>
      </c>
      <c r="B331" s="178" t="s">
        <v>2018</v>
      </c>
      <c r="C331" s="178" t="s">
        <v>443</v>
      </c>
      <c r="D331" s="177" t="s">
        <v>1533</v>
      </c>
      <c r="E331" s="174">
        <v>2.0327999999999999E-2</v>
      </c>
      <c r="F331" s="176">
        <v>9246.9599999999991</v>
      </c>
      <c r="G331" s="182" t="s">
        <v>195</v>
      </c>
      <c r="H331" s="174">
        <v>1</v>
      </c>
      <c r="I331" s="173">
        <v>187.97</v>
      </c>
      <c r="J331" s="174">
        <v>5.54</v>
      </c>
      <c r="K331" s="173">
        <v>1041.3499999999999</v>
      </c>
      <c r="Q331" s="160">
        <f>[3]Source!X205</f>
        <v>0</v>
      </c>
      <c r="R331" s="160">
        <f>[3]Source!X206</f>
        <v>0</v>
      </c>
      <c r="S331" s="160">
        <f>[3]Source!Y205</f>
        <v>0</v>
      </c>
      <c r="T331" s="160">
        <f>[3]Source!Y206</f>
        <v>0</v>
      </c>
      <c r="U331" s="160">
        <f>ROUND((175/100)*ROUND([3]Source!R205, 2), 2)</f>
        <v>0</v>
      </c>
      <c r="V331" s="160">
        <f>ROUND((157/100)*ROUND([3]Source!R206, 2), 2)</f>
        <v>0</v>
      </c>
    </row>
    <row r="332" spans="1:22" ht="28.5" x14ac:dyDescent="0.2">
      <c r="A332" s="179" t="s">
        <v>2019</v>
      </c>
      <c r="B332" s="178" t="s">
        <v>2020</v>
      </c>
      <c r="C332" s="178" t="s">
        <v>442</v>
      </c>
      <c r="D332" s="177" t="s">
        <v>1533</v>
      </c>
      <c r="E332" s="174">
        <v>1.0472E-2</v>
      </c>
      <c r="F332" s="176">
        <v>35055.360000000001</v>
      </c>
      <c r="G332" s="182" t="s">
        <v>195</v>
      </c>
      <c r="H332" s="174">
        <v>1</v>
      </c>
      <c r="I332" s="173">
        <v>367.1</v>
      </c>
      <c r="J332" s="174">
        <v>4.91</v>
      </c>
      <c r="K332" s="173">
        <v>1802.46</v>
      </c>
      <c r="Q332" s="160">
        <f>[3]Source!X207</f>
        <v>0</v>
      </c>
      <c r="R332" s="160">
        <f>[3]Source!X208</f>
        <v>0</v>
      </c>
      <c r="S332" s="160">
        <f>[3]Source!Y207</f>
        <v>0</v>
      </c>
      <c r="T332" s="160">
        <f>[3]Source!Y208</f>
        <v>0</v>
      </c>
      <c r="U332" s="160">
        <f>ROUND((175/100)*ROUND([3]Source!R207, 2), 2)</f>
        <v>0</v>
      </c>
      <c r="V332" s="160">
        <f>ROUND((157/100)*ROUND([3]Source!R208, 2), 2)</f>
        <v>0</v>
      </c>
    </row>
    <row r="333" spans="1:22" ht="14.25" x14ac:dyDescent="0.2">
      <c r="A333" s="179" t="s">
        <v>2021</v>
      </c>
      <c r="B333" s="178" t="s">
        <v>2022</v>
      </c>
      <c r="C333" s="178" t="s">
        <v>390</v>
      </c>
      <c r="D333" s="177" t="s">
        <v>1584</v>
      </c>
      <c r="E333" s="174">
        <v>194.65168800000001</v>
      </c>
      <c r="F333" s="176">
        <v>31.52</v>
      </c>
      <c r="G333" s="182" t="s">
        <v>195</v>
      </c>
      <c r="H333" s="174">
        <v>1</v>
      </c>
      <c r="I333" s="173">
        <v>6135.42</v>
      </c>
      <c r="J333" s="174">
        <v>11.83</v>
      </c>
      <c r="K333" s="173">
        <v>72582.02</v>
      </c>
      <c r="Q333" s="160">
        <f>[3]Source!X209</f>
        <v>0</v>
      </c>
      <c r="R333" s="160">
        <f>[3]Source!X210</f>
        <v>0</v>
      </c>
      <c r="S333" s="160">
        <f>[3]Source!Y209</f>
        <v>0</v>
      </c>
      <c r="T333" s="160">
        <f>[3]Source!Y210</f>
        <v>0</v>
      </c>
      <c r="U333" s="160">
        <f>ROUND((175/100)*ROUND([3]Source!R209, 2), 2)</f>
        <v>0</v>
      </c>
      <c r="V333" s="160">
        <f>ROUND((157/100)*ROUND([3]Source!R210, 2), 2)</f>
        <v>0</v>
      </c>
    </row>
    <row r="334" spans="1:22" ht="42.75" x14ac:dyDescent="0.2">
      <c r="A334" s="179" t="s">
        <v>2023</v>
      </c>
      <c r="B334" s="178" t="s">
        <v>2024</v>
      </c>
      <c r="C334" s="178" t="s">
        <v>441</v>
      </c>
      <c r="D334" s="177" t="s">
        <v>1533</v>
      </c>
      <c r="E334" s="174">
        <v>0.14414399999999999</v>
      </c>
      <c r="F334" s="176">
        <v>70174.83</v>
      </c>
      <c r="G334" s="182" t="s">
        <v>195</v>
      </c>
      <c r="H334" s="174">
        <v>1</v>
      </c>
      <c r="I334" s="173">
        <v>10115.280000000001</v>
      </c>
      <c r="J334" s="174">
        <v>5.31</v>
      </c>
      <c r="K334" s="173">
        <v>53712.14</v>
      </c>
      <c r="Q334" s="160">
        <f>[3]Source!X211</f>
        <v>0</v>
      </c>
      <c r="R334" s="160">
        <f>[3]Source!X212</f>
        <v>0</v>
      </c>
      <c r="S334" s="160">
        <f>[3]Source!Y211</f>
        <v>0</v>
      </c>
      <c r="T334" s="160">
        <f>[3]Source!Y212</f>
        <v>0</v>
      </c>
      <c r="U334" s="160">
        <f>ROUND((175/100)*ROUND([3]Source!R211, 2), 2)</f>
        <v>0</v>
      </c>
      <c r="V334" s="160">
        <f>ROUND((157/100)*ROUND([3]Source!R212, 2), 2)</f>
        <v>0</v>
      </c>
    </row>
    <row r="335" spans="1:22" ht="28.5" x14ac:dyDescent="0.2">
      <c r="A335" s="179" t="s">
        <v>2025</v>
      </c>
      <c r="B335" s="178" t="s">
        <v>2026</v>
      </c>
      <c r="C335" s="178" t="s">
        <v>440</v>
      </c>
      <c r="D335" s="177" t="s">
        <v>1533</v>
      </c>
      <c r="E335" s="174">
        <v>1.0472E-2</v>
      </c>
      <c r="F335" s="176">
        <v>72331.09</v>
      </c>
      <c r="G335" s="182" t="s">
        <v>195</v>
      </c>
      <c r="H335" s="174">
        <v>1</v>
      </c>
      <c r="I335" s="173">
        <v>757.45</v>
      </c>
      <c r="J335" s="174">
        <v>8.7899999999999991</v>
      </c>
      <c r="K335" s="173">
        <v>6657.99</v>
      </c>
      <c r="Q335" s="160">
        <f>[3]Source!X213</f>
        <v>0</v>
      </c>
      <c r="R335" s="160">
        <f>[3]Source!X214</f>
        <v>0</v>
      </c>
      <c r="S335" s="160">
        <f>[3]Source!Y213</f>
        <v>0</v>
      </c>
      <c r="T335" s="160">
        <f>[3]Source!Y214</f>
        <v>0</v>
      </c>
      <c r="U335" s="160">
        <f>ROUND((175/100)*ROUND([3]Source!R213, 2), 2)</f>
        <v>0</v>
      </c>
      <c r="V335" s="160">
        <f>ROUND((157/100)*ROUND([3]Source!R214, 2), 2)</f>
        <v>0</v>
      </c>
    </row>
    <row r="336" spans="1:22" ht="14.25" x14ac:dyDescent="0.2">
      <c r="A336" s="179" t="s">
        <v>2027</v>
      </c>
      <c r="B336" s="178" t="s">
        <v>2028</v>
      </c>
      <c r="C336" s="178" t="s">
        <v>388</v>
      </c>
      <c r="D336" s="177" t="s">
        <v>1584</v>
      </c>
      <c r="E336" s="174">
        <v>12.32</v>
      </c>
      <c r="F336" s="176">
        <v>37.479999999999997</v>
      </c>
      <c r="G336" s="182" t="s">
        <v>195</v>
      </c>
      <c r="H336" s="174">
        <v>1</v>
      </c>
      <c r="I336" s="173">
        <v>461.75</v>
      </c>
      <c r="J336" s="174">
        <v>26.77</v>
      </c>
      <c r="K336" s="173">
        <v>12361.05</v>
      </c>
      <c r="Q336" s="160">
        <f>[3]Source!X215</f>
        <v>0</v>
      </c>
      <c r="R336" s="160">
        <f>[3]Source!X216</f>
        <v>0</v>
      </c>
      <c r="S336" s="160">
        <f>[3]Source!Y215</f>
        <v>0</v>
      </c>
      <c r="T336" s="160">
        <f>[3]Source!Y216</f>
        <v>0</v>
      </c>
      <c r="U336" s="160">
        <f>ROUND((175/100)*ROUND([3]Source!R215, 2), 2)</f>
        <v>0</v>
      </c>
      <c r="V336" s="160">
        <f>ROUND((157/100)*ROUND([3]Source!R216, 2), 2)</f>
        <v>0</v>
      </c>
    </row>
    <row r="337" spans="1:22" ht="14.25" x14ac:dyDescent="0.2">
      <c r="A337" s="179" t="s">
        <v>2029</v>
      </c>
      <c r="B337" s="178" t="s">
        <v>2030</v>
      </c>
      <c r="C337" s="178" t="s">
        <v>439</v>
      </c>
      <c r="D337" s="177" t="s">
        <v>1584</v>
      </c>
      <c r="E337" s="174">
        <v>137.98831200000001</v>
      </c>
      <c r="F337" s="176">
        <v>24.42</v>
      </c>
      <c r="G337" s="182" t="s">
        <v>195</v>
      </c>
      <c r="H337" s="174">
        <v>1</v>
      </c>
      <c r="I337" s="173">
        <v>3369.67</v>
      </c>
      <c r="J337" s="174">
        <v>8.02</v>
      </c>
      <c r="K337" s="173">
        <v>27024.75</v>
      </c>
      <c r="Q337" s="160">
        <f>[3]Source!X217</f>
        <v>0</v>
      </c>
      <c r="R337" s="160">
        <f>[3]Source!X218</f>
        <v>0</v>
      </c>
      <c r="S337" s="160">
        <f>[3]Source!Y217</f>
        <v>0</v>
      </c>
      <c r="T337" s="160">
        <f>[3]Source!Y218</f>
        <v>0</v>
      </c>
      <c r="U337" s="160">
        <f>ROUND((175/100)*ROUND([3]Source!R217, 2), 2)</f>
        <v>0</v>
      </c>
      <c r="V337" s="160">
        <f>ROUND((157/100)*ROUND([3]Source!R218, 2), 2)</f>
        <v>0</v>
      </c>
    </row>
    <row r="338" spans="1:22" ht="14.25" x14ac:dyDescent="0.2">
      <c r="A338" s="179"/>
      <c r="B338" s="178"/>
      <c r="C338" s="178" t="s">
        <v>194</v>
      </c>
      <c r="D338" s="177" t="s">
        <v>187</v>
      </c>
      <c r="E338" s="174">
        <v>110</v>
      </c>
      <c r="F338" s="176"/>
      <c r="G338" s="175"/>
      <c r="H338" s="174"/>
      <c r="I338" s="173">
        <v>113416.69</v>
      </c>
      <c r="J338" s="174">
        <v>88</v>
      </c>
      <c r="K338" s="173">
        <v>2118623.73</v>
      </c>
    </row>
    <row r="339" spans="1:22" ht="14.25" x14ac:dyDescent="0.2">
      <c r="A339" s="172"/>
      <c r="B339" s="171"/>
      <c r="C339" s="171" t="s">
        <v>193</v>
      </c>
      <c r="D339" s="170" t="s">
        <v>187</v>
      </c>
      <c r="E339" s="167">
        <v>85</v>
      </c>
      <c r="F339" s="169"/>
      <c r="G339" s="168"/>
      <c r="H339" s="167"/>
      <c r="I339" s="166">
        <v>87640.17</v>
      </c>
      <c r="J339" s="167">
        <v>41</v>
      </c>
      <c r="K339" s="166">
        <v>987086.06</v>
      </c>
    </row>
    <row r="340" spans="1:22" ht="15" x14ac:dyDescent="0.25">
      <c r="A340" s="164"/>
      <c r="B340" s="164"/>
      <c r="C340" s="165" t="s">
        <v>183</v>
      </c>
      <c r="D340" s="164"/>
      <c r="E340" s="164"/>
      <c r="F340" s="164"/>
      <c r="G340" s="164"/>
      <c r="H340" s="414">
        <v>341695.76</v>
      </c>
      <c r="I340" s="414"/>
      <c r="J340" s="414">
        <v>5785024.2199999997</v>
      </c>
      <c r="K340" s="414"/>
      <c r="O340" s="163">
        <f>I328+I329+I338+I339+SUM(I330:I337)</f>
        <v>341695.76</v>
      </c>
      <c r="P340" s="163">
        <f>K328+K329+K338+K339+SUM(K330:K337)</f>
        <v>5785024.2199999997</v>
      </c>
    </row>
    <row r="342" spans="1:22" ht="42.75" x14ac:dyDescent="0.2">
      <c r="A342" s="179" t="s">
        <v>1737</v>
      </c>
      <c r="B342" s="178" t="s">
        <v>2031</v>
      </c>
      <c r="C342" s="178" t="s">
        <v>438</v>
      </c>
      <c r="D342" s="177" t="s">
        <v>1903</v>
      </c>
      <c r="E342" s="174">
        <v>599</v>
      </c>
      <c r="F342" s="176"/>
      <c r="G342" s="175"/>
      <c r="H342" s="174"/>
      <c r="I342" s="173"/>
      <c r="J342" s="174"/>
      <c r="K342" s="173"/>
      <c r="Q342" s="160">
        <f>[3]Source!X221</f>
        <v>7775.02</v>
      </c>
      <c r="R342" s="160">
        <f>[3]Source!X222</f>
        <v>145237.37</v>
      </c>
      <c r="S342" s="160">
        <f>[3]Source!Y221</f>
        <v>6007.97</v>
      </c>
      <c r="T342" s="160">
        <f>[3]Source!Y222</f>
        <v>67667.41</v>
      </c>
      <c r="U342" s="160">
        <f>ROUND((175/100)*ROUND([3]Source!R221, 2), 2)</f>
        <v>0</v>
      </c>
      <c r="V342" s="160">
        <f>ROUND((157/100)*ROUND([3]Source!R222, 2), 2)</f>
        <v>0</v>
      </c>
    </row>
    <row r="343" spans="1:22" ht="14.25" x14ac:dyDescent="0.2">
      <c r="A343" s="179"/>
      <c r="B343" s="178"/>
      <c r="C343" s="178" t="s">
        <v>197</v>
      </c>
      <c r="D343" s="177"/>
      <c r="E343" s="174"/>
      <c r="F343" s="176">
        <v>11.8</v>
      </c>
      <c r="G343" s="175" t="s">
        <v>195</v>
      </c>
      <c r="H343" s="174">
        <v>1</v>
      </c>
      <c r="I343" s="173">
        <v>7068.2</v>
      </c>
      <c r="J343" s="174">
        <v>23.35</v>
      </c>
      <c r="K343" s="173">
        <v>165042.47</v>
      </c>
    </row>
    <row r="344" spans="1:22" ht="14.25" x14ac:dyDescent="0.2">
      <c r="A344" s="179"/>
      <c r="B344" s="178"/>
      <c r="C344" s="178" t="s">
        <v>194</v>
      </c>
      <c r="D344" s="177" t="s">
        <v>187</v>
      </c>
      <c r="E344" s="174">
        <v>110</v>
      </c>
      <c r="F344" s="176"/>
      <c r="G344" s="175"/>
      <c r="H344" s="174"/>
      <c r="I344" s="173">
        <v>7775.02</v>
      </c>
      <c r="J344" s="174">
        <v>88</v>
      </c>
      <c r="K344" s="173">
        <v>145237.37</v>
      </c>
    </row>
    <row r="345" spans="1:22" ht="14.25" x14ac:dyDescent="0.2">
      <c r="A345" s="172"/>
      <c r="B345" s="171"/>
      <c r="C345" s="171" t="s">
        <v>193</v>
      </c>
      <c r="D345" s="170" t="s">
        <v>187</v>
      </c>
      <c r="E345" s="167">
        <v>85</v>
      </c>
      <c r="F345" s="169"/>
      <c r="G345" s="168"/>
      <c r="H345" s="167"/>
      <c r="I345" s="166">
        <v>6007.97</v>
      </c>
      <c r="J345" s="167">
        <v>41</v>
      </c>
      <c r="K345" s="166">
        <v>67667.41</v>
      </c>
    </row>
    <row r="346" spans="1:22" ht="15" x14ac:dyDescent="0.25">
      <c r="A346" s="164"/>
      <c r="B346" s="164"/>
      <c r="C346" s="165" t="s">
        <v>183</v>
      </c>
      <c r="D346" s="164"/>
      <c r="E346" s="164"/>
      <c r="F346" s="164"/>
      <c r="G346" s="164"/>
      <c r="H346" s="414">
        <v>20851.189999999999</v>
      </c>
      <c r="I346" s="414"/>
      <c r="J346" s="414">
        <v>377947.25</v>
      </c>
      <c r="K346" s="414"/>
      <c r="O346" s="163">
        <f>I343+I344+I345</f>
        <v>20851.189999999999</v>
      </c>
      <c r="P346" s="163">
        <f>K343+K344+K345</f>
        <v>377947.25</v>
      </c>
    </row>
    <row r="348" spans="1:22" ht="28.5" x14ac:dyDescent="0.2">
      <c r="A348" s="179" t="s">
        <v>1740</v>
      </c>
      <c r="B348" s="178" t="s">
        <v>2032</v>
      </c>
      <c r="C348" s="178" t="s">
        <v>437</v>
      </c>
      <c r="D348" s="177" t="s">
        <v>1903</v>
      </c>
      <c r="E348" s="174">
        <v>1294</v>
      </c>
      <c r="F348" s="176"/>
      <c r="G348" s="175"/>
      <c r="H348" s="174"/>
      <c r="I348" s="173"/>
      <c r="J348" s="174"/>
      <c r="K348" s="173"/>
      <c r="Q348" s="160">
        <f>[3]Source!X223</f>
        <v>111139.07</v>
      </c>
      <c r="R348" s="160">
        <f>[3]Source!X224</f>
        <v>2076077.86</v>
      </c>
      <c r="S348" s="160">
        <f>[3]Source!Y223</f>
        <v>85880.19</v>
      </c>
      <c r="T348" s="160">
        <f>[3]Source!Y224</f>
        <v>967263.55</v>
      </c>
      <c r="U348" s="160">
        <f>ROUND((175/100)*ROUND([3]Source!R223, 2), 2)</f>
        <v>0</v>
      </c>
      <c r="V348" s="160">
        <f>ROUND((157/100)*ROUND([3]Source!R224, 2), 2)</f>
        <v>0</v>
      </c>
    </row>
    <row r="349" spans="1:22" ht="14.25" x14ac:dyDescent="0.2">
      <c r="A349" s="179"/>
      <c r="B349" s="178"/>
      <c r="C349" s="178" t="s">
        <v>197</v>
      </c>
      <c r="D349" s="177"/>
      <c r="E349" s="174"/>
      <c r="F349" s="176">
        <v>78.08</v>
      </c>
      <c r="G349" s="175" t="s">
        <v>195</v>
      </c>
      <c r="H349" s="174">
        <v>1</v>
      </c>
      <c r="I349" s="173">
        <v>101035.52</v>
      </c>
      <c r="J349" s="174">
        <v>23.35</v>
      </c>
      <c r="K349" s="173">
        <v>2359179.39</v>
      </c>
    </row>
    <row r="350" spans="1:22" ht="14.25" x14ac:dyDescent="0.2">
      <c r="A350" s="179"/>
      <c r="B350" s="178"/>
      <c r="C350" s="178" t="s">
        <v>205</v>
      </c>
      <c r="D350" s="177"/>
      <c r="E350" s="174"/>
      <c r="F350" s="176">
        <v>2.41</v>
      </c>
      <c r="G350" s="175" t="s">
        <v>195</v>
      </c>
      <c r="H350" s="174">
        <v>1</v>
      </c>
      <c r="I350" s="173">
        <v>3118.54</v>
      </c>
      <c r="J350" s="174">
        <v>3.71</v>
      </c>
      <c r="K350" s="173">
        <v>11569.78</v>
      </c>
    </row>
    <row r="351" spans="1:22" ht="14.25" x14ac:dyDescent="0.2">
      <c r="A351" s="179" t="s">
        <v>1742</v>
      </c>
      <c r="B351" s="178" t="s">
        <v>2022</v>
      </c>
      <c r="C351" s="178" t="s">
        <v>390</v>
      </c>
      <c r="D351" s="177" t="s">
        <v>1584</v>
      </c>
      <c r="E351" s="174">
        <v>77.64</v>
      </c>
      <c r="F351" s="176">
        <v>31.52</v>
      </c>
      <c r="G351" s="182" t="s">
        <v>195</v>
      </c>
      <c r="H351" s="174">
        <v>1</v>
      </c>
      <c r="I351" s="173">
        <v>2447.21</v>
      </c>
      <c r="J351" s="174">
        <v>11.83</v>
      </c>
      <c r="K351" s="173">
        <v>28950.49</v>
      </c>
      <c r="Q351" s="160">
        <f>[3]Source!X225</f>
        <v>0</v>
      </c>
      <c r="R351" s="160">
        <f>[3]Source!X226</f>
        <v>0</v>
      </c>
      <c r="S351" s="160">
        <f>[3]Source!Y225</f>
        <v>0</v>
      </c>
      <c r="T351" s="160">
        <f>[3]Source!Y226</f>
        <v>0</v>
      </c>
      <c r="U351" s="160">
        <f>ROUND((175/100)*ROUND([3]Source!R225, 2), 2)</f>
        <v>0</v>
      </c>
      <c r="V351" s="160">
        <f>ROUND((157/100)*ROUND([3]Source!R226, 2), 2)</f>
        <v>0</v>
      </c>
    </row>
    <row r="352" spans="1:22" ht="14.25" x14ac:dyDescent="0.2">
      <c r="A352" s="179" t="s">
        <v>2033</v>
      </c>
      <c r="B352" s="178" t="s">
        <v>2034</v>
      </c>
      <c r="C352" s="178" t="s">
        <v>436</v>
      </c>
      <c r="D352" s="177" t="s">
        <v>1584</v>
      </c>
      <c r="E352" s="174">
        <v>64.7</v>
      </c>
      <c r="F352" s="176">
        <v>33.58</v>
      </c>
      <c r="G352" s="182" t="s">
        <v>195</v>
      </c>
      <c r="H352" s="174">
        <v>1</v>
      </c>
      <c r="I352" s="173">
        <v>2172.63</v>
      </c>
      <c r="J352" s="174">
        <v>10.01</v>
      </c>
      <c r="K352" s="173">
        <v>21748.03</v>
      </c>
      <c r="Q352" s="160">
        <f>[3]Source!X227</f>
        <v>0</v>
      </c>
      <c r="R352" s="160">
        <f>[3]Source!X228</f>
        <v>0</v>
      </c>
      <c r="S352" s="160">
        <f>[3]Source!Y227</f>
        <v>0</v>
      </c>
      <c r="T352" s="160">
        <f>[3]Source!Y228</f>
        <v>0</v>
      </c>
      <c r="U352" s="160">
        <f>ROUND((175/100)*ROUND([3]Source!R227, 2), 2)</f>
        <v>0</v>
      </c>
      <c r="V352" s="160">
        <f>ROUND((157/100)*ROUND([3]Source!R228, 2), 2)</f>
        <v>0</v>
      </c>
    </row>
    <row r="353" spans="1:22" ht="14.25" x14ac:dyDescent="0.2">
      <c r="A353" s="179" t="s">
        <v>2035</v>
      </c>
      <c r="B353" s="178" t="s">
        <v>2028</v>
      </c>
      <c r="C353" s="178" t="s">
        <v>388</v>
      </c>
      <c r="D353" s="177" t="s">
        <v>1584</v>
      </c>
      <c r="E353" s="174">
        <v>38.82</v>
      </c>
      <c r="F353" s="176">
        <v>37.479999999999997</v>
      </c>
      <c r="G353" s="182" t="s">
        <v>195</v>
      </c>
      <c r="H353" s="174">
        <v>1</v>
      </c>
      <c r="I353" s="173">
        <v>1454.97</v>
      </c>
      <c r="J353" s="174">
        <v>26.77</v>
      </c>
      <c r="K353" s="173">
        <v>38949.550000000003</v>
      </c>
      <c r="Q353" s="160">
        <f>[3]Source!X229</f>
        <v>0</v>
      </c>
      <c r="R353" s="160">
        <f>[3]Source!X230</f>
        <v>0</v>
      </c>
      <c r="S353" s="160">
        <f>[3]Source!Y229</f>
        <v>0</v>
      </c>
      <c r="T353" s="160">
        <f>[3]Source!Y230</f>
        <v>0</v>
      </c>
      <c r="U353" s="160">
        <f>ROUND((175/100)*ROUND([3]Source!R229, 2), 2)</f>
        <v>0</v>
      </c>
      <c r="V353" s="160">
        <f>ROUND((157/100)*ROUND([3]Source!R230, 2), 2)</f>
        <v>0</v>
      </c>
    </row>
    <row r="354" spans="1:22" ht="14.25" x14ac:dyDescent="0.2">
      <c r="A354" s="179"/>
      <c r="B354" s="178"/>
      <c r="C354" s="178" t="s">
        <v>194</v>
      </c>
      <c r="D354" s="177" t="s">
        <v>187</v>
      </c>
      <c r="E354" s="174">
        <v>110</v>
      </c>
      <c r="F354" s="176"/>
      <c r="G354" s="175"/>
      <c r="H354" s="174"/>
      <c r="I354" s="173">
        <v>111139.07</v>
      </c>
      <c r="J354" s="174">
        <v>88</v>
      </c>
      <c r="K354" s="173">
        <v>2076077.86</v>
      </c>
    </row>
    <row r="355" spans="1:22" ht="14.25" x14ac:dyDescent="0.2">
      <c r="A355" s="172"/>
      <c r="B355" s="171"/>
      <c r="C355" s="171" t="s">
        <v>193</v>
      </c>
      <c r="D355" s="170" t="s">
        <v>187</v>
      </c>
      <c r="E355" s="167">
        <v>85</v>
      </c>
      <c r="F355" s="169"/>
      <c r="G355" s="168"/>
      <c r="H355" s="167"/>
      <c r="I355" s="166">
        <v>85880.19</v>
      </c>
      <c r="J355" s="167">
        <v>41</v>
      </c>
      <c r="K355" s="166">
        <v>967263.55</v>
      </c>
    </row>
    <row r="356" spans="1:22" ht="15" x14ac:dyDescent="0.25">
      <c r="A356" s="164"/>
      <c r="B356" s="164"/>
      <c r="C356" s="165" t="s">
        <v>183</v>
      </c>
      <c r="D356" s="164"/>
      <c r="E356" s="164"/>
      <c r="F356" s="164"/>
      <c r="G356" s="164"/>
      <c r="H356" s="414">
        <v>307248.13</v>
      </c>
      <c r="I356" s="414"/>
      <c r="J356" s="414">
        <v>5503738.6500000004</v>
      </c>
      <c r="K356" s="414"/>
      <c r="O356" s="163">
        <f>I349+I350+I354+I355+SUM(I351:I353)</f>
        <v>307248.13</v>
      </c>
      <c r="P356" s="163">
        <f>K349+K350+K354+K355+SUM(K351:K353)</f>
        <v>5503738.6500000004</v>
      </c>
    </row>
    <row r="358" spans="1:22" ht="42.75" x14ac:dyDescent="0.2">
      <c r="A358" s="179" t="s">
        <v>1744</v>
      </c>
      <c r="B358" s="178" t="s">
        <v>2036</v>
      </c>
      <c r="C358" s="178" t="s">
        <v>435</v>
      </c>
      <c r="D358" s="177" t="s">
        <v>2037</v>
      </c>
      <c r="E358" s="174">
        <v>1294</v>
      </c>
      <c r="F358" s="176"/>
      <c r="G358" s="175"/>
      <c r="H358" s="174"/>
      <c r="I358" s="173"/>
      <c r="J358" s="174"/>
      <c r="K358" s="173"/>
      <c r="Q358" s="160">
        <f>[3]Source!X231</f>
        <v>11785.75</v>
      </c>
      <c r="R358" s="160">
        <f>[3]Source!X232</f>
        <v>220157.85</v>
      </c>
      <c r="S358" s="160">
        <f>[3]Source!Y231</f>
        <v>9107.17</v>
      </c>
      <c r="T358" s="160">
        <f>[3]Source!Y232</f>
        <v>102573.54</v>
      </c>
      <c r="U358" s="160">
        <f>ROUND((175/100)*ROUND([3]Source!R231, 2), 2)</f>
        <v>0</v>
      </c>
      <c r="V358" s="160">
        <f>ROUND((157/100)*ROUND([3]Source!R232, 2), 2)</f>
        <v>0</v>
      </c>
    </row>
    <row r="359" spans="1:22" ht="14.25" x14ac:dyDescent="0.2">
      <c r="A359" s="179"/>
      <c r="B359" s="178"/>
      <c r="C359" s="178" t="s">
        <v>197</v>
      </c>
      <c r="D359" s="177"/>
      <c r="E359" s="174"/>
      <c r="F359" s="176">
        <v>8.2799999999999994</v>
      </c>
      <c r="G359" s="175" t="s">
        <v>195</v>
      </c>
      <c r="H359" s="174">
        <v>1</v>
      </c>
      <c r="I359" s="173">
        <v>10714.32</v>
      </c>
      <c r="J359" s="174">
        <v>23.35</v>
      </c>
      <c r="K359" s="173">
        <v>250179.37</v>
      </c>
    </row>
    <row r="360" spans="1:22" ht="14.25" x14ac:dyDescent="0.2">
      <c r="A360" s="179"/>
      <c r="B360" s="178"/>
      <c r="C360" s="178" t="s">
        <v>194</v>
      </c>
      <c r="D360" s="177" t="s">
        <v>187</v>
      </c>
      <c r="E360" s="174">
        <v>110</v>
      </c>
      <c r="F360" s="176"/>
      <c r="G360" s="175"/>
      <c r="H360" s="174"/>
      <c r="I360" s="173">
        <v>11785.75</v>
      </c>
      <c r="J360" s="174">
        <v>88</v>
      </c>
      <c r="K360" s="173">
        <v>220157.85</v>
      </c>
    </row>
    <row r="361" spans="1:22" ht="14.25" x14ac:dyDescent="0.2">
      <c r="A361" s="172"/>
      <c r="B361" s="171"/>
      <c r="C361" s="171" t="s">
        <v>193</v>
      </c>
      <c r="D361" s="170" t="s">
        <v>187</v>
      </c>
      <c r="E361" s="167">
        <v>85</v>
      </c>
      <c r="F361" s="169"/>
      <c r="G361" s="168"/>
      <c r="H361" s="167"/>
      <c r="I361" s="166">
        <v>9107.17</v>
      </c>
      <c r="J361" s="167">
        <v>41</v>
      </c>
      <c r="K361" s="166">
        <v>102573.54</v>
      </c>
    </row>
    <row r="362" spans="1:22" ht="15" x14ac:dyDescent="0.25">
      <c r="A362" s="164"/>
      <c r="B362" s="164"/>
      <c r="C362" s="165" t="s">
        <v>183</v>
      </c>
      <c r="D362" s="164"/>
      <c r="E362" s="164"/>
      <c r="F362" s="164"/>
      <c r="G362" s="164"/>
      <c r="H362" s="414">
        <v>31607.24</v>
      </c>
      <c r="I362" s="414"/>
      <c r="J362" s="414">
        <v>572910.76</v>
      </c>
      <c r="K362" s="414"/>
      <c r="O362" s="163">
        <f>I359+I360+I361</f>
        <v>31607.24</v>
      </c>
      <c r="P362" s="163">
        <f>K359+K360+K361</f>
        <v>572910.76</v>
      </c>
    </row>
    <row r="365" spans="1:22" ht="15" x14ac:dyDescent="0.25">
      <c r="A365" s="417" t="s">
        <v>2038</v>
      </c>
      <c r="B365" s="417"/>
      <c r="C365" s="417"/>
      <c r="D365" s="417"/>
      <c r="E365" s="417"/>
      <c r="F365" s="417"/>
      <c r="G365" s="417"/>
      <c r="H365" s="415">
        <v>2858105.01</v>
      </c>
      <c r="I365" s="416"/>
      <c r="J365" s="415">
        <v>46833898.329999998</v>
      </c>
      <c r="K365" s="416"/>
    </row>
    <row r="366" spans="1:22" hidden="1" x14ac:dyDescent="0.2">
      <c r="A366" s="160" t="s">
        <v>182</v>
      </c>
      <c r="I366" s="160">
        <v>0</v>
      </c>
      <c r="J366" s="160">
        <v>0</v>
      </c>
    </row>
    <row r="367" spans="1:22" hidden="1" x14ac:dyDescent="0.2">
      <c r="A367" s="160" t="s">
        <v>181</v>
      </c>
      <c r="I367" s="160">
        <v>0</v>
      </c>
      <c r="J367" s="160">
        <v>0</v>
      </c>
    </row>
    <row r="369" spans="1:22" ht="16.5" x14ac:dyDescent="0.25">
      <c r="A369" s="413" t="s">
        <v>2039</v>
      </c>
      <c r="B369" s="413"/>
      <c r="C369" s="413"/>
      <c r="D369" s="413"/>
      <c r="E369" s="413"/>
      <c r="F369" s="413"/>
      <c r="G369" s="413"/>
      <c r="H369" s="413"/>
      <c r="I369" s="413"/>
      <c r="J369" s="413"/>
      <c r="K369" s="413"/>
    </row>
    <row r="370" spans="1:22" ht="28.5" x14ac:dyDescent="0.2">
      <c r="A370" s="179" t="s">
        <v>2040</v>
      </c>
      <c r="B370" s="178" t="s">
        <v>2041</v>
      </c>
      <c r="C370" s="178" t="s">
        <v>434</v>
      </c>
      <c r="D370" s="177" t="s">
        <v>2042</v>
      </c>
      <c r="E370" s="174">
        <v>2</v>
      </c>
      <c r="F370" s="176"/>
      <c r="G370" s="175"/>
      <c r="H370" s="174"/>
      <c r="I370" s="173"/>
      <c r="J370" s="174"/>
      <c r="K370" s="173"/>
      <c r="Q370" s="160">
        <f>[3]Source!X268</f>
        <v>8.82</v>
      </c>
      <c r="R370" s="160">
        <f>[3]Source!X269</f>
        <v>166.72</v>
      </c>
      <c r="S370" s="160">
        <f>[3]Source!Y268</f>
        <v>5.88</v>
      </c>
      <c r="T370" s="160">
        <f>[3]Source!Y269</f>
        <v>80.42</v>
      </c>
      <c r="U370" s="160">
        <f>ROUND((175/100)*ROUND([3]Source!R268, 2), 2)</f>
        <v>0</v>
      </c>
      <c r="V370" s="160">
        <f>ROUND((157/100)*ROUND([3]Source!R269, 2), 2)</f>
        <v>0</v>
      </c>
    </row>
    <row r="371" spans="1:22" ht="14.25" x14ac:dyDescent="0.2">
      <c r="A371" s="179"/>
      <c r="B371" s="178"/>
      <c r="C371" s="178" t="s">
        <v>197</v>
      </c>
      <c r="D371" s="177"/>
      <c r="E371" s="174"/>
      <c r="F371" s="176">
        <v>4.2</v>
      </c>
      <c r="G371" s="175" t="s">
        <v>195</v>
      </c>
      <c r="H371" s="174">
        <v>1</v>
      </c>
      <c r="I371" s="173">
        <v>8.4</v>
      </c>
      <c r="J371" s="174">
        <v>23.35</v>
      </c>
      <c r="K371" s="173">
        <v>196.14</v>
      </c>
    </row>
    <row r="372" spans="1:22" ht="28.5" x14ac:dyDescent="0.2">
      <c r="A372" s="179" t="s">
        <v>2043</v>
      </c>
      <c r="B372" s="178" t="s">
        <v>1532</v>
      </c>
      <c r="C372" s="178" t="s">
        <v>351</v>
      </c>
      <c r="D372" s="177" t="s">
        <v>1533</v>
      </c>
      <c r="E372" s="174">
        <v>-1.7999999999999999E-2</v>
      </c>
      <c r="F372" s="176">
        <v>0</v>
      </c>
      <c r="G372" s="182" t="s">
        <v>195</v>
      </c>
      <c r="H372" s="174">
        <v>1</v>
      </c>
      <c r="I372" s="173">
        <v>0</v>
      </c>
      <c r="J372" s="174">
        <v>1</v>
      </c>
      <c r="K372" s="173">
        <v>0</v>
      </c>
      <c r="Q372" s="160">
        <f>[3]Source!X270</f>
        <v>0</v>
      </c>
      <c r="R372" s="160">
        <f>[3]Source!X271</f>
        <v>0</v>
      </c>
      <c r="S372" s="160">
        <f>[3]Source!Y270</f>
        <v>0</v>
      </c>
      <c r="T372" s="160">
        <f>[3]Source!Y271</f>
        <v>0</v>
      </c>
      <c r="U372" s="160">
        <f>ROUND((175/100)*ROUND([3]Source!R270, 2), 2)</f>
        <v>0</v>
      </c>
      <c r="V372" s="160">
        <f>ROUND((157/100)*ROUND([3]Source!R271, 2), 2)</f>
        <v>0</v>
      </c>
    </row>
    <row r="373" spans="1:22" ht="14.25" x14ac:dyDescent="0.2">
      <c r="A373" s="179"/>
      <c r="B373" s="178"/>
      <c r="C373" s="178" t="s">
        <v>194</v>
      </c>
      <c r="D373" s="177" t="s">
        <v>187</v>
      </c>
      <c r="E373" s="174">
        <v>105</v>
      </c>
      <c r="F373" s="176"/>
      <c r="G373" s="175"/>
      <c r="H373" s="174"/>
      <c r="I373" s="173">
        <v>8.82</v>
      </c>
      <c r="J373" s="174">
        <v>85</v>
      </c>
      <c r="K373" s="173">
        <v>166.72</v>
      </c>
    </row>
    <row r="374" spans="1:22" ht="14.25" x14ac:dyDescent="0.2">
      <c r="A374" s="172"/>
      <c r="B374" s="171"/>
      <c r="C374" s="171" t="s">
        <v>193</v>
      </c>
      <c r="D374" s="170" t="s">
        <v>187</v>
      </c>
      <c r="E374" s="167">
        <v>70</v>
      </c>
      <c r="F374" s="169"/>
      <c r="G374" s="168"/>
      <c r="H374" s="167"/>
      <c r="I374" s="166">
        <v>5.88</v>
      </c>
      <c r="J374" s="167">
        <v>41</v>
      </c>
      <c r="K374" s="166">
        <v>80.42</v>
      </c>
    </row>
    <row r="375" spans="1:22" ht="15" x14ac:dyDescent="0.25">
      <c r="A375" s="164"/>
      <c r="B375" s="164"/>
      <c r="C375" s="165" t="s">
        <v>183</v>
      </c>
      <c r="D375" s="164"/>
      <c r="E375" s="164"/>
      <c r="F375" s="164"/>
      <c r="G375" s="164"/>
      <c r="H375" s="414">
        <v>23.1</v>
      </c>
      <c r="I375" s="414"/>
      <c r="J375" s="414">
        <v>443.28</v>
      </c>
      <c r="K375" s="414"/>
      <c r="O375" s="163">
        <f>I371+I373+I374+SUM(I372:I372)</f>
        <v>23.1</v>
      </c>
      <c r="P375" s="163">
        <f>K371+K373+K374+SUM(K372:K372)</f>
        <v>443.28</v>
      </c>
    </row>
    <row r="377" spans="1:22" ht="42.75" x14ac:dyDescent="0.2">
      <c r="A377" s="179" t="s">
        <v>1748</v>
      </c>
      <c r="B377" s="178" t="s">
        <v>1988</v>
      </c>
      <c r="C377" s="178" t="s">
        <v>433</v>
      </c>
      <c r="D377" s="177" t="s">
        <v>1989</v>
      </c>
      <c r="E377" s="174">
        <v>4</v>
      </c>
      <c r="F377" s="176"/>
      <c r="G377" s="175"/>
      <c r="H377" s="174"/>
      <c r="I377" s="173"/>
      <c r="J377" s="174"/>
      <c r="K377" s="173"/>
      <c r="Q377" s="160">
        <f>[3]Source!X272</f>
        <v>75.430000000000007</v>
      </c>
      <c r="R377" s="160">
        <f>[3]Source!X273</f>
        <v>1425.84</v>
      </c>
      <c r="S377" s="160">
        <f>[3]Source!Y272</f>
        <v>50.29</v>
      </c>
      <c r="T377" s="160">
        <f>[3]Source!Y273</f>
        <v>687.76</v>
      </c>
      <c r="U377" s="160">
        <f>ROUND((175/100)*ROUND([3]Source!R272, 2), 2)</f>
        <v>0</v>
      </c>
      <c r="V377" s="160">
        <f>ROUND((157/100)*ROUND([3]Source!R273, 2), 2)</f>
        <v>0</v>
      </c>
    </row>
    <row r="378" spans="1:22" ht="14.25" x14ac:dyDescent="0.2">
      <c r="A378" s="179"/>
      <c r="B378" s="178"/>
      <c r="C378" s="178" t="s">
        <v>197</v>
      </c>
      <c r="D378" s="177"/>
      <c r="E378" s="174"/>
      <c r="F378" s="176">
        <v>17.96</v>
      </c>
      <c r="G378" s="175" t="s">
        <v>195</v>
      </c>
      <c r="H378" s="174">
        <v>1</v>
      </c>
      <c r="I378" s="173">
        <v>71.84</v>
      </c>
      <c r="J378" s="174">
        <v>23.35</v>
      </c>
      <c r="K378" s="173">
        <v>1677.46</v>
      </c>
    </row>
    <row r="379" spans="1:22" ht="28.5" x14ac:dyDescent="0.2">
      <c r="A379" s="179" t="s">
        <v>1751</v>
      </c>
      <c r="B379" s="178" t="s">
        <v>1532</v>
      </c>
      <c r="C379" s="178" t="s">
        <v>351</v>
      </c>
      <c r="D379" s="177" t="s">
        <v>1533</v>
      </c>
      <c r="E379" s="174">
        <v>-4.3999999999999997E-2</v>
      </c>
      <c r="F379" s="176">
        <v>0</v>
      </c>
      <c r="G379" s="182" t="s">
        <v>195</v>
      </c>
      <c r="H379" s="174">
        <v>1</v>
      </c>
      <c r="I379" s="173">
        <v>0</v>
      </c>
      <c r="J379" s="174">
        <v>1</v>
      </c>
      <c r="K379" s="173">
        <v>0</v>
      </c>
      <c r="Q379" s="160">
        <f>[3]Source!X274</f>
        <v>0</v>
      </c>
      <c r="R379" s="160">
        <f>[3]Source!X275</f>
        <v>0</v>
      </c>
      <c r="S379" s="160">
        <f>[3]Source!Y274</f>
        <v>0</v>
      </c>
      <c r="T379" s="160">
        <f>[3]Source!Y275</f>
        <v>0</v>
      </c>
      <c r="U379" s="160">
        <f>ROUND((175/100)*ROUND([3]Source!R274, 2), 2)</f>
        <v>0</v>
      </c>
      <c r="V379" s="160">
        <f>ROUND((157/100)*ROUND([3]Source!R275, 2), 2)</f>
        <v>0</v>
      </c>
    </row>
    <row r="380" spans="1:22" ht="14.25" x14ac:dyDescent="0.2">
      <c r="A380" s="179"/>
      <c r="B380" s="178"/>
      <c r="C380" s="178" t="s">
        <v>194</v>
      </c>
      <c r="D380" s="177" t="s">
        <v>187</v>
      </c>
      <c r="E380" s="174">
        <v>105</v>
      </c>
      <c r="F380" s="176"/>
      <c r="G380" s="175"/>
      <c r="H380" s="174"/>
      <c r="I380" s="173">
        <v>75.430000000000007</v>
      </c>
      <c r="J380" s="174">
        <v>85</v>
      </c>
      <c r="K380" s="173">
        <v>1425.84</v>
      </c>
    </row>
    <row r="381" spans="1:22" ht="14.25" x14ac:dyDescent="0.2">
      <c r="A381" s="172"/>
      <c r="B381" s="171"/>
      <c r="C381" s="171" t="s">
        <v>193</v>
      </c>
      <c r="D381" s="170" t="s">
        <v>187</v>
      </c>
      <c r="E381" s="167">
        <v>70</v>
      </c>
      <c r="F381" s="169"/>
      <c r="G381" s="168"/>
      <c r="H381" s="167"/>
      <c r="I381" s="166">
        <v>50.29</v>
      </c>
      <c r="J381" s="167">
        <v>41</v>
      </c>
      <c r="K381" s="166">
        <v>687.76</v>
      </c>
    </row>
    <row r="382" spans="1:22" ht="15" x14ac:dyDescent="0.25">
      <c r="A382" s="164"/>
      <c r="B382" s="164"/>
      <c r="C382" s="165" t="s">
        <v>183</v>
      </c>
      <c r="D382" s="164"/>
      <c r="E382" s="164"/>
      <c r="F382" s="164"/>
      <c r="G382" s="164"/>
      <c r="H382" s="414">
        <v>197.56</v>
      </c>
      <c r="I382" s="414"/>
      <c r="J382" s="414">
        <v>3791.06</v>
      </c>
      <c r="K382" s="414"/>
      <c r="O382" s="163">
        <f>I378+I380+I381+SUM(I379:I379)</f>
        <v>197.56</v>
      </c>
      <c r="P382" s="163">
        <f>K378+K380+K381+SUM(K379:K379)</f>
        <v>3791.06</v>
      </c>
    </row>
    <row r="384" spans="1:22" ht="28.5" x14ac:dyDescent="0.2">
      <c r="A384" s="179" t="s">
        <v>1753</v>
      </c>
      <c r="B384" s="178" t="s">
        <v>2044</v>
      </c>
      <c r="C384" s="178" t="s">
        <v>409</v>
      </c>
      <c r="D384" s="177" t="s">
        <v>2045</v>
      </c>
      <c r="E384" s="174">
        <v>2</v>
      </c>
      <c r="F384" s="176"/>
      <c r="G384" s="175"/>
      <c r="H384" s="174"/>
      <c r="I384" s="173"/>
      <c r="J384" s="174"/>
      <c r="K384" s="173"/>
      <c r="Q384" s="160">
        <f>[3]Source!X276</f>
        <v>18.46</v>
      </c>
      <c r="R384" s="160">
        <f>[3]Source!X277</f>
        <v>348.92</v>
      </c>
      <c r="S384" s="160">
        <f>[3]Source!Y276</f>
        <v>12.31</v>
      </c>
      <c r="T384" s="160">
        <f>[3]Source!Y277</f>
        <v>168.3</v>
      </c>
      <c r="U384" s="160">
        <f>ROUND((175/100)*ROUND([3]Source!R276, 2), 2)</f>
        <v>0</v>
      </c>
      <c r="V384" s="160">
        <f>ROUND((157/100)*ROUND([3]Source!R277, 2), 2)</f>
        <v>0</v>
      </c>
    </row>
    <row r="385" spans="1:22" ht="14.25" x14ac:dyDescent="0.2">
      <c r="A385" s="179"/>
      <c r="B385" s="178"/>
      <c r="C385" s="178" t="s">
        <v>197</v>
      </c>
      <c r="D385" s="177"/>
      <c r="E385" s="174"/>
      <c r="F385" s="176">
        <v>8.7899999999999991</v>
      </c>
      <c r="G385" s="175" t="s">
        <v>195</v>
      </c>
      <c r="H385" s="174">
        <v>1</v>
      </c>
      <c r="I385" s="173">
        <v>17.579999999999998</v>
      </c>
      <c r="J385" s="174">
        <v>23.35</v>
      </c>
      <c r="K385" s="173">
        <v>410.49</v>
      </c>
    </row>
    <row r="386" spans="1:22" ht="28.5" x14ac:dyDescent="0.2">
      <c r="A386" s="179" t="s">
        <v>1754</v>
      </c>
      <c r="B386" s="178" t="s">
        <v>1532</v>
      </c>
      <c r="C386" s="178" t="s">
        <v>351</v>
      </c>
      <c r="D386" s="177" t="s">
        <v>1533</v>
      </c>
      <c r="E386" s="174">
        <v>-4.2000000000000003E-2</v>
      </c>
      <c r="F386" s="176">
        <v>0</v>
      </c>
      <c r="G386" s="182" t="s">
        <v>195</v>
      </c>
      <c r="H386" s="174">
        <v>1</v>
      </c>
      <c r="I386" s="173">
        <v>0</v>
      </c>
      <c r="J386" s="174">
        <v>1</v>
      </c>
      <c r="K386" s="173">
        <v>0</v>
      </c>
      <c r="Q386" s="160">
        <f>[3]Source!X278</f>
        <v>0</v>
      </c>
      <c r="R386" s="160">
        <f>[3]Source!X279</f>
        <v>0</v>
      </c>
      <c r="S386" s="160">
        <f>[3]Source!Y278</f>
        <v>0</v>
      </c>
      <c r="T386" s="160">
        <f>[3]Source!Y279</f>
        <v>0</v>
      </c>
      <c r="U386" s="160">
        <f>ROUND((175/100)*ROUND([3]Source!R278, 2), 2)</f>
        <v>0</v>
      </c>
      <c r="V386" s="160">
        <f>ROUND((157/100)*ROUND([3]Source!R279, 2), 2)</f>
        <v>0</v>
      </c>
    </row>
    <row r="387" spans="1:22" ht="14.25" x14ac:dyDescent="0.2">
      <c r="A387" s="179"/>
      <c r="B387" s="178"/>
      <c r="C387" s="178" t="s">
        <v>194</v>
      </c>
      <c r="D387" s="177" t="s">
        <v>187</v>
      </c>
      <c r="E387" s="174">
        <v>105</v>
      </c>
      <c r="F387" s="176"/>
      <c r="G387" s="175"/>
      <c r="H387" s="174"/>
      <c r="I387" s="173">
        <v>18.46</v>
      </c>
      <c r="J387" s="174">
        <v>85</v>
      </c>
      <c r="K387" s="173">
        <v>348.92</v>
      </c>
    </row>
    <row r="388" spans="1:22" ht="14.25" x14ac:dyDescent="0.2">
      <c r="A388" s="172"/>
      <c r="B388" s="171"/>
      <c r="C388" s="171" t="s">
        <v>193</v>
      </c>
      <c r="D388" s="170" t="s">
        <v>187</v>
      </c>
      <c r="E388" s="167">
        <v>70</v>
      </c>
      <c r="F388" s="169"/>
      <c r="G388" s="168"/>
      <c r="H388" s="167"/>
      <c r="I388" s="166">
        <v>12.31</v>
      </c>
      <c r="J388" s="167">
        <v>41</v>
      </c>
      <c r="K388" s="166">
        <v>168.3</v>
      </c>
    </row>
    <row r="389" spans="1:22" ht="15" x14ac:dyDescent="0.25">
      <c r="A389" s="164"/>
      <c r="B389" s="164"/>
      <c r="C389" s="165" t="s">
        <v>183</v>
      </c>
      <c r="D389" s="164"/>
      <c r="E389" s="164"/>
      <c r="F389" s="164"/>
      <c r="G389" s="164"/>
      <c r="H389" s="414">
        <v>48.35</v>
      </c>
      <c r="I389" s="414"/>
      <c r="J389" s="414">
        <v>927.71</v>
      </c>
      <c r="K389" s="414"/>
      <c r="O389" s="163">
        <f>I385+I387+I388+SUM(I386:I386)</f>
        <v>48.35</v>
      </c>
      <c r="P389" s="163">
        <f>K385+K387+K388+SUM(K386:K386)</f>
        <v>927.71</v>
      </c>
    </row>
    <row r="391" spans="1:22" ht="28.5" x14ac:dyDescent="0.2">
      <c r="A391" s="179" t="s">
        <v>1756</v>
      </c>
      <c r="B391" s="178" t="s">
        <v>1985</v>
      </c>
      <c r="C391" s="178" t="s">
        <v>432</v>
      </c>
      <c r="D391" s="177" t="s">
        <v>1986</v>
      </c>
      <c r="E391" s="174">
        <v>2</v>
      </c>
      <c r="F391" s="176"/>
      <c r="G391" s="175"/>
      <c r="H391" s="174"/>
      <c r="I391" s="173"/>
      <c r="J391" s="174"/>
      <c r="K391" s="173"/>
      <c r="Q391" s="160">
        <f>[3]Source!X280</f>
        <v>15.25</v>
      </c>
      <c r="R391" s="160">
        <f>[3]Source!X281</f>
        <v>288.18</v>
      </c>
      <c r="S391" s="160">
        <f>[3]Source!Y280</f>
        <v>10.16</v>
      </c>
      <c r="T391" s="160">
        <f>[3]Source!Y281</f>
        <v>139.01</v>
      </c>
      <c r="U391" s="160">
        <f>ROUND((175/100)*ROUND([3]Source!R280, 2), 2)</f>
        <v>0</v>
      </c>
      <c r="V391" s="160">
        <f>ROUND((157/100)*ROUND([3]Source!R281, 2), 2)</f>
        <v>0</v>
      </c>
    </row>
    <row r="392" spans="1:22" ht="14.25" x14ac:dyDescent="0.2">
      <c r="A392" s="179"/>
      <c r="B392" s="178"/>
      <c r="C392" s="178" t="s">
        <v>197</v>
      </c>
      <c r="D392" s="177"/>
      <c r="E392" s="174"/>
      <c r="F392" s="176">
        <v>7.26</v>
      </c>
      <c r="G392" s="175" t="s">
        <v>195</v>
      </c>
      <c r="H392" s="174">
        <v>1</v>
      </c>
      <c r="I392" s="173">
        <v>14.52</v>
      </c>
      <c r="J392" s="174">
        <v>23.35</v>
      </c>
      <c r="K392" s="173">
        <v>339.04</v>
      </c>
    </row>
    <row r="393" spans="1:22" ht="28.5" x14ac:dyDescent="0.2">
      <c r="A393" s="179" t="s">
        <v>1759</v>
      </c>
      <c r="B393" s="178" t="s">
        <v>1532</v>
      </c>
      <c r="C393" s="178" t="s">
        <v>351</v>
      </c>
      <c r="D393" s="177" t="s">
        <v>1533</v>
      </c>
      <c r="E393" s="174">
        <v>-1.6E-2</v>
      </c>
      <c r="F393" s="176">
        <v>0</v>
      </c>
      <c r="G393" s="182" t="s">
        <v>195</v>
      </c>
      <c r="H393" s="174">
        <v>1</v>
      </c>
      <c r="I393" s="173">
        <v>0</v>
      </c>
      <c r="J393" s="174">
        <v>1</v>
      </c>
      <c r="K393" s="173">
        <v>0</v>
      </c>
      <c r="Q393" s="160">
        <f>[3]Source!X282</f>
        <v>0</v>
      </c>
      <c r="R393" s="160">
        <f>[3]Source!X283</f>
        <v>0</v>
      </c>
      <c r="S393" s="160">
        <f>[3]Source!Y282</f>
        <v>0</v>
      </c>
      <c r="T393" s="160">
        <f>[3]Source!Y283</f>
        <v>0</v>
      </c>
      <c r="U393" s="160">
        <f>ROUND((175/100)*ROUND([3]Source!R282, 2), 2)</f>
        <v>0</v>
      </c>
      <c r="V393" s="160">
        <f>ROUND((157/100)*ROUND([3]Source!R283, 2), 2)</f>
        <v>0</v>
      </c>
    </row>
    <row r="394" spans="1:22" ht="14.25" x14ac:dyDescent="0.2">
      <c r="A394" s="179"/>
      <c r="B394" s="178"/>
      <c r="C394" s="178" t="s">
        <v>194</v>
      </c>
      <c r="D394" s="177" t="s">
        <v>187</v>
      </c>
      <c r="E394" s="174">
        <v>105</v>
      </c>
      <c r="F394" s="176"/>
      <c r="G394" s="175"/>
      <c r="H394" s="174"/>
      <c r="I394" s="173">
        <v>15.25</v>
      </c>
      <c r="J394" s="174">
        <v>85</v>
      </c>
      <c r="K394" s="173">
        <v>288.18</v>
      </c>
    </row>
    <row r="395" spans="1:22" ht="14.25" x14ac:dyDescent="0.2">
      <c r="A395" s="172"/>
      <c r="B395" s="171"/>
      <c r="C395" s="171" t="s">
        <v>193</v>
      </c>
      <c r="D395" s="170" t="s">
        <v>187</v>
      </c>
      <c r="E395" s="167">
        <v>70</v>
      </c>
      <c r="F395" s="169"/>
      <c r="G395" s="168"/>
      <c r="H395" s="167"/>
      <c r="I395" s="166">
        <v>10.16</v>
      </c>
      <c r="J395" s="167">
        <v>41</v>
      </c>
      <c r="K395" s="166">
        <v>139.01</v>
      </c>
    </row>
    <row r="396" spans="1:22" ht="15" x14ac:dyDescent="0.25">
      <c r="A396" s="164"/>
      <c r="B396" s="164"/>
      <c r="C396" s="165" t="s">
        <v>183</v>
      </c>
      <c r="D396" s="164"/>
      <c r="E396" s="164"/>
      <c r="F396" s="164"/>
      <c r="G396" s="164"/>
      <c r="H396" s="414">
        <v>39.93</v>
      </c>
      <c r="I396" s="414"/>
      <c r="J396" s="414">
        <v>766.23</v>
      </c>
      <c r="K396" s="414"/>
      <c r="O396" s="163">
        <f>I392+I394+I395+SUM(I393:I393)</f>
        <v>39.93</v>
      </c>
      <c r="P396" s="163">
        <f>K392+K394+K395+SUM(K393:K393)</f>
        <v>766.23</v>
      </c>
    </row>
    <row r="398" spans="1:22" ht="57" x14ac:dyDescent="0.2">
      <c r="A398" s="179" t="s">
        <v>1760</v>
      </c>
      <c r="B398" s="178" t="s">
        <v>1993</v>
      </c>
      <c r="C398" s="178" t="s">
        <v>431</v>
      </c>
      <c r="D398" s="177" t="s">
        <v>1994</v>
      </c>
      <c r="E398" s="174">
        <v>13.62</v>
      </c>
      <c r="F398" s="176"/>
      <c r="G398" s="175"/>
      <c r="H398" s="174"/>
      <c r="I398" s="173"/>
      <c r="J398" s="174"/>
      <c r="K398" s="173"/>
      <c r="Q398" s="160">
        <f>[3]Source!X284</f>
        <v>913.32</v>
      </c>
      <c r="R398" s="160">
        <f>[3]Source!X285</f>
        <v>17263.95</v>
      </c>
      <c r="S398" s="160">
        <f>[3]Source!Y284</f>
        <v>608.88</v>
      </c>
      <c r="T398" s="160">
        <f>[3]Source!Y285</f>
        <v>8327.32</v>
      </c>
      <c r="U398" s="160">
        <f>ROUND((175/100)*ROUND([3]Source!R284, 2), 2)</f>
        <v>1.44</v>
      </c>
      <c r="V398" s="160">
        <f>ROUND((157/100)*ROUND([3]Source!R285, 2), 2)</f>
        <v>30.07</v>
      </c>
    </row>
    <row r="399" spans="1:22" ht="14.25" x14ac:dyDescent="0.2">
      <c r="A399" s="179"/>
      <c r="B399" s="178"/>
      <c r="C399" s="178" t="s">
        <v>197</v>
      </c>
      <c r="D399" s="177"/>
      <c r="E399" s="174"/>
      <c r="F399" s="176">
        <v>53.22</v>
      </c>
      <c r="G399" s="175" t="s">
        <v>1995</v>
      </c>
      <c r="H399" s="174">
        <v>1</v>
      </c>
      <c r="I399" s="173">
        <v>869.83</v>
      </c>
      <c r="J399" s="174">
        <v>23.35</v>
      </c>
      <c r="K399" s="173">
        <v>20310.53</v>
      </c>
    </row>
    <row r="400" spans="1:22" ht="14.25" x14ac:dyDescent="0.2">
      <c r="A400" s="179"/>
      <c r="B400" s="178"/>
      <c r="C400" s="178" t="s">
        <v>184</v>
      </c>
      <c r="D400" s="177"/>
      <c r="E400" s="174"/>
      <c r="F400" s="176">
        <v>0.3</v>
      </c>
      <c r="G400" s="175" t="s">
        <v>195</v>
      </c>
      <c r="H400" s="174">
        <v>1</v>
      </c>
      <c r="I400" s="173">
        <v>4.09</v>
      </c>
      <c r="J400" s="174">
        <v>8.9700000000000006</v>
      </c>
      <c r="K400" s="173">
        <v>36.69</v>
      </c>
    </row>
    <row r="401" spans="1:22" ht="14.25" x14ac:dyDescent="0.2">
      <c r="A401" s="179"/>
      <c r="B401" s="178"/>
      <c r="C401" s="178" t="s">
        <v>189</v>
      </c>
      <c r="D401" s="177"/>
      <c r="E401" s="174"/>
      <c r="F401" s="176">
        <v>0.06</v>
      </c>
      <c r="G401" s="175" t="s">
        <v>195</v>
      </c>
      <c r="H401" s="174">
        <v>1</v>
      </c>
      <c r="I401" s="180">
        <v>0.82</v>
      </c>
      <c r="J401" s="174">
        <v>23.35</v>
      </c>
      <c r="K401" s="180">
        <v>19.149999999999999</v>
      </c>
    </row>
    <row r="402" spans="1:22" ht="14.25" x14ac:dyDescent="0.2">
      <c r="A402" s="179"/>
      <c r="B402" s="178"/>
      <c r="C402" s="178" t="s">
        <v>205</v>
      </c>
      <c r="D402" s="177"/>
      <c r="E402" s="174"/>
      <c r="F402" s="176">
        <v>5</v>
      </c>
      <c r="G402" s="175" t="s">
        <v>195</v>
      </c>
      <c r="H402" s="174">
        <v>1</v>
      </c>
      <c r="I402" s="173">
        <v>68.099999999999994</v>
      </c>
      <c r="J402" s="174">
        <v>15.84</v>
      </c>
      <c r="K402" s="173">
        <v>1078.7</v>
      </c>
    </row>
    <row r="403" spans="1:22" ht="42.75" x14ac:dyDescent="0.2">
      <c r="A403" s="179" t="s">
        <v>1762</v>
      </c>
      <c r="B403" s="178" t="s">
        <v>1996</v>
      </c>
      <c r="C403" s="178" t="s">
        <v>427</v>
      </c>
      <c r="D403" s="177" t="s">
        <v>1594</v>
      </c>
      <c r="E403" s="174">
        <v>0.33</v>
      </c>
      <c r="F403" s="176">
        <v>6634.93</v>
      </c>
      <c r="G403" s="182" t="s">
        <v>195</v>
      </c>
      <c r="H403" s="174">
        <v>1</v>
      </c>
      <c r="I403" s="173">
        <v>2189.5300000000002</v>
      </c>
      <c r="J403" s="174">
        <v>8.4499999999999993</v>
      </c>
      <c r="K403" s="173">
        <v>18501.53</v>
      </c>
      <c r="Q403" s="160">
        <f>[3]Source!X286</f>
        <v>0</v>
      </c>
      <c r="R403" s="160">
        <f>[3]Source!X287</f>
        <v>0</v>
      </c>
      <c r="S403" s="160">
        <f>[3]Source!Y286</f>
        <v>0</v>
      </c>
      <c r="T403" s="160">
        <f>[3]Source!Y287</f>
        <v>0</v>
      </c>
      <c r="U403" s="160">
        <f>ROUND((175/100)*ROUND([3]Source!R286, 2), 2)</f>
        <v>0</v>
      </c>
      <c r="V403" s="160">
        <f>ROUND((157/100)*ROUND([3]Source!R287, 2), 2)</f>
        <v>0</v>
      </c>
    </row>
    <row r="404" spans="1:22" ht="14.25" x14ac:dyDescent="0.2">
      <c r="A404" s="179"/>
      <c r="B404" s="178"/>
      <c r="C404" s="178" t="s">
        <v>194</v>
      </c>
      <c r="D404" s="177" t="s">
        <v>187</v>
      </c>
      <c r="E404" s="174">
        <v>105</v>
      </c>
      <c r="F404" s="176"/>
      <c r="G404" s="175"/>
      <c r="H404" s="174"/>
      <c r="I404" s="173">
        <v>913.32</v>
      </c>
      <c r="J404" s="174">
        <v>85</v>
      </c>
      <c r="K404" s="173">
        <v>17263.95</v>
      </c>
    </row>
    <row r="405" spans="1:22" ht="14.25" x14ac:dyDescent="0.2">
      <c r="A405" s="179"/>
      <c r="B405" s="178"/>
      <c r="C405" s="178" t="s">
        <v>193</v>
      </c>
      <c r="D405" s="177" t="s">
        <v>187</v>
      </c>
      <c r="E405" s="174">
        <v>70</v>
      </c>
      <c r="F405" s="176"/>
      <c r="G405" s="175"/>
      <c r="H405" s="174"/>
      <c r="I405" s="173">
        <v>608.88</v>
      </c>
      <c r="J405" s="174">
        <v>41</v>
      </c>
      <c r="K405" s="173">
        <v>8327.32</v>
      </c>
    </row>
    <row r="406" spans="1:22" ht="14.25" x14ac:dyDescent="0.2">
      <c r="A406" s="172"/>
      <c r="B406" s="171"/>
      <c r="C406" s="171" t="s">
        <v>188</v>
      </c>
      <c r="D406" s="170" t="s">
        <v>187</v>
      </c>
      <c r="E406" s="167">
        <v>175</v>
      </c>
      <c r="F406" s="169"/>
      <c r="G406" s="168"/>
      <c r="H406" s="167"/>
      <c r="I406" s="166">
        <v>1.44</v>
      </c>
      <c r="J406" s="167">
        <v>157</v>
      </c>
      <c r="K406" s="166">
        <v>30.07</v>
      </c>
    </row>
    <row r="407" spans="1:22" ht="15" x14ac:dyDescent="0.25">
      <c r="A407" s="164"/>
      <c r="B407" s="164"/>
      <c r="C407" s="165" t="s">
        <v>183</v>
      </c>
      <c r="D407" s="164"/>
      <c r="E407" s="164"/>
      <c r="F407" s="164"/>
      <c r="G407" s="164"/>
      <c r="H407" s="414">
        <v>4655.1899999999996</v>
      </c>
      <c r="I407" s="414"/>
      <c r="J407" s="414">
        <v>65548.789999999994</v>
      </c>
      <c r="K407" s="414"/>
      <c r="O407" s="163">
        <f>I399+I400+I402+I404+I405+I406+SUM(I403:I403)</f>
        <v>4655.1899999999996</v>
      </c>
      <c r="P407" s="163">
        <f>K399+K400+K402+K404+K405+K406+SUM(K403:K403)</f>
        <v>65548.789999999994</v>
      </c>
    </row>
    <row r="409" spans="1:22" ht="57" x14ac:dyDescent="0.2">
      <c r="A409" s="179" t="s">
        <v>1768</v>
      </c>
      <c r="B409" s="178" t="s">
        <v>1997</v>
      </c>
      <c r="C409" s="178" t="s">
        <v>430</v>
      </c>
      <c r="D409" s="177" t="s">
        <v>1994</v>
      </c>
      <c r="E409" s="174">
        <v>8.08</v>
      </c>
      <c r="F409" s="176"/>
      <c r="G409" s="175"/>
      <c r="H409" s="174"/>
      <c r="I409" s="173"/>
      <c r="J409" s="174"/>
      <c r="K409" s="173"/>
      <c r="Q409" s="160">
        <f>[3]Source!X288</f>
        <v>1485.89</v>
      </c>
      <c r="R409" s="160">
        <f>[3]Source!X289</f>
        <v>28086.799999999999</v>
      </c>
      <c r="S409" s="160">
        <f>[3]Source!Y288</f>
        <v>990.59</v>
      </c>
      <c r="T409" s="160">
        <f>[3]Source!Y289</f>
        <v>13547.75</v>
      </c>
      <c r="U409" s="160">
        <f>ROUND((175/100)*ROUND([3]Source!R288, 2), 2)</f>
        <v>1.1399999999999999</v>
      </c>
      <c r="V409" s="160">
        <f>ROUND((157/100)*ROUND([3]Source!R289, 2), 2)</f>
        <v>23.83</v>
      </c>
    </row>
    <row r="410" spans="1:22" ht="14.25" x14ac:dyDescent="0.2">
      <c r="A410" s="179"/>
      <c r="B410" s="178"/>
      <c r="C410" s="178" t="s">
        <v>197</v>
      </c>
      <c r="D410" s="177"/>
      <c r="E410" s="174"/>
      <c r="F410" s="176">
        <v>145.94999999999999</v>
      </c>
      <c r="G410" s="175" t="s">
        <v>1995</v>
      </c>
      <c r="H410" s="174">
        <v>1</v>
      </c>
      <c r="I410" s="173">
        <v>1415.13</v>
      </c>
      <c r="J410" s="174">
        <v>23.35</v>
      </c>
      <c r="K410" s="173">
        <v>33043.29</v>
      </c>
    </row>
    <row r="411" spans="1:22" ht="14.25" x14ac:dyDescent="0.2">
      <c r="A411" s="179"/>
      <c r="B411" s="178"/>
      <c r="C411" s="178" t="s">
        <v>184</v>
      </c>
      <c r="D411" s="177"/>
      <c r="E411" s="174"/>
      <c r="F411" s="176">
        <v>0.4</v>
      </c>
      <c r="G411" s="175" t="s">
        <v>195</v>
      </c>
      <c r="H411" s="174">
        <v>1</v>
      </c>
      <c r="I411" s="173">
        <v>3.23</v>
      </c>
      <c r="J411" s="174">
        <v>8.9499999999999993</v>
      </c>
      <c r="K411" s="173">
        <v>28.91</v>
      </c>
    </row>
    <row r="412" spans="1:22" ht="14.25" x14ac:dyDescent="0.2">
      <c r="A412" s="179"/>
      <c r="B412" s="178"/>
      <c r="C412" s="178" t="s">
        <v>189</v>
      </c>
      <c r="D412" s="177"/>
      <c r="E412" s="174"/>
      <c r="F412" s="176">
        <v>0.08</v>
      </c>
      <c r="G412" s="175" t="s">
        <v>195</v>
      </c>
      <c r="H412" s="174">
        <v>1</v>
      </c>
      <c r="I412" s="180">
        <v>0.65</v>
      </c>
      <c r="J412" s="174">
        <v>23.35</v>
      </c>
      <c r="K412" s="180">
        <v>15.18</v>
      </c>
    </row>
    <row r="413" spans="1:22" ht="14.25" x14ac:dyDescent="0.2">
      <c r="A413" s="179"/>
      <c r="B413" s="178"/>
      <c r="C413" s="178" t="s">
        <v>205</v>
      </c>
      <c r="D413" s="177"/>
      <c r="E413" s="174"/>
      <c r="F413" s="176">
        <v>6.37</v>
      </c>
      <c r="G413" s="175" t="s">
        <v>195</v>
      </c>
      <c r="H413" s="174">
        <v>1</v>
      </c>
      <c r="I413" s="173">
        <v>51.47</v>
      </c>
      <c r="J413" s="174">
        <v>15.95</v>
      </c>
      <c r="K413" s="173">
        <v>820.95</v>
      </c>
    </row>
    <row r="414" spans="1:22" ht="42.75" x14ac:dyDescent="0.2">
      <c r="A414" s="179" t="s">
        <v>1770</v>
      </c>
      <c r="B414" s="178" t="s">
        <v>1996</v>
      </c>
      <c r="C414" s="178" t="s">
        <v>427</v>
      </c>
      <c r="D414" s="177" t="s">
        <v>1594</v>
      </c>
      <c r="E414" s="174">
        <v>0.24</v>
      </c>
      <c r="F414" s="176">
        <v>6634.93</v>
      </c>
      <c r="G414" s="182" t="s">
        <v>195</v>
      </c>
      <c r="H414" s="174">
        <v>1</v>
      </c>
      <c r="I414" s="173">
        <v>1592.38</v>
      </c>
      <c r="J414" s="174">
        <v>8.4499999999999993</v>
      </c>
      <c r="K414" s="173">
        <v>13455.61</v>
      </c>
      <c r="Q414" s="160">
        <f>[3]Source!X290</f>
        <v>0</v>
      </c>
      <c r="R414" s="160">
        <f>[3]Source!X291</f>
        <v>0</v>
      </c>
      <c r="S414" s="160">
        <f>[3]Source!Y290</f>
        <v>0</v>
      </c>
      <c r="T414" s="160">
        <f>[3]Source!Y291</f>
        <v>0</v>
      </c>
      <c r="U414" s="160">
        <f>ROUND((175/100)*ROUND([3]Source!R290, 2), 2)</f>
        <v>0</v>
      </c>
      <c r="V414" s="160">
        <f>ROUND((157/100)*ROUND([3]Source!R291, 2), 2)</f>
        <v>0</v>
      </c>
    </row>
    <row r="415" spans="1:22" ht="14.25" x14ac:dyDescent="0.2">
      <c r="A415" s="179"/>
      <c r="B415" s="178"/>
      <c r="C415" s="178" t="s">
        <v>194</v>
      </c>
      <c r="D415" s="177" t="s">
        <v>187</v>
      </c>
      <c r="E415" s="174">
        <v>105</v>
      </c>
      <c r="F415" s="176"/>
      <c r="G415" s="175"/>
      <c r="H415" s="174"/>
      <c r="I415" s="173">
        <v>1485.89</v>
      </c>
      <c r="J415" s="174">
        <v>85</v>
      </c>
      <c r="K415" s="173">
        <v>28086.799999999999</v>
      </c>
    </row>
    <row r="416" spans="1:22" ht="14.25" x14ac:dyDescent="0.2">
      <c r="A416" s="179"/>
      <c r="B416" s="178"/>
      <c r="C416" s="178" t="s">
        <v>193</v>
      </c>
      <c r="D416" s="177" t="s">
        <v>187</v>
      </c>
      <c r="E416" s="174">
        <v>70</v>
      </c>
      <c r="F416" s="176"/>
      <c r="G416" s="175"/>
      <c r="H416" s="174"/>
      <c r="I416" s="173">
        <v>990.59</v>
      </c>
      <c r="J416" s="174">
        <v>41</v>
      </c>
      <c r="K416" s="173">
        <v>13547.75</v>
      </c>
    </row>
    <row r="417" spans="1:22" ht="14.25" x14ac:dyDescent="0.2">
      <c r="A417" s="172"/>
      <c r="B417" s="171"/>
      <c r="C417" s="171" t="s">
        <v>188</v>
      </c>
      <c r="D417" s="170" t="s">
        <v>187</v>
      </c>
      <c r="E417" s="167">
        <v>175</v>
      </c>
      <c r="F417" s="169"/>
      <c r="G417" s="168"/>
      <c r="H417" s="167"/>
      <c r="I417" s="166">
        <v>1.1399999999999999</v>
      </c>
      <c r="J417" s="167">
        <v>157</v>
      </c>
      <c r="K417" s="166">
        <v>23.83</v>
      </c>
    </row>
    <row r="418" spans="1:22" ht="15" x14ac:dyDescent="0.25">
      <c r="A418" s="164"/>
      <c r="B418" s="164"/>
      <c r="C418" s="165" t="s">
        <v>183</v>
      </c>
      <c r="D418" s="164"/>
      <c r="E418" s="164"/>
      <c r="F418" s="164"/>
      <c r="G418" s="164"/>
      <c r="H418" s="414">
        <v>5539.83</v>
      </c>
      <c r="I418" s="414"/>
      <c r="J418" s="414">
        <v>89007.14</v>
      </c>
      <c r="K418" s="414"/>
      <c r="O418" s="163">
        <f>I410+I411+I413+I415+I416+I417+SUM(I414:I414)</f>
        <v>5539.83</v>
      </c>
      <c r="P418" s="163">
        <f>K410+K411+K413+K415+K416+K417+SUM(K414:K414)</f>
        <v>89007.14</v>
      </c>
    </row>
    <row r="420" spans="1:22" ht="57" x14ac:dyDescent="0.2">
      <c r="A420" s="179" t="s">
        <v>1771</v>
      </c>
      <c r="B420" s="178" t="s">
        <v>2046</v>
      </c>
      <c r="C420" s="178" t="s">
        <v>429</v>
      </c>
      <c r="D420" s="177" t="s">
        <v>2001</v>
      </c>
      <c r="E420" s="174">
        <v>1.84</v>
      </c>
      <c r="F420" s="176"/>
      <c r="G420" s="175"/>
      <c r="H420" s="174"/>
      <c r="I420" s="173"/>
      <c r="J420" s="174"/>
      <c r="K420" s="173"/>
      <c r="Q420" s="160">
        <f>[3]Source!X292</f>
        <v>1055.18</v>
      </c>
      <c r="R420" s="160">
        <f>[3]Source!X293</f>
        <v>19945.349999999999</v>
      </c>
      <c r="S420" s="160">
        <f>[3]Source!Y292</f>
        <v>703.45</v>
      </c>
      <c r="T420" s="160">
        <f>[3]Source!Y293</f>
        <v>9620.7000000000007</v>
      </c>
      <c r="U420" s="160">
        <f>ROUND((175/100)*ROUND([3]Source!R292, 2), 2)</f>
        <v>0.32</v>
      </c>
      <c r="V420" s="160">
        <f>ROUND((157/100)*ROUND([3]Source!R293, 2), 2)</f>
        <v>6.59</v>
      </c>
    </row>
    <row r="421" spans="1:22" ht="14.25" x14ac:dyDescent="0.2">
      <c r="A421" s="179"/>
      <c r="B421" s="178"/>
      <c r="C421" s="178" t="s">
        <v>197</v>
      </c>
      <c r="D421" s="177"/>
      <c r="E421" s="174"/>
      <c r="F421" s="176">
        <v>546.16</v>
      </c>
      <c r="G421" s="175" t="s">
        <v>195</v>
      </c>
      <c r="H421" s="174">
        <v>1</v>
      </c>
      <c r="I421" s="173">
        <v>1004.93</v>
      </c>
      <c r="J421" s="174">
        <v>23.35</v>
      </c>
      <c r="K421" s="173">
        <v>23465.119999999999</v>
      </c>
    </row>
    <row r="422" spans="1:22" ht="14.25" x14ac:dyDescent="0.2">
      <c r="A422" s="179"/>
      <c r="B422" s="178"/>
      <c r="C422" s="178" t="s">
        <v>184</v>
      </c>
      <c r="D422" s="177"/>
      <c r="E422" s="174"/>
      <c r="F422" s="176">
        <v>0.5</v>
      </c>
      <c r="G422" s="175" t="s">
        <v>195</v>
      </c>
      <c r="H422" s="174">
        <v>1</v>
      </c>
      <c r="I422" s="173">
        <v>0.92</v>
      </c>
      <c r="J422" s="174">
        <v>8.9600000000000009</v>
      </c>
      <c r="K422" s="173">
        <v>8.24</v>
      </c>
    </row>
    <row r="423" spans="1:22" ht="14.25" x14ac:dyDescent="0.2">
      <c r="A423" s="179"/>
      <c r="B423" s="178"/>
      <c r="C423" s="178" t="s">
        <v>189</v>
      </c>
      <c r="D423" s="177"/>
      <c r="E423" s="174"/>
      <c r="F423" s="176">
        <v>0.1</v>
      </c>
      <c r="G423" s="175" t="s">
        <v>195</v>
      </c>
      <c r="H423" s="174">
        <v>1</v>
      </c>
      <c r="I423" s="180">
        <v>0.18</v>
      </c>
      <c r="J423" s="174">
        <v>23.35</v>
      </c>
      <c r="K423" s="180">
        <v>4.2</v>
      </c>
    </row>
    <row r="424" spans="1:22" ht="14.25" x14ac:dyDescent="0.2">
      <c r="A424" s="179"/>
      <c r="B424" s="178"/>
      <c r="C424" s="178" t="s">
        <v>205</v>
      </c>
      <c r="D424" s="177"/>
      <c r="E424" s="174"/>
      <c r="F424" s="176">
        <v>3.67</v>
      </c>
      <c r="G424" s="175" t="s">
        <v>195</v>
      </c>
      <c r="H424" s="174">
        <v>1</v>
      </c>
      <c r="I424" s="173">
        <v>6.75</v>
      </c>
      <c r="J424" s="174">
        <v>5.01</v>
      </c>
      <c r="K424" s="173">
        <v>33.82</v>
      </c>
    </row>
    <row r="425" spans="1:22" ht="42.75" x14ac:dyDescent="0.2">
      <c r="A425" s="179" t="s">
        <v>1774</v>
      </c>
      <c r="B425" s="178" t="s">
        <v>1996</v>
      </c>
      <c r="C425" s="178" t="s">
        <v>427</v>
      </c>
      <c r="D425" s="177" t="s">
        <v>1594</v>
      </c>
      <c r="E425" s="174">
        <v>0.08</v>
      </c>
      <c r="F425" s="176">
        <v>6634.93</v>
      </c>
      <c r="G425" s="182" t="s">
        <v>195</v>
      </c>
      <c r="H425" s="174">
        <v>1</v>
      </c>
      <c r="I425" s="173">
        <v>530.79</v>
      </c>
      <c r="J425" s="174">
        <v>8.4499999999999993</v>
      </c>
      <c r="K425" s="173">
        <v>4485.18</v>
      </c>
      <c r="Q425" s="160">
        <f>[3]Source!X294</f>
        <v>0</v>
      </c>
      <c r="R425" s="160">
        <f>[3]Source!X295</f>
        <v>0</v>
      </c>
      <c r="S425" s="160">
        <f>[3]Source!Y294</f>
        <v>0</v>
      </c>
      <c r="T425" s="160">
        <f>[3]Source!Y295</f>
        <v>0</v>
      </c>
      <c r="U425" s="160">
        <f>ROUND((175/100)*ROUND([3]Source!R294, 2), 2)</f>
        <v>0</v>
      </c>
      <c r="V425" s="160">
        <f>ROUND((157/100)*ROUND([3]Source!R295, 2), 2)</f>
        <v>0</v>
      </c>
    </row>
    <row r="426" spans="1:22" ht="14.25" x14ac:dyDescent="0.2">
      <c r="A426" s="179"/>
      <c r="B426" s="178"/>
      <c r="C426" s="178" t="s">
        <v>194</v>
      </c>
      <c r="D426" s="177" t="s">
        <v>187</v>
      </c>
      <c r="E426" s="174">
        <v>105</v>
      </c>
      <c r="F426" s="176"/>
      <c r="G426" s="175"/>
      <c r="H426" s="174"/>
      <c r="I426" s="173">
        <v>1055.18</v>
      </c>
      <c r="J426" s="174">
        <v>85</v>
      </c>
      <c r="K426" s="173">
        <v>19945.349999999999</v>
      </c>
    </row>
    <row r="427" spans="1:22" ht="14.25" x14ac:dyDescent="0.2">
      <c r="A427" s="179"/>
      <c r="B427" s="178"/>
      <c r="C427" s="178" t="s">
        <v>193</v>
      </c>
      <c r="D427" s="177" t="s">
        <v>187</v>
      </c>
      <c r="E427" s="174">
        <v>70</v>
      </c>
      <c r="F427" s="176"/>
      <c r="G427" s="175"/>
      <c r="H427" s="174"/>
      <c r="I427" s="173">
        <v>703.45</v>
      </c>
      <c r="J427" s="174">
        <v>41</v>
      </c>
      <c r="K427" s="173">
        <v>9620.7000000000007</v>
      </c>
    </row>
    <row r="428" spans="1:22" ht="14.25" x14ac:dyDescent="0.2">
      <c r="A428" s="172"/>
      <c r="B428" s="171"/>
      <c r="C428" s="171" t="s">
        <v>188</v>
      </c>
      <c r="D428" s="170" t="s">
        <v>187</v>
      </c>
      <c r="E428" s="167">
        <v>175</v>
      </c>
      <c r="F428" s="169"/>
      <c r="G428" s="168"/>
      <c r="H428" s="167"/>
      <c r="I428" s="166">
        <v>0.32</v>
      </c>
      <c r="J428" s="167">
        <v>157</v>
      </c>
      <c r="K428" s="166">
        <v>6.59</v>
      </c>
    </row>
    <row r="429" spans="1:22" ht="15" x14ac:dyDescent="0.25">
      <c r="A429" s="164"/>
      <c r="B429" s="164"/>
      <c r="C429" s="165" t="s">
        <v>183</v>
      </c>
      <c r="D429" s="164"/>
      <c r="E429" s="164"/>
      <c r="F429" s="164"/>
      <c r="G429" s="164"/>
      <c r="H429" s="414">
        <v>3302.34</v>
      </c>
      <c r="I429" s="414"/>
      <c r="J429" s="414">
        <v>57565</v>
      </c>
      <c r="K429" s="414"/>
      <c r="O429" s="163">
        <f>I421+I422+I424+I426+I427+I428+SUM(I425:I425)</f>
        <v>3302.34</v>
      </c>
      <c r="P429" s="163">
        <f>K421+K422+K424+K426+K427+K428+SUM(K425:K425)</f>
        <v>57565</v>
      </c>
    </row>
    <row r="431" spans="1:22" ht="42.75" x14ac:dyDescent="0.2">
      <c r="A431" s="179" t="s">
        <v>1775</v>
      </c>
      <c r="B431" s="178" t="s">
        <v>2004</v>
      </c>
      <c r="C431" s="178" t="s">
        <v>399</v>
      </c>
      <c r="D431" s="177" t="s">
        <v>2005</v>
      </c>
      <c r="E431" s="174">
        <v>1.5</v>
      </c>
      <c r="F431" s="176"/>
      <c r="G431" s="175"/>
      <c r="H431" s="174"/>
      <c r="I431" s="173"/>
      <c r="J431" s="174"/>
      <c r="K431" s="173"/>
      <c r="Q431" s="160">
        <f>[3]Source!X296</f>
        <v>64.88</v>
      </c>
      <c r="R431" s="160">
        <f>[3]Source!X297</f>
        <v>1226.3800000000001</v>
      </c>
      <c r="S431" s="160">
        <f>[3]Source!Y296</f>
        <v>43.25</v>
      </c>
      <c r="T431" s="160">
        <f>[3]Source!Y297</f>
        <v>591.54999999999995</v>
      </c>
      <c r="U431" s="160">
        <f>ROUND((175/100)*ROUND([3]Source!R296, 2), 2)</f>
        <v>0.05</v>
      </c>
      <c r="V431" s="160">
        <f>ROUND((157/100)*ROUND([3]Source!R297, 2), 2)</f>
        <v>1.1000000000000001</v>
      </c>
    </row>
    <row r="432" spans="1:22" ht="14.25" x14ac:dyDescent="0.2">
      <c r="A432" s="179"/>
      <c r="B432" s="178"/>
      <c r="C432" s="178" t="s">
        <v>197</v>
      </c>
      <c r="D432" s="177"/>
      <c r="E432" s="174"/>
      <c r="F432" s="176">
        <v>34.33</v>
      </c>
      <c r="G432" s="175" t="s">
        <v>1995</v>
      </c>
      <c r="H432" s="174">
        <v>1</v>
      </c>
      <c r="I432" s="173">
        <v>61.79</v>
      </c>
      <c r="J432" s="174">
        <v>23.35</v>
      </c>
      <c r="K432" s="173">
        <v>1442.8</v>
      </c>
    </row>
    <row r="433" spans="1:22" ht="14.25" x14ac:dyDescent="0.2">
      <c r="A433" s="179"/>
      <c r="B433" s="178"/>
      <c r="C433" s="178" t="s">
        <v>184</v>
      </c>
      <c r="D433" s="177"/>
      <c r="E433" s="174"/>
      <c r="F433" s="176">
        <v>2</v>
      </c>
      <c r="G433" s="175" t="s">
        <v>195</v>
      </c>
      <c r="H433" s="174">
        <v>1</v>
      </c>
      <c r="I433" s="173">
        <v>3</v>
      </c>
      <c r="J433" s="174">
        <v>4.1500000000000004</v>
      </c>
      <c r="K433" s="173">
        <v>12.45</v>
      </c>
    </row>
    <row r="434" spans="1:22" ht="14.25" x14ac:dyDescent="0.2">
      <c r="A434" s="179"/>
      <c r="B434" s="178"/>
      <c r="C434" s="178" t="s">
        <v>189</v>
      </c>
      <c r="D434" s="177"/>
      <c r="E434" s="174"/>
      <c r="F434" s="176">
        <v>0.02</v>
      </c>
      <c r="G434" s="175" t="s">
        <v>195</v>
      </c>
      <c r="H434" s="174">
        <v>1</v>
      </c>
      <c r="I434" s="180">
        <v>0.03</v>
      </c>
      <c r="J434" s="174">
        <v>23.35</v>
      </c>
      <c r="K434" s="180">
        <v>0.7</v>
      </c>
    </row>
    <row r="435" spans="1:22" ht="14.25" x14ac:dyDescent="0.2">
      <c r="A435" s="179"/>
      <c r="B435" s="178"/>
      <c r="C435" s="178" t="s">
        <v>205</v>
      </c>
      <c r="D435" s="177"/>
      <c r="E435" s="174"/>
      <c r="F435" s="176">
        <v>61.81</v>
      </c>
      <c r="G435" s="175" t="s">
        <v>195</v>
      </c>
      <c r="H435" s="174">
        <v>1</v>
      </c>
      <c r="I435" s="173">
        <v>92.72</v>
      </c>
      <c r="J435" s="174">
        <v>4.6399999999999997</v>
      </c>
      <c r="K435" s="173">
        <v>430.22</v>
      </c>
    </row>
    <row r="436" spans="1:22" ht="28.5" x14ac:dyDescent="0.2">
      <c r="A436" s="179" t="s">
        <v>1776</v>
      </c>
      <c r="B436" s="178" t="s">
        <v>2006</v>
      </c>
      <c r="C436" s="178" t="s">
        <v>398</v>
      </c>
      <c r="D436" s="177" t="s">
        <v>1552</v>
      </c>
      <c r="E436" s="174">
        <v>3.22</v>
      </c>
      <c r="F436" s="176">
        <v>3.55</v>
      </c>
      <c r="G436" s="182" t="s">
        <v>195</v>
      </c>
      <c r="H436" s="174">
        <v>1</v>
      </c>
      <c r="I436" s="173">
        <v>11.43</v>
      </c>
      <c r="J436" s="174">
        <v>2.44</v>
      </c>
      <c r="K436" s="173">
        <v>27.89</v>
      </c>
      <c r="Q436" s="160">
        <f>[3]Source!X298</f>
        <v>0</v>
      </c>
      <c r="R436" s="160">
        <f>[3]Source!X299</f>
        <v>0</v>
      </c>
      <c r="S436" s="160">
        <f>[3]Source!Y298</f>
        <v>0</v>
      </c>
      <c r="T436" s="160">
        <f>[3]Source!Y299</f>
        <v>0</v>
      </c>
      <c r="U436" s="160">
        <f>ROUND((175/100)*ROUND([3]Source!R298, 2), 2)</f>
        <v>0</v>
      </c>
      <c r="V436" s="160">
        <f>ROUND((157/100)*ROUND([3]Source!R299, 2), 2)</f>
        <v>0</v>
      </c>
    </row>
    <row r="437" spans="1:22" ht="42.75" x14ac:dyDescent="0.2">
      <c r="A437" s="179" t="s">
        <v>2047</v>
      </c>
      <c r="B437" s="178" t="s">
        <v>2007</v>
      </c>
      <c r="C437" s="178" t="s">
        <v>397</v>
      </c>
      <c r="D437" s="177" t="s">
        <v>1557</v>
      </c>
      <c r="E437" s="174">
        <v>1.5</v>
      </c>
      <c r="F437" s="176">
        <v>354.98</v>
      </c>
      <c r="G437" s="182" t="s">
        <v>195</v>
      </c>
      <c r="H437" s="174">
        <v>1</v>
      </c>
      <c r="I437" s="173">
        <v>532.47</v>
      </c>
      <c r="J437" s="174">
        <v>2.4500000000000002</v>
      </c>
      <c r="K437" s="173">
        <v>1304.55</v>
      </c>
      <c r="Q437" s="160">
        <f>[3]Source!X300</f>
        <v>0</v>
      </c>
      <c r="R437" s="160">
        <f>[3]Source!X301</f>
        <v>0</v>
      </c>
      <c r="S437" s="160">
        <f>[3]Source!Y300</f>
        <v>0</v>
      </c>
      <c r="T437" s="160">
        <f>[3]Source!Y301</f>
        <v>0</v>
      </c>
      <c r="U437" s="160">
        <f>ROUND((175/100)*ROUND([3]Source!R300, 2), 2)</f>
        <v>0</v>
      </c>
      <c r="V437" s="160">
        <f>ROUND((157/100)*ROUND([3]Source!R301, 2), 2)</f>
        <v>0</v>
      </c>
    </row>
    <row r="438" spans="1:22" ht="14.25" x14ac:dyDescent="0.2">
      <c r="A438" s="179"/>
      <c r="B438" s="178"/>
      <c r="C438" s="178" t="s">
        <v>194</v>
      </c>
      <c r="D438" s="177" t="s">
        <v>187</v>
      </c>
      <c r="E438" s="174">
        <v>105</v>
      </c>
      <c r="F438" s="176"/>
      <c r="G438" s="175"/>
      <c r="H438" s="174"/>
      <c r="I438" s="173">
        <v>64.88</v>
      </c>
      <c r="J438" s="174">
        <v>85</v>
      </c>
      <c r="K438" s="173">
        <v>1226.3800000000001</v>
      </c>
    </row>
    <row r="439" spans="1:22" ht="14.25" x14ac:dyDescent="0.2">
      <c r="A439" s="179"/>
      <c r="B439" s="178"/>
      <c r="C439" s="178" t="s">
        <v>193</v>
      </c>
      <c r="D439" s="177" t="s">
        <v>187</v>
      </c>
      <c r="E439" s="174">
        <v>70</v>
      </c>
      <c r="F439" s="176"/>
      <c r="G439" s="175"/>
      <c r="H439" s="174"/>
      <c r="I439" s="173">
        <v>43.25</v>
      </c>
      <c r="J439" s="174">
        <v>41</v>
      </c>
      <c r="K439" s="173">
        <v>591.54999999999995</v>
      </c>
    </row>
    <row r="440" spans="1:22" ht="14.25" x14ac:dyDescent="0.2">
      <c r="A440" s="172"/>
      <c r="B440" s="171"/>
      <c r="C440" s="171" t="s">
        <v>188</v>
      </c>
      <c r="D440" s="170" t="s">
        <v>187</v>
      </c>
      <c r="E440" s="167">
        <v>175</v>
      </c>
      <c r="F440" s="169"/>
      <c r="G440" s="168"/>
      <c r="H440" s="167"/>
      <c r="I440" s="166">
        <v>0.05</v>
      </c>
      <c r="J440" s="167">
        <v>157</v>
      </c>
      <c r="K440" s="166">
        <v>1.1000000000000001</v>
      </c>
    </row>
    <row r="441" spans="1:22" ht="15" x14ac:dyDescent="0.25">
      <c r="A441" s="164"/>
      <c r="B441" s="164"/>
      <c r="C441" s="165" t="s">
        <v>183</v>
      </c>
      <c r="D441" s="164"/>
      <c r="E441" s="164"/>
      <c r="F441" s="164"/>
      <c r="G441" s="164"/>
      <c r="H441" s="414">
        <v>809.59</v>
      </c>
      <c r="I441" s="414"/>
      <c r="J441" s="414">
        <v>5036.9399999999996</v>
      </c>
      <c r="K441" s="414"/>
      <c r="O441" s="163">
        <f>I432+I433+I435+I438+I439+I440+SUM(I436:I437)</f>
        <v>809.59</v>
      </c>
      <c r="P441" s="163">
        <f>K432+K433+K435+K438+K439+K440+SUM(K436:K437)</f>
        <v>5036.9399999999996</v>
      </c>
    </row>
    <row r="443" spans="1:22" ht="42.75" x14ac:dyDescent="0.2">
      <c r="A443" s="179" t="s">
        <v>1778</v>
      </c>
      <c r="B443" s="178" t="s">
        <v>2048</v>
      </c>
      <c r="C443" s="178" t="s">
        <v>428</v>
      </c>
      <c r="D443" s="177" t="s">
        <v>2049</v>
      </c>
      <c r="E443" s="174">
        <v>5.24</v>
      </c>
      <c r="F443" s="176"/>
      <c r="G443" s="175"/>
      <c r="H443" s="174"/>
      <c r="I443" s="173"/>
      <c r="J443" s="174"/>
      <c r="K443" s="173"/>
      <c r="Q443" s="160">
        <f>[3]Source!X302</f>
        <v>3424.07</v>
      </c>
      <c r="R443" s="160">
        <f>[3]Source!X303</f>
        <v>64723.1</v>
      </c>
      <c r="S443" s="160">
        <f>[3]Source!Y302</f>
        <v>2282.71</v>
      </c>
      <c r="T443" s="160">
        <f>[3]Source!Y303</f>
        <v>31219.38</v>
      </c>
      <c r="U443" s="160">
        <f>ROUND((175/100)*ROUND([3]Source!R302, 2), 2)</f>
        <v>3.48</v>
      </c>
      <c r="V443" s="160">
        <f>ROUND((157/100)*ROUND([3]Source!R303, 2), 2)</f>
        <v>72.959999999999994</v>
      </c>
    </row>
    <row r="444" spans="1:22" ht="14.25" x14ac:dyDescent="0.2">
      <c r="A444" s="179"/>
      <c r="B444" s="178"/>
      <c r="C444" s="178" t="s">
        <v>197</v>
      </c>
      <c r="D444" s="177"/>
      <c r="E444" s="174"/>
      <c r="F444" s="176">
        <v>518.61</v>
      </c>
      <c r="G444" s="175" t="s">
        <v>1995</v>
      </c>
      <c r="H444" s="174">
        <v>1</v>
      </c>
      <c r="I444" s="173">
        <v>3261.02</v>
      </c>
      <c r="J444" s="174">
        <v>23.35</v>
      </c>
      <c r="K444" s="173">
        <v>76144.820000000007</v>
      </c>
    </row>
    <row r="445" spans="1:22" ht="14.25" x14ac:dyDescent="0.2">
      <c r="A445" s="179"/>
      <c r="B445" s="178"/>
      <c r="C445" s="178" t="s">
        <v>184</v>
      </c>
      <c r="D445" s="177"/>
      <c r="E445" s="174"/>
      <c r="F445" s="176">
        <v>1.9</v>
      </c>
      <c r="G445" s="175" t="s">
        <v>195</v>
      </c>
      <c r="H445" s="174">
        <v>1</v>
      </c>
      <c r="I445" s="173">
        <v>9.9600000000000009</v>
      </c>
      <c r="J445" s="174">
        <v>8.9499999999999993</v>
      </c>
      <c r="K445" s="173">
        <v>89.14</v>
      </c>
    </row>
    <row r="446" spans="1:22" ht="14.25" x14ac:dyDescent="0.2">
      <c r="A446" s="179"/>
      <c r="B446" s="178"/>
      <c r="C446" s="178" t="s">
        <v>189</v>
      </c>
      <c r="D446" s="177"/>
      <c r="E446" s="174"/>
      <c r="F446" s="176">
        <v>0.38</v>
      </c>
      <c r="G446" s="175" t="s">
        <v>195</v>
      </c>
      <c r="H446" s="174">
        <v>1</v>
      </c>
      <c r="I446" s="180">
        <v>1.99</v>
      </c>
      <c r="J446" s="174">
        <v>23.35</v>
      </c>
      <c r="K446" s="180">
        <v>46.47</v>
      </c>
    </row>
    <row r="447" spans="1:22" ht="14.25" x14ac:dyDescent="0.2">
      <c r="A447" s="179"/>
      <c r="B447" s="178"/>
      <c r="C447" s="178" t="s">
        <v>205</v>
      </c>
      <c r="D447" s="177"/>
      <c r="E447" s="174"/>
      <c r="F447" s="176">
        <v>10.36</v>
      </c>
      <c r="G447" s="175" t="s">
        <v>195</v>
      </c>
      <c r="H447" s="174">
        <v>1</v>
      </c>
      <c r="I447" s="173">
        <v>54.29</v>
      </c>
      <c r="J447" s="174">
        <v>11.57</v>
      </c>
      <c r="K447" s="173">
        <v>628.14</v>
      </c>
    </row>
    <row r="448" spans="1:22" ht="42.75" x14ac:dyDescent="0.2">
      <c r="A448" s="179" t="s">
        <v>1779</v>
      </c>
      <c r="B448" s="178" t="s">
        <v>1996</v>
      </c>
      <c r="C448" s="178" t="s">
        <v>427</v>
      </c>
      <c r="D448" s="177" t="s">
        <v>1594</v>
      </c>
      <c r="E448" s="174">
        <v>0.8</v>
      </c>
      <c r="F448" s="176">
        <v>6634.93</v>
      </c>
      <c r="G448" s="182" t="s">
        <v>195</v>
      </c>
      <c r="H448" s="174">
        <v>1</v>
      </c>
      <c r="I448" s="173">
        <v>5307.94</v>
      </c>
      <c r="J448" s="174">
        <v>8.4499999999999993</v>
      </c>
      <c r="K448" s="173">
        <v>44852.09</v>
      </c>
      <c r="Q448" s="160">
        <f>[3]Source!X304</f>
        <v>0</v>
      </c>
      <c r="R448" s="160">
        <f>[3]Source!X305</f>
        <v>0</v>
      </c>
      <c r="S448" s="160">
        <f>[3]Source!Y304</f>
        <v>0</v>
      </c>
      <c r="T448" s="160">
        <f>[3]Source!Y305</f>
        <v>0</v>
      </c>
      <c r="U448" s="160">
        <f>ROUND((175/100)*ROUND([3]Source!R304, 2), 2)</f>
        <v>0</v>
      </c>
      <c r="V448" s="160">
        <f>ROUND((157/100)*ROUND([3]Source!R305, 2), 2)</f>
        <v>0</v>
      </c>
    </row>
    <row r="449" spans="1:22" ht="14.25" x14ac:dyDescent="0.2">
      <c r="A449" s="179"/>
      <c r="B449" s="178"/>
      <c r="C449" s="178" t="s">
        <v>194</v>
      </c>
      <c r="D449" s="177" t="s">
        <v>187</v>
      </c>
      <c r="E449" s="174">
        <v>105</v>
      </c>
      <c r="F449" s="176"/>
      <c r="G449" s="175"/>
      <c r="H449" s="174"/>
      <c r="I449" s="173">
        <v>3424.07</v>
      </c>
      <c r="J449" s="174">
        <v>85</v>
      </c>
      <c r="K449" s="173">
        <v>64723.1</v>
      </c>
    </row>
    <row r="450" spans="1:22" ht="14.25" x14ac:dyDescent="0.2">
      <c r="A450" s="179"/>
      <c r="B450" s="178"/>
      <c r="C450" s="178" t="s">
        <v>193</v>
      </c>
      <c r="D450" s="177" t="s">
        <v>187</v>
      </c>
      <c r="E450" s="174">
        <v>70</v>
      </c>
      <c r="F450" s="176"/>
      <c r="G450" s="175"/>
      <c r="H450" s="174"/>
      <c r="I450" s="173">
        <v>2282.71</v>
      </c>
      <c r="J450" s="174">
        <v>41</v>
      </c>
      <c r="K450" s="173">
        <v>31219.38</v>
      </c>
    </row>
    <row r="451" spans="1:22" ht="14.25" x14ac:dyDescent="0.2">
      <c r="A451" s="172"/>
      <c r="B451" s="171"/>
      <c r="C451" s="171" t="s">
        <v>188</v>
      </c>
      <c r="D451" s="170" t="s">
        <v>187</v>
      </c>
      <c r="E451" s="167">
        <v>175</v>
      </c>
      <c r="F451" s="169"/>
      <c r="G451" s="168"/>
      <c r="H451" s="167"/>
      <c r="I451" s="166">
        <v>3.48</v>
      </c>
      <c r="J451" s="167">
        <v>157</v>
      </c>
      <c r="K451" s="166">
        <v>72.959999999999994</v>
      </c>
    </row>
    <row r="452" spans="1:22" ht="15" x14ac:dyDescent="0.25">
      <c r="A452" s="164"/>
      <c r="B452" s="164"/>
      <c r="C452" s="165" t="s">
        <v>183</v>
      </c>
      <c r="D452" s="164"/>
      <c r="E452" s="164"/>
      <c r="F452" s="164"/>
      <c r="G452" s="164"/>
      <c r="H452" s="414">
        <v>14343.47</v>
      </c>
      <c r="I452" s="414"/>
      <c r="J452" s="414">
        <v>217729.63</v>
      </c>
      <c r="K452" s="414"/>
      <c r="O452" s="163">
        <f>I444+I445+I447+I449+I450+I451+SUM(I448:I448)</f>
        <v>14343.47</v>
      </c>
      <c r="P452" s="163">
        <f>K444+K445+K447+K449+K450+K451+SUM(K448:K448)</f>
        <v>217729.63</v>
      </c>
    </row>
    <row r="454" spans="1:22" ht="42.75" x14ac:dyDescent="0.2">
      <c r="A454" s="179" t="s">
        <v>1780</v>
      </c>
      <c r="B454" s="178" t="s">
        <v>2050</v>
      </c>
      <c r="C454" s="178" t="s">
        <v>386</v>
      </c>
      <c r="D454" s="177" t="s">
        <v>2042</v>
      </c>
      <c r="E454" s="174">
        <v>2</v>
      </c>
      <c r="F454" s="176"/>
      <c r="G454" s="175"/>
      <c r="H454" s="174"/>
      <c r="I454" s="173"/>
      <c r="J454" s="174"/>
      <c r="K454" s="173"/>
      <c r="Q454" s="160">
        <f>[3]Source!X306</f>
        <v>197.69</v>
      </c>
      <c r="R454" s="160">
        <f>[3]Source!X307</f>
        <v>3736.89</v>
      </c>
      <c r="S454" s="160">
        <f>[3]Source!Y306</f>
        <v>131.80000000000001</v>
      </c>
      <c r="T454" s="160">
        <f>[3]Source!Y307</f>
        <v>1802.5</v>
      </c>
      <c r="U454" s="160">
        <f>ROUND((175/100)*ROUND([3]Source!R306, 2), 2)</f>
        <v>0</v>
      </c>
      <c r="V454" s="160">
        <f>ROUND((157/100)*ROUND([3]Source!R307, 2), 2)</f>
        <v>0</v>
      </c>
    </row>
    <row r="455" spans="1:22" ht="14.25" x14ac:dyDescent="0.2">
      <c r="A455" s="179"/>
      <c r="B455" s="178"/>
      <c r="C455" s="178" t="s">
        <v>197</v>
      </c>
      <c r="D455" s="177"/>
      <c r="E455" s="174"/>
      <c r="F455" s="176">
        <v>94.14</v>
      </c>
      <c r="G455" s="175" t="s">
        <v>195</v>
      </c>
      <c r="H455" s="174">
        <v>1</v>
      </c>
      <c r="I455" s="173">
        <v>188.28</v>
      </c>
      <c r="J455" s="174">
        <v>23.35</v>
      </c>
      <c r="K455" s="173">
        <v>4396.34</v>
      </c>
    </row>
    <row r="456" spans="1:22" ht="14.25" x14ac:dyDescent="0.2">
      <c r="A456" s="179"/>
      <c r="B456" s="178"/>
      <c r="C456" s="178" t="s">
        <v>205</v>
      </c>
      <c r="D456" s="177"/>
      <c r="E456" s="174"/>
      <c r="F456" s="176">
        <v>4.63</v>
      </c>
      <c r="G456" s="175" t="s">
        <v>195</v>
      </c>
      <c r="H456" s="174">
        <v>1</v>
      </c>
      <c r="I456" s="173">
        <v>9.26</v>
      </c>
      <c r="J456" s="174">
        <v>4.01</v>
      </c>
      <c r="K456" s="173">
        <v>37.130000000000003</v>
      </c>
    </row>
    <row r="457" spans="1:22" ht="28.5" x14ac:dyDescent="0.2">
      <c r="A457" s="179" t="s">
        <v>1783</v>
      </c>
      <c r="B457" s="178" t="s">
        <v>2051</v>
      </c>
      <c r="C457" s="178" t="s">
        <v>426</v>
      </c>
      <c r="D457" s="177" t="s">
        <v>1661</v>
      </c>
      <c r="E457" s="174">
        <v>12</v>
      </c>
      <c r="F457" s="176">
        <v>8.0399999999999991</v>
      </c>
      <c r="G457" s="182" t="s">
        <v>195</v>
      </c>
      <c r="H457" s="174">
        <v>1</v>
      </c>
      <c r="I457" s="173">
        <v>96.48</v>
      </c>
      <c r="J457" s="174">
        <v>6.36</v>
      </c>
      <c r="K457" s="173">
        <v>613.61</v>
      </c>
      <c r="Q457" s="160">
        <f>[3]Source!X308</f>
        <v>0</v>
      </c>
      <c r="R457" s="160">
        <f>[3]Source!X309</f>
        <v>0</v>
      </c>
      <c r="S457" s="160">
        <f>[3]Source!Y308</f>
        <v>0</v>
      </c>
      <c r="T457" s="160">
        <f>[3]Source!Y309</f>
        <v>0</v>
      </c>
      <c r="U457" s="160">
        <f>ROUND((175/100)*ROUND([3]Source!R308, 2), 2)</f>
        <v>0</v>
      </c>
      <c r="V457" s="160">
        <f>ROUND((157/100)*ROUND([3]Source!R309, 2), 2)</f>
        <v>0</v>
      </c>
    </row>
    <row r="458" spans="1:22" ht="14.25" x14ac:dyDescent="0.2">
      <c r="A458" s="179"/>
      <c r="B458" s="178"/>
      <c r="C458" s="178" t="s">
        <v>194</v>
      </c>
      <c r="D458" s="177" t="s">
        <v>187</v>
      </c>
      <c r="E458" s="174">
        <v>105</v>
      </c>
      <c r="F458" s="176"/>
      <c r="G458" s="175"/>
      <c r="H458" s="174"/>
      <c r="I458" s="173">
        <v>197.69</v>
      </c>
      <c r="J458" s="174">
        <v>85</v>
      </c>
      <c r="K458" s="173">
        <v>3736.89</v>
      </c>
    </row>
    <row r="459" spans="1:22" ht="14.25" x14ac:dyDescent="0.2">
      <c r="A459" s="172"/>
      <c r="B459" s="171"/>
      <c r="C459" s="171" t="s">
        <v>193</v>
      </c>
      <c r="D459" s="170" t="s">
        <v>187</v>
      </c>
      <c r="E459" s="167">
        <v>70</v>
      </c>
      <c r="F459" s="169"/>
      <c r="G459" s="168"/>
      <c r="H459" s="167"/>
      <c r="I459" s="166">
        <v>131.80000000000001</v>
      </c>
      <c r="J459" s="167">
        <v>41</v>
      </c>
      <c r="K459" s="166">
        <v>1802.5</v>
      </c>
    </row>
    <row r="460" spans="1:22" ht="15" x14ac:dyDescent="0.25">
      <c r="A460" s="164"/>
      <c r="B460" s="164"/>
      <c r="C460" s="165" t="s">
        <v>183</v>
      </c>
      <c r="D460" s="164"/>
      <c r="E460" s="164"/>
      <c r="F460" s="164"/>
      <c r="G460" s="164"/>
      <c r="H460" s="414">
        <v>623.51</v>
      </c>
      <c r="I460" s="414"/>
      <c r="J460" s="414">
        <v>10586.47</v>
      </c>
      <c r="K460" s="414"/>
      <c r="O460" s="163">
        <f>I455+I456+I458+I459+SUM(I457:I457)</f>
        <v>623.51</v>
      </c>
      <c r="P460" s="163">
        <f>K455+K456+K458+K459+SUM(K457:K457)</f>
        <v>10586.47</v>
      </c>
    </row>
    <row r="462" spans="1:22" ht="57" x14ac:dyDescent="0.2">
      <c r="A462" s="179" t="s">
        <v>1784</v>
      </c>
      <c r="B462" s="178" t="s">
        <v>2052</v>
      </c>
      <c r="C462" s="178" t="s">
        <v>424</v>
      </c>
      <c r="D462" s="177" t="s">
        <v>2012</v>
      </c>
      <c r="E462" s="174">
        <v>0.2</v>
      </c>
      <c r="F462" s="176"/>
      <c r="G462" s="175"/>
      <c r="H462" s="174"/>
      <c r="I462" s="173"/>
      <c r="J462" s="174"/>
      <c r="K462" s="173"/>
      <c r="Q462" s="160">
        <f>[3]Source!X310</f>
        <v>66.22</v>
      </c>
      <c r="R462" s="160">
        <f>[3]Source!X311</f>
        <v>1043.6400000000001</v>
      </c>
      <c r="S462" s="160">
        <f>[3]Source!Y310</f>
        <v>46.35</v>
      </c>
      <c r="T462" s="160">
        <f>[3]Source!Y311</f>
        <v>528.26</v>
      </c>
      <c r="U462" s="160">
        <f>ROUND((175/100)*ROUND([3]Source!R310, 2), 2)</f>
        <v>0</v>
      </c>
      <c r="V462" s="160">
        <f>ROUND((157/100)*ROUND([3]Source!R311, 2), 2)</f>
        <v>0</v>
      </c>
    </row>
    <row r="463" spans="1:22" ht="14.25" x14ac:dyDescent="0.2">
      <c r="A463" s="179"/>
      <c r="B463" s="178"/>
      <c r="C463" s="178" t="s">
        <v>197</v>
      </c>
      <c r="D463" s="177"/>
      <c r="E463" s="174"/>
      <c r="F463" s="176">
        <v>275.88</v>
      </c>
      <c r="G463" s="175" t="s">
        <v>195</v>
      </c>
      <c r="H463" s="174">
        <v>1</v>
      </c>
      <c r="I463" s="173">
        <v>55.18</v>
      </c>
      <c r="J463" s="174">
        <v>23.35</v>
      </c>
      <c r="K463" s="173">
        <v>1288.45</v>
      </c>
    </row>
    <row r="464" spans="1:22" ht="14.25" x14ac:dyDescent="0.2">
      <c r="A464" s="179"/>
      <c r="B464" s="178"/>
      <c r="C464" s="178" t="s">
        <v>205</v>
      </c>
      <c r="D464" s="177"/>
      <c r="E464" s="174"/>
      <c r="F464" s="176">
        <v>0.49</v>
      </c>
      <c r="G464" s="175" t="s">
        <v>195</v>
      </c>
      <c r="H464" s="174">
        <v>1</v>
      </c>
      <c r="I464" s="173">
        <v>0.1</v>
      </c>
      <c r="J464" s="174">
        <v>5.43</v>
      </c>
      <c r="K464" s="173">
        <v>0.54</v>
      </c>
    </row>
    <row r="465" spans="1:22" ht="14.25" x14ac:dyDescent="0.2">
      <c r="A465" s="179" t="s">
        <v>1787</v>
      </c>
      <c r="B465" s="178" t="s">
        <v>2013</v>
      </c>
      <c r="C465" s="178" t="s">
        <v>425</v>
      </c>
      <c r="D465" s="177" t="s">
        <v>1584</v>
      </c>
      <c r="E465" s="174">
        <v>5.0999999999999996</v>
      </c>
      <c r="F465" s="176">
        <v>63.54</v>
      </c>
      <c r="G465" s="182" t="s">
        <v>195</v>
      </c>
      <c r="H465" s="174">
        <v>1</v>
      </c>
      <c r="I465" s="173">
        <v>324.05</v>
      </c>
      <c r="J465" s="174">
        <v>1.61</v>
      </c>
      <c r="K465" s="173">
        <v>521.72</v>
      </c>
      <c r="Q465" s="160">
        <f>[3]Source!X312</f>
        <v>0</v>
      </c>
      <c r="R465" s="160">
        <f>[3]Source!X313</f>
        <v>0</v>
      </c>
      <c r="S465" s="160">
        <f>[3]Source!Y312</f>
        <v>0</v>
      </c>
      <c r="T465" s="160">
        <f>[3]Source!Y313</f>
        <v>0</v>
      </c>
      <c r="U465" s="160">
        <f>ROUND((175/100)*ROUND([3]Source!R312, 2), 2)</f>
        <v>0</v>
      </c>
      <c r="V465" s="160">
        <f>ROUND((157/100)*ROUND([3]Source!R313, 2), 2)</f>
        <v>0</v>
      </c>
    </row>
    <row r="466" spans="1:22" ht="14.25" x14ac:dyDescent="0.2">
      <c r="A466" s="179"/>
      <c r="B466" s="178"/>
      <c r="C466" s="178" t="s">
        <v>194</v>
      </c>
      <c r="D466" s="177" t="s">
        <v>187</v>
      </c>
      <c r="E466" s="174">
        <v>120</v>
      </c>
      <c r="F466" s="176"/>
      <c r="G466" s="175"/>
      <c r="H466" s="174"/>
      <c r="I466" s="173">
        <v>66.22</v>
      </c>
      <c r="J466" s="174">
        <v>81</v>
      </c>
      <c r="K466" s="173">
        <v>1043.6400000000001</v>
      </c>
    </row>
    <row r="467" spans="1:22" ht="14.25" x14ac:dyDescent="0.2">
      <c r="A467" s="172"/>
      <c r="B467" s="171"/>
      <c r="C467" s="171" t="s">
        <v>193</v>
      </c>
      <c r="D467" s="170" t="s">
        <v>187</v>
      </c>
      <c r="E467" s="167">
        <v>84</v>
      </c>
      <c r="F467" s="169"/>
      <c r="G467" s="168"/>
      <c r="H467" s="167"/>
      <c r="I467" s="166">
        <v>46.35</v>
      </c>
      <c r="J467" s="167">
        <v>41</v>
      </c>
      <c r="K467" s="166">
        <v>528.26</v>
      </c>
    </row>
    <row r="468" spans="1:22" ht="15" x14ac:dyDescent="0.25">
      <c r="A468" s="164"/>
      <c r="B468" s="164"/>
      <c r="C468" s="165" t="s">
        <v>183</v>
      </c>
      <c r="D468" s="164"/>
      <c r="E468" s="164"/>
      <c r="F468" s="164"/>
      <c r="G468" s="164"/>
      <c r="H468" s="414">
        <v>491.9</v>
      </c>
      <c r="I468" s="414"/>
      <c r="J468" s="414">
        <v>3382.61</v>
      </c>
      <c r="K468" s="414"/>
      <c r="O468" s="163">
        <f>I463+I464+I466+I467+SUM(I465:I465)</f>
        <v>491.9</v>
      </c>
      <c r="P468" s="163">
        <f>K463+K464+K466+K467+SUM(K465:K465)</f>
        <v>3382.61</v>
      </c>
    </row>
    <row r="470" spans="1:22" ht="57" x14ac:dyDescent="0.2">
      <c r="A470" s="179" t="s">
        <v>1789</v>
      </c>
      <c r="B470" s="178" t="s">
        <v>2052</v>
      </c>
      <c r="C470" s="178" t="s">
        <v>424</v>
      </c>
      <c r="D470" s="177" t="s">
        <v>2012</v>
      </c>
      <c r="E470" s="174">
        <v>0.2</v>
      </c>
      <c r="F470" s="176"/>
      <c r="G470" s="175"/>
      <c r="H470" s="174"/>
      <c r="I470" s="173"/>
      <c r="J470" s="174"/>
      <c r="K470" s="173"/>
      <c r="Q470" s="160">
        <f>[3]Source!X314</f>
        <v>66.22</v>
      </c>
      <c r="R470" s="160">
        <f>[3]Source!X315</f>
        <v>1043.6400000000001</v>
      </c>
      <c r="S470" s="160">
        <f>[3]Source!Y314</f>
        <v>46.35</v>
      </c>
      <c r="T470" s="160">
        <f>[3]Source!Y315</f>
        <v>528.26</v>
      </c>
      <c r="U470" s="160">
        <f>ROUND((175/100)*ROUND([3]Source!R314, 2), 2)</f>
        <v>0</v>
      </c>
      <c r="V470" s="160">
        <f>ROUND((157/100)*ROUND([3]Source!R315, 2), 2)</f>
        <v>0</v>
      </c>
    </row>
    <row r="471" spans="1:22" ht="14.25" x14ac:dyDescent="0.2">
      <c r="A471" s="179"/>
      <c r="B471" s="178"/>
      <c r="C471" s="178" t="s">
        <v>197</v>
      </c>
      <c r="D471" s="177"/>
      <c r="E471" s="174"/>
      <c r="F471" s="176">
        <v>275.88</v>
      </c>
      <c r="G471" s="175" t="s">
        <v>195</v>
      </c>
      <c r="H471" s="174">
        <v>1</v>
      </c>
      <c r="I471" s="173">
        <v>55.18</v>
      </c>
      <c r="J471" s="174">
        <v>23.35</v>
      </c>
      <c r="K471" s="173">
        <v>1288.45</v>
      </c>
    </row>
    <row r="472" spans="1:22" ht="14.25" x14ac:dyDescent="0.2">
      <c r="A472" s="179"/>
      <c r="B472" s="178"/>
      <c r="C472" s="178" t="s">
        <v>205</v>
      </c>
      <c r="D472" s="177"/>
      <c r="E472" s="174"/>
      <c r="F472" s="176">
        <v>0.49</v>
      </c>
      <c r="G472" s="175" t="s">
        <v>195</v>
      </c>
      <c r="H472" s="174">
        <v>1</v>
      </c>
      <c r="I472" s="173">
        <v>0.1</v>
      </c>
      <c r="J472" s="174">
        <v>5.43</v>
      </c>
      <c r="K472" s="173">
        <v>0.54</v>
      </c>
    </row>
    <row r="473" spans="1:22" ht="14.25" x14ac:dyDescent="0.2">
      <c r="A473" s="179" t="s">
        <v>1790</v>
      </c>
      <c r="B473" s="178" t="s">
        <v>2014</v>
      </c>
      <c r="C473" s="178" t="s">
        <v>423</v>
      </c>
      <c r="D473" s="177" t="s">
        <v>1533</v>
      </c>
      <c r="E473" s="174">
        <v>0.01</v>
      </c>
      <c r="F473" s="176">
        <v>23604.84</v>
      </c>
      <c r="G473" s="182" t="s">
        <v>195</v>
      </c>
      <c r="H473" s="174">
        <v>1</v>
      </c>
      <c r="I473" s="173">
        <v>236.05</v>
      </c>
      <c r="J473" s="174">
        <v>36.04</v>
      </c>
      <c r="K473" s="173">
        <v>8507.24</v>
      </c>
      <c r="Q473" s="160">
        <f>[3]Source!X316</f>
        <v>0</v>
      </c>
      <c r="R473" s="160">
        <f>[3]Source!X317</f>
        <v>0</v>
      </c>
      <c r="S473" s="160">
        <f>[3]Source!Y316</f>
        <v>0</v>
      </c>
      <c r="T473" s="160">
        <f>[3]Source!Y317</f>
        <v>0</v>
      </c>
      <c r="U473" s="160">
        <f>ROUND((175/100)*ROUND([3]Source!R316, 2), 2)</f>
        <v>0</v>
      </c>
      <c r="V473" s="160">
        <f>ROUND((157/100)*ROUND([3]Source!R317, 2), 2)</f>
        <v>0</v>
      </c>
    </row>
    <row r="474" spans="1:22" ht="14.25" x14ac:dyDescent="0.2">
      <c r="A474" s="179"/>
      <c r="B474" s="178"/>
      <c r="C474" s="178" t="s">
        <v>194</v>
      </c>
      <c r="D474" s="177" t="s">
        <v>187</v>
      </c>
      <c r="E474" s="174">
        <v>120</v>
      </c>
      <c r="F474" s="176"/>
      <c r="G474" s="175"/>
      <c r="H474" s="174"/>
      <c r="I474" s="173">
        <v>66.22</v>
      </c>
      <c r="J474" s="174">
        <v>81</v>
      </c>
      <c r="K474" s="173">
        <v>1043.6400000000001</v>
      </c>
    </row>
    <row r="475" spans="1:22" ht="14.25" x14ac:dyDescent="0.2">
      <c r="A475" s="172"/>
      <c r="B475" s="171"/>
      <c r="C475" s="171" t="s">
        <v>193</v>
      </c>
      <c r="D475" s="170" t="s">
        <v>187</v>
      </c>
      <c r="E475" s="167">
        <v>84</v>
      </c>
      <c r="F475" s="169"/>
      <c r="G475" s="168"/>
      <c r="H475" s="167"/>
      <c r="I475" s="166">
        <v>46.35</v>
      </c>
      <c r="J475" s="167">
        <v>41</v>
      </c>
      <c r="K475" s="166">
        <v>528.26</v>
      </c>
    </row>
    <row r="476" spans="1:22" ht="15" x14ac:dyDescent="0.25">
      <c r="A476" s="164"/>
      <c r="B476" s="164"/>
      <c r="C476" s="165" t="s">
        <v>183</v>
      </c>
      <c r="D476" s="164"/>
      <c r="E476" s="164"/>
      <c r="F476" s="164"/>
      <c r="G476" s="164"/>
      <c r="H476" s="414">
        <v>403.9</v>
      </c>
      <c r="I476" s="414"/>
      <c r="J476" s="414">
        <v>11368.13</v>
      </c>
      <c r="K476" s="414"/>
      <c r="O476" s="163">
        <f>I471+I472+I474+I475+SUM(I473:I473)</f>
        <v>403.9</v>
      </c>
      <c r="P476" s="163">
        <f>K471+K472+K474+K475+SUM(K473:K473)</f>
        <v>11368.13</v>
      </c>
    </row>
    <row r="478" spans="1:22" ht="142.5" x14ac:dyDescent="0.2">
      <c r="A478" s="179" t="s">
        <v>1795</v>
      </c>
      <c r="B478" s="178" t="s">
        <v>2053</v>
      </c>
      <c r="C478" s="178" t="s">
        <v>422</v>
      </c>
      <c r="D478" s="177" t="s">
        <v>2054</v>
      </c>
      <c r="E478" s="174">
        <v>4</v>
      </c>
      <c r="F478" s="176"/>
      <c r="G478" s="175"/>
      <c r="H478" s="174"/>
      <c r="I478" s="173"/>
      <c r="J478" s="174"/>
      <c r="K478" s="173"/>
      <c r="Q478" s="160">
        <f>[3]Source!X318</f>
        <v>1845.23</v>
      </c>
      <c r="R478" s="160">
        <f>[3]Source!X319</f>
        <v>34468.86</v>
      </c>
      <c r="S478" s="160">
        <f>[3]Source!Y318</f>
        <v>1425.86</v>
      </c>
      <c r="T478" s="160">
        <f>[3]Source!Y319</f>
        <v>16059.36</v>
      </c>
      <c r="U478" s="160">
        <f>ROUND((175/100)*ROUND([3]Source!R318, 2), 2)</f>
        <v>0</v>
      </c>
      <c r="V478" s="160">
        <f>ROUND((157/100)*ROUND([3]Source!R319, 2), 2)</f>
        <v>0</v>
      </c>
    </row>
    <row r="479" spans="1:22" x14ac:dyDescent="0.2">
      <c r="C479" s="181" t="s">
        <v>2055</v>
      </c>
    </row>
    <row r="480" spans="1:22" ht="14.25" x14ac:dyDescent="0.2">
      <c r="A480" s="179"/>
      <c r="B480" s="178"/>
      <c r="C480" s="178" t="s">
        <v>197</v>
      </c>
      <c r="D480" s="177"/>
      <c r="E480" s="174"/>
      <c r="F480" s="176">
        <v>419.37</v>
      </c>
      <c r="G480" s="175" t="s">
        <v>195</v>
      </c>
      <c r="H480" s="174">
        <v>1</v>
      </c>
      <c r="I480" s="173">
        <v>1677.48</v>
      </c>
      <c r="J480" s="174">
        <v>23.35</v>
      </c>
      <c r="K480" s="173">
        <v>39169.160000000003</v>
      </c>
    </row>
    <row r="481" spans="1:22" ht="14.25" x14ac:dyDescent="0.2">
      <c r="A481" s="179"/>
      <c r="B481" s="178"/>
      <c r="C481" s="178" t="s">
        <v>205</v>
      </c>
      <c r="D481" s="177"/>
      <c r="E481" s="174"/>
      <c r="F481" s="176">
        <v>62.85</v>
      </c>
      <c r="G481" s="175" t="s">
        <v>195</v>
      </c>
      <c r="H481" s="174">
        <v>1</v>
      </c>
      <c r="I481" s="173">
        <v>251.4</v>
      </c>
      <c r="J481" s="174">
        <v>7.17</v>
      </c>
      <c r="K481" s="173">
        <v>1802.54</v>
      </c>
    </row>
    <row r="482" spans="1:22" ht="28.5" x14ac:dyDescent="0.2">
      <c r="A482" s="179" t="s">
        <v>1797</v>
      </c>
      <c r="B482" s="178" t="s">
        <v>2056</v>
      </c>
      <c r="C482" s="178" t="s">
        <v>395</v>
      </c>
      <c r="D482" s="177" t="s">
        <v>1533</v>
      </c>
      <c r="E482" s="174">
        <v>0.01</v>
      </c>
      <c r="F482" s="176">
        <v>39311.160000000003</v>
      </c>
      <c r="G482" s="182" t="s">
        <v>195</v>
      </c>
      <c r="H482" s="174">
        <v>1</v>
      </c>
      <c r="I482" s="173">
        <v>393.11</v>
      </c>
      <c r="J482" s="174">
        <v>5.2</v>
      </c>
      <c r="K482" s="173">
        <v>2044.17</v>
      </c>
      <c r="Q482" s="160">
        <f>[3]Source!X320</f>
        <v>0</v>
      </c>
      <c r="R482" s="160">
        <f>[3]Source!X321</f>
        <v>0</v>
      </c>
      <c r="S482" s="160">
        <f>[3]Source!Y320</f>
        <v>0</v>
      </c>
      <c r="T482" s="160">
        <f>[3]Source!Y321</f>
        <v>0</v>
      </c>
      <c r="U482" s="160">
        <f>ROUND((175/100)*ROUND([3]Source!R320, 2), 2)</f>
        <v>0</v>
      </c>
      <c r="V482" s="160">
        <f>ROUND((157/100)*ROUND([3]Source!R321, 2), 2)</f>
        <v>0</v>
      </c>
    </row>
    <row r="483" spans="1:22" ht="28.5" x14ac:dyDescent="0.2">
      <c r="A483" s="179" t="s">
        <v>2057</v>
      </c>
      <c r="B483" s="178" t="s">
        <v>2058</v>
      </c>
      <c r="C483" s="178" t="s">
        <v>394</v>
      </c>
      <c r="D483" s="177" t="s">
        <v>1533</v>
      </c>
      <c r="E483" s="174">
        <v>0.01</v>
      </c>
      <c r="F483" s="176">
        <v>65596.84</v>
      </c>
      <c r="G483" s="182" t="s">
        <v>195</v>
      </c>
      <c r="H483" s="174">
        <v>1</v>
      </c>
      <c r="I483" s="173">
        <v>655.97</v>
      </c>
      <c r="J483" s="174">
        <v>7.44</v>
      </c>
      <c r="K483" s="173">
        <v>4880.42</v>
      </c>
      <c r="Q483" s="160">
        <f>[3]Source!X322</f>
        <v>0</v>
      </c>
      <c r="R483" s="160">
        <f>[3]Source!X323</f>
        <v>0</v>
      </c>
      <c r="S483" s="160">
        <f>[3]Source!Y322</f>
        <v>0</v>
      </c>
      <c r="T483" s="160">
        <f>[3]Source!Y323</f>
        <v>0</v>
      </c>
      <c r="U483" s="160">
        <f>ROUND((175/100)*ROUND([3]Source!R322, 2), 2)</f>
        <v>0</v>
      </c>
      <c r="V483" s="160">
        <f>ROUND((157/100)*ROUND([3]Source!R323, 2), 2)</f>
        <v>0</v>
      </c>
    </row>
    <row r="484" spans="1:22" ht="14.25" x14ac:dyDescent="0.2">
      <c r="A484" s="179" t="s">
        <v>2059</v>
      </c>
      <c r="B484" s="178" t="s">
        <v>2028</v>
      </c>
      <c r="C484" s="178" t="s">
        <v>388</v>
      </c>
      <c r="D484" s="177" t="s">
        <v>1584</v>
      </c>
      <c r="E484" s="174">
        <v>0.2</v>
      </c>
      <c r="F484" s="176">
        <v>37.479999999999997</v>
      </c>
      <c r="G484" s="182" t="s">
        <v>195</v>
      </c>
      <c r="H484" s="174">
        <v>1</v>
      </c>
      <c r="I484" s="173">
        <v>7.5</v>
      </c>
      <c r="J484" s="174">
        <v>26.77</v>
      </c>
      <c r="K484" s="173">
        <v>200.78</v>
      </c>
      <c r="Q484" s="160">
        <f>[3]Source!X324</f>
        <v>0</v>
      </c>
      <c r="R484" s="160">
        <f>[3]Source!X325</f>
        <v>0</v>
      </c>
      <c r="S484" s="160">
        <f>[3]Source!Y324</f>
        <v>0</v>
      </c>
      <c r="T484" s="160">
        <f>[3]Source!Y325</f>
        <v>0</v>
      </c>
      <c r="U484" s="160">
        <f>ROUND((175/100)*ROUND([3]Source!R324, 2), 2)</f>
        <v>0</v>
      </c>
      <c r="V484" s="160">
        <f>ROUND((157/100)*ROUND([3]Source!R325, 2), 2)</f>
        <v>0</v>
      </c>
    </row>
    <row r="485" spans="1:22" ht="14.25" x14ac:dyDescent="0.2">
      <c r="A485" s="179" t="s">
        <v>2060</v>
      </c>
      <c r="B485" s="178" t="s">
        <v>2061</v>
      </c>
      <c r="C485" s="178" t="s">
        <v>389</v>
      </c>
      <c r="D485" s="177" t="s">
        <v>1584</v>
      </c>
      <c r="E485" s="174">
        <v>4.92</v>
      </c>
      <c r="F485" s="176">
        <v>34.72</v>
      </c>
      <c r="G485" s="182" t="s">
        <v>195</v>
      </c>
      <c r="H485" s="174">
        <v>1</v>
      </c>
      <c r="I485" s="173">
        <v>170.82</v>
      </c>
      <c r="J485" s="174">
        <v>21.92</v>
      </c>
      <c r="K485" s="173">
        <v>3744.37</v>
      </c>
      <c r="Q485" s="160">
        <f>[3]Source!X326</f>
        <v>0</v>
      </c>
      <c r="R485" s="160">
        <f>[3]Source!X327</f>
        <v>0</v>
      </c>
      <c r="S485" s="160">
        <f>[3]Source!Y326</f>
        <v>0</v>
      </c>
      <c r="T485" s="160">
        <f>[3]Source!Y327</f>
        <v>0</v>
      </c>
      <c r="U485" s="160">
        <f>ROUND((175/100)*ROUND([3]Source!R326, 2), 2)</f>
        <v>0</v>
      </c>
      <c r="V485" s="160">
        <f>ROUND((157/100)*ROUND([3]Source!R327, 2), 2)</f>
        <v>0</v>
      </c>
    </row>
    <row r="486" spans="1:22" ht="14.25" x14ac:dyDescent="0.2">
      <c r="A486" s="179"/>
      <c r="B486" s="178"/>
      <c r="C486" s="178" t="s">
        <v>194</v>
      </c>
      <c r="D486" s="177" t="s">
        <v>187</v>
      </c>
      <c r="E486" s="174">
        <v>110</v>
      </c>
      <c r="F486" s="176"/>
      <c r="G486" s="175"/>
      <c r="H486" s="174"/>
      <c r="I486" s="173">
        <v>1845.23</v>
      </c>
      <c r="J486" s="174">
        <v>88</v>
      </c>
      <c r="K486" s="173">
        <v>34468.86</v>
      </c>
    </row>
    <row r="487" spans="1:22" ht="14.25" x14ac:dyDescent="0.2">
      <c r="A487" s="172"/>
      <c r="B487" s="171"/>
      <c r="C487" s="171" t="s">
        <v>193</v>
      </c>
      <c r="D487" s="170" t="s">
        <v>187</v>
      </c>
      <c r="E487" s="167">
        <v>85</v>
      </c>
      <c r="F487" s="169"/>
      <c r="G487" s="168"/>
      <c r="H487" s="167"/>
      <c r="I487" s="166">
        <v>1425.86</v>
      </c>
      <c r="J487" s="167">
        <v>41</v>
      </c>
      <c r="K487" s="166">
        <v>16059.36</v>
      </c>
    </row>
    <row r="488" spans="1:22" ht="15" x14ac:dyDescent="0.25">
      <c r="A488" s="164"/>
      <c r="B488" s="164"/>
      <c r="C488" s="165" t="s">
        <v>183</v>
      </c>
      <c r="D488" s="164"/>
      <c r="E488" s="164"/>
      <c r="F488" s="164"/>
      <c r="G488" s="164"/>
      <c r="H488" s="414">
        <v>6427.37</v>
      </c>
      <c r="I488" s="414"/>
      <c r="J488" s="414">
        <v>102369.66</v>
      </c>
      <c r="K488" s="414"/>
      <c r="O488" s="163">
        <f>I480+I481+I486+I487+SUM(I482:I485)</f>
        <v>6427.37</v>
      </c>
      <c r="P488" s="163">
        <f>K480+K481+K486+K487+SUM(K482:K485)</f>
        <v>102369.66</v>
      </c>
    </row>
    <row r="490" spans="1:22" ht="42.75" x14ac:dyDescent="0.2">
      <c r="A490" s="179" t="s">
        <v>1798</v>
      </c>
      <c r="B490" s="178" t="s">
        <v>2062</v>
      </c>
      <c r="C490" s="178" t="s">
        <v>393</v>
      </c>
      <c r="D490" s="177" t="s">
        <v>1907</v>
      </c>
      <c r="E490" s="174">
        <v>4</v>
      </c>
      <c r="F490" s="176"/>
      <c r="G490" s="175"/>
      <c r="H490" s="174"/>
      <c r="I490" s="173"/>
      <c r="J490" s="174"/>
      <c r="K490" s="173"/>
      <c r="Q490" s="160">
        <f>[3]Source!X328</f>
        <v>55.31</v>
      </c>
      <c r="R490" s="160">
        <f>[3]Source!X329</f>
        <v>1033.1600000000001</v>
      </c>
      <c r="S490" s="160">
        <f>[3]Source!Y328</f>
        <v>42.74</v>
      </c>
      <c r="T490" s="160">
        <f>[3]Source!Y329</f>
        <v>481.36</v>
      </c>
      <c r="U490" s="160">
        <f>ROUND((175/100)*ROUND([3]Source!R328, 2), 2)</f>
        <v>0</v>
      </c>
      <c r="V490" s="160">
        <f>ROUND((157/100)*ROUND([3]Source!R329, 2), 2)</f>
        <v>0</v>
      </c>
    </row>
    <row r="491" spans="1:22" ht="14.25" x14ac:dyDescent="0.2">
      <c r="A491" s="179"/>
      <c r="B491" s="178"/>
      <c r="C491" s="178" t="s">
        <v>197</v>
      </c>
      <c r="D491" s="177"/>
      <c r="E491" s="174"/>
      <c r="F491" s="176">
        <v>12.57</v>
      </c>
      <c r="G491" s="175" t="s">
        <v>195</v>
      </c>
      <c r="H491" s="174">
        <v>1</v>
      </c>
      <c r="I491" s="173">
        <v>50.28</v>
      </c>
      <c r="J491" s="174">
        <v>23.35</v>
      </c>
      <c r="K491" s="173">
        <v>1174.04</v>
      </c>
    </row>
    <row r="492" spans="1:22" ht="14.25" x14ac:dyDescent="0.2">
      <c r="A492" s="179"/>
      <c r="B492" s="178"/>
      <c r="C492" s="178" t="s">
        <v>194</v>
      </c>
      <c r="D492" s="177" t="s">
        <v>187</v>
      </c>
      <c r="E492" s="174">
        <v>110</v>
      </c>
      <c r="F492" s="176"/>
      <c r="G492" s="175"/>
      <c r="H492" s="174"/>
      <c r="I492" s="173">
        <v>55.31</v>
      </c>
      <c r="J492" s="174">
        <v>88</v>
      </c>
      <c r="K492" s="173">
        <v>1033.1600000000001</v>
      </c>
    </row>
    <row r="493" spans="1:22" ht="14.25" x14ac:dyDescent="0.2">
      <c r="A493" s="172"/>
      <c r="B493" s="171"/>
      <c r="C493" s="171" t="s">
        <v>193</v>
      </c>
      <c r="D493" s="170" t="s">
        <v>187</v>
      </c>
      <c r="E493" s="167">
        <v>85</v>
      </c>
      <c r="F493" s="169"/>
      <c r="G493" s="168"/>
      <c r="H493" s="167"/>
      <c r="I493" s="166">
        <v>42.74</v>
      </c>
      <c r="J493" s="167">
        <v>41</v>
      </c>
      <c r="K493" s="166">
        <v>481.36</v>
      </c>
    </row>
    <row r="494" spans="1:22" ht="15" x14ac:dyDescent="0.25">
      <c r="A494" s="164"/>
      <c r="B494" s="164"/>
      <c r="C494" s="165" t="s">
        <v>183</v>
      </c>
      <c r="D494" s="164"/>
      <c r="E494" s="164"/>
      <c r="F494" s="164"/>
      <c r="G494" s="164"/>
      <c r="H494" s="414">
        <v>148.33000000000001</v>
      </c>
      <c r="I494" s="414"/>
      <c r="J494" s="414">
        <v>2688.56</v>
      </c>
      <c r="K494" s="414"/>
      <c r="O494" s="163">
        <f>I491+I492+I493</f>
        <v>148.33000000000001</v>
      </c>
      <c r="P494" s="163">
        <f>K491+K492+K493</f>
        <v>2688.56</v>
      </c>
    </row>
    <row r="496" spans="1:22" ht="85.5" x14ac:dyDescent="0.2">
      <c r="A496" s="179" t="s">
        <v>1802</v>
      </c>
      <c r="B496" s="178" t="s">
        <v>2063</v>
      </c>
      <c r="C496" s="178" t="s">
        <v>421</v>
      </c>
      <c r="D496" s="177" t="s">
        <v>1903</v>
      </c>
      <c r="E496" s="174">
        <v>8</v>
      </c>
      <c r="F496" s="176"/>
      <c r="G496" s="175"/>
      <c r="H496" s="174"/>
      <c r="I496" s="173"/>
      <c r="J496" s="174"/>
      <c r="K496" s="173"/>
      <c r="Q496" s="160">
        <f>[3]Source!X330</f>
        <v>1053.0999999999999</v>
      </c>
      <c r="R496" s="160">
        <f>[3]Source!X331</f>
        <v>19671.84</v>
      </c>
      <c r="S496" s="160">
        <f>[3]Source!Y330</f>
        <v>813.76</v>
      </c>
      <c r="T496" s="160">
        <f>[3]Source!Y331</f>
        <v>9165.2900000000009</v>
      </c>
      <c r="U496" s="160">
        <f>ROUND((175/100)*ROUND([3]Source!R330, 2), 2)</f>
        <v>0</v>
      </c>
      <c r="V496" s="160">
        <f>ROUND((157/100)*ROUND([3]Source!R331, 2), 2)</f>
        <v>0</v>
      </c>
    </row>
    <row r="497" spans="1:22" ht="14.25" x14ac:dyDescent="0.2">
      <c r="A497" s="179"/>
      <c r="B497" s="178"/>
      <c r="C497" s="178" t="s">
        <v>197</v>
      </c>
      <c r="D497" s="177"/>
      <c r="E497" s="174"/>
      <c r="F497" s="176">
        <v>119.67</v>
      </c>
      <c r="G497" s="175" t="s">
        <v>195</v>
      </c>
      <c r="H497" s="174">
        <v>1</v>
      </c>
      <c r="I497" s="173">
        <v>957.36</v>
      </c>
      <c r="J497" s="174">
        <v>23.35</v>
      </c>
      <c r="K497" s="173">
        <v>22354.36</v>
      </c>
    </row>
    <row r="498" spans="1:22" ht="14.25" x14ac:dyDescent="0.2">
      <c r="A498" s="179"/>
      <c r="B498" s="178"/>
      <c r="C498" s="178" t="s">
        <v>205</v>
      </c>
      <c r="D498" s="177"/>
      <c r="E498" s="174"/>
      <c r="F498" s="176">
        <v>17.47</v>
      </c>
      <c r="G498" s="175" t="s">
        <v>195</v>
      </c>
      <c r="H498" s="174">
        <v>1</v>
      </c>
      <c r="I498" s="173">
        <v>139.76</v>
      </c>
      <c r="J498" s="174">
        <v>7.38</v>
      </c>
      <c r="K498" s="173">
        <v>1031.43</v>
      </c>
    </row>
    <row r="499" spans="1:22" ht="28.5" x14ac:dyDescent="0.2">
      <c r="A499" s="179" t="s">
        <v>1803</v>
      </c>
      <c r="B499" s="178" t="s">
        <v>2064</v>
      </c>
      <c r="C499" s="178" t="s">
        <v>391</v>
      </c>
      <c r="D499" s="177" t="s">
        <v>1533</v>
      </c>
      <c r="E499" s="174">
        <v>6.6639999999999998E-3</v>
      </c>
      <c r="F499" s="176">
        <v>7254.88</v>
      </c>
      <c r="G499" s="182" t="s">
        <v>195</v>
      </c>
      <c r="H499" s="174">
        <v>1</v>
      </c>
      <c r="I499" s="173">
        <v>48.35</v>
      </c>
      <c r="J499" s="174">
        <v>5.93</v>
      </c>
      <c r="K499" s="173">
        <v>286.72000000000003</v>
      </c>
      <c r="Q499" s="160">
        <f>[3]Source!X332</f>
        <v>0</v>
      </c>
      <c r="R499" s="160">
        <f>[3]Source!X333</f>
        <v>0</v>
      </c>
      <c r="S499" s="160">
        <f>[3]Source!Y332</f>
        <v>0</v>
      </c>
      <c r="T499" s="160">
        <f>[3]Source!Y333</f>
        <v>0</v>
      </c>
      <c r="U499" s="160">
        <f>ROUND((175/100)*ROUND([3]Source!R332, 2), 2)</f>
        <v>0</v>
      </c>
      <c r="V499" s="160">
        <f>ROUND((157/100)*ROUND([3]Source!R333, 2), 2)</f>
        <v>0</v>
      </c>
    </row>
    <row r="500" spans="1:22" ht="14.25" x14ac:dyDescent="0.2">
      <c r="A500" s="179" t="s">
        <v>2065</v>
      </c>
      <c r="B500" s="178" t="s">
        <v>2022</v>
      </c>
      <c r="C500" s="178" t="s">
        <v>390</v>
      </c>
      <c r="D500" s="177" t="s">
        <v>1584</v>
      </c>
      <c r="E500" s="174">
        <v>2.5866639999999999</v>
      </c>
      <c r="F500" s="176">
        <v>31.52</v>
      </c>
      <c r="G500" s="182" t="s">
        <v>195</v>
      </c>
      <c r="H500" s="174">
        <v>1</v>
      </c>
      <c r="I500" s="173">
        <v>81.53</v>
      </c>
      <c r="J500" s="174">
        <v>11.83</v>
      </c>
      <c r="K500" s="173">
        <v>964.5</v>
      </c>
      <c r="Q500" s="160">
        <f>[3]Source!X338</f>
        <v>0</v>
      </c>
      <c r="R500" s="160">
        <f>[3]Source!X339</f>
        <v>0</v>
      </c>
      <c r="S500" s="160">
        <f>[3]Source!Y338</f>
        <v>0</v>
      </c>
      <c r="T500" s="160">
        <f>[3]Source!Y339</f>
        <v>0</v>
      </c>
      <c r="U500" s="160">
        <f>ROUND((175/100)*ROUND([3]Source!R338, 2), 2)</f>
        <v>0</v>
      </c>
      <c r="V500" s="160">
        <f>ROUND((157/100)*ROUND([3]Source!R339, 2), 2)</f>
        <v>0</v>
      </c>
    </row>
    <row r="501" spans="1:22" ht="14.25" x14ac:dyDescent="0.2">
      <c r="A501" s="179" t="s">
        <v>2066</v>
      </c>
      <c r="B501" s="178" t="s">
        <v>2061</v>
      </c>
      <c r="C501" s="178" t="s">
        <v>389</v>
      </c>
      <c r="D501" s="177" t="s">
        <v>1584</v>
      </c>
      <c r="E501" s="174">
        <v>1.3466640000000001</v>
      </c>
      <c r="F501" s="176">
        <v>34.72</v>
      </c>
      <c r="G501" s="182" t="s">
        <v>195</v>
      </c>
      <c r="H501" s="174">
        <v>1</v>
      </c>
      <c r="I501" s="173">
        <v>46.76</v>
      </c>
      <c r="J501" s="174">
        <v>21.92</v>
      </c>
      <c r="K501" s="173">
        <v>1024.98</v>
      </c>
      <c r="Q501" s="160">
        <f>[3]Source!X342</f>
        <v>0</v>
      </c>
      <c r="R501" s="160">
        <f>[3]Source!X343</f>
        <v>0</v>
      </c>
      <c r="S501" s="160">
        <f>[3]Source!Y342</f>
        <v>0</v>
      </c>
      <c r="T501" s="160">
        <f>[3]Source!Y343</f>
        <v>0</v>
      </c>
      <c r="U501" s="160">
        <f>ROUND((175/100)*ROUND([3]Source!R342, 2), 2)</f>
        <v>0</v>
      </c>
      <c r="V501" s="160">
        <f>ROUND((157/100)*ROUND([3]Source!R343, 2), 2)</f>
        <v>0</v>
      </c>
    </row>
    <row r="502" spans="1:22" ht="14.25" x14ac:dyDescent="0.2">
      <c r="A502" s="179" t="s">
        <v>2067</v>
      </c>
      <c r="B502" s="178" t="s">
        <v>2028</v>
      </c>
      <c r="C502" s="178" t="s">
        <v>388</v>
      </c>
      <c r="D502" s="177" t="s">
        <v>1584</v>
      </c>
      <c r="E502" s="174">
        <v>0.4</v>
      </c>
      <c r="F502" s="176">
        <v>37.479999999999997</v>
      </c>
      <c r="G502" s="182" t="s">
        <v>195</v>
      </c>
      <c r="H502" s="174">
        <v>1</v>
      </c>
      <c r="I502" s="173">
        <v>14.99</v>
      </c>
      <c r="J502" s="174">
        <v>26.77</v>
      </c>
      <c r="K502" s="173">
        <v>401.28</v>
      </c>
      <c r="Q502" s="160">
        <f>[3]Source!X344</f>
        <v>0</v>
      </c>
      <c r="R502" s="160">
        <f>[3]Source!X345</f>
        <v>0</v>
      </c>
      <c r="S502" s="160">
        <f>[3]Source!Y344</f>
        <v>0</v>
      </c>
      <c r="T502" s="160">
        <f>[3]Source!Y345</f>
        <v>0</v>
      </c>
      <c r="U502" s="160">
        <f>ROUND((175/100)*ROUND([3]Source!R344, 2), 2)</f>
        <v>0</v>
      </c>
      <c r="V502" s="160">
        <f>ROUND((157/100)*ROUND([3]Source!R345, 2), 2)</f>
        <v>0</v>
      </c>
    </row>
    <row r="503" spans="1:22" ht="14.25" x14ac:dyDescent="0.2">
      <c r="A503" s="179"/>
      <c r="B503" s="178"/>
      <c r="C503" s="178" t="s">
        <v>194</v>
      </c>
      <c r="D503" s="177" t="s">
        <v>187</v>
      </c>
      <c r="E503" s="174">
        <v>110</v>
      </c>
      <c r="F503" s="176"/>
      <c r="G503" s="175"/>
      <c r="H503" s="174"/>
      <c r="I503" s="173">
        <v>1053.0999999999999</v>
      </c>
      <c r="J503" s="174">
        <v>88</v>
      </c>
      <c r="K503" s="173">
        <v>19671.84</v>
      </c>
    </row>
    <row r="504" spans="1:22" ht="14.25" x14ac:dyDescent="0.2">
      <c r="A504" s="172"/>
      <c r="B504" s="171"/>
      <c r="C504" s="171" t="s">
        <v>193</v>
      </c>
      <c r="D504" s="170" t="s">
        <v>187</v>
      </c>
      <c r="E504" s="167">
        <v>85</v>
      </c>
      <c r="F504" s="169"/>
      <c r="G504" s="168"/>
      <c r="H504" s="167"/>
      <c r="I504" s="166">
        <v>813.76</v>
      </c>
      <c r="J504" s="167">
        <v>41</v>
      </c>
      <c r="K504" s="166">
        <v>9165.2900000000009</v>
      </c>
    </row>
    <row r="505" spans="1:22" ht="15" x14ac:dyDescent="0.25">
      <c r="A505" s="164"/>
      <c r="B505" s="164"/>
      <c r="C505" s="165" t="s">
        <v>183</v>
      </c>
      <c r="D505" s="164"/>
      <c r="E505" s="164"/>
      <c r="F505" s="164"/>
      <c r="G505" s="164"/>
      <c r="H505" s="414">
        <v>3155.61</v>
      </c>
      <c r="I505" s="414"/>
      <c r="J505" s="414">
        <v>54900.4</v>
      </c>
      <c r="K505" s="414"/>
      <c r="O505" s="163">
        <f>I497+I498+I503+I504+SUM(I499:I502)</f>
        <v>3155.61</v>
      </c>
      <c r="P505" s="163">
        <f>K497+K498+K503+K504+SUM(K499:K502)</f>
        <v>54900.4</v>
      </c>
    </row>
    <row r="507" spans="1:22" ht="42.75" x14ac:dyDescent="0.2">
      <c r="A507" s="179" t="s">
        <v>1804</v>
      </c>
      <c r="B507" s="178" t="s">
        <v>2068</v>
      </c>
      <c r="C507" s="178" t="s">
        <v>420</v>
      </c>
      <c r="D507" s="177" t="s">
        <v>2037</v>
      </c>
      <c r="E507" s="174">
        <v>4</v>
      </c>
      <c r="F507" s="176"/>
      <c r="G507" s="175"/>
      <c r="H507" s="174"/>
      <c r="I507" s="173"/>
      <c r="J507" s="174"/>
      <c r="K507" s="173"/>
      <c r="Q507" s="160">
        <f>[3]Source!X346</f>
        <v>45.06</v>
      </c>
      <c r="R507" s="160">
        <f>[3]Source!X347</f>
        <v>841.65</v>
      </c>
      <c r="S507" s="160">
        <f>[3]Source!Y346</f>
        <v>34.82</v>
      </c>
      <c r="T507" s="160">
        <f>[3]Source!Y347</f>
        <v>392.13</v>
      </c>
      <c r="U507" s="160">
        <f>ROUND((175/100)*ROUND([3]Source!R346, 2), 2)</f>
        <v>0</v>
      </c>
      <c r="V507" s="160">
        <f>ROUND((157/100)*ROUND([3]Source!R347, 2), 2)</f>
        <v>0</v>
      </c>
    </row>
    <row r="508" spans="1:22" ht="14.25" x14ac:dyDescent="0.2">
      <c r="A508" s="179"/>
      <c r="B508" s="178"/>
      <c r="C508" s="178" t="s">
        <v>197</v>
      </c>
      <c r="D508" s="177"/>
      <c r="E508" s="174"/>
      <c r="F508" s="176">
        <v>10.24</v>
      </c>
      <c r="G508" s="175" t="s">
        <v>195</v>
      </c>
      <c r="H508" s="174">
        <v>1</v>
      </c>
      <c r="I508" s="173">
        <v>40.96</v>
      </c>
      <c r="J508" s="174">
        <v>23.35</v>
      </c>
      <c r="K508" s="173">
        <v>956.42</v>
      </c>
    </row>
    <row r="509" spans="1:22" ht="14.25" x14ac:dyDescent="0.2">
      <c r="A509" s="179"/>
      <c r="B509" s="178"/>
      <c r="C509" s="178" t="s">
        <v>194</v>
      </c>
      <c r="D509" s="177" t="s">
        <v>187</v>
      </c>
      <c r="E509" s="174">
        <v>110</v>
      </c>
      <c r="F509" s="176"/>
      <c r="G509" s="175"/>
      <c r="H509" s="174"/>
      <c r="I509" s="173">
        <v>45.06</v>
      </c>
      <c r="J509" s="174">
        <v>88</v>
      </c>
      <c r="K509" s="173">
        <v>841.65</v>
      </c>
    </row>
    <row r="510" spans="1:22" ht="14.25" x14ac:dyDescent="0.2">
      <c r="A510" s="172"/>
      <c r="B510" s="171"/>
      <c r="C510" s="171" t="s">
        <v>193</v>
      </c>
      <c r="D510" s="170" t="s">
        <v>187</v>
      </c>
      <c r="E510" s="167">
        <v>85</v>
      </c>
      <c r="F510" s="169"/>
      <c r="G510" s="168"/>
      <c r="H510" s="167"/>
      <c r="I510" s="166">
        <v>34.82</v>
      </c>
      <c r="J510" s="167">
        <v>41</v>
      </c>
      <c r="K510" s="166">
        <v>392.13</v>
      </c>
    </row>
    <row r="511" spans="1:22" ht="15" x14ac:dyDescent="0.25">
      <c r="A511" s="164"/>
      <c r="B511" s="164"/>
      <c r="C511" s="165" t="s">
        <v>183</v>
      </c>
      <c r="D511" s="164"/>
      <c r="E511" s="164"/>
      <c r="F511" s="164"/>
      <c r="G511" s="164"/>
      <c r="H511" s="414">
        <v>120.84</v>
      </c>
      <c r="I511" s="414"/>
      <c r="J511" s="414">
        <v>2190.1999999999998</v>
      </c>
      <c r="K511" s="414"/>
      <c r="O511" s="163">
        <f>I508+I509+I510</f>
        <v>120.84</v>
      </c>
      <c r="P511" s="163">
        <f>K508+K509+K510</f>
        <v>2190.1999999999998</v>
      </c>
    </row>
    <row r="513" spans="1:22" ht="28.5" x14ac:dyDescent="0.2">
      <c r="A513" s="179" t="s">
        <v>1806</v>
      </c>
      <c r="B513" s="178" t="s">
        <v>2069</v>
      </c>
      <c r="C513" s="178" t="s">
        <v>419</v>
      </c>
      <c r="D513" s="177" t="s">
        <v>2070</v>
      </c>
      <c r="E513" s="174">
        <v>2</v>
      </c>
      <c r="F513" s="176"/>
      <c r="G513" s="175"/>
      <c r="H513" s="174"/>
      <c r="I513" s="173"/>
      <c r="J513" s="174"/>
      <c r="K513" s="173"/>
      <c r="Q513" s="160">
        <f>[3]Source!X348</f>
        <v>453.33</v>
      </c>
      <c r="R513" s="160">
        <f>[3]Source!X349</f>
        <v>8468.24</v>
      </c>
      <c r="S513" s="160">
        <f>[3]Source!Y348</f>
        <v>350.3</v>
      </c>
      <c r="T513" s="160">
        <f>[3]Source!Y349</f>
        <v>3945.43</v>
      </c>
      <c r="U513" s="160">
        <f>ROUND((175/100)*ROUND([3]Source!R348, 2), 2)</f>
        <v>0</v>
      </c>
      <c r="V513" s="160">
        <f>ROUND((157/100)*ROUND([3]Source!R349, 2), 2)</f>
        <v>0</v>
      </c>
    </row>
    <row r="514" spans="1:22" ht="14.25" x14ac:dyDescent="0.2">
      <c r="A514" s="179"/>
      <c r="B514" s="178"/>
      <c r="C514" s="178" t="s">
        <v>197</v>
      </c>
      <c r="D514" s="177"/>
      <c r="E514" s="174"/>
      <c r="F514" s="176">
        <v>206.06</v>
      </c>
      <c r="G514" s="175" t="s">
        <v>195</v>
      </c>
      <c r="H514" s="174">
        <v>1</v>
      </c>
      <c r="I514" s="173">
        <v>412.12</v>
      </c>
      <c r="J514" s="174">
        <v>23.35</v>
      </c>
      <c r="K514" s="173">
        <v>9623</v>
      </c>
    </row>
    <row r="515" spans="1:22" ht="14.25" x14ac:dyDescent="0.2">
      <c r="A515" s="179"/>
      <c r="B515" s="178"/>
      <c r="C515" s="178" t="s">
        <v>205</v>
      </c>
      <c r="D515" s="177"/>
      <c r="E515" s="174"/>
      <c r="F515" s="176">
        <v>6.21</v>
      </c>
      <c r="G515" s="175" t="s">
        <v>195</v>
      </c>
      <c r="H515" s="174">
        <v>1</v>
      </c>
      <c r="I515" s="173">
        <v>12.42</v>
      </c>
      <c r="J515" s="174">
        <v>6.98</v>
      </c>
      <c r="K515" s="173">
        <v>86.69</v>
      </c>
    </row>
    <row r="516" spans="1:22" ht="14.25" x14ac:dyDescent="0.2">
      <c r="A516" s="179" t="s">
        <v>2071</v>
      </c>
      <c r="B516" s="178" t="s">
        <v>2022</v>
      </c>
      <c r="C516" s="178" t="s">
        <v>390</v>
      </c>
      <c r="D516" s="177" t="s">
        <v>1584</v>
      </c>
      <c r="E516" s="174">
        <v>0.7</v>
      </c>
      <c r="F516" s="176">
        <v>31.52</v>
      </c>
      <c r="G516" s="182" t="s">
        <v>195</v>
      </c>
      <c r="H516" s="174">
        <v>1</v>
      </c>
      <c r="I516" s="173">
        <v>22.06</v>
      </c>
      <c r="J516" s="174">
        <v>11.83</v>
      </c>
      <c r="K516" s="173">
        <v>260.97000000000003</v>
      </c>
      <c r="Q516" s="160">
        <f>[3]Source!X354</f>
        <v>0</v>
      </c>
      <c r="R516" s="160">
        <f>[3]Source!X355</f>
        <v>0</v>
      </c>
      <c r="S516" s="160">
        <f>[3]Source!Y354</f>
        <v>0</v>
      </c>
      <c r="T516" s="160">
        <f>[3]Source!Y355</f>
        <v>0</v>
      </c>
      <c r="U516" s="160">
        <f>ROUND((175/100)*ROUND([3]Source!R354, 2), 2)</f>
        <v>0</v>
      </c>
      <c r="V516" s="160">
        <f>ROUND((157/100)*ROUND([3]Source!R355, 2), 2)</f>
        <v>0</v>
      </c>
    </row>
    <row r="517" spans="1:22" ht="14.25" x14ac:dyDescent="0.2">
      <c r="A517" s="179" t="s">
        <v>2072</v>
      </c>
      <c r="B517" s="178" t="s">
        <v>2028</v>
      </c>
      <c r="C517" s="178" t="s">
        <v>388</v>
      </c>
      <c r="D517" s="177" t="s">
        <v>1584</v>
      </c>
      <c r="E517" s="174">
        <v>0.08</v>
      </c>
      <c r="F517" s="176">
        <v>37.479999999999997</v>
      </c>
      <c r="G517" s="182" t="s">
        <v>195</v>
      </c>
      <c r="H517" s="174">
        <v>1</v>
      </c>
      <c r="I517" s="173">
        <v>3</v>
      </c>
      <c r="J517" s="174">
        <v>26.77</v>
      </c>
      <c r="K517" s="173">
        <v>80.31</v>
      </c>
      <c r="Q517" s="160">
        <f>[3]Source!X358</f>
        <v>0</v>
      </c>
      <c r="R517" s="160">
        <f>[3]Source!X359</f>
        <v>0</v>
      </c>
      <c r="S517" s="160">
        <f>[3]Source!Y358</f>
        <v>0</v>
      </c>
      <c r="T517" s="160">
        <f>[3]Source!Y359</f>
        <v>0</v>
      </c>
      <c r="U517" s="160">
        <f>ROUND((175/100)*ROUND([3]Source!R358, 2), 2)</f>
        <v>0</v>
      </c>
      <c r="V517" s="160">
        <f>ROUND((157/100)*ROUND([3]Source!R359, 2), 2)</f>
        <v>0</v>
      </c>
    </row>
    <row r="518" spans="1:22" ht="14.25" x14ac:dyDescent="0.2">
      <c r="A518" s="179"/>
      <c r="B518" s="178"/>
      <c r="C518" s="178" t="s">
        <v>194</v>
      </c>
      <c r="D518" s="177" t="s">
        <v>187</v>
      </c>
      <c r="E518" s="174">
        <v>110</v>
      </c>
      <c r="F518" s="176"/>
      <c r="G518" s="175"/>
      <c r="H518" s="174"/>
      <c r="I518" s="173">
        <v>453.33</v>
      </c>
      <c r="J518" s="174">
        <v>88</v>
      </c>
      <c r="K518" s="173">
        <v>8468.24</v>
      </c>
    </row>
    <row r="519" spans="1:22" ht="14.25" x14ac:dyDescent="0.2">
      <c r="A519" s="172"/>
      <c r="B519" s="171"/>
      <c r="C519" s="171" t="s">
        <v>193</v>
      </c>
      <c r="D519" s="170" t="s">
        <v>187</v>
      </c>
      <c r="E519" s="167">
        <v>85</v>
      </c>
      <c r="F519" s="169"/>
      <c r="G519" s="168"/>
      <c r="H519" s="167"/>
      <c r="I519" s="166">
        <v>350.3</v>
      </c>
      <c r="J519" s="167">
        <v>41</v>
      </c>
      <c r="K519" s="166">
        <v>3945.43</v>
      </c>
    </row>
    <row r="520" spans="1:22" ht="15" x14ac:dyDescent="0.25">
      <c r="A520" s="164"/>
      <c r="B520" s="164"/>
      <c r="C520" s="165" t="s">
        <v>183</v>
      </c>
      <c r="D520" s="164"/>
      <c r="E520" s="164"/>
      <c r="F520" s="164"/>
      <c r="G520" s="164"/>
      <c r="H520" s="414">
        <v>1253.23</v>
      </c>
      <c r="I520" s="414"/>
      <c r="J520" s="414">
        <v>22464.639999999999</v>
      </c>
      <c r="K520" s="414"/>
      <c r="O520" s="163">
        <f>I514+I515+I518+I519+SUM(I516:I517)</f>
        <v>1253.23</v>
      </c>
      <c r="P520" s="163">
        <f>K514+K515+K518+K519+SUM(K516:K517)</f>
        <v>22464.639999999999</v>
      </c>
    </row>
    <row r="522" spans="1:22" ht="42.75" x14ac:dyDescent="0.2">
      <c r="A522" s="179" t="s">
        <v>1809</v>
      </c>
      <c r="B522" s="178" t="s">
        <v>2073</v>
      </c>
      <c r="C522" s="178" t="s">
        <v>418</v>
      </c>
      <c r="D522" s="177" t="s">
        <v>1907</v>
      </c>
      <c r="E522" s="174">
        <v>2</v>
      </c>
      <c r="F522" s="176"/>
      <c r="G522" s="175"/>
      <c r="H522" s="174"/>
      <c r="I522" s="173"/>
      <c r="J522" s="174"/>
      <c r="K522" s="173"/>
      <c r="Q522" s="160">
        <f>[3]Source!X360</f>
        <v>33.42</v>
      </c>
      <c r="R522" s="160">
        <f>[3]Source!X361</f>
        <v>624.25</v>
      </c>
      <c r="S522" s="160">
        <f>[3]Source!Y360</f>
        <v>25.82</v>
      </c>
      <c r="T522" s="160">
        <f>[3]Source!Y361</f>
        <v>290.83999999999997</v>
      </c>
      <c r="U522" s="160">
        <f>ROUND((175/100)*ROUND([3]Source!R360, 2), 2)</f>
        <v>0</v>
      </c>
      <c r="V522" s="160">
        <f>ROUND((157/100)*ROUND([3]Source!R361, 2), 2)</f>
        <v>0</v>
      </c>
    </row>
    <row r="523" spans="1:22" ht="14.25" x14ac:dyDescent="0.2">
      <c r="A523" s="179"/>
      <c r="B523" s="178"/>
      <c r="C523" s="178" t="s">
        <v>197</v>
      </c>
      <c r="D523" s="177"/>
      <c r="E523" s="174"/>
      <c r="F523" s="176">
        <v>15.19</v>
      </c>
      <c r="G523" s="175" t="s">
        <v>195</v>
      </c>
      <c r="H523" s="174">
        <v>1</v>
      </c>
      <c r="I523" s="173">
        <v>30.38</v>
      </c>
      <c r="J523" s="174">
        <v>23.35</v>
      </c>
      <c r="K523" s="173">
        <v>709.37</v>
      </c>
    </row>
    <row r="524" spans="1:22" ht="14.25" x14ac:dyDescent="0.2">
      <c r="A524" s="179"/>
      <c r="B524" s="178"/>
      <c r="C524" s="178" t="s">
        <v>194</v>
      </c>
      <c r="D524" s="177" t="s">
        <v>187</v>
      </c>
      <c r="E524" s="174">
        <v>110</v>
      </c>
      <c r="F524" s="176"/>
      <c r="G524" s="175"/>
      <c r="H524" s="174"/>
      <c r="I524" s="173">
        <v>33.42</v>
      </c>
      <c r="J524" s="174">
        <v>88</v>
      </c>
      <c r="K524" s="173">
        <v>624.25</v>
      </c>
    </row>
    <row r="525" spans="1:22" ht="14.25" x14ac:dyDescent="0.2">
      <c r="A525" s="172"/>
      <c r="B525" s="171"/>
      <c r="C525" s="171" t="s">
        <v>193</v>
      </c>
      <c r="D525" s="170" t="s">
        <v>187</v>
      </c>
      <c r="E525" s="167">
        <v>85</v>
      </c>
      <c r="F525" s="169"/>
      <c r="G525" s="168"/>
      <c r="H525" s="167"/>
      <c r="I525" s="166">
        <v>25.82</v>
      </c>
      <c r="J525" s="167">
        <v>41</v>
      </c>
      <c r="K525" s="166">
        <v>290.83999999999997</v>
      </c>
    </row>
    <row r="526" spans="1:22" ht="15" x14ac:dyDescent="0.25">
      <c r="A526" s="164"/>
      <c r="B526" s="164"/>
      <c r="C526" s="165" t="s">
        <v>183</v>
      </c>
      <c r="D526" s="164"/>
      <c r="E526" s="164"/>
      <c r="F526" s="164"/>
      <c r="G526" s="164"/>
      <c r="H526" s="414">
        <v>89.62</v>
      </c>
      <c r="I526" s="414"/>
      <c r="J526" s="414">
        <v>1624.46</v>
      </c>
      <c r="K526" s="414"/>
      <c r="O526" s="163">
        <f>I523+I524+I525</f>
        <v>89.62</v>
      </c>
      <c r="P526" s="163">
        <f>K523+K524+K525</f>
        <v>1624.46</v>
      </c>
    </row>
    <row r="528" spans="1:22" ht="28.5" x14ac:dyDescent="0.2">
      <c r="A528" s="179" t="s">
        <v>1814</v>
      </c>
      <c r="B528" s="178" t="s">
        <v>2074</v>
      </c>
      <c r="C528" s="178" t="s">
        <v>202</v>
      </c>
      <c r="D528" s="177" t="s">
        <v>1907</v>
      </c>
      <c r="E528" s="174">
        <v>2</v>
      </c>
      <c r="F528" s="176"/>
      <c r="G528" s="175"/>
      <c r="H528" s="174"/>
      <c r="I528" s="173"/>
      <c r="J528" s="174"/>
      <c r="K528" s="173"/>
      <c r="Q528" s="160">
        <f>[3]Source!X362</f>
        <v>10.7</v>
      </c>
      <c r="R528" s="160">
        <f>[3]Source!X363</f>
        <v>177.04</v>
      </c>
      <c r="S528" s="160">
        <f>[3]Source!Y362</f>
        <v>7.49</v>
      </c>
      <c r="T528" s="160">
        <f>[3]Source!Y363</f>
        <v>85.39</v>
      </c>
      <c r="U528" s="160">
        <f>ROUND((175/100)*ROUND([3]Source!R362, 2), 2)</f>
        <v>0.09</v>
      </c>
      <c r="V528" s="160">
        <f>ROUND((157/100)*ROUND([3]Source!R363, 2), 2)</f>
        <v>1.84</v>
      </c>
    </row>
    <row r="529" spans="1:22" ht="14.25" x14ac:dyDescent="0.2">
      <c r="A529" s="179"/>
      <c r="B529" s="178"/>
      <c r="C529" s="178" t="s">
        <v>197</v>
      </c>
      <c r="D529" s="177"/>
      <c r="E529" s="174"/>
      <c r="F529" s="176">
        <v>3.88</v>
      </c>
      <c r="G529" s="175" t="s">
        <v>2075</v>
      </c>
      <c r="H529" s="174">
        <v>1</v>
      </c>
      <c r="I529" s="173">
        <v>8.92</v>
      </c>
      <c r="J529" s="174">
        <v>23.35</v>
      </c>
      <c r="K529" s="173">
        <v>208.28</v>
      </c>
    </row>
    <row r="530" spans="1:22" ht="14.25" x14ac:dyDescent="0.2">
      <c r="A530" s="179"/>
      <c r="B530" s="178"/>
      <c r="C530" s="178" t="s">
        <v>184</v>
      </c>
      <c r="D530" s="177"/>
      <c r="E530" s="174"/>
      <c r="F530" s="176">
        <v>0.18</v>
      </c>
      <c r="G530" s="175" t="s">
        <v>2076</v>
      </c>
      <c r="H530" s="174">
        <v>1</v>
      </c>
      <c r="I530" s="173">
        <v>0.45</v>
      </c>
      <c r="J530" s="174">
        <v>8.61</v>
      </c>
      <c r="K530" s="173">
        <v>3.87</v>
      </c>
    </row>
    <row r="531" spans="1:22" ht="14.25" x14ac:dyDescent="0.2">
      <c r="A531" s="179"/>
      <c r="B531" s="178"/>
      <c r="C531" s="178" t="s">
        <v>189</v>
      </c>
      <c r="D531" s="177"/>
      <c r="E531" s="174"/>
      <c r="F531" s="176">
        <v>0.02</v>
      </c>
      <c r="G531" s="175" t="s">
        <v>2076</v>
      </c>
      <c r="H531" s="174">
        <v>1</v>
      </c>
      <c r="I531" s="180">
        <v>0.05</v>
      </c>
      <c r="J531" s="174">
        <v>23.35</v>
      </c>
      <c r="K531" s="180">
        <v>1.17</v>
      </c>
    </row>
    <row r="532" spans="1:22" ht="28.5" x14ac:dyDescent="0.2">
      <c r="A532" s="179" t="s">
        <v>1816</v>
      </c>
      <c r="B532" s="178" t="s">
        <v>2077</v>
      </c>
      <c r="C532" s="178" t="s">
        <v>384</v>
      </c>
      <c r="D532" s="177" t="s">
        <v>1913</v>
      </c>
      <c r="E532" s="174">
        <v>2</v>
      </c>
      <c r="F532" s="176">
        <v>1390.95</v>
      </c>
      <c r="G532" s="182" t="s">
        <v>195</v>
      </c>
      <c r="H532" s="174">
        <v>1</v>
      </c>
      <c r="I532" s="173">
        <v>2781.9</v>
      </c>
      <c r="J532" s="174">
        <v>4.28</v>
      </c>
      <c r="K532" s="173">
        <v>11906.53</v>
      </c>
      <c r="Q532" s="160">
        <f>[3]Source!X364</f>
        <v>0</v>
      </c>
      <c r="R532" s="160">
        <f>[3]Source!X365</f>
        <v>0</v>
      </c>
      <c r="S532" s="160">
        <f>[3]Source!Y364</f>
        <v>0</v>
      </c>
      <c r="T532" s="160">
        <f>[3]Source!Y365</f>
        <v>0</v>
      </c>
      <c r="U532" s="160">
        <f>ROUND((175/100)*ROUND([3]Source!R364, 2), 2)</f>
        <v>0</v>
      </c>
      <c r="V532" s="160">
        <f>ROUND((157/100)*ROUND([3]Source!R365, 2), 2)</f>
        <v>0</v>
      </c>
    </row>
    <row r="533" spans="1:22" ht="14.25" x14ac:dyDescent="0.2">
      <c r="A533" s="179"/>
      <c r="B533" s="178"/>
      <c r="C533" s="178" t="s">
        <v>194</v>
      </c>
      <c r="D533" s="177" t="s">
        <v>187</v>
      </c>
      <c r="E533" s="174">
        <v>120</v>
      </c>
      <c r="F533" s="176"/>
      <c r="G533" s="175"/>
      <c r="H533" s="174"/>
      <c r="I533" s="173">
        <v>10.7</v>
      </c>
      <c r="J533" s="174">
        <v>85</v>
      </c>
      <c r="K533" s="173">
        <v>177.04</v>
      </c>
    </row>
    <row r="534" spans="1:22" ht="14.25" x14ac:dyDescent="0.2">
      <c r="A534" s="179"/>
      <c r="B534" s="178"/>
      <c r="C534" s="178" t="s">
        <v>193</v>
      </c>
      <c r="D534" s="177" t="s">
        <v>187</v>
      </c>
      <c r="E534" s="174">
        <v>84</v>
      </c>
      <c r="F534" s="176"/>
      <c r="G534" s="175"/>
      <c r="H534" s="174"/>
      <c r="I534" s="173">
        <v>7.49</v>
      </c>
      <c r="J534" s="174">
        <v>41</v>
      </c>
      <c r="K534" s="173">
        <v>85.39</v>
      </c>
    </row>
    <row r="535" spans="1:22" ht="14.25" x14ac:dyDescent="0.2">
      <c r="A535" s="172"/>
      <c r="B535" s="171"/>
      <c r="C535" s="171" t="s">
        <v>188</v>
      </c>
      <c r="D535" s="170" t="s">
        <v>187</v>
      </c>
      <c r="E535" s="167">
        <v>175</v>
      </c>
      <c r="F535" s="169"/>
      <c r="G535" s="168"/>
      <c r="H535" s="167"/>
      <c r="I535" s="166">
        <v>0.09</v>
      </c>
      <c r="J535" s="167">
        <v>157</v>
      </c>
      <c r="K535" s="166">
        <v>1.84</v>
      </c>
    </row>
    <row r="536" spans="1:22" ht="15" x14ac:dyDescent="0.25">
      <c r="A536" s="164"/>
      <c r="B536" s="164"/>
      <c r="C536" s="165" t="s">
        <v>183</v>
      </c>
      <c r="D536" s="164"/>
      <c r="E536" s="164"/>
      <c r="F536" s="164"/>
      <c r="G536" s="164"/>
      <c r="H536" s="414">
        <v>2809.55</v>
      </c>
      <c r="I536" s="414"/>
      <c r="J536" s="414">
        <v>12382.95</v>
      </c>
      <c r="K536" s="414"/>
      <c r="O536" s="163">
        <f>I529+I530+I533+I534+I535+SUM(I532:I532)</f>
        <v>2809.55</v>
      </c>
      <c r="P536" s="163">
        <f>K529+K530+K533+K534+K535+SUM(K532:K532)</f>
        <v>12382.95</v>
      </c>
    </row>
    <row r="538" spans="1:22" ht="57" x14ac:dyDescent="0.2">
      <c r="A538" s="179" t="s">
        <v>1817</v>
      </c>
      <c r="B538" s="178" t="s">
        <v>2078</v>
      </c>
      <c r="C538" s="178" t="s">
        <v>417</v>
      </c>
      <c r="D538" s="177" t="s">
        <v>2016</v>
      </c>
      <c r="E538" s="174">
        <v>4</v>
      </c>
      <c r="F538" s="176"/>
      <c r="G538" s="175"/>
      <c r="H538" s="174"/>
      <c r="I538" s="173"/>
      <c r="J538" s="174"/>
      <c r="K538" s="173"/>
      <c r="Q538" s="160">
        <f>[3]Source!X368</f>
        <v>917</v>
      </c>
      <c r="R538" s="160">
        <f>[3]Source!X369</f>
        <v>17129.63</v>
      </c>
      <c r="S538" s="160">
        <f>[3]Source!Y368</f>
        <v>708.59</v>
      </c>
      <c r="T538" s="160">
        <f>[3]Source!Y369</f>
        <v>7980.85</v>
      </c>
      <c r="U538" s="160">
        <f>ROUND((175/100)*ROUND([3]Source!R368, 2), 2)</f>
        <v>0</v>
      </c>
      <c r="V538" s="160">
        <f>ROUND((157/100)*ROUND([3]Source!R369, 2), 2)</f>
        <v>0</v>
      </c>
    </row>
    <row r="539" spans="1:22" ht="14.25" x14ac:dyDescent="0.2">
      <c r="A539" s="179"/>
      <c r="B539" s="178"/>
      <c r="C539" s="178" t="s">
        <v>197</v>
      </c>
      <c r="D539" s="177"/>
      <c r="E539" s="174"/>
      <c r="F539" s="176">
        <v>208.41</v>
      </c>
      <c r="G539" s="175" t="s">
        <v>195</v>
      </c>
      <c r="H539" s="174">
        <v>1</v>
      </c>
      <c r="I539" s="173">
        <v>833.64</v>
      </c>
      <c r="J539" s="174">
        <v>23.35</v>
      </c>
      <c r="K539" s="173">
        <v>19465.490000000002</v>
      </c>
    </row>
    <row r="540" spans="1:22" ht="14.25" x14ac:dyDescent="0.2">
      <c r="A540" s="179"/>
      <c r="B540" s="178"/>
      <c r="C540" s="178" t="s">
        <v>205</v>
      </c>
      <c r="D540" s="177"/>
      <c r="E540" s="174"/>
      <c r="F540" s="176">
        <v>30.52</v>
      </c>
      <c r="G540" s="175" t="s">
        <v>195</v>
      </c>
      <c r="H540" s="174">
        <v>1</v>
      </c>
      <c r="I540" s="173">
        <v>122.08</v>
      </c>
      <c r="J540" s="174">
        <v>6</v>
      </c>
      <c r="K540" s="173">
        <v>732.48</v>
      </c>
    </row>
    <row r="541" spans="1:22" ht="28.5" x14ac:dyDescent="0.2">
      <c r="A541" s="179" t="s">
        <v>1818</v>
      </c>
      <c r="B541" s="178" t="s">
        <v>2079</v>
      </c>
      <c r="C541" s="178" t="s">
        <v>416</v>
      </c>
      <c r="D541" s="177" t="s">
        <v>1533</v>
      </c>
      <c r="E541" s="174">
        <v>2.3999999999999998E-3</v>
      </c>
      <c r="F541" s="176">
        <v>57104.39</v>
      </c>
      <c r="G541" s="182" t="s">
        <v>195</v>
      </c>
      <c r="H541" s="174">
        <v>1</v>
      </c>
      <c r="I541" s="173">
        <v>137.05000000000001</v>
      </c>
      <c r="J541" s="174">
        <v>3.68</v>
      </c>
      <c r="K541" s="173">
        <v>504.34</v>
      </c>
      <c r="Q541" s="160">
        <f>[3]Source!X370</f>
        <v>0</v>
      </c>
      <c r="R541" s="160">
        <f>[3]Source!X371</f>
        <v>0</v>
      </c>
      <c r="S541" s="160">
        <f>[3]Source!Y370</f>
        <v>0</v>
      </c>
      <c r="T541" s="160">
        <f>[3]Source!Y371</f>
        <v>0</v>
      </c>
      <c r="U541" s="160">
        <f>ROUND((175/100)*ROUND([3]Source!R370, 2), 2)</f>
        <v>0</v>
      </c>
      <c r="V541" s="160">
        <f>ROUND((157/100)*ROUND([3]Source!R371, 2), 2)</f>
        <v>0</v>
      </c>
    </row>
    <row r="542" spans="1:22" ht="28.5" x14ac:dyDescent="0.2">
      <c r="A542" s="179" t="s">
        <v>2080</v>
      </c>
      <c r="B542" s="178" t="s">
        <v>2081</v>
      </c>
      <c r="C542" s="178" t="s">
        <v>415</v>
      </c>
      <c r="D542" s="177" t="s">
        <v>1533</v>
      </c>
      <c r="E542" s="174">
        <v>4.8000000000000001E-5</v>
      </c>
      <c r="F542" s="176">
        <v>34350.410000000003</v>
      </c>
      <c r="G542" s="182" t="s">
        <v>195</v>
      </c>
      <c r="H542" s="174">
        <v>1</v>
      </c>
      <c r="I542" s="173">
        <v>1.65</v>
      </c>
      <c r="J542" s="174">
        <v>5.01</v>
      </c>
      <c r="K542" s="173">
        <v>8.27</v>
      </c>
      <c r="Q542" s="160">
        <f>[3]Source!X372</f>
        <v>0</v>
      </c>
      <c r="R542" s="160">
        <f>[3]Source!X373</f>
        <v>0</v>
      </c>
      <c r="S542" s="160">
        <f>[3]Source!Y372</f>
        <v>0</v>
      </c>
      <c r="T542" s="160">
        <f>[3]Source!Y373</f>
        <v>0</v>
      </c>
      <c r="U542" s="160">
        <f>ROUND((175/100)*ROUND([3]Source!R372, 2), 2)</f>
        <v>0</v>
      </c>
      <c r="V542" s="160">
        <f>ROUND((157/100)*ROUND([3]Source!R373, 2), 2)</f>
        <v>0</v>
      </c>
    </row>
    <row r="543" spans="1:22" ht="14.25" x14ac:dyDescent="0.2">
      <c r="A543" s="179" t="s">
        <v>2082</v>
      </c>
      <c r="B543" s="178" t="s">
        <v>2022</v>
      </c>
      <c r="C543" s="178" t="s">
        <v>390</v>
      </c>
      <c r="D543" s="177" t="s">
        <v>1584</v>
      </c>
      <c r="E543" s="174">
        <v>0.8</v>
      </c>
      <c r="F543" s="176">
        <v>31.52</v>
      </c>
      <c r="G543" s="182" t="s">
        <v>195</v>
      </c>
      <c r="H543" s="174">
        <v>1</v>
      </c>
      <c r="I543" s="173">
        <v>25.22</v>
      </c>
      <c r="J543" s="174">
        <v>11.83</v>
      </c>
      <c r="K543" s="173">
        <v>298.35000000000002</v>
      </c>
      <c r="Q543" s="160">
        <f>[3]Source!X374</f>
        <v>0</v>
      </c>
      <c r="R543" s="160">
        <f>[3]Source!X375</f>
        <v>0</v>
      </c>
      <c r="S543" s="160">
        <f>[3]Source!Y374</f>
        <v>0</v>
      </c>
      <c r="T543" s="160">
        <f>[3]Source!Y375</f>
        <v>0</v>
      </c>
      <c r="U543" s="160">
        <f>ROUND((175/100)*ROUND([3]Source!R374, 2), 2)</f>
        <v>0</v>
      </c>
      <c r="V543" s="160">
        <f>ROUND((157/100)*ROUND([3]Source!R375, 2), 2)</f>
        <v>0</v>
      </c>
    </row>
    <row r="544" spans="1:22" ht="14.25" x14ac:dyDescent="0.2">
      <c r="A544" s="179" t="s">
        <v>2083</v>
      </c>
      <c r="B544" s="178" t="s">
        <v>2028</v>
      </c>
      <c r="C544" s="178" t="s">
        <v>388</v>
      </c>
      <c r="D544" s="177" t="s">
        <v>1584</v>
      </c>
      <c r="E544" s="174">
        <v>0.08</v>
      </c>
      <c r="F544" s="176">
        <v>37.479999999999997</v>
      </c>
      <c r="G544" s="182" t="s">
        <v>195</v>
      </c>
      <c r="H544" s="174">
        <v>1</v>
      </c>
      <c r="I544" s="173">
        <v>3</v>
      </c>
      <c r="J544" s="174">
        <v>26.77</v>
      </c>
      <c r="K544" s="173">
        <v>80.31</v>
      </c>
      <c r="Q544" s="160">
        <f>[3]Source!X376</f>
        <v>0</v>
      </c>
      <c r="R544" s="160">
        <f>[3]Source!X377</f>
        <v>0</v>
      </c>
      <c r="S544" s="160">
        <f>[3]Source!Y376</f>
        <v>0</v>
      </c>
      <c r="T544" s="160">
        <f>[3]Source!Y377</f>
        <v>0</v>
      </c>
      <c r="U544" s="160">
        <f>ROUND((175/100)*ROUND([3]Source!R376, 2), 2)</f>
        <v>0</v>
      </c>
      <c r="V544" s="160">
        <f>ROUND((157/100)*ROUND([3]Source!R377, 2), 2)</f>
        <v>0</v>
      </c>
    </row>
    <row r="545" spans="1:22" ht="28.5" x14ac:dyDescent="0.2">
      <c r="A545" s="179" t="s">
        <v>2084</v>
      </c>
      <c r="B545" s="178" t="s">
        <v>2085</v>
      </c>
      <c r="C545" s="178" t="s">
        <v>414</v>
      </c>
      <c r="D545" s="177" t="s">
        <v>1533</v>
      </c>
      <c r="E545" s="174">
        <v>6.0000000000000002E-5</v>
      </c>
      <c r="F545" s="176">
        <v>12424.76</v>
      </c>
      <c r="G545" s="182" t="s">
        <v>195</v>
      </c>
      <c r="H545" s="174">
        <v>1</v>
      </c>
      <c r="I545" s="173">
        <v>0.75</v>
      </c>
      <c r="J545" s="174">
        <v>6.29</v>
      </c>
      <c r="K545" s="173">
        <v>4.72</v>
      </c>
      <c r="Q545" s="160">
        <f>[3]Source!X378</f>
        <v>0</v>
      </c>
      <c r="R545" s="160">
        <f>[3]Source!X379</f>
        <v>0</v>
      </c>
      <c r="S545" s="160">
        <f>[3]Source!Y378</f>
        <v>0</v>
      </c>
      <c r="T545" s="160">
        <f>[3]Source!Y379</f>
        <v>0</v>
      </c>
      <c r="U545" s="160">
        <f>ROUND((175/100)*ROUND([3]Source!R378, 2), 2)</f>
        <v>0</v>
      </c>
      <c r="V545" s="160">
        <f>ROUND((157/100)*ROUND([3]Source!R379, 2), 2)</f>
        <v>0</v>
      </c>
    </row>
    <row r="546" spans="1:22" ht="14.25" x14ac:dyDescent="0.2">
      <c r="A546" s="179"/>
      <c r="B546" s="178"/>
      <c r="C546" s="178" t="s">
        <v>194</v>
      </c>
      <c r="D546" s="177" t="s">
        <v>187</v>
      </c>
      <c r="E546" s="174">
        <v>110</v>
      </c>
      <c r="F546" s="176"/>
      <c r="G546" s="175"/>
      <c r="H546" s="174"/>
      <c r="I546" s="173">
        <v>917</v>
      </c>
      <c r="J546" s="174">
        <v>88</v>
      </c>
      <c r="K546" s="173">
        <v>17129.63</v>
      </c>
    </row>
    <row r="547" spans="1:22" ht="14.25" x14ac:dyDescent="0.2">
      <c r="A547" s="179"/>
      <c r="B547" s="178"/>
      <c r="C547" s="178" t="s">
        <v>193</v>
      </c>
      <c r="D547" s="177" t="s">
        <v>187</v>
      </c>
      <c r="E547" s="174">
        <v>85</v>
      </c>
      <c r="F547" s="176"/>
      <c r="G547" s="175"/>
      <c r="H547" s="174"/>
      <c r="I547" s="173">
        <v>708.59</v>
      </c>
      <c r="J547" s="174">
        <v>41</v>
      </c>
      <c r="K547" s="173">
        <v>7980.85</v>
      </c>
    </row>
    <row r="548" spans="1:22" ht="14.25" x14ac:dyDescent="0.2">
      <c r="A548" s="172"/>
      <c r="B548" s="171"/>
      <c r="C548" s="171" t="s">
        <v>192</v>
      </c>
      <c r="D548" s="170" t="s">
        <v>191</v>
      </c>
      <c r="E548" s="167">
        <v>12.7</v>
      </c>
      <c r="F548" s="169"/>
      <c r="G548" s="168" t="s">
        <v>195</v>
      </c>
      <c r="H548" s="167">
        <v>1</v>
      </c>
      <c r="I548" s="166">
        <v>50.8</v>
      </c>
      <c r="J548" s="167"/>
      <c r="K548" s="166"/>
    </row>
    <row r="549" spans="1:22" ht="15" x14ac:dyDescent="0.25">
      <c r="A549" s="164"/>
      <c r="B549" s="164"/>
      <c r="C549" s="165" t="s">
        <v>183</v>
      </c>
      <c r="D549" s="164"/>
      <c r="E549" s="164"/>
      <c r="F549" s="164"/>
      <c r="G549" s="164"/>
      <c r="H549" s="414">
        <v>2748.98</v>
      </c>
      <c r="I549" s="414"/>
      <c r="J549" s="414">
        <v>46204.44</v>
      </c>
      <c r="K549" s="414"/>
      <c r="O549" s="163">
        <f>I539+I540+I546+I547+SUM(I541:I545)</f>
        <v>2748.98</v>
      </c>
      <c r="P549" s="163">
        <f>K539+K540+K546+K547+SUM(K541:K545)</f>
        <v>46204.44</v>
      </c>
    </row>
    <row r="551" spans="1:22" ht="42.75" x14ac:dyDescent="0.2">
      <c r="A551" s="179" t="s">
        <v>1819</v>
      </c>
      <c r="B551" s="178" t="s">
        <v>2086</v>
      </c>
      <c r="C551" s="178" t="s">
        <v>413</v>
      </c>
      <c r="D551" s="177" t="s">
        <v>1903</v>
      </c>
      <c r="E551" s="174">
        <v>2</v>
      </c>
      <c r="F551" s="176"/>
      <c r="G551" s="175"/>
      <c r="H551" s="174"/>
      <c r="I551" s="173"/>
      <c r="J551" s="174"/>
      <c r="K551" s="173"/>
      <c r="Q551" s="160">
        <f>[3]Source!X380</f>
        <v>21.47</v>
      </c>
      <c r="R551" s="160">
        <f>[3]Source!X381</f>
        <v>401.1</v>
      </c>
      <c r="S551" s="160">
        <f>[3]Source!Y380</f>
        <v>16.59</v>
      </c>
      <c r="T551" s="160">
        <f>[3]Source!Y381</f>
        <v>186.87</v>
      </c>
      <c r="U551" s="160">
        <f>ROUND((175/100)*ROUND([3]Source!R380, 2), 2)</f>
        <v>0</v>
      </c>
      <c r="V551" s="160">
        <f>ROUND((157/100)*ROUND([3]Source!R381, 2), 2)</f>
        <v>0</v>
      </c>
    </row>
    <row r="552" spans="1:22" ht="14.25" x14ac:dyDescent="0.2">
      <c r="A552" s="179"/>
      <c r="B552" s="178"/>
      <c r="C552" s="178" t="s">
        <v>197</v>
      </c>
      <c r="D552" s="177"/>
      <c r="E552" s="174"/>
      <c r="F552" s="176">
        <v>9.76</v>
      </c>
      <c r="G552" s="175" t="s">
        <v>195</v>
      </c>
      <c r="H552" s="174">
        <v>1</v>
      </c>
      <c r="I552" s="173">
        <v>19.52</v>
      </c>
      <c r="J552" s="174">
        <v>23.35</v>
      </c>
      <c r="K552" s="173">
        <v>455.79</v>
      </c>
    </row>
    <row r="553" spans="1:22" ht="14.25" x14ac:dyDescent="0.2">
      <c r="A553" s="179"/>
      <c r="B553" s="178"/>
      <c r="C553" s="178" t="s">
        <v>194</v>
      </c>
      <c r="D553" s="177" t="s">
        <v>187</v>
      </c>
      <c r="E553" s="174">
        <v>110</v>
      </c>
      <c r="F553" s="176"/>
      <c r="G553" s="175"/>
      <c r="H553" s="174"/>
      <c r="I553" s="173">
        <v>21.47</v>
      </c>
      <c r="J553" s="174">
        <v>88</v>
      </c>
      <c r="K553" s="173">
        <v>401.1</v>
      </c>
    </row>
    <row r="554" spans="1:22" ht="14.25" x14ac:dyDescent="0.2">
      <c r="A554" s="179"/>
      <c r="B554" s="178"/>
      <c r="C554" s="178" t="s">
        <v>193</v>
      </c>
      <c r="D554" s="177" t="s">
        <v>187</v>
      </c>
      <c r="E554" s="174">
        <v>85</v>
      </c>
      <c r="F554" s="176"/>
      <c r="G554" s="175"/>
      <c r="H554" s="174"/>
      <c r="I554" s="173">
        <v>16.59</v>
      </c>
      <c r="J554" s="174">
        <v>41</v>
      </c>
      <c r="K554" s="173">
        <v>186.87</v>
      </c>
    </row>
    <row r="555" spans="1:22" ht="14.25" x14ac:dyDescent="0.2">
      <c r="A555" s="172"/>
      <c r="B555" s="171"/>
      <c r="C555" s="171" t="s">
        <v>192</v>
      </c>
      <c r="D555" s="170" t="s">
        <v>191</v>
      </c>
      <c r="E555" s="167">
        <v>0.69</v>
      </c>
      <c r="F555" s="169"/>
      <c r="G555" s="168" t="s">
        <v>195</v>
      </c>
      <c r="H555" s="167">
        <v>1</v>
      </c>
      <c r="I555" s="166">
        <v>1.38</v>
      </c>
      <c r="J555" s="167"/>
      <c r="K555" s="166"/>
    </row>
    <row r="556" spans="1:22" ht="15" x14ac:dyDescent="0.25">
      <c r="A556" s="164"/>
      <c r="B556" s="164"/>
      <c r="C556" s="165" t="s">
        <v>183</v>
      </c>
      <c r="D556" s="164"/>
      <c r="E556" s="164"/>
      <c r="F556" s="164"/>
      <c r="G556" s="164"/>
      <c r="H556" s="414">
        <v>57.58</v>
      </c>
      <c r="I556" s="414"/>
      <c r="J556" s="414">
        <v>1043.76</v>
      </c>
      <c r="K556" s="414"/>
      <c r="O556" s="163">
        <f>I552+I553+I554</f>
        <v>57.58</v>
      </c>
      <c r="P556" s="163">
        <f>K552+K553+K554</f>
        <v>1043.76</v>
      </c>
    </row>
    <row r="559" spans="1:22" ht="15" x14ac:dyDescent="0.25">
      <c r="A559" s="417" t="s">
        <v>2087</v>
      </c>
      <c r="B559" s="417"/>
      <c r="C559" s="417"/>
      <c r="D559" s="417"/>
      <c r="E559" s="417"/>
      <c r="F559" s="417"/>
      <c r="G559" s="417"/>
      <c r="H559" s="415">
        <v>47289.78</v>
      </c>
      <c r="I559" s="416"/>
      <c r="J559" s="415">
        <v>712022.06</v>
      </c>
      <c r="K559" s="416"/>
    </row>
    <row r="560" spans="1:22" hidden="1" x14ac:dyDescent="0.2">
      <c r="A560" s="160" t="s">
        <v>182</v>
      </c>
      <c r="I560" s="160">
        <v>0</v>
      </c>
      <c r="J560" s="160">
        <v>0</v>
      </c>
    </row>
    <row r="561" spans="1:22" hidden="1" x14ac:dyDescent="0.2">
      <c r="A561" s="160" t="s">
        <v>181</v>
      </c>
      <c r="I561" s="160">
        <v>0</v>
      </c>
      <c r="J561" s="160">
        <v>0</v>
      </c>
    </row>
    <row r="563" spans="1:22" ht="16.5" x14ac:dyDescent="0.25">
      <c r="A563" s="413" t="s">
        <v>2088</v>
      </c>
      <c r="B563" s="413"/>
      <c r="C563" s="413"/>
      <c r="D563" s="413"/>
      <c r="E563" s="413"/>
      <c r="F563" s="413"/>
      <c r="G563" s="413"/>
      <c r="H563" s="413"/>
      <c r="I563" s="413"/>
      <c r="J563" s="413"/>
      <c r="K563" s="413"/>
    </row>
    <row r="564" spans="1:22" ht="42.75" x14ac:dyDescent="0.2">
      <c r="A564" s="179" t="s">
        <v>1821</v>
      </c>
      <c r="B564" s="178" t="s">
        <v>2089</v>
      </c>
      <c r="C564" s="178" t="s">
        <v>412</v>
      </c>
      <c r="D564" s="177" t="s">
        <v>1989</v>
      </c>
      <c r="E564" s="174">
        <v>4</v>
      </c>
      <c r="F564" s="176"/>
      <c r="G564" s="175"/>
      <c r="H564" s="174"/>
      <c r="I564" s="173"/>
      <c r="J564" s="174"/>
      <c r="K564" s="173"/>
      <c r="Q564" s="160">
        <f>[3]Source!X417</f>
        <v>872.47</v>
      </c>
      <c r="R564" s="160">
        <f>[3]Source!X418</f>
        <v>16491.68</v>
      </c>
      <c r="S564" s="160">
        <f>[3]Source!Y417</f>
        <v>581.64</v>
      </c>
      <c r="T564" s="160">
        <f>[3]Source!Y418</f>
        <v>7954.81</v>
      </c>
      <c r="U564" s="160">
        <f>ROUND((175/100)*ROUND([3]Source!R417, 2), 2)</f>
        <v>0.98</v>
      </c>
      <c r="V564" s="160">
        <f>ROUND((157/100)*ROUND([3]Source!R418, 2), 2)</f>
        <v>20.54</v>
      </c>
    </row>
    <row r="565" spans="1:22" ht="14.25" x14ac:dyDescent="0.2">
      <c r="A565" s="179"/>
      <c r="B565" s="178"/>
      <c r="C565" s="178" t="s">
        <v>197</v>
      </c>
      <c r="D565" s="177"/>
      <c r="E565" s="174"/>
      <c r="F565" s="176">
        <v>207.73</v>
      </c>
      <c r="G565" s="175" t="s">
        <v>195</v>
      </c>
      <c r="H565" s="174">
        <v>1</v>
      </c>
      <c r="I565" s="173">
        <v>830.92</v>
      </c>
      <c r="J565" s="174">
        <v>23.35</v>
      </c>
      <c r="K565" s="173">
        <v>19401.98</v>
      </c>
    </row>
    <row r="566" spans="1:22" ht="14.25" x14ac:dyDescent="0.2">
      <c r="A566" s="179"/>
      <c r="B566" s="178"/>
      <c r="C566" s="178" t="s">
        <v>184</v>
      </c>
      <c r="D566" s="177"/>
      <c r="E566" s="174"/>
      <c r="F566" s="176">
        <v>0.7</v>
      </c>
      <c r="G566" s="175" t="s">
        <v>195</v>
      </c>
      <c r="H566" s="174">
        <v>1</v>
      </c>
      <c r="I566" s="173">
        <v>2.8</v>
      </c>
      <c r="J566" s="174">
        <v>8.9600000000000009</v>
      </c>
      <c r="K566" s="173">
        <v>25.09</v>
      </c>
    </row>
    <row r="567" spans="1:22" ht="14.25" x14ac:dyDescent="0.2">
      <c r="A567" s="179"/>
      <c r="B567" s="178"/>
      <c r="C567" s="178" t="s">
        <v>189</v>
      </c>
      <c r="D567" s="177"/>
      <c r="E567" s="174"/>
      <c r="F567" s="176">
        <v>0.14000000000000001</v>
      </c>
      <c r="G567" s="175" t="s">
        <v>195</v>
      </c>
      <c r="H567" s="174">
        <v>1</v>
      </c>
      <c r="I567" s="180">
        <v>0.56000000000000005</v>
      </c>
      <c r="J567" s="174">
        <v>23.35</v>
      </c>
      <c r="K567" s="180">
        <v>13.08</v>
      </c>
    </row>
    <row r="568" spans="1:22" ht="14.25" x14ac:dyDescent="0.2">
      <c r="A568" s="179"/>
      <c r="B568" s="178"/>
      <c r="C568" s="178" t="s">
        <v>205</v>
      </c>
      <c r="D568" s="177"/>
      <c r="E568" s="174"/>
      <c r="F568" s="176">
        <v>102.57</v>
      </c>
      <c r="G568" s="175" t="s">
        <v>195</v>
      </c>
      <c r="H568" s="174">
        <v>1</v>
      </c>
      <c r="I568" s="173">
        <v>410.28</v>
      </c>
      <c r="J568" s="174">
        <v>6.31</v>
      </c>
      <c r="K568" s="173">
        <v>2588.87</v>
      </c>
    </row>
    <row r="569" spans="1:22" ht="28.5" x14ac:dyDescent="0.2">
      <c r="A569" s="179" t="s">
        <v>1822</v>
      </c>
      <c r="B569" s="178" t="s">
        <v>2090</v>
      </c>
      <c r="C569" s="178" t="s">
        <v>410</v>
      </c>
      <c r="D569" s="177" t="s">
        <v>1594</v>
      </c>
      <c r="E569" s="174">
        <v>0.192</v>
      </c>
      <c r="F569" s="176">
        <v>1828.56</v>
      </c>
      <c r="G569" s="182" t="s">
        <v>195</v>
      </c>
      <c r="H569" s="174">
        <v>1</v>
      </c>
      <c r="I569" s="173">
        <v>351.08</v>
      </c>
      <c r="J569" s="174">
        <v>2.79</v>
      </c>
      <c r="K569" s="173">
        <v>979.51</v>
      </c>
      <c r="Q569" s="160">
        <f>[3]Source!X419</f>
        <v>0</v>
      </c>
      <c r="R569" s="160">
        <f>[3]Source!X420</f>
        <v>0</v>
      </c>
      <c r="S569" s="160">
        <f>[3]Source!Y419</f>
        <v>0</v>
      </c>
      <c r="T569" s="160">
        <f>[3]Source!Y420</f>
        <v>0</v>
      </c>
      <c r="U569" s="160">
        <f>ROUND((175/100)*ROUND([3]Source!R419, 2), 2)</f>
        <v>0</v>
      </c>
      <c r="V569" s="160">
        <f>ROUND((157/100)*ROUND([3]Source!R420, 2), 2)</f>
        <v>0</v>
      </c>
    </row>
    <row r="570" spans="1:22" ht="14.25" x14ac:dyDescent="0.2">
      <c r="A570" s="179"/>
      <c r="B570" s="178"/>
      <c r="C570" s="178" t="s">
        <v>194</v>
      </c>
      <c r="D570" s="177" t="s">
        <v>187</v>
      </c>
      <c r="E570" s="174">
        <v>105</v>
      </c>
      <c r="F570" s="176"/>
      <c r="G570" s="175"/>
      <c r="H570" s="174"/>
      <c r="I570" s="173">
        <v>872.47</v>
      </c>
      <c r="J570" s="174">
        <v>85</v>
      </c>
      <c r="K570" s="173">
        <v>16491.68</v>
      </c>
    </row>
    <row r="571" spans="1:22" ht="14.25" x14ac:dyDescent="0.2">
      <c r="A571" s="179"/>
      <c r="B571" s="178"/>
      <c r="C571" s="178" t="s">
        <v>193</v>
      </c>
      <c r="D571" s="177" t="s">
        <v>187</v>
      </c>
      <c r="E571" s="174">
        <v>70</v>
      </c>
      <c r="F571" s="176"/>
      <c r="G571" s="175"/>
      <c r="H571" s="174"/>
      <c r="I571" s="173">
        <v>581.64</v>
      </c>
      <c r="J571" s="174">
        <v>41</v>
      </c>
      <c r="K571" s="173">
        <v>7954.81</v>
      </c>
    </row>
    <row r="572" spans="1:22" ht="14.25" x14ac:dyDescent="0.2">
      <c r="A572" s="179"/>
      <c r="B572" s="178"/>
      <c r="C572" s="178" t="s">
        <v>188</v>
      </c>
      <c r="D572" s="177" t="s">
        <v>187</v>
      </c>
      <c r="E572" s="174">
        <v>175</v>
      </c>
      <c r="F572" s="176"/>
      <c r="G572" s="175"/>
      <c r="H572" s="174"/>
      <c r="I572" s="173">
        <v>0.98</v>
      </c>
      <c r="J572" s="174">
        <v>157</v>
      </c>
      <c r="K572" s="173">
        <v>20.54</v>
      </c>
    </row>
    <row r="573" spans="1:22" ht="14.25" x14ac:dyDescent="0.2">
      <c r="A573" s="172"/>
      <c r="B573" s="171"/>
      <c r="C573" s="171" t="s">
        <v>192</v>
      </c>
      <c r="D573" s="170" t="s">
        <v>191</v>
      </c>
      <c r="E573" s="167">
        <v>13.35</v>
      </c>
      <c r="F573" s="169"/>
      <c r="G573" s="168" t="s">
        <v>195</v>
      </c>
      <c r="H573" s="167">
        <v>1</v>
      </c>
      <c r="I573" s="166">
        <v>53.4</v>
      </c>
      <c r="J573" s="167"/>
      <c r="K573" s="166"/>
    </row>
    <row r="574" spans="1:22" ht="15" x14ac:dyDescent="0.25">
      <c r="A574" s="164"/>
      <c r="B574" s="164"/>
      <c r="C574" s="165" t="s">
        <v>183</v>
      </c>
      <c r="D574" s="164"/>
      <c r="E574" s="164"/>
      <c r="F574" s="164"/>
      <c r="G574" s="164"/>
      <c r="H574" s="414">
        <v>3050.17</v>
      </c>
      <c r="I574" s="414"/>
      <c r="J574" s="414">
        <v>47462.48</v>
      </c>
      <c r="K574" s="414"/>
      <c r="O574" s="163">
        <f>I565+I566+I568+I570+I571+I572+SUM(I569:I569)</f>
        <v>3050.17</v>
      </c>
      <c r="P574" s="163">
        <f>K565+K566+K568+K570+K571+K572+SUM(K569:K569)</f>
        <v>47462.48</v>
      </c>
    </row>
    <row r="576" spans="1:22" ht="42.75" x14ac:dyDescent="0.2">
      <c r="A576" s="179" t="s">
        <v>1823</v>
      </c>
      <c r="B576" s="178" t="s">
        <v>2091</v>
      </c>
      <c r="C576" s="178" t="s">
        <v>411</v>
      </c>
      <c r="D576" s="177" t="s">
        <v>1989</v>
      </c>
      <c r="E576" s="174">
        <v>3</v>
      </c>
      <c r="F576" s="176"/>
      <c r="G576" s="175"/>
      <c r="H576" s="174"/>
      <c r="I576" s="173"/>
      <c r="J576" s="174"/>
      <c r="K576" s="173"/>
      <c r="Q576" s="160">
        <f>[3]Source!X421</f>
        <v>529.36</v>
      </c>
      <c r="R576" s="160">
        <f>[3]Source!X422</f>
        <v>10006.120000000001</v>
      </c>
      <c r="S576" s="160">
        <f>[3]Source!Y421</f>
        <v>352.91</v>
      </c>
      <c r="T576" s="160">
        <f>[3]Source!Y422</f>
        <v>4826.4799999999996</v>
      </c>
      <c r="U576" s="160">
        <f>ROUND((175/100)*ROUND([3]Source!R421, 2), 2)</f>
        <v>0.32</v>
      </c>
      <c r="V576" s="160">
        <f>ROUND((157/100)*ROUND([3]Source!R422, 2), 2)</f>
        <v>6.59</v>
      </c>
    </row>
    <row r="577" spans="1:22" ht="14.25" x14ac:dyDescent="0.2">
      <c r="A577" s="179"/>
      <c r="B577" s="178"/>
      <c r="C577" s="178" t="s">
        <v>197</v>
      </c>
      <c r="D577" s="177"/>
      <c r="E577" s="174"/>
      <c r="F577" s="176">
        <v>168.05</v>
      </c>
      <c r="G577" s="175" t="s">
        <v>195</v>
      </c>
      <c r="H577" s="174">
        <v>1</v>
      </c>
      <c r="I577" s="173">
        <v>504.15</v>
      </c>
      <c r="J577" s="174">
        <v>23.35</v>
      </c>
      <c r="K577" s="173">
        <v>11771.9</v>
      </c>
    </row>
    <row r="578" spans="1:22" ht="14.25" x14ac:dyDescent="0.2">
      <c r="A578" s="179"/>
      <c r="B578" s="178"/>
      <c r="C578" s="178" t="s">
        <v>184</v>
      </c>
      <c r="D578" s="177"/>
      <c r="E578" s="174"/>
      <c r="F578" s="176">
        <v>0.3</v>
      </c>
      <c r="G578" s="175" t="s">
        <v>195</v>
      </c>
      <c r="H578" s="174">
        <v>1</v>
      </c>
      <c r="I578" s="173">
        <v>0.9</v>
      </c>
      <c r="J578" s="174">
        <v>8.9700000000000006</v>
      </c>
      <c r="K578" s="173">
        <v>8.07</v>
      </c>
    </row>
    <row r="579" spans="1:22" ht="14.25" x14ac:dyDescent="0.2">
      <c r="A579" s="179"/>
      <c r="B579" s="178"/>
      <c r="C579" s="178" t="s">
        <v>189</v>
      </c>
      <c r="D579" s="177"/>
      <c r="E579" s="174"/>
      <c r="F579" s="176">
        <v>0.06</v>
      </c>
      <c r="G579" s="175" t="s">
        <v>195</v>
      </c>
      <c r="H579" s="174">
        <v>1</v>
      </c>
      <c r="I579" s="180">
        <v>0.18</v>
      </c>
      <c r="J579" s="174">
        <v>23.35</v>
      </c>
      <c r="K579" s="180">
        <v>4.2</v>
      </c>
    </row>
    <row r="580" spans="1:22" ht="14.25" x14ac:dyDescent="0.2">
      <c r="A580" s="179"/>
      <c r="B580" s="178"/>
      <c r="C580" s="178" t="s">
        <v>205</v>
      </c>
      <c r="D580" s="177"/>
      <c r="E580" s="174"/>
      <c r="F580" s="176">
        <v>66.28</v>
      </c>
      <c r="G580" s="175" t="s">
        <v>195</v>
      </c>
      <c r="H580" s="174">
        <v>1</v>
      </c>
      <c r="I580" s="173">
        <v>198.84</v>
      </c>
      <c r="J580" s="174">
        <v>6.32</v>
      </c>
      <c r="K580" s="173">
        <v>1256.67</v>
      </c>
    </row>
    <row r="581" spans="1:22" ht="28.5" x14ac:dyDescent="0.2">
      <c r="A581" s="179" t="s">
        <v>1824</v>
      </c>
      <c r="B581" s="178" t="s">
        <v>2090</v>
      </c>
      <c r="C581" s="178" t="s">
        <v>410</v>
      </c>
      <c r="D581" s="177" t="s">
        <v>1594</v>
      </c>
      <c r="E581" s="174">
        <v>6.9000000000000006E-2</v>
      </c>
      <c r="F581" s="176">
        <v>1828.56</v>
      </c>
      <c r="G581" s="182" t="s">
        <v>195</v>
      </c>
      <c r="H581" s="174">
        <v>1</v>
      </c>
      <c r="I581" s="173">
        <v>126.17</v>
      </c>
      <c r="J581" s="174">
        <v>2.79</v>
      </c>
      <c r="K581" s="173">
        <v>352.01</v>
      </c>
      <c r="Q581" s="160">
        <f>[3]Source!X423</f>
        <v>0</v>
      </c>
      <c r="R581" s="160">
        <f>[3]Source!X424</f>
        <v>0</v>
      </c>
      <c r="S581" s="160">
        <f>[3]Source!Y423</f>
        <v>0</v>
      </c>
      <c r="T581" s="160">
        <f>[3]Source!Y424</f>
        <v>0</v>
      </c>
      <c r="U581" s="160">
        <f>ROUND((175/100)*ROUND([3]Source!R423, 2), 2)</f>
        <v>0</v>
      </c>
      <c r="V581" s="160">
        <f>ROUND((157/100)*ROUND([3]Source!R424, 2), 2)</f>
        <v>0</v>
      </c>
    </row>
    <row r="582" spans="1:22" ht="14.25" x14ac:dyDescent="0.2">
      <c r="A582" s="179"/>
      <c r="B582" s="178"/>
      <c r="C582" s="178" t="s">
        <v>194</v>
      </c>
      <c r="D582" s="177" t="s">
        <v>187</v>
      </c>
      <c r="E582" s="174">
        <v>105</v>
      </c>
      <c r="F582" s="176"/>
      <c r="G582" s="175"/>
      <c r="H582" s="174"/>
      <c r="I582" s="173">
        <v>529.36</v>
      </c>
      <c r="J582" s="174">
        <v>85</v>
      </c>
      <c r="K582" s="173">
        <v>10006.120000000001</v>
      </c>
    </row>
    <row r="583" spans="1:22" ht="14.25" x14ac:dyDescent="0.2">
      <c r="A583" s="179"/>
      <c r="B583" s="178"/>
      <c r="C583" s="178" t="s">
        <v>193</v>
      </c>
      <c r="D583" s="177" t="s">
        <v>187</v>
      </c>
      <c r="E583" s="174">
        <v>70</v>
      </c>
      <c r="F583" s="176"/>
      <c r="G583" s="175"/>
      <c r="H583" s="174"/>
      <c r="I583" s="173">
        <v>352.91</v>
      </c>
      <c r="J583" s="174">
        <v>41</v>
      </c>
      <c r="K583" s="173">
        <v>4826.4799999999996</v>
      </c>
    </row>
    <row r="584" spans="1:22" ht="14.25" x14ac:dyDescent="0.2">
      <c r="A584" s="179"/>
      <c r="B584" s="178"/>
      <c r="C584" s="178" t="s">
        <v>188</v>
      </c>
      <c r="D584" s="177" t="s">
        <v>187</v>
      </c>
      <c r="E584" s="174">
        <v>175</v>
      </c>
      <c r="F584" s="176"/>
      <c r="G584" s="175"/>
      <c r="H584" s="174"/>
      <c r="I584" s="173">
        <v>0.32</v>
      </c>
      <c r="J584" s="174">
        <v>157</v>
      </c>
      <c r="K584" s="173">
        <v>6.59</v>
      </c>
    </row>
    <row r="585" spans="1:22" ht="14.25" x14ac:dyDescent="0.2">
      <c r="A585" s="172"/>
      <c r="B585" s="171"/>
      <c r="C585" s="171" t="s">
        <v>192</v>
      </c>
      <c r="D585" s="170" t="s">
        <v>191</v>
      </c>
      <c r="E585" s="167">
        <v>10.8</v>
      </c>
      <c r="F585" s="169"/>
      <c r="G585" s="168" t="s">
        <v>195</v>
      </c>
      <c r="H585" s="167">
        <v>1</v>
      </c>
      <c r="I585" s="166">
        <v>32.4</v>
      </c>
      <c r="J585" s="167"/>
      <c r="K585" s="166"/>
    </row>
    <row r="586" spans="1:22" ht="15" x14ac:dyDescent="0.25">
      <c r="A586" s="164"/>
      <c r="B586" s="164"/>
      <c r="C586" s="165" t="s">
        <v>183</v>
      </c>
      <c r="D586" s="164"/>
      <c r="E586" s="164"/>
      <c r="F586" s="164"/>
      <c r="G586" s="164"/>
      <c r="H586" s="414">
        <v>1712.65</v>
      </c>
      <c r="I586" s="414"/>
      <c r="J586" s="414">
        <v>28227.84</v>
      </c>
      <c r="K586" s="414"/>
      <c r="O586" s="163">
        <f>I577+I578+I580+I582+I583+I584+SUM(I581:I581)</f>
        <v>1712.65</v>
      </c>
      <c r="P586" s="163">
        <f>K577+K578+K580+K582+K583+K584+SUM(K581:K581)</f>
        <v>28227.84</v>
      </c>
    </row>
    <row r="588" spans="1:22" ht="28.5" x14ac:dyDescent="0.2">
      <c r="A588" s="179" t="s">
        <v>1825</v>
      </c>
      <c r="B588" s="178" t="s">
        <v>2044</v>
      </c>
      <c r="C588" s="178" t="s">
        <v>409</v>
      </c>
      <c r="D588" s="177" t="s">
        <v>2045</v>
      </c>
      <c r="E588" s="174">
        <v>11</v>
      </c>
      <c r="F588" s="176"/>
      <c r="G588" s="175"/>
      <c r="H588" s="174"/>
      <c r="I588" s="173"/>
      <c r="J588" s="174"/>
      <c r="K588" s="173"/>
      <c r="Q588" s="160">
        <f>[3]Source!X425</f>
        <v>101.52</v>
      </c>
      <c r="R588" s="160">
        <f>[3]Source!X426</f>
        <v>1919.05</v>
      </c>
      <c r="S588" s="160">
        <f>[3]Source!Y425</f>
        <v>67.680000000000007</v>
      </c>
      <c r="T588" s="160">
        <f>[3]Source!Y426</f>
        <v>925.66</v>
      </c>
      <c r="U588" s="160">
        <f>ROUND((175/100)*ROUND([3]Source!R425, 2), 2)</f>
        <v>0</v>
      </c>
      <c r="V588" s="160">
        <f>ROUND((157/100)*ROUND([3]Source!R426, 2), 2)</f>
        <v>0</v>
      </c>
    </row>
    <row r="589" spans="1:22" ht="14.25" x14ac:dyDescent="0.2">
      <c r="A589" s="179"/>
      <c r="B589" s="178"/>
      <c r="C589" s="178" t="s">
        <v>197</v>
      </c>
      <c r="D589" s="177"/>
      <c r="E589" s="174"/>
      <c r="F589" s="176">
        <v>8.7899999999999991</v>
      </c>
      <c r="G589" s="175" t="s">
        <v>195</v>
      </c>
      <c r="H589" s="174">
        <v>1</v>
      </c>
      <c r="I589" s="173">
        <v>96.69</v>
      </c>
      <c r="J589" s="174">
        <v>23.35</v>
      </c>
      <c r="K589" s="173">
        <v>2257.71</v>
      </c>
    </row>
    <row r="590" spans="1:22" ht="28.5" x14ac:dyDescent="0.2">
      <c r="A590" s="179" t="s">
        <v>1827</v>
      </c>
      <c r="B590" s="178" t="s">
        <v>1532</v>
      </c>
      <c r="C590" s="178" t="s">
        <v>351</v>
      </c>
      <c r="D590" s="177" t="s">
        <v>1533</v>
      </c>
      <c r="E590" s="174">
        <v>-0.13200000000000001</v>
      </c>
      <c r="F590" s="176">
        <v>0</v>
      </c>
      <c r="G590" s="182" t="s">
        <v>195</v>
      </c>
      <c r="H590" s="174">
        <v>1</v>
      </c>
      <c r="I590" s="173">
        <v>0</v>
      </c>
      <c r="J590" s="174">
        <v>1</v>
      </c>
      <c r="K590" s="173">
        <v>0</v>
      </c>
      <c r="Q590" s="160">
        <f>[3]Source!X427</f>
        <v>0</v>
      </c>
      <c r="R590" s="160">
        <f>[3]Source!X428</f>
        <v>0</v>
      </c>
      <c r="S590" s="160">
        <f>[3]Source!Y427</f>
        <v>0</v>
      </c>
      <c r="T590" s="160">
        <f>[3]Source!Y428</f>
        <v>0</v>
      </c>
      <c r="U590" s="160">
        <f>ROUND((175/100)*ROUND([3]Source!R427, 2), 2)</f>
        <v>0</v>
      </c>
      <c r="V590" s="160">
        <f>ROUND((157/100)*ROUND([3]Source!R428, 2), 2)</f>
        <v>0</v>
      </c>
    </row>
    <row r="591" spans="1:22" ht="14.25" x14ac:dyDescent="0.2">
      <c r="A591" s="179"/>
      <c r="B591" s="178"/>
      <c r="C591" s="178" t="s">
        <v>194</v>
      </c>
      <c r="D591" s="177" t="s">
        <v>187</v>
      </c>
      <c r="E591" s="174">
        <v>105</v>
      </c>
      <c r="F591" s="176"/>
      <c r="G591" s="175"/>
      <c r="H591" s="174"/>
      <c r="I591" s="173">
        <v>101.52</v>
      </c>
      <c r="J591" s="174">
        <v>85</v>
      </c>
      <c r="K591" s="173">
        <v>1919.05</v>
      </c>
    </row>
    <row r="592" spans="1:22" ht="14.25" x14ac:dyDescent="0.2">
      <c r="A592" s="172"/>
      <c r="B592" s="171"/>
      <c r="C592" s="171" t="s">
        <v>193</v>
      </c>
      <c r="D592" s="170" t="s">
        <v>187</v>
      </c>
      <c r="E592" s="167">
        <v>70</v>
      </c>
      <c r="F592" s="169"/>
      <c r="G592" s="168"/>
      <c r="H592" s="167"/>
      <c r="I592" s="166">
        <v>67.680000000000007</v>
      </c>
      <c r="J592" s="167">
        <v>41</v>
      </c>
      <c r="K592" s="166">
        <v>925.66</v>
      </c>
    </row>
    <row r="593" spans="1:22" ht="15" x14ac:dyDescent="0.25">
      <c r="A593" s="164"/>
      <c r="B593" s="164"/>
      <c r="C593" s="165" t="s">
        <v>183</v>
      </c>
      <c r="D593" s="164"/>
      <c r="E593" s="164"/>
      <c r="F593" s="164"/>
      <c r="G593" s="164"/>
      <c r="H593" s="414">
        <v>265.89</v>
      </c>
      <c r="I593" s="414"/>
      <c r="J593" s="414">
        <v>5102.42</v>
      </c>
      <c r="K593" s="414"/>
      <c r="O593" s="163">
        <f>I589+I591+I592+SUM(I590:I590)</f>
        <v>265.89</v>
      </c>
      <c r="P593" s="163">
        <f>K589+K591+K592+SUM(K590:K590)</f>
        <v>5102.42</v>
      </c>
    </row>
    <row r="595" spans="1:22" ht="28.5" x14ac:dyDescent="0.2">
      <c r="A595" s="179" t="s">
        <v>1828</v>
      </c>
      <c r="B595" s="178" t="s">
        <v>2092</v>
      </c>
      <c r="C595" s="178" t="s">
        <v>408</v>
      </c>
      <c r="D595" s="177" t="s">
        <v>1540</v>
      </c>
      <c r="E595" s="174">
        <v>6.7000000000000004E-2</v>
      </c>
      <c r="F595" s="176"/>
      <c r="G595" s="175"/>
      <c r="H595" s="174"/>
      <c r="I595" s="173"/>
      <c r="J595" s="174"/>
      <c r="K595" s="173"/>
      <c r="Q595" s="160">
        <f>[3]Source!X429</f>
        <v>26</v>
      </c>
      <c r="R595" s="160">
        <f>[3]Source!X430</f>
        <v>516.04</v>
      </c>
      <c r="S595" s="160">
        <f>[3]Source!Y429</f>
        <v>17.88</v>
      </c>
      <c r="T595" s="160">
        <f>[3]Source!Y430</f>
        <v>311.14</v>
      </c>
      <c r="U595" s="160">
        <f>ROUND((175/100)*ROUND([3]Source!R429, 2), 2)</f>
        <v>0</v>
      </c>
      <c r="V595" s="160">
        <f>ROUND((157/100)*ROUND([3]Source!R430, 2), 2)</f>
        <v>0</v>
      </c>
    </row>
    <row r="596" spans="1:22" ht="14.25" x14ac:dyDescent="0.2">
      <c r="A596" s="179"/>
      <c r="B596" s="178"/>
      <c r="C596" s="178" t="s">
        <v>197</v>
      </c>
      <c r="D596" s="177"/>
      <c r="E596" s="174"/>
      <c r="F596" s="176">
        <v>485.08</v>
      </c>
      <c r="G596" s="175" t="s">
        <v>195</v>
      </c>
      <c r="H596" s="174">
        <v>1</v>
      </c>
      <c r="I596" s="173">
        <v>32.5</v>
      </c>
      <c r="J596" s="174">
        <v>23.35</v>
      </c>
      <c r="K596" s="173">
        <v>758.88</v>
      </c>
    </row>
    <row r="597" spans="1:22" ht="28.5" x14ac:dyDescent="0.2">
      <c r="A597" s="179" t="s">
        <v>1829</v>
      </c>
      <c r="B597" s="178" t="s">
        <v>1532</v>
      </c>
      <c r="C597" s="178" t="s">
        <v>351</v>
      </c>
      <c r="D597" s="177" t="s">
        <v>1533</v>
      </c>
      <c r="E597" s="174">
        <v>-1.2E-2</v>
      </c>
      <c r="F597" s="176">
        <v>0</v>
      </c>
      <c r="G597" s="182" t="s">
        <v>195</v>
      </c>
      <c r="H597" s="174">
        <v>1</v>
      </c>
      <c r="I597" s="173">
        <v>0</v>
      </c>
      <c r="J597" s="174">
        <v>1</v>
      </c>
      <c r="K597" s="173">
        <v>0</v>
      </c>
      <c r="Q597" s="160">
        <f>[3]Source!X431</f>
        <v>0</v>
      </c>
      <c r="R597" s="160">
        <f>[3]Source!X432</f>
        <v>0</v>
      </c>
      <c r="S597" s="160">
        <f>[3]Source!Y431</f>
        <v>0</v>
      </c>
      <c r="T597" s="160">
        <f>[3]Source!Y432</f>
        <v>0</v>
      </c>
      <c r="U597" s="160">
        <f>ROUND((175/100)*ROUND([3]Source!R431, 2), 2)</f>
        <v>0</v>
      </c>
      <c r="V597" s="160">
        <f>ROUND((157/100)*ROUND([3]Source!R432, 2), 2)</f>
        <v>0</v>
      </c>
    </row>
    <row r="598" spans="1:22" ht="14.25" x14ac:dyDescent="0.2">
      <c r="A598" s="179"/>
      <c r="B598" s="178"/>
      <c r="C598" s="178" t="s">
        <v>194</v>
      </c>
      <c r="D598" s="177" t="s">
        <v>187</v>
      </c>
      <c r="E598" s="174">
        <v>80</v>
      </c>
      <c r="F598" s="176"/>
      <c r="G598" s="175"/>
      <c r="H598" s="174"/>
      <c r="I598" s="173">
        <v>26</v>
      </c>
      <c r="J598" s="174">
        <v>68</v>
      </c>
      <c r="K598" s="173">
        <v>516.04</v>
      </c>
    </row>
    <row r="599" spans="1:22" ht="14.25" x14ac:dyDescent="0.2">
      <c r="A599" s="172"/>
      <c r="B599" s="171"/>
      <c r="C599" s="171" t="s">
        <v>193</v>
      </c>
      <c r="D599" s="170" t="s">
        <v>187</v>
      </c>
      <c r="E599" s="167">
        <v>55</v>
      </c>
      <c r="F599" s="169"/>
      <c r="G599" s="168"/>
      <c r="H599" s="167"/>
      <c r="I599" s="166">
        <v>17.88</v>
      </c>
      <c r="J599" s="167">
        <v>41</v>
      </c>
      <c r="K599" s="166">
        <v>311.14</v>
      </c>
    </row>
    <row r="600" spans="1:22" ht="15" x14ac:dyDescent="0.25">
      <c r="A600" s="164"/>
      <c r="B600" s="164"/>
      <c r="C600" s="165" t="s">
        <v>183</v>
      </c>
      <c r="D600" s="164"/>
      <c r="E600" s="164"/>
      <c r="F600" s="164"/>
      <c r="G600" s="164"/>
      <c r="H600" s="414">
        <v>76.38</v>
      </c>
      <c r="I600" s="414"/>
      <c r="J600" s="414">
        <v>1586.06</v>
      </c>
      <c r="K600" s="414"/>
      <c r="O600" s="163">
        <f>I596+I598+I599+SUM(I597:I597)</f>
        <v>76.38</v>
      </c>
      <c r="P600" s="163">
        <f>K596+K598+K599+SUM(K597:K597)</f>
        <v>1586.06</v>
      </c>
    </row>
    <row r="602" spans="1:22" ht="57" x14ac:dyDescent="0.2">
      <c r="A602" s="179" t="s">
        <v>1835</v>
      </c>
      <c r="B602" s="178" t="s">
        <v>2093</v>
      </c>
      <c r="C602" s="178" t="s">
        <v>407</v>
      </c>
      <c r="D602" s="177" t="s">
        <v>2094</v>
      </c>
      <c r="E602" s="174">
        <v>36</v>
      </c>
      <c r="F602" s="176"/>
      <c r="G602" s="175"/>
      <c r="H602" s="174"/>
      <c r="I602" s="173"/>
      <c r="J602" s="174"/>
      <c r="K602" s="173"/>
      <c r="Q602" s="160">
        <f>[3]Source!X433</f>
        <v>190.87</v>
      </c>
      <c r="R602" s="160">
        <f>[3]Source!X434</f>
        <v>3565.49</v>
      </c>
      <c r="S602" s="160">
        <f>[3]Source!Y433</f>
        <v>147.49</v>
      </c>
      <c r="T602" s="160">
        <f>[3]Source!Y434</f>
        <v>1661.19</v>
      </c>
      <c r="U602" s="160">
        <f>ROUND((175/100)*ROUND([3]Source!R433, 2), 2)</f>
        <v>0</v>
      </c>
      <c r="V602" s="160">
        <f>ROUND((157/100)*ROUND([3]Source!R434, 2), 2)</f>
        <v>0</v>
      </c>
    </row>
    <row r="603" spans="1:22" ht="14.25" x14ac:dyDescent="0.2">
      <c r="A603" s="179"/>
      <c r="B603" s="178"/>
      <c r="C603" s="178" t="s">
        <v>197</v>
      </c>
      <c r="D603" s="177"/>
      <c r="E603" s="174"/>
      <c r="F603" s="176">
        <v>4.82</v>
      </c>
      <c r="G603" s="175" t="s">
        <v>195</v>
      </c>
      <c r="H603" s="174">
        <v>1</v>
      </c>
      <c r="I603" s="173">
        <v>173.52</v>
      </c>
      <c r="J603" s="174">
        <v>23.35</v>
      </c>
      <c r="K603" s="173">
        <v>4051.69</v>
      </c>
    </row>
    <row r="604" spans="1:22" ht="14.25" x14ac:dyDescent="0.2">
      <c r="A604" s="179"/>
      <c r="B604" s="178"/>
      <c r="C604" s="178" t="s">
        <v>194</v>
      </c>
      <c r="D604" s="177" t="s">
        <v>187</v>
      </c>
      <c r="E604" s="174">
        <v>110</v>
      </c>
      <c r="F604" s="176"/>
      <c r="G604" s="175"/>
      <c r="H604" s="174"/>
      <c r="I604" s="173">
        <v>190.87</v>
      </c>
      <c r="J604" s="174">
        <v>88</v>
      </c>
      <c r="K604" s="173">
        <v>3565.49</v>
      </c>
    </row>
    <row r="605" spans="1:22" ht="14.25" x14ac:dyDescent="0.2">
      <c r="A605" s="172"/>
      <c r="B605" s="171"/>
      <c r="C605" s="171" t="s">
        <v>193</v>
      </c>
      <c r="D605" s="170" t="s">
        <v>187</v>
      </c>
      <c r="E605" s="167">
        <v>85</v>
      </c>
      <c r="F605" s="169"/>
      <c r="G605" s="168"/>
      <c r="H605" s="167"/>
      <c r="I605" s="166">
        <v>147.49</v>
      </c>
      <c r="J605" s="167">
        <v>41</v>
      </c>
      <c r="K605" s="166">
        <v>1661.19</v>
      </c>
    </row>
    <row r="606" spans="1:22" ht="15" x14ac:dyDescent="0.25">
      <c r="A606" s="164"/>
      <c r="B606" s="164"/>
      <c r="C606" s="165" t="s">
        <v>183</v>
      </c>
      <c r="D606" s="164"/>
      <c r="E606" s="164"/>
      <c r="F606" s="164"/>
      <c r="G606" s="164"/>
      <c r="H606" s="414">
        <v>511.88</v>
      </c>
      <c r="I606" s="414"/>
      <c r="J606" s="414">
        <v>9278.3700000000008</v>
      </c>
      <c r="K606" s="414"/>
      <c r="O606" s="163">
        <f>I603+I604+I605</f>
        <v>511.88</v>
      </c>
      <c r="P606" s="163">
        <f>K603+K604+K605</f>
        <v>9278.3700000000008</v>
      </c>
    </row>
    <row r="608" spans="1:22" ht="57" x14ac:dyDescent="0.2">
      <c r="A608" s="179" t="s">
        <v>1838</v>
      </c>
      <c r="B608" s="178" t="s">
        <v>2095</v>
      </c>
      <c r="C608" s="178" t="s">
        <v>406</v>
      </c>
      <c r="D608" s="177" t="s">
        <v>2094</v>
      </c>
      <c r="E608" s="174">
        <v>22</v>
      </c>
      <c r="F608" s="176"/>
      <c r="G608" s="175"/>
      <c r="H608" s="174"/>
      <c r="I608" s="173"/>
      <c r="J608" s="174"/>
      <c r="K608" s="173"/>
      <c r="Q608" s="160">
        <f>[3]Source!X435</f>
        <v>202.8</v>
      </c>
      <c r="R608" s="160">
        <f>[3]Source!X436</f>
        <v>3788.23</v>
      </c>
      <c r="S608" s="160">
        <f>[3]Source!Y435</f>
        <v>156.71</v>
      </c>
      <c r="T608" s="160">
        <f>[3]Source!Y436</f>
        <v>1764.97</v>
      </c>
      <c r="U608" s="160">
        <f>ROUND((175/100)*ROUND([3]Source!R435, 2), 2)</f>
        <v>0</v>
      </c>
      <c r="V608" s="160">
        <f>ROUND((157/100)*ROUND([3]Source!R436, 2), 2)</f>
        <v>0</v>
      </c>
    </row>
    <row r="609" spans="1:22" ht="14.25" x14ac:dyDescent="0.2">
      <c r="A609" s="179"/>
      <c r="B609" s="178"/>
      <c r="C609" s="178" t="s">
        <v>197</v>
      </c>
      <c r="D609" s="177"/>
      <c r="E609" s="174"/>
      <c r="F609" s="176">
        <v>8.3800000000000008</v>
      </c>
      <c r="G609" s="175" t="s">
        <v>195</v>
      </c>
      <c r="H609" s="174">
        <v>1</v>
      </c>
      <c r="I609" s="173">
        <v>184.36</v>
      </c>
      <c r="J609" s="174">
        <v>23.35</v>
      </c>
      <c r="K609" s="173">
        <v>4304.8100000000004</v>
      </c>
    </row>
    <row r="610" spans="1:22" ht="14.25" x14ac:dyDescent="0.2">
      <c r="A610" s="179"/>
      <c r="B610" s="178"/>
      <c r="C610" s="178" t="s">
        <v>194</v>
      </c>
      <c r="D610" s="177" t="s">
        <v>187</v>
      </c>
      <c r="E610" s="174">
        <v>110</v>
      </c>
      <c r="F610" s="176"/>
      <c r="G610" s="175"/>
      <c r="H610" s="174"/>
      <c r="I610" s="173">
        <v>202.8</v>
      </c>
      <c r="J610" s="174">
        <v>88</v>
      </c>
      <c r="K610" s="173">
        <v>3788.23</v>
      </c>
    </row>
    <row r="611" spans="1:22" ht="14.25" x14ac:dyDescent="0.2">
      <c r="A611" s="172"/>
      <c r="B611" s="171"/>
      <c r="C611" s="171" t="s">
        <v>193</v>
      </c>
      <c r="D611" s="170" t="s">
        <v>187</v>
      </c>
      <c r="E611" s="167">
        <v>85</v>
      </c>
      <c r="F611" s="169"/>
      <c r="G611" s="168"/>
      <c r="H611" s="167"/>
      <c r="I611" s="166">
        <v>156.71</v>
      </c>
      <c r="J611" s="167">
        <v>41</v>
      </c>
      <c r="K611" s="166">
        <v>1764.97</v>
      </c>
    </row>
    <row r="612" spans="1:22" ht="15" x14ac:dyDescent="0.25">
      <c r="A612" s="164"/>
      <c r="B612" s="164"/>
      <c r="C612" s="165" t="s">
        <v>183</v>
      </c>
      <c r="D612" s="164"/>
      <c r="E612" s="164"/>
      <c r="F612" s="164"/>
      <c r="G612" s="164"/>
      <c r="H612" s="414">
        <v>543.87</v>
      </c>
      <c r="I612" s="414"/>
      <c r="J612" s="414">
        <v>9858.01</v>
      </c>
      <c r="K612" s="414"/>
      <c r="O612" s="163">
        <f>I609+I610+I611</f>
        <v>543.87</v>
      </c>
      <c r="P612" s="163">
        <f>K609+K610+K611</f>
        <v>9858.01</v>
      </c>
    </row>
    <row r="614" spans="1:22" ht="71.25" x14ac:dyDescent="0.2">
      <c r="A614" s="179" t="s">
        <v>1840</v>
      </c>
      <c r="B614" s="178" t="s">
        <v>2096</v>
      </c>
      <c r="C614" s="178" t="s">
        <v>405</v>
      </c>
      <c r="D614" s="177" t="s">
        <v>1956</v>
      </c>
      <c r="E614" s="174">
        <v>90.652880699999997</v>
      </c>
      <c r="F614" s="176"/>
      <c r="G614" s="175"/>
      <c r="H614" s="174"/>
      <c r="I614" s="173"/>
      <c r="J614" s="174"/>
      <c r="K614" s="173"/>
      <c r="Q614" s="160">
        <f>[3]Source!X437</f>
        <v>9961.84</v>
      </c>
      <c r="R614" s="160">
        <f>[3]Source!X438</f>
        <v>186087.21</v>
      </c>
      <c r="S614" s="160">
        <f>[3]Source!Y437</f>
        <v>7697.79</v>
      </c>
      <c r="T614" s="160">
        <f>[3]Source!Y438</f>
        <v>86699.72</v>
      </c>
      <c r="U614" s="160">
        <f>ROUND((175/100)*ROUND([3]Source!R437, 2), 2)</f>
        <v>0</v>
      </c>
      <c r="V614" s="160">
        <f>ROUND((157/100)*ROUND([3]Source!R438, 2), 2)</f>
        <v>0</v>
      </c>
    </row>
    <row r="615" spans="1:22" ht="51" x14ac:dyDescent="0.2">
      <c r="C615" s="181" t="s">
        <v>2097</v>
      </c>
    </row>
    <row r="616" spans="1:22" ht="14.25" x14ac:dyDescent="0.2">
      <c r="A616" s="179"/>
      <c r="B616" s="178"/>
      <c r="C616" s="178" t="s">
        <v>197</v>
      </c>
      <c r="D616" s="177"/>
      <c r="E616" s="174"/>
      <c r="F616" s="176">
        <v>99.9</v>
      </c>
      <c r="G616" s="175" t="s">
        <v>195</v>
      </c>
      <c r="H616" s="174">
        <v>1</v>
      </c>
      <c r="I616" s="173">
        <v>9056.2199999999993</v>
      </c>
      <c r="J616" s="174">
        <v>23.35</v>
      </c>
      <c r="K616" s="173">
        <v>211462.74</v>
      </c>
    </row>
    <row r="617" spans="1:22" ht="14.25" x14ac:dyDescent="0.2">
      <c r="A617" s="179"/>
      <c r="B617" s="178"/>
      <c r="C617" s="178" t="s">
        <v>205</v>
      </c>
      <c r="D617" s="177"/>
      <c r="E617" s="174"/>
      <c r="F617" s="176">
        <v>13.25</v>
      </c>
      <c r="G617" s="175" t="s">
        <v>195</v>
      </c>
      <c r="H617" s="174">
        <v>1</v>
      </c>
      <c r="I617" s="173">
        <v>1201.1500000000001</v>
      </c>
      <c r="J617" s="174">
        <v>10.14</v>
      </c>
      <c r="K617" s="173">
        <v>12179.66</v>
      </c>
    </row>
    <row r="618" spans="1:22" ht="14.25" x14ac:dyDescent="0.2">
      <c r="A618" s="179"/>
      <c r="B618" s="178"/>
      <c r="C618" s="178" t="s">
        <v>194</v>
      </c>
      <c r="D618" s="177" t="s">
        <v>187</v>
      </c>
      <c r="E618" s="174">
        <v>110</v>
      </c>
      <c r="F618" s="176"/>
      <c r="G618" s="175"/>
      <c r="H618" s="174"/>
      <c r="I618" s="173">
        <v>9961.84</v>
      </c>
      <c r="J618" s="174">
        <v>88</v>
      </c>
      <c r="K618" s="173">
        <v>186087.21</v>
      </c>
    </row>
    <row r="619" spans="1:22" ht="14.25" x14ac:dyDescent="0.2">
      <c r="A619" s="172"/>
      <c r="B619" s="171"/>
      <c r="C619" s="171" t="s">
        <v>193</v>
      </c>
      <c r="D619" s="170" t="s">
        <v>187</v>
      </c>
      <c r="E619" s="167">
        <v>85</v>
      </c>
      <c r="F619" s="169"/>
      <c r="G619" s="168"/>
      <c r="H619" s="167"/>
      <c r="I619" s="166">
        <v>7697.79</v>
      </c>
      <c r="J619" s="167">
        <v>41</v>
      </c>
      <c r="K619" s="166">
        <v>86699.72</v>
      </c>
    </row>
    <row r="620" spans="1:22" ht="15" x14ac:dyDescent="0.25">
      <c r="A620" s="164"/>
      <c r="B620" s="164"/>
      <c r="C620" s="165" t="s">
        <v>183</v>
      </c>
      <c r="D620" s="164"/>
      <c r="E620" s="164"/>
      <c r="F620" s="164"/>
      <c r="G620" s="164"/>
      <c r="H620" s="414">
        <v>27917</v>
      </c>
      <c r="I620" s="414"/>
      <c r="J620" s="414">
        <v>496429.33</v>
      </c>
      <c r="K620" s="414"/>
      <c r="O620" s="163">
        <f>I616+I617+I618+I619</f>
        <v>27917</v>
      </c>
      <c r="P620" s="163">
        <f>K616+K617+K618+K619</f>
        <v>496429.33</v>
      </c>
    </row>
    <row r="622" spans="1:22" ht="71.25" x14ac:dyDescent="0.2">
      <c r="A622" s="179" t="s">
        <v>1842</v>
      </c>
      <c r="B622" s="178" t="s">
        <v>2098</v>
      </c>
      <c r="C622" s="178" t="s">
        <v>404</v>
      </c>
      <c r="D622" s="177" t="s">
        <v>2099</v>
      </c>
      <c r="E622" s="174">
        <v>0.50499207000000002</v>
      </c>
      <c r="F622" s="176"/>
      <c r="G622" s="175"/>
      <c r="H622" s="174"/>
      <c r="I622" s="173"/>
      <c r="J622" s="174"/>
      <c r="K622" s="173"/>
      <c r="Q622" s="160">
        <f>[3]Source!X439</f>
        <v>190.16</v>
      </c>
      <c r="R622" s="160">
        <f>[3]Source!X440</f>
        <v>3552.13</v>
      </c>
      <c r="S622" s="160">
        <f>[3]Source!Y439</f>
        <v>146.94</v>
      </c>
      <c r="T622" s="160">
        <f>[3]Source!Y440</f>
        <v>1654.97</v>
      </c>
      <c r="U622" s="160">
        <f>ROUND((175/100)*ROUND([3]Source!R439, 2), 2)</f>
        <v>0.02</v>
      </c>
      <c r="V622" s="160">
        <f>ROUND((157/100)*ROUND([3]Source!R440, 2), 2)</f>
        <v>0.36</v>
      </c>
    </row>
    <row r="623" spans="1:22" ht="25.5" x14ac:dyDescent="0.2">
      <c r="C623" s="181" t="s">
        <v>2100</v>
      </c>
    </row>
    <row r="624" spans="1:22" ht="14.25" x14ac:dyDescent="0.2">
      <c r="A624" s="179"/>
      <c r="B624" s="178"/>
      <c r="C624" s="178" t="s">
        <v>197</v>
      </c>
      <c r="D624" s="177"/>
      <c r="E624" s="174"/>
      <c r="F624" s="176">
        <v>342.32</v>
      </c>
      <c r="G624" s="175" t="s">
        <v>195</v>
      </c>
      <c r="H624" s="174">
        <v>1</v>
      </c>
      <c r="I624" s="173">
        <v>172.87</v>
      </c>
      <c r="J624" s="174">
        <v>23.35</v>
      </c>
      <c r="K624" s="173">
        <v>4036.51</v>
      </c>
    </row>
    <row r="625" spans="1:22" ht="14.25" x14ac:dyDescent="0.2">
      <c r="A625" s="179"/>
      <c r="B625" s="178"/>
      <c r="C625" s="178" t="s">
        <v>184</v>
      </c>
      <c r="D625" s="177"/>
      <c r="E625" s="174"/>
      <c r="F625" s="176">
        <v>0.1</v>
      </c>
      <c r="G625" s="175" t="s">
        <v>195</v>
      </c>
      <c r="H625" s="174">
        <v>1</v>
      </c>
      <c r="I625" s="173">
        <v>0.05</v>
      </c>
      <c r="J625" s="174">
        <v>9</v>
      </c>
      <c r="K625" s="173">
        <v>0.45</v>
      </c>
    </row>
    <row r="626" spans="1:22" ht="14.25" x14ac:dyDescent="0.2">
      <c r="A626" s="179"/>
      <c r="B626" s="178"/>
      <c r="C626" s="178" t="s">
        <v>189</v>
      </c>
      <c r="D626" s="177"/>
      <c r="E626" s="174"/>
      <c r="F626" s="176">
        <v>0.02</v>
      </c>
      <c r="G626" s="175" t="s">
        <v>195</v>
      </c>
      <c r="H626" s="174">
        <v>1</v>
      </c>
      <c r="I626" s="180">
        <v>0.01</v>
      </c>
      <c r="J626" s="174">
        <v>23.35</v>
      </c>
      <c r="K626" s="180">
        <v>0.23</v>
      </c>
    </row>
    <row r="627" spans="1:22" ht="14.25" x14ac:dyDescent="0.2">
      <c r="A627" s="179"/>
      <c r="B627" s="178"/>
      <c r="C627" s="178" t="s">
        <v>205</v>
      </c>
      <c r="D627" s="177"/>
      <c r="E627" s="174"/>
      <c r="F627" s="176">
        <v>34.659999999999997</v>
      </c>
      <c r="G627" s="175" t="s">
        <v>195</v>
      </c>
      <c r="H627" s="174">
        <v>1</v>
      </c>
      <c r="I627" s="173">
        <v>17.5</v>
      </c>
      <c r="J627" s="174">
        <v>3.25</v>
      </c>
      <c r="K627" s="173">
        <v>56.88</v>
      </c>
    </row>
    <row r="628" spans="1:22" ht="28.5" x14ac:dyDescent="0.2">
      <c r="A628" s="179" t="s">
        <v>1843</v>
      </c>
      <c r="B628" s="178" t="s">
        <v>2101</v>
      </c>
      <c r="C628" s="178" t="s">
        <v>402</v>
      </c>
      <c r="D628" s="177" t="s">
        <v>1533</v>
      </c>
      <c r="E628" s="174">
        <v>3.493E-3</v>
      </c>
      <c r="F628" s="176">
        <v>9837.2900000000009</v>
      </c>
      <c r="G628" s="182" t="s">
        <v>195</v>
      </c>
      <c r="H628" s="174">
        <v>1</v>
      </c>
      <c r="I628" s="173">
        <v>34.36</v>
      </c>
      <c r="J628" s="174">
        <v>6.27</v>
      </c>
      <c r="K628" s="173">
        <v>215.44</v>
      </c>
      <c r="Q628" s="160">
        <f>[3]Source!X441</f>
        <v>0</v>
      </c>
      <c r="R628" s="160">
        <f>[3]Source!X442</f>
        <v>0</v>
      </c>
      <c r="S628" s="160">
        <f>[3]Source!Y441</f>
        <v>0</v>
      </c>
      <c r="T628" s="160">
        <f>[3]Source!Y442</f>
        <v>0</v>
      </c>
      <c r="U628" s="160">
        <f>ROUND((175/100)*ROUND([3]Source!R441, 2), 2)</f>
        <v>0</v>
      </c>
      <c r="V628" s="160">
        <f>ROUND((157/100)*ROUND([3]Source!R442, 2), 2)</f>
        <v>0</v>
      </c>
    </row>
    <row r="629" spans="1:22" ht="14.25" x14ac:dyDescent="0.2">
      <c r="A629" s="179"/>
      <c r="B629" s="178"/>
      <c r="C629" s="178" t="s">
        <v>194</v>
      </c>
      <c r="D629" s="177" t="s">
        <v>187</v>
      </c>
      <c r="E629" s="174">
        <v>110</v>
      </c>
      <c r="F629" s="176"/>
      <c r="G629" s="175"/>
      <c r="H629" s="174"/>
      <c r="I629" s="173">
        <v>190.16</v>
      </c>
      <c r="J629" s="174">
        <v>88</v>
      </c>
      <c r="K629" s="173">
        <v>3552.13</v>
      </c>
    </row>
    <row r="630" spans="1:22" ht="14.25" x14ac:dyDescent="0.2">
      <c r="A630" s="179"/>
      <c r="B630" s="178"/>
      <c r="C630" s="178" t="s">
        <v>193</v>
      </c>
      <c r="D630" s="177" t="s">
        <v>187</v>
      </c>
      <c r="E630" s="174">
        <v>85</v>
      </c>
      <c r="F630" s="176"/>
      <c r="G630" s="175"/>
      <c r="H630" s="174"/>
      <c r="I630" s="173">
        <v>146.94</v>
      </c>
      <c r="J630" s="174">
        <v>41</v>
      </c>
      <c r="K630" s="173">
        <v>1654.97</v>
      </c>
    </row>
    <row r="631" spans="1:22" ht="14.25" x14ac:dyDescent="0.2">
      <c r="A631" s="172"/>
      <c r="B631" s="171"/>
      <c r="C631" s="171" t="s">
        <v>188</v>
      </c>
      <c r="D631" s="170" t="s">
        <v>187</v>
      </c>
      <c r="E631" s="167">
        <v>175</v>
      </c>
      <c r="F631" s="169"/>
      <c r="G631" s="168"/>
      <c r="H631" s="167"/>
      <c r="I631" s="166">
        <v>0.02</v>
      </c>
      <c r="J631" s="167">
        <v>157</v>
      </c>
      <c r="K631" s="166">
        <v>0.36</v>
      </c>
    </row>
    <row r="632" spans="1:22" ht="15" x14ac:dyDescent="0.25">
      <c r="A632" s="164"/>
      <c r="B632" s="164"/>
      <c r="C632" s="165" t="s">
        <v>183</v>
      </c>
      <c r="D632" s="164"/>
      <c r="E632" s="164"/>
      <c r="F632" s="164"/>
      <c r="G632" s="164"/>
      <c r="H632" s="414">
        <v>561.9</v>
      </c>
      <c r="I632" s="414"/>
      <c r="J632" s="414">
        <v>9516.74</v>
      </c>
      <c r="K632" s="414"/>
      <c r="O632" s="163">
        <f>I624+I625+I627+I629+I630+I631+SUM(I628:I628)</f>
        <v>561.9</v>
      </c>
      <c r="P632" s="163">
        <f>K624+K625+K627+K629+K630+K631+SUM(K628:K628)</f>
        <v>9516.74</v>
      </c>
    </row>
    <row r="634" spans="1:22" ht="71.25" x14ac:dyDescent="0.2">
      <c r="A634" s="179" t="s">
        <v>1844</v>
      </c>
      <c r="B634" s="178" t="s">
        <v>2102</v>
      </c>
      <c r="C634" s="178" t="s">
        <v>403</v>
      </c>
      <c r="D634" s="177" t="s">
        <v>2099</v>
      </c>
      <c r="E634" s="174">
        <v>8.5602959999999992</v>
      </c>
      <c r="F634" s="176"/>
      <c r="G634" s="175"/>
      <c r="H634" s="174"/>
      <c r="I634" s="173"/>
      <c r="J634" s="174"/>
      <c r="K634" s="173"/>
      <c r="Q634" s="160">
        <f>[3]Source!X445</f>
        <v>2344.29</v>
      </c>
      <c r="R634" s="160">
        <f>[3]Source!X446</f>
        <v>43791.28</v>
      </c>
      <c r="S634" s="160">
        <f>[3]Source!Y445</f>
        <v>1811.49</v>
      </c>
      <c r="T634" s="160">
        <f>[3]Source!Y446</f>
        <v>20402.759999999998</v>
      </c>
      <c r="U634" s="160">
        <f>ROUND((175/100)*ROUND([3]Source!R445, 2), 2)</f>
        <v>0.3</v>
      </c>
      <c r="V634" s="160">
        <f>ROUND((157/100)*ROUND([3]Source!R446, 2), 2)</f>
        <v>6.23</v>
      </c>
    </row>
    <row r="635" spans="1:22" ht="25.5" x14ac:dyDescent="0.2">
      <c r="C635" s="181" t="s">
        <v>2103</v>
      </c>
    </row>
    <row r="636" spans="1:22" ht="14.25" x14ac:dyDescent="0.2">
      <c r="A636" s="179"/>
      <c r="B636" s="178"/>
      <c r="C636" s="178" t="s">
        <v>197</v>
      </c>
      <c r="D636" s="177"/>
      <c r="E636" s="174"/>
      <c r="F636" s="176">
        <v>248.96</v>
      </c>
      <c r="G636" s="175" t="s">
        <v>195</v>
      </c>
      <c r="H636" s="174">
        <v>1</v>
      </c>
      <c r="I636" s="173">
        <v>2131.17</v>
      </c>
      <c r="J636" s="174">
        <v>23.35</v>
      </c>
      <c r="K636" s="173">
        <v>49762.82</v>
      </c>
    </row>
    <row r="637" spans="1:22" ht="14.25" x14ac:dyDescent="0.2">
      <c r="A637" s="179"/>
      <c r="B637" s="178"/>
      <c r="C637" s="178" t="s">
        <v>184</v>
      </c>
      <c r="D637" s="177"/>
      <c r="E637" s="174"/>
      <c r="F637" s="176">
        <v>0.1</v>
      </c>
      <c r="G637" s="175" t="s">
        <v>195</v>
      </c>
      <c r="H637" s="174">
        <v>1</v>
      </c>
      <c r="I637" s="173">
        <v>0.86</v>
      </c>
      <c r="J637" s="174">
        <v>9</v>
      </c>
      <c r="K637" s="173">
        <v>7.74</v>
      </c>
    </row>
    <row r="638" spans="1:22" ht="14.25" x14ac:dyDescent="0.2">
      <c r="A638" s="179"/>
      <c r="B638" s="178"/>
      <c r="C638" s="178" t="s">
        <v>189</v>
      </c>
      <c r="D638" s="177"/>
      <c r="E638" s="174"/>
      <c r="F638" s="176">
        <v>0.02</v>
      </c>
      <c r="G638" s="175" t="s">
        <v>195</v>
      </c>
      <c r="H638" s="174">
        <v>1</v>
      </c>
      <c r="I638" s="180">
        <v>0.17</v>
      </c>
      <c r="J638" s="174">
        <v>23.35</v>
      </c>
      <c r="K638" s="180">
        <v>3.97</v>
      </c>
    </row>
    <row r="639" spans="1:22" ht="14.25" x14ac:dyDescent="0.2">
      <c r="A639" s="179"/>
      <c r="B639" s="178"/>
      <c r="C639" s="178" t="s">
        <v>205</v>
      </c>
      <c r="D639" s="177"/>
      <c r="E639" s="174"/>
      <c r="F639" s="176">
        <v>34.659999999999997</v>
      </c>
      <c r="G639" s="175" t="s">
        <v>195</v>
      </c>
      <c r="H639" s="174">
        <v>1</v>
      </c>
      <c r="I639" s="173">
        <v>296.7</v>
      </c>
      <c r="J639" s="174">
        <v>3.25</v>
      </c>
      <c r="K639" s="173">
        <v>964.28</v>
      </c>
    </row>
    <row r="640" spans="1:22" ht="28.5" x14ac:dyDescent="0.2">
      <c r="A640" s="179" t="s">
        <v>1845</v>
      </c>
      <c r="B640" s="178" t="s">
        <v>2101</v>
      </c>
      <c r="C640" s="178" t="s">
        <v>402</v>
      </c>
      <c r="D640" s="177" t="s">
        <v>1533</v>
      </c>
      <c r="E640" s="174">
        <v>4.6482000000000002E-2</v>
      </c>
      <c r="F640" s="176">
        <v>9837.2900000000009</v>
      </c>
      <c r="G640" s="182" t="s">
        <v>195</v>
      </c>
      <c r="H640" s="174">
        <v>1</v>
      </c>
      <c r="I640" s="173">
        <v>457.26</v>
      </c>
      <c r="J640" s="174">
        <v>6.27</v>
      </c>
      <c r="K640" s="173">
        <v>2867.02</v>
      </c>
      <c r="Q640" s="160">
        <f>[3]Source!X447</f>
        <v>0</v>
      </c>
      <c r="R640" s="160">
        <f>[3]Source!X448</f>
        <v>0</v>
      </c>
      <c r="S640" s="160">
        <f>[3]Source!Y447</f>
        <v>0</v>
      </c>
      <c r="T640" s="160">
        <f>[3]Source!Y448</f>
        <v>0</v>
      </c>
      <c r="U640" s="160">
        <f>ROUND((175/100)*ROUND([3]Source!R447, 2), 2)</f>
        <v>0</v>
      </c>
      <c r="V640" s="160">
        <f>ROUND((157/100)*ROUND([3]Source!R448, 2), 2)</f>
        <v>0</v>
      </c>
    </row>
    <row r="641" spans="1:22" ht="42.75" x14ac:dyDescent="0.2">
      <c r="A641" s="179" t="s">
        <v>2104</v>
      </c>
      <c r="B641" s="178" t="s">
        <v>2105</v>
      </c>
      <c r="C641" s="178" t="s">
        <v>401</v>
      </c>
      <c r="D641" s="177" t="s">
        <v>1533</v>
      </c>
      <c r="E641" s="174">
        <v>1.8592999999999998E-2</v>
      </c>
      <c r="F641" s="176">
        <v>42508.19</v>
      </c>
      <c r="G641" s="182" t="s">
        <v>195</v>
      </c>
      <c r="H641" s="174">
        <v>1</v>
      </c>
      <c r="I641" s="173">
        <v>790.35</v>
      </c>
      <c r="J641" s="174">
        <v>1.31</v>
      </c>
      <c r="K641" s="173">
        <v>1035.3599999999999</v>
      </c>
      <c r="Q641" s="160">
        <f>[3]Source!X449</f>
        <v>0</v>
      </c>
      <c r="R641" s="160">
        <f>[3]Source!X450</f>
        <v>0</v>
      </c>
      <c r="S641" s="160">
        <f>[3]Source!Y449</f>
        <v>0</v>
      </c>
      <c r="T641" s="160">
        <f>[3]Source!Y450</f>
        <v>0</v>
      </c>
      <c r="U641" s="160">
        <f>ROUND((175/100)*ROUND([3]Source!R449, 2), 2)</f>
        <v>0</v>
      </c>
      <c r="V641" s="160">
        <f>ROUND((157/100)*ROUND([3]Source!R450, 2), 2)</f>
        <v>0</v>
      </c>
    </row>
    <row r="642" spans="1:22" ht="14.25" x14ac:dyDescent="0.2">
      <c r="A642" s="179"/>
      <c r="B642" s="178"/>
      <c r="C642" s="178" t="s">
        <v>194</v>
      </c>
      <c r="D642" s="177" t="s">
        <v>187</v>
      </c>
      <c r="E642" s="174">
        <v>110</v>
      </c>
      <c r="F642" s="176"/>
      <c r="G642" s="175"/>
      <c r="H642" s="174"/>
      <c r="I642" s="173">
        <v>2344.29</v>
      </c>
      <c r="J642" s="174">
        <v>88</v>
      </c>
      <c r="K642" s="173">
        <v>43791.28</v>
      </c>
    </row>
    <row r="643" spans="1:22" ht="14.25" x14ac:dyDescent="0.2">
      <c r="A643" s="179"/>
      <c r="B643" s="178"/>
      <c r="C643" s="178" t="s">
        <v>193</v>
      </c>
      <c r="D643" s="177" t="s">
        <v>187</v>
      </c>
      <c r="E643" s="174">
        <v>85</v>
      </c>
      <c r="F643" s="176"/>
      <c r="G643" s="175"/>
      <c r="H643" s="174"/>
      <c r="I643" s="173">
        <v>1811.49</v>
      </c>
      <c r="J643" s="174">
        <v>41</v>
      </c>
      <c r="K643" s="173">
        <v>20402.759999999998</v>
      </c>
    </row>
    <row r="644" spans="1:22" ht="14.25" x14ac:dyDescent="0.2">
      <c r="A644" s="172"/>
      <c r="B644" s="171"/>
      <c r="C644" s="171" t="s">
        <v>188</v>
      </c>
      <c r="D644" s="170" t="s">
        <v>187</v>
      </c>
      <c r="E644" s="167">
        <v>175</v>
      </c>
      <c r="F644" s="169"/>
      <c r="G644" s="168"/>
      <c r="H644" s="167"/>
      <c r="I644" s="166">
        <v>0.3</v>
      </c>
      <c r="J644" s="167">
        <v>157</v>
      </c>
      <c r="K644" s="166">
        <v>6.23</v>
      </c>
    </row>
    <row r="645" spans="1:22" ht="15" x14ac:dyDescent="0.25">
      <c r="A645" s="164"/>
      <c r="B645" s="164"/>
      <c r="C645" s="165" t="s">
        <v>183</v>
      </c>
      <c r="D645" s="164"/>
      <c r="E645" s="164"/>
      <c r="F645" s="164"/>
      <c r="G645" s="164"/>
      <c r="H645" s="414">
        <v>7832.42</v>
      </c>
      <c r="I645" s="414"/>
      <c r="J645" s="414">
        <v>118837.49</v>
      </c>
      <c r="K645" s="414"/>
      <c r="O645" s="163">
        <f>I636+I637+I639+I642+I643+I644+SUM(I640:I641)</f>
        <v>7832.42</v>
      </c>
      <c r="P645" s="163">
        <f>K636+K637+K639+K642+K643+K644+SUM(K640:K641)</f>
        <v>118837.49</v>
      </c>
    </row>
    <row r="647" spans="1:22" ht="57" x14ac:dyDescent="0.2">
      <c r="A647" s="179" t="s">
        <v>1846</v>
      </c>
      <c r="B647" s="178" t="s">
        <v>2106</v>
      </c>
      <c r="C647" s="178" t="s">
        <v>400</v>
      </c>
      <c r="D647" s="177" t="s">
        <v>2107</v>
      </c>
      <c r="E647" s="174">
        <v>0.01</v>
      </c>
      <c r="F647" s="176"/>
      <c r="G647" s="175"/>
      <c r="H647" s="174"/>
      <c r="I647" s="173"/>
      <c r="J647" s="174"/>
      <c r="K647" s="173"/>
      <c r="Q647" s="160">
        <f>[3]Source!X451</f>
        <v>12.11</v>
      </c>
      <c r="R647" s="160">
        <f>[3]Source!X452</f>
        <v>228.85</v>
      </c>
      <c r="S647" s="160">
        <f>[3]Source!Y451</f>
        <v>8.07</v>
      </c>
      <c r="T647" s="160">
        <f>[3]Source!Y452</f>
        <v>110.38</v>
      </c>
      <c r="U647" s="160">
        <f>ROUND((175/100)*ROUND([3]Source!R451, 2), 2)</f>
        <v>0</v>
      </c>
      <c r="V647" s="160">
        <f>ROUND((157/100)*ROUND([3]Source!R452, 2), 2)</f>
        <v>0</v>
      </c>
    </row>
    <row r="648" spans="1:22" ht="14.25" x14ac:dyDescent="0.2">
      <c r="A648" s="179"/>
      <c r="B648" s="178"/>
      <c r="C648" s="178" t="s">
        <v>197</v>
      </c>
      <c r="D648" s="177"/>
      <c r="E648" s="174"/>
      <c r="F648" s="176">
        <v>1152.5</v>
      </c>
      <c r="G648" s="175" t="s">
        <v>195</v>
      </c>
      <c r="H648" s="174">
        <v>1</v>
      </c>
      <c r="I648" s="173">
        <v>11.53</v>
      </c>
      <c r="J648" s="174">
        <v>23.35</v>
      </c>
      <c r="K648" s="173">
        <v>269.23</v>
      </c>
    </row>
    <row r="649" spans="1:22" ht="14.25" x14ac:dyDescent="0.2">
      <c r="A649" s="179"/>
      <c r="B649" s="178"/>
      <c r="C649" s="178" t="s">
        <v>205</v>
      </c>
      <c r="D649" s="177"/>
      <c r="E649" s="174"/>
      <c r="F649" s="176">
        <v>91.9</v>
      </c>
      <c r="G649" s="175" t="s">
        <v>195</v>
      </c>
      <c r="H649" s="174">
        <v>1</v>
      </c>
      <c r="I649" s="173">
        <v>0.92</v>
      </c>
      <c r="J649" s="174">
        <v>3.94</v>
      </c>
      <c r="K649" s="173">
        <v>3.62</v>
      </c>
    </row>
    <row r="650" spans="1:22" ht="14.25" x14ac:dyDescent="0.2">
      <c r="A650" s="179"/>
      <c r="B650" s="178"/>
      <c r="C650" s="178" t="s">
        <v>194</v>
      </c>
      <c r="D650" s="177" t="s">
        <v>187</v>
      </c>
      <c r="E650" s="174">
        <v>105</v>
      </c>
      <c r="F650" s="176"/>
      <c r="G650" s="175"/>
      <c r="H650" s="174"/>
      <c r="I650" s="173">
        <v>12.11</v>
      </c>
      <c r="J650" s="174">
        <v>85</v>
      </c>
      <c r="K650" s="173">
        <v>228.85</v>
      </c>
    </row>
    <row r="651" spans="1:22" ht="14.25" x14ac:dyDescent="0.2">
      <c r="A651" s="172"/>
      <c r="B651" s="171"/>
      <c r="C651" s="171" t="s">
        <v>193</v>
      </c>
      <c r="D651" s="170" t="s">
        <v>187</v>
      </c>
      <c r="E651" s="167">
        <v>70</v>
      </c>
      <c r="F651" s="169"/>
      <c r="G651" s="168"/>
      <c r="H651" s="167"/>
      <c r="I651" s="166">
        <v>8.07</v>
      </c>
      <c r="J651" s="167">
        <v>41</v>
      </c>
      <c r="K651" s="166">
        <v>110.38</v>
      </c>
    </row>
    <row r="652" spans="1:22" ht="15" x14ac:dyDescent="0.25">
      <c r="A652" s="164"/>
      <c r="B652" s="164"/>
      <c r="C652" s="165" t="s">
        <v>183</v>
      </c>
      <c r="D652" s="164"/>
      <c r="E652" s="164"/>
      <c r="F652" s="164"/>
      <c r="G652" s="164"/>
      <c r="H652" s="414">
        <v>32.630000000000003</v>
      </c>
      <c r="I652" s="414"/>
      <c r="J652" s="414">
        <v>612.08000000000004</v>
      </c>
      <c r="K652" s="414"/>
      <c r="O652" s="163">
        <f>I648+I649+I650+I651</f>
        <v>32.630000000000003</v>
      </c>
      <c r="P652" s="163">
        <f>K648+K649+K650+K651</f>
        <v>612.08000000000004</v>
      </c>
    </row>
    <row r="654" spans="1:22" ht="42.75" x14ac:dyDescent="0.2">
      <c r="A654" s="179" t="s">
        <v>1849</v>
      </c>
      <c r="B654" s="178" t="s">
        <v>2004</v>
      </c>
      <c r="C654" s="178" t="s">
        <v>399</v>
      </c>
      <c r="D654" s="177" t="s">
        <v>2005</v>
      </c>
      <c r="E654" s="174">
        <v>6.72</v>
      </c>
      <c r="F654" s="176"/>
      <c r="G654" s="175"/>
      <c r="H654" s="174"/>
      <c r="I654" s="173"/>
      <c r="J654" s="174"/>
      <c r="K654" s="173"/>
      <c r="Q654" s="160">
        <f>[3]Source!X455</f>
        <v>242.24</v>
      </c>
      <c r="R654" s="160">
        <f>[3]Source!X456</f>
        <v>4578.82</v>
      </c>
      <c r="S654" s="160">
        <f>[3]Source!Y455</f>
        <v>161.49</v>
      </c>
      <c r="T654" s="160">
        <f>[3]Source!Y456</f>
        <v>2208.61</v>
      </c>
      <c r="U654" s="160">
        <f>ROUND((175/100)*ROUND([3]Source!R455, 2), 2)</f>
        <v>0.23</v>
      </c>
      <c r="V654" s="160">
        <f>ROUND((157/100)*ROUND([3]Source!R456, 2), 2)</f>
        <v>4.7699999999999996</v>
      </c>
    </row>
    <row r="655" spans="1:22" ht="14.25" x14ac:dyDescent="0.2">
      <c r="A655" s="179"/>
      <c r="B655" s="178"/>
      <c r="C655" s="178" t="s">
        <v>197</v>
      </c>
      <c r="D655" s="177"/>
      <c r="E655" s="174"/>
      <c r="F655" s="176">
        <v>34.33</v>
      </c>
      <c r="G655" s="175" t="s">
        <v>195</v>
      </c>
      <c r="H655" s="174">
        <v>1</v>
      </c>
      <c r="I655" s="173">
        <v>230.7</v>
      </c>
      <c r="J655" s="174">
        <v>23.35</v>
      </c>
      <c r="K655" s="173">
        <v>5386.85</v>
      </c>
    </row>
    <row r="656" spans="1:22" ht="14.25" x14ac:dyDescent="0.2">
      <c r="A656" s="179"/>
      <c r="B656" s="178"/>
      <c r="C656" s="178" t="s">
        <v>184</v>
      </c>
      <c r="D656" s="177"/>
      <c r="E656" s="174"/>
      <c r="F656" s="176">
        <v>2</v>
      </c>
      <c r="G656" s="175" t="s">
        <v>195</v>
      </c>
      <c r="H656" s="174">
        <v>1</v>
      </c>
      <c r="I656" s="173">
        <v>13.44</v>
      </c>
      <c r="J656" s="174">
        <v>4.1500000000000004</v>
      </c>
      <c r="K656" s="173">
        <v>55.78</v>
      </c>
    </row>
    <row r="657" spans="1:22" ht="14.25" x14ac:dyDescent="0.2">
      <c r="A657" s="179"/>
      <c r="B657" s="178"/>
      <c r="C657" s="178" t="s">
        <v>189</v>
      </c>
      <c r="D657" s="177"/>
      <c r="E657" s="174"/>
      <c r="F657" s="176">
        <v>0.02</v>
      </c>
      <c r="G657" s="175" t="s">
        <v>195</v>
      </c>
      <c r="H657" s="174">
        <v>1</v>
      </c>
      <c r="I657" s="180">
        <v>0.13</v>
      </c>
      <c r="J657" s="174">
        <v>23.35</v>
      </c>
      <c r="K657" s="180">
        <v>3.04</v>
      </c>
    </row>
    <row r="658" spans="1:22" ht="14.25" x14ac:dyDescent="0.2">
      <c r="A658" s="179"/>
      <c r="B658" s="178"/>
      <c r="C658" s="178" t="s">
        <v>205</v>
      </c>
      <c r="D658" s="177"/>
      <c r="E658" s="174"/>
      <c r="F658" s="176">
        <v>61.81</v>
      </c>
      <c r="G658" s="175" t="s">
        <v>195</v>
      </c>
      <c r="H658" s="174">
        <v>1</v>
      </c>
      <c r="I658" s="173">
        <v>415.36</v>
      </c>
      <c r="J658" s="174">
        <v>4.6399999999999997</v>
      </c>
      <c r="K658" s="173">
        <v>1927.27</v>
      </c>
    </row>
    <row r="659" spans="1:22" ht="28.5" x14ac:dyDescent="0.2">
      <c r="A659" s="179" t="s">
        <v>1850</v>
      </c>
      <c r="B659" s="178" t="s">
        <v>2006</v>
      </c>
      <c r="C659" s="178" t="s">
        <v>398</v>
      </c>
      <c r="D659" s="177" t="s">
        <v>1552</v>
      </c>
      <c r="E659" s="174">
        <v>14.450003000000001</v>
      </c>
      <c r="F659" s="176">
        <v>3.55</v>
      </c>
      <c r="G659" s="182" t="s">
        <v>195</v>
      </c>
      <c r="H659" s="174">
        <v>1</v>
      </c>
      <c r="I659" s="173">
        <v>51.3</v>
      </c>
      <c r="J659" s="174">
        <v>2.44</v>
      </c>
      <c r="K659" s="173">
        <v>125.17</v>
      </c>
      <c r="Q659" s="160">
        <f>[3]Source!X457</f>
        <v>0</v>
      </c>
      <c r="R659" s="160">
        <f>[3]Source!X458</f>
        <v>0</v>
      </c>
      <c r="S659" s="160">
        <f>[3]Source!Y457</f>
        <v>0</v>
      </c>
      <c r="T659" s="160">
        <f>[3]Source!Y458</f>
        <v>0</v>
      </c>
      <c r="U659" s="160">
        <f>ROUND((175/100)*ROUND([3]Source!R457, 2), 2)</f>
        <v>0</v>
      </c>
      <c r="V659" s="160">
        <f>ROUND((157/100)*ROUND([3]Source!R458, 2), 2)</f>
        <v>0</v>
      </c>
    </row>
    <row r="660" spans="1:22" ht="42.75" x14ac:dyDescent="0.2">
      <c r="A660" s="179" t="s">
        <v>1851</v>
      </c>
      <c r="B660" s="178" t="s">
        <v>2007</v>
      </c>
      <c r="C660" s="178" t="s">
        <v>397</v>
      </c>
      <c r="D660" s="177" t="s">
        <v>1557</v>
      </c>
      <c r="E660" s="174">
        <v>6.72</v>
      </c>
      <c r="F660" s="176">
        <v>354.98</v>
      </c>
      <c r="G660" s="182" t="s">
        <v>195</v>
      </c>
      <c r="H660" s="174">
        <v>1</v>
      </c>
      <c r="I660" s="173">
        <v>2385.4699999999998</v>
      </c>
      <c r="J660" s="174">
        <v>2.4500000000000002</v>
      </c>
      <c r="K660" s="173">
        <v>5844.4</v>
      </c>
      <c r="Q660" s="160">
        <f>[3]Source!X459</f>
        <v>0</v>
      </c>
      <c r="R660" s="160">
        <f>[3]Source!X460</f>
        <v>0</v>
      </c>
      <c r="S660" s="160">
        <f>[3]Source!Y459</f>
        <v>0</v>
      </c>
      <c r="T660" s="160">
        <f>[3]Source!Y460</f>
        <v>0</v>
      </c>
      <c r="U660" s="160">
        <f>ROUND((175/100)*ROUND([3]Source!R459, 2), 2)</f>
        <v>0</v>
      </c>
      <c r="V660" s="160">
        <f>ROUND((157/100)*ROUND([3]Source!R460, 2), 2)</f>
        <v>0</v>
      </c>
    </row>
    <row r="661" spans="1:22" ht="14.25" x14ac:dyDescent="0.2">
      <c r="A661" s="179"/>
      <c r="B661" s="178"/>
      <c r="C661" s="178" t="s">
        <v>194</v>
      </c>
      <c r="D661" s="177" t="s">
        <v>187</v>
      </c>
      <c r="E661" s="174">
        <v>105</v>
      </c>
      <c r="F661" s="176"/>
      <c r="G661" s="175"/>
      <c r="H661" s="174"/>
      <c r="I661" s="173">
        <v>242.24</v>
      </c>
      <c r="J661" s="174">
        <v>85</v>
      </c>
      <c r="K661" s="173">
        <v>4578.82</v>
      </c>
    </row>
    <row r="662" spans="1:22" ht="14.25" x14ac:dyDescent="0.2">
      <c r="A662" s="179"/>
      <c r="B662" s="178"/>
      <c r="C662" s="178" t="s">
        <v>193</v>
      </c>
      <c r="D662" s="177" t="s">
        <v>187</v>
      </c>
      <c r="E662" s="174">
        <v>70</v>
      </c>
      <c r="F662" s="176"/>
      <c r="G662" s="175"/>
      <c r="H662" s="174"/>
      <c r="I662" s="173">
        <v>161.49</v>
      </c>
      <c r="J662" s="174">
        <v>41</v>
      </c>
      <c r="K662" s="173">
        <v>2208.61</v>
      </c>
    </row>
    <row r="663" spans="1:22" ht="14.25" x14ac:dyDescent="0.2">
      <c r="A663" s="172"/>
      <c r="B663" s="171"/>
      <c r="C663" s="171" t="s">
        <v>188</v>
      </c>
      <c r="D663" s="170" t="s">
        <v>187</v>
      </c>
      <c r="E663" s="167">
        <v>175</v>
      </c>
      <c r="F663" s="169"/>
      <c r="G663" s="168"/>
      <c r="H663" s="167"/>
      <c r="I663" s="166">
        <v>0.23</v>
      </c>
      <c r="J663" s="167">
        <v>157</v>
      </c>
      <c r="K663" s="166">
        <v>4.7699999999999996</v>
      </c>
    </row>
    <row r="664" spans="1:22" ht="15" x14ac:dyDescent="0.25">
      <c r="A664" s="164"/>
      <c r="B664" s="164"/>
      <c r="C664" s="165" t="s">
        <v>183</v>
      </c>
      <c r="D664" s="164"/>
      <c r="E664" s="164"/>
      <c r="F664" s="164"/>
      <c r="G664" s="164"/>
      <c r="H664" s="414">
        <v>3500.23</v>
      </c>
      <c r="I664" s="414"/>
      <c r="J664" s="414">
        <v>20131.669999999998</v>
      </c>
      <c r="K664" s="414"/>
      <c r="O664" s="163">
        <f>I655+I656+I658+I661+I662+I663+SUM(I659:I660)</f>
        <v>3500.23</v>
      </c>
      <c r="P664" s="163">
        <f>K655+K656+K658+K661+K662+K663+SUM(K659:K660)</f>
        <v>20131.669999999998</v>
      </c>
    </row>
    <row r="666" spans="1:22" ht="142.5" x14ac:dyDescent="0.2">
      <c r="A666" s="179" t="s">
        <v>1854</v>
      </c>
      <c r="B666" s="178" t="s">
        <v>2053</v>
      </c>
      <c r="C666" s="178" t="s">
        <v>396</v>
      </c>
      <c r="D666" s="177" t="s">
        <v>2054</v>
      </c>
      <c r="E666" s="174">
        <v>11</v>
      </c>
      <c r="F666" s="176"/>
      <c r="G666" s="175"/>
      <c r="H666" s="174"/>
      <c r="I666" s="173"/>
      <c r="J666" s="174"/>
      <c r="K666" s="173"/>
      <c r="Q666" s="160">
        <f>[3]Source!X461</f>
        <v>5074.38</v>
      </c>
      <c r="R666" s="160">
        <f>[3]Source!X462</f>
        <v>94789.36</v>
      </c>
      <c r="S666" s="160">
        <f>[3]Source!Y461</f>
        <v>3921.11</v>
      </c>
      <c r="T666" s="160">
        <f>[3]Source!Y462</f>
        <v>44163.22</v>
      </c>
      <c r="U666" s="160">
        <f>ROUND((175/100)*ROUND([3]Source!R461, 2), 2)</f>
        <v>0</v>
      </c>
      <c r="V666" s="160">
        <f>ROUND((157/100)*ROUND([3]Source!R462, 2), 2)</f>
        <v>0</v>
      </c>
    </row>
    <row r="667" spans="1:22" ht="14.25" x14ac:dyDescent="0.2">
      <c r="A667" s="179"/>
      <c r="B667" s="178"/>
      <c r="C667" s="178" t="s">
        <v>197</v>
      </c>
      <c r="D667" s="177"/>
      <c r="E667" s="174"/>
      <c r="F667" s="176">
        <v>419.37</v>
      </c>
      <c r="G667" s="175" t="s">
        <v>195</v>
      </c>
      <c r="H667" s="174">
        <v>1</v>
      </c>
      <c r="I667" s="173">
        <v>4613.07</v>
      </c>
      <c r="J667" s="174">
        <v>23.35</v>
      </c>
      <c r="K667" s="173">
        <v>107715.18</v>
      </c>
    </row>
    <row r="668" spans="1:22" ht="14.25" x14ac:dyDescent="0.2">
      <c r="A668" s="179"/>
      <c r="B668" s="178"/>
      <c r="C668" s="178" t="s">
        <v>205</v>
      </c>
      <c r="D668" s="177"/>
      <c r="E668" s="174"/>
      <c r="F668" s="176">
        <v>62.85</v>
      </c>
      <c r="G668" s="175" t="s">
        <v>195</v>
      </c>
      <c r="H668" s="174">
        <v>1</v>
      </c>
      <c r="I668" s="173">
        <v>691.35</v>
      </c>
      <c r="J668" s="174">
        <v>7.17</v>
      </c>
      <c r="K668" s="173">
        <v>4956.9799999999996</v>
      </c>
    </row>
    <row r="669" spans="1:22" ht="28.5" x14ac:dyDescent="0.2">
      <c r="A669" s="179" t="s">
        <v>1857</v>
      </c>
      <c r="B669" s="178" t="s">
        <v>2056</v>
      </c>
      <c r="C669" s="178" t="s">
        <v>395</v>
      </c>
      <c r="D669" s="177" t="s">
        <v>1533</v>
      </c>
      <c r="E669" s="174">
        <v>0.02</v>
      </c>
      <c r="F669" s="176">
        <v>39311.160000000003</v>
      </c>
      <c r="G669" s="182" t="s">
        <v>195</v>
      </c>
      <c r="H669" s="174">
        <v>1</v>
      </c>
      <c r="I669" s="173">
        <v>786.22</v>
      </c>
      <c r="J669" s="174">
        <v>5.2</v>
      </c>
      <c r="K669" s="173">
        <v>4088.34</v>
      </c>
      <c r="Q669" s="160">
        <f>[3]Source!X463</f>
        <v>0</v>
      </c>
      <c r="R669" s="160">
        <f>[3]Source!X464</f>
        <v>0</v>
      </c>
      <c r="S669" s="160">
        <f>[3]Source!Y463</f>
        <v>0</v>
      </c>
      <c r="T669" s="160">
        <f>[3]Source!Y464</f>
        <v>0</v>
      </c>
      <c r="U669" s="160">
        <f>ROUND((175/100)*ROUND([3]Source!R463, 2), 2)</f>
        <v>0</v>
      </c>
      <c r="V669" s="160">
        <f>ROUND((157/100)*ROUND([3]Source!R464, 2), 2)</f>
        <v>0</v>
      </c>
    </row>
    <row r="670" spans="1:22" ht="28.5" x14ac:dyDescent="0.2">
      <c r="A670" s="179" t="s">
        <v>2108</v>
      </c>
      <c r="B670" s="178" t="s">
        <v>2058</v>
      </c>
      <c r="C670" s="178" t="s">
        <v>394</v>
      </c>
      <c r="D670" s="177" t="s">
        <v>1533</v>
      </c>
      <c r="E670" s="174">
        <v>0.02</v>
      </c>
      <c r="F670" s="176">
        <v>65596.84</v>
      </c>
      <c r="G670" s="182" t="s">
        <v>195</v>
      </c>
      <c r="H670" s="174">
        <v>1</v>
      </c>
      <c r="I670" s="173">
        <v>1311.94</v>
      </c>
      <c r="J670" s="174">
        <v>7.44</v>
      </c>
      <c r="K670" s="173">
        <v>9760.83</v>
      </c>
      <c r="Q670" s="160">
        <f>[3]Source!X465</f>
        <v>0</v>
      </c>
      <c r="R670" s="160">
        <f>[3]Source!X466</f>
        <v>0</v>
      </c>
      <c r="S670" s="160">
        <f>[3]Source!Y465</f>
        <v>0</v>
      </c>
      <c r="T670" s="160">
        <f>[3]Source!Y466</f>
        <v>0</v>
      </c>
      <c r="U670" s="160">
        <f>ROUND((175/100)*ROUND([3]Source!R465, 2), 2)</f>
        <v>0</v>
      </c>
      <c r="V670" s="160">
        <f>ROUND((157/100)*ROUND([3]Source!R466, 2), 2)</f>
        <v>0</v>
      </c>
    </row>
    <row r="671" spans="1:22" ht="14.25" x14ac:dyDescent="0.2">
      <c r="A671" s="179" t="s">
        <v>2109</v>
      </c>
      <c r="B671" s="178" t="s">
        <v>2028</v>
      </c>
      <c r="C671" s="178" t="s">
        <v>388</v>
      </c>
      <c r="D671" s="177" t="s">
        <v>1584</v>
      </c>
      <c r="E671" s="174">
        <v>0.55000000000000004</v>
      </c>
      <c r="F671" s="176">
        <v>37.479999999999997</v>
      </c>
      <c r="G671" s="182" t="s">
        <v>195</v>
      </c>
      <c r="H671" s="174">
        <v>1</v>
      </c>
      <c r="I671" s="173">
        <v>20.61</v>
      </c>
      <c r="J671" s="174">
        <v>26.77</v>
      </c>
      <c r="K671" s="173">
        <v>551.73</v>
      </c>
      <c r="Q671" s="160">
        <f>[3]Source!X467</f>
        <v>0</v>
      </c>
      <c r="R671" s="160">
        <f>[3]Source!X468</f>
        <v>0</v>
      </c>
      <c r="S671" s="160">
        <f>[3]Source!Y467</f>
        <v>0</v>
      </c>
      <c r="T671" s="160">
        <f>[3]Source!Y468</f>
        <v>0</v>
      </c>
      <c r="U671" s="160">
        <f>ROUND((175/100)*ROUND([3]Source!R467, 2), 2)</f>
        <v>0</v>
      </c>
      <c r="V671" s="160">
        <f>ROUND((157/100)*ROUND([3]Source!R468, 2), 2)</f>
        <v>0</v>
      </c>
    </row>
    <row r="672" spans="1:22" ht="14.25" x14ac:dyDescent="0.2">
      <c r="A672" s="179" t="s">
        <v>2110</v>
      </c>
      <c r="B672" s="178" t="s">
        <v>2061</v>
      </c>
      <c r="C672" s="178" t="s">
        <v>389</v>
      </c>
      <c r="D672" s="177" t="s">
        <v>1584</v>
      </c>
      <c r="E672" s="174">
        <v>13.53</v>
      </c>
      <c r="F672" s="176">
        <v>34.72</v>
      </c>
      <c r="G672" s="182" t="s">
        <v>195</v>
      </c>
      <c r="H672" s="174">
        <v>1</v>
      </c>
      <c r="I672" s="173">
        <v>469.76</v>
      </c>
      <c r="J672" s="174">
        <v>21.92</v>
      </c>
      <c r="K672" s="173">
        <v>10297.14</v>
      </c>
      <c r="Q672" s="160">
        <f>[3]Source!X469</f>
        <v>0</v>
      </c>
      <c r="R672" s="160">
        <f>[3]Source!X470</f>
        <v>0</v>
      </c>
      <c r="S672" s="160">
        <f>[3]Source!Y469</f>
        <v>0</v>
      </c>
      <c r="T672" s="160">
        <f>[3]Source!Y470</f>
        <v>0</v>
      </c>
      <c r="U672" s="160">
        <f>ROUND((175/100)*ROUND([3]Source!R469, 2), 2)</f>
        <v>0</v>
      </c>
      <c r="V672" s="160">
        <f>ROUND((157/100)*ROUND([3]Source!R470, 2), 2)</f>
        <v>0</v>
      </c>
    </row>
    <row r="673" spans="1:22" ht="14.25" x14ac:dyDescent="0.2">
      <c r="A673" s="179"/>
      <c r="B673" s="178"/>
      <c r="C673" s="178" t="s">
        <v>194</v>
      </c>
      <c r="D673" s="177" t="s">
        <v>187</v>
      </c>
      <c r="E673" s="174">
        <v>110</v>
      </c>
      <c r="F673" s="176"/>
      <c r="G673" s="175"/>
      <c r="H673" s="174"/>
      <c r="I673" s="173">
        <v>5074.38</v>
      </c>
      <c r="J673" s="174">
        <v>88</v>
      </c>
      <c r="K673" s="173">
        <v>94789.36</v>
      </c>
    </row>
    <row r="674" spans="1:22" ht="14.25" x14ac:dyDescent="0.2">
      <c r="A674" s="172"/>
      <c r="B674" s="171"/>
      <c r="C674" s="171" t="s">
        <v>193</v>
      </c>
      <c r="D674" s="170" t="s">
        <v>187</v>
      </c>
      <c r="E674" s="167">
        <v>85</v>
      </c>
      <c r="F674" s="169"/>
      <c r="G674" s="168"/>
      <c r="H674" s="167"/>
      <c r="I674" s="166">
        <v>3921.11</v>
      </c>
      <c r="J674" s="167">
        <v>41</v>
      </c>
      <c r="K674" s="166">
        <v>44163.22</v>
      </c>
    </row>
    <row r="675" spans="1:22" ht="15" x14ac:dyDescent="0.25">
      <c r="A675" s="164"/>
      <c r="B675" s="164"/>
      <c r="C675" s="165" t="s">
        <v>183</v>
      </c>
      <c r="D675" s="164"/>
      <c r="E675" s="164"/>
      <c r="F675" s="164"/>
      <c r="G675" s="164"/>
      <c r="H675" s="414">
        <v>16888.439999999999</v>
      </c>
      <c r="I675" s="414"/>
      <c r="J675" s="414">
        <v>276322.78000000003</v>
      </c>
      <c r="K675" s="414"/>
      <c r="O675" s="163">
        <f>I667+I668+I673+I674+SUM(I669:I672)</f>
        <v>16888.439999999999</v>
      </c>
      <c r="P675" s="163">
        <f>K667+K668+K673+K674+SUM(K669:K672)</f>
        <v>276322.78000000003</v>
      </c>
    </row>
    <row r="677" spans="1:22" ht="42.75" x14ac:dyDescent="0.2">
      <c r="A677" s="179" t="s">
        <v>1859</v>
      </c>
      <c r="B677" s="178" t="s">
        <v>2062</v>
      </c>
      <c r="C677" s="178" t="s">
        <v>393</v>
      </c>
      <c r="D677" s="177" t="s">
        <v>1907</v>
      </c>
      <c r="E677" s="174">
        <v>11</v>
      </c>
      <c r="F677" s="176"/>
      <c r="G677" s="175"/>
      <c r="H677" s="174"/>
      <c r="I677" s="173"/>
      <c r="J677" s="174"/>
      <c r="K677" s="173"/>
      <c r="Q677" s="160">
        <f>[3]Source!X471</f>
        <v>152.1</v>
      </c>
      <c r="R677" s="160">
        <f>[3]Source!X472</f>
        <v>2841.17</v>
      </c>
      <c r="S677" s="160">
        <f>[3]Source!Y471</f>
        <v>117.53</v>
      </c>
      <c r="T677" s="160">
        <f>[3]Source!Y472</f>
        <v>1323.73</v>
      </c>
      <c r="U677" s="160">
        <f>ROUND((175/100)*ROUND([3]Source!R471, 2), 2)</f>
        <v>0</v>
      </c>
      <c r="V677" s="160">
        <f>ROUND((157/100)*ROUND([3]Source!R472, 2), 2)</f>
        <v>0</v>
      </c>
    </row>
    <row r="678" spans="1:22" ht="14.25" x14ac:dyDescent="0.2">
      <c r="A678" s="179"/>
      <c r="B678" s="178"/>
      <c r="C678" s="178" t="s">
        <v>197</v>
      </c>
      <c r="D678" s="177"/>
      <c r="E678" s="174"/>
      <c r="F678" s="176">
        <v>12.57</v>
      </c>
      <c r="G678" s="175" t="s">
        <v>195</v>
      </c>
      <c r="H678" s="174">
        <v>1</v>
      </c>
      <c r="I678" s="173">
        <v>138.27000000000001</v>
      </c>
      <c r="J678" s="174">
        <v>23.35</v>
      </c>
      <c r="K678" s="173">
        <v>3228.6</v>
      </c>
    </row>
    <row r="679" spans="1:22" ht="14.25" x14ac:dyDescent="0.2">
      <c r="A679" s="179"/>
      <c r="B679" s="178"/>
      <c r="C679" s="178" t="s">
        <v>194</v>
      </c>
      <c r="D679" s="177" t="s">
        <v>187</v>
      </c>
      <c r="E679" s="174">
        <v>110</v>
      </c>
      <c r="F679" s="176"/>
      <c r="G679" s="175"/>
      <c r="H679" s="174"/>
      <c r="I679" s="173">
        <v>152.1</v>
      </c>
      <c r="J679" s="174">
        <v>88</v>
      </c>
      <c r="K679" s="173">
        <v>2841.17</v>
      </c>
    </row>
    <row r="680" spans="1:22" ht="14.25" x14ac:dyDescent="0.2">
      <c r="A680" s="172"/>
      <c r="B680" s="171"/>
      <c r="C680" s="171" t="s">
        <v>193</v>
      </c>
      <c r="D680" s="170" t="s">
        <v>187</v>
      </c>
      <c r="E680" s="167">
        <v>85</v>
      </c>
      <c r="F680" s="169"/>
      <c r="G680" s="168"/>
      <c r="H680" s="167"/>
      <c r="I680" s="166">
        <v>117.53</v>
      </c>
      <c r="J680" s="167">
        <v>41</v>
      </c>
      <c r="K680" s="166">
        <v>1323.73</v>
      </c>
    </row>
    <row r="681" spans="1:22" ht="15" x14ac:dyDescent="0.25">
      <c r="A681" s="164"/>
      <c r="B681" s="164"/>
      <c r="C681" s="165" t="s">
        <v>183</v>
      </c>
      <c r="D681" s="164"/>
      <c r="E681" s="164"/>
      <c r="F681" s="164"/>
      <c r="G681" s="164"/>
      <c r="H681" s="414">
        <v>407.9</v>
      </c>
      <c r="I681" s="414"/>
      <c r="J681" s="414">
        <v>7393.5</v>
      </c>
      <c r="K681" s="414"/>
      <c r="O681" s="163">
        <f>I678+I679+I680</f>
        <v>407.9</v>
      </c>
      <c r="P681" s="163">
        <f>K678+K679+K680</f>
        <v>7393.5</v>
      </c>
    </row>
    <row r="683" spans="1:22" ht="99.75" x14ac:dyDescent="0.2">
      <c r="A683" s="179" t="s">
        <v>1861</v>
      </c>
      <c r="B683" s="178" t="s">
        <v>2063</v>
      </c>
      <c r="C683" s="178" t="s">
        <v>392</v>
      </c>
      <c r="D683" s="177" t="s">
        <v>1903</v>
      </c>
      <c r="E683" s="174">
        <v>22</v>
      </c>
      <c r="F683" s="176"/>
      <c r="G683" s="175"/>
      <c r="H683" s="174"/>
      <c r="I683" s="173"/>
      <c r="J683" s="174"/>
      <c r="K683" s="173"/>
      <c r="Q683" s="160">
        <f>[3]Source!X473</f>
        <v>2896.01</v>
      </c>
      <c r="R683" s="160">
        <f>[3]Source!X474</f>
        <v>54097.54</v>
      </c>
      <c r="S683" s="160">
        <f>[3]Source!Y473</f>
        <v>2237.83</v>
      </c>
      <c r="T683" s="160">
        <f>[3]Source!Y474</f>
        <v>25204.54</v>
      </c>
      <c r="U683" s="160">
        <f>ROUND((175/100)*ROUND([3]Source!R473, 2), 2)</f>
        <v>0</v>
      </c>
      <c r="V683" s="160">
        <f>ROUND((157/100)*ROUND([3]Source!R474, 2), 2)</f>
        <v>0</v>
      </c>
    </row>
    <row r="684" spans="1:22" ht="14.25" x14ac:dyDescent="0.2">
      <c r="A684" s="179"/>
      <c r="B684" s="178"/>
      <c r="C684" s="178" t="s">
        <v>197</v>
      </c>
      <c r="D684" s="177"/>
      <c r="E684" s="174"/>
      <c r="F684" s="176">
        <v>119.67</v>
      </c>
      <c r="G684" s="175" t="s">
        <v>195</v>
      </c>
      <c r="H684" s="174">
        <v>1</v>
      </c>
      <c r="I684" s="173">
        <v>2632.74</v>
      </c>
      <c r="J684" s="174">
        <v>23.35</v>
      </c>
      <c r="K684" s="173">
        <v>61474.48</v>
      </c>
    </row>
    <row r="685" spans="1:22" ht="14.25" x14ac:dyDescent="0.2">
      <c r="A685" s="179"/>
      <c r="B685" s="178"/>
      <c r="C685" s="178" t="s">
        <v>205</v>
      </c>
      <c r="D685" s="177"/>
      <c r="E685" s="174"/>
      <c r="F685" s="176">
        <v>17.47</v>
      </c>
      <c r="G685" s="175" t="s">
        <v>195</v>
      </c>
      <c r="H685" s="174">
        <v>1</v>
      </c>
      <c r="I685" s="173">
        <v>384.34</v>
      </c>
      <c r="J685" s="174">
        <v>7.38</v>
      </c>
      <c r="K685" s="173">
        <v>2836.43</v>
      </c>
    </row>
    <row r="686" spans="1:22" ht="28.5" x14ac:dyDescent="0.2">
      <c r="A686" s="179" t="s">
        <v>1862</v>
      </c>
      <c r="B686" s="178" t="s">
        <v>2064</v>
      </c>
      <c r="C686" s="178" t="s">
        <v>391</v>
      </c>
      <c r="D686" s="177" t="s">
        <v>1533</v>
      </c>
      <c r="E686" s="174">
        <v>1.2232E-2</v>
      </c>
      <c r="F686" s="176">
        <v>7254.88</v>
      </c>
      <c r="G686" s="182" t="s">
        <v>195</v>
      </c>
      <c r="H686" s="174">
        <v>1</v>
      </c>
      <c r="I686" s="173">
        <v>88.74</v>
      </c>
      <c r="J686" s="174">
        <v>5.93</v>
      </c>
      <c r="K686" s="173">
        <v>526.23</v>
      </c>
      <c r="Q686" s="160">
        <f>[3]Source!X475</f>
        <v>0</v>
      </c>
      <c r="R686" s="160">
        <f>[3]Source!X476</f>
        <v>0</v>
      </c>
      <c r="S686" s="160">
        <f>[3]Source!Y475</f>
        <v>0</v>
      </c>
      <c r="T686" s="160">
        <f>[3]Source!Y476</f>
        <v>0</v>
      </c>
      <c r="U686" s="160">
        <f>ROUND((175/100)*ROUND([3]Source!R475, 2), 2)</f>
        <v>0</v>
      </c>
      <c r="V686" s="160">
        <f>ROUND((157/100)*ROUND([3]Source!R476, 2), 2)</f>
        <v>0</v>
      </c>
    </row>
    <row r="687" spans="1:22" ht="14.25" x14ac:dyDescent="0.2">
      <c r="A687" s="179" t="s">
        <v>2111</v>
      </c>
      <c r="B687" s="178" t="s">
        <v>2022</v>
      </c>
      <c r="C687" s="178" t="s">
        <v>390</v>
      </c>
      <c r="D687" s="177" t="s">
        <v>1584</v>
      </c>
      <c r="E687" s="174">
        <v>7.1072319999999998</v>
      </c>
      <c r="F687" s="176">
        <v>31.52</v>
      </c>
      <c r="G687" s="182" t="s">
        <v>195</v>
      </c>
      <c r="H687" s="174">
        <v>1</v>
      </c>
      <c r="I687" s="173">
        <v>224.02</v>
      </c>
      <c r="J687" s="174">
        <v>11.83</v>
      </c>
      <c r="K687" s="173">
        <v>2650.16</v>
      </c>
      <c r="Q687" s="160">
        <f>[3]Source!X481</f>
        <v>0</v>
      </c>
      <c r="R687" s="160">
        <f>[3]Source!X482</f>
        <v>0</v>
      </c>
      <c r="S687" s="160">
        <f>[3]Source!Y481</f>
        <v>0</v>
      </c>
      <c r="T687" s="160">
        <f>[3]Source!Y482</f>
        <v>0</v>
      </c>
      <c r="U687" s="160">
        <f>ROUND((175/100)*ROUND([3]Source!R481, 2), 2)</f>
        <v>0</v>
      </c>
      <c r="V687" s="160">
        <f>ROUND((157/100)*ROUND([3]Source!R482, 2), 2)</f>
        <v>0</v>
      </c>
    </row>
    <row r="688" spans="1:22" ht="14.25" x14ac:dyDescent="0.2">
      <c r="A688" s="179" t="s">
        <v>2112</v>
      </c>
      <c r="B688" s="178" t="s">
        <v>2061</v>
      </c>
      <c r="C688" s="178" t="s">
        <v>389</v>
      </c>
      <c r="D688" s="177" t="s">
        <v>1584</v>
      </c>
      <c r="E688" s="174">
        <v>3.6972320000000001</v>
      </c>
      <c r="F688" s="176">
        <v>34.72</v>
      </c>
      <c r="G688" s="182" t="s">
        <v>195</v>
      </c>
      <c r="H688" s="174">
        <v>1</v>
      </c>
      <c r="I688" s="173">
        <v>128.37</v>
      </c>
      <c r="J688" s="174">
        <v>21.92</v>
      </c>
      <c r="K688" s="173">
        <v>2813.87</v>
      </c>
      <c r="Q688" s="160">
        <f>[3]Source!X485</f>
        <v>0</v>
      </c>
      <c r="R688" s="160">
        <f>[3]Source!X486</f>
        <v>0</v>
      </c>
      <c r="S688" s="160">
        <f>[3]Source!Y485</f>
        <v>0</v>
      </c>
      <c r="T688" s="160">
        <f>[3]Source!Y486</f>
        <v>0</v>
      </c>
      <c r="U688" s="160">
        <f>ROUND((175/100)*ROUND([3]Source!R485, 2), 2)</f>
        <v>0</v>
      </c>
      <c r="V688" s="160">
        <f>ROUND((157/100)*ROUND([3]Source!R486, 2), 2)</f>
        <v>0</v>
      </c>
    </row>
    <row r="689" spans="1:22" ht="14.25" x14ac:dyDescent="0.2">
      <c r="A689" s="179" t="s">
        <v>2113</v>
      </c>
      <c r="B689" s="178" t="s">
        <v>2028</v>
      </c>
      <c r="C689" s="178" t="s">
        <v>388</v>
      </c>
      <c r="D689" s="177" t="s">
        <v>1584</v>
      </c>
      <c r="E689" s="174">
        <v>1.1000000000000001</v>
      </c>
      <c r="F689" s="176">
        <v>37.479999999999997</v>
      </c>
      <c r="G689" s="182" t="s">
        <v>195</v>
      </c>
      <c r="H689" s="174">
        <v>1</v>
      </c>
      <c r="I689" s="173">
        <v>41.23</v>
      </c>
      <c r="J689" s="174">
        <v>26.77</v>
      </c>
      <c r="K689" s="173">
        <v>1103.73</v>
      </c>
      <c r="Q689" s="160">
        <f>[3]Source!X487</f>
        <v>0</v>
      </c>
      <c r="R689" s="160">
        <f>[3]Source!X488</f>
        <v>0</v>
      </c>
      <c r="S689" s="160">
        <f>[3]Source!Y487</f>
        <v>0</v>
      </c>
      <c r="T689" s="160">
        <f>[3]Source!Y488</f>
        <v>0</v>
      </c>
      <c r="U689" s="160">
        <f>ROUND((175/100)*ROUND([3]Source!R487, 2), 2)</f>
        <v>0</v>
      </c>
      <c r="V689" s="160">
        <f>ROUND((157/100)*ROUND([3]Source!R488, 2), 2)</f>
        <v>0</v>
      </c>
    </row>
    <row r="690" spans="1:22" ht="14.25" x14ac:dyDescent="0.2">
      <c r="A690" s="179"/>
      <c r="B690" s="178"/>
      <c r="C690" s="178" t="s">
        <v>194</v>
      </c>
      <c r="D690" s="177" t="s">
        <v>187</v>
      </c>
      <c r="E690" s="174">
        <v>110</v>
      </c>
      <c r="F690" s="176"/>
      <c r="G690" s="175"/>
      <c r="H690" s="174"/>
      <c r="I690" s="173">
        <v>2896.01</v>
      </c>
      <c r="J690" s="174">
        <v>88</v>
      </c>
      <c r="K690" s="173">
        <v>54097.54</v>
      </c>
    </row>
    <row r="691" spans="1:22" ht="14.25" x14ac:dyDescent="0.2">
      <c r="A691" s="172"/>
      <c r="B691" s="171"/>
      <c r="C691" s="171" t="s">
        <v>193</v>
      </c>
      <c r="D691" s="170" t="s">
        <v>187</v>
      </c>
      <c r="E691" s="167">
        <v>85</v>
      </c>
      <c r="F691" s="169"/>
      <c r="G691" s="168"/>
      <c r="H691" s="167"/>
      <c r="I691" s="166">
        <v>2237.83</v>
      </c>
      <c r="J691" s="167">
        <v>41</v>
      </c>
      <c r="K691" s="166">
        <v>25204.54</v>
      </c>
    </row>
    <row r="692" spans="1:22" ht="15" x14ac:dyDescent="0.25">
      <c r="A692" s="164"/>
      <c r="B692" s="164"/>
      <c r="C692" s="165" t="s">
        <v>183</v>
      </c>
      <c r="D692" s="164"/>
      <c r="E692" s="164"/>
      <c r="F692" s="164"/>
      <c r="G692" s="164"/>
      <c r="H692" s="414">
        <v>8633.2800000000007</v>
      </c>
      <c r="I692" s="414"/>
      <c r="J692" s="414">
        <v>150706.98000000001</v>
      </c>
      <c r="K692" s="414"/>
      <c r="O692" s="163">
        <f>I684+I685+I690+I691+SUM(I686:I689)</f>
        <v>8633.2800000000007</v>
      </c>
      <c r="P692" s="163">
        <f>K684+K685+K690+K691+SUM(K686:K689)</f>
        <v>150706.98000000001</v>
      </c>
    </row>
    <row r="694" spans="1:22" ht="42.75" x14ac:dyDescent="0.2">
      <c r="A694" s="179" t="s">
        <v>1867</v>
      </c>
      <c r="B694" s="178" t="s">
        <v>2114</v>
      </c>
      <c r="C694" s="178" t="s">
        <v>387</v>
      </c>
      <c r="D694" s="177" t="s">
        <v>2042</v>
      </c>
      <c r="E694" s="174">
        <v>3</v>
      </c>
      <c r="F694" s="176"/>
      <c r="G694" s="175"/>
      <c r="H694" s="174"/>
      <c r="I694" s="173"/>
      <c r="J694" s="174"/>
      <c r="K694" s="173"/>
      <c r="Q694" s="160">
        <f>[3]Source!X491</f>
        <v>148.02000000000001</v>
      </c>
      <c r="R694" s="160">
        <f>[3]Source!X492</f>
        <v>2797.9</v>
      </c>
      <c r="S694" s="160">
        <f>[3]Source!Y491</f>
        <v>98.68</v>
      </c>
      <c r="T694" s="160">
        <f>[3]Source!Y492</f>
        <v>1349.58</v>
      </c>
      <c r="U694" s="160">
        <f>ROUND((175/100)*ROUND([3]Source!R491, 2), 2)</f>
        <v>0</v>
      </c>
      <c r="V694" s="160">
        <f>ROUND((157/100)*ROUND([3]Source!R492, 2), 2)</f>
        <v>0</v>
      </c>
    </row>
    <row r="695" spans="1:22" ht="14.25" x14ac:dyDescent="0.2">
      <c r="A695" s="179"/>
      <c r="B695" s="178"/>
      <c r="C695" s="178" t="s">
        <v>197</v>
      </c>
      <c r="D695" s="177"/>
      <c r="E695" s="174"/>
      <c r="F695" s="176">
        <v>46.99</v>
      </c>
      <c r="G695" s="175" t="s">
        <v>195</v>
      </c>
      <c r="H695" s="174">
        <v>1</v>
      </c>
      <c r="I695" s="173">
        <v>140.97</v>
      </c>
      <c r="J695" s="174">
        <v>23.35</v>
      </c>
      <c r="K695" s="173">
        <v>3291.65</v>
      </c>
    </row>
    <row r="696" spans="1:22" ht="14.25" x14ac:dyDescent="0.2">
      <c r="A696" s="179"/>
      <c r="B696" s="178"/>
      <c r="C696" s="178" t="s">
        <v>205</v>
      </c>
      <c r="D696" s="177"/>
      <c r="E696" s="174"/>
      <c r="F696" s="176">
        <v>2.31</v>
      </c>
      <c r="G696" s="175" t="s">
        <v>195</v>
      </c>
      <c r="H696" s="174">
        <v>1</v>
      </c>
      <c r="I696" s="173">
        <v>6.93</v>
      </c>
      <c r="J696" s="174">
        <v>4.0199999999999996</v>
      </c>
      <c r="K696" s="173">
        <v>27.86</v>
      </c>
    </row>
    <row r="697" spans="1:22" ht="28.5" x14ac:dyDescent="0.2">
      <c r="A697" s="179" t="s">
        <v>1869</v>
      </c>
      <c r="B697" s="178" t="s">
        <v>2115</v>
      </c>
      <c r="C697" s="178" t="s">
        <v>385</v>
      </c>
      <c r="D697" s="177" t="s">
        <v>1661</v>
      </c>
      <c r="E697" s="174">
        <v>6</v>
      </c>
      <c r="F697" s="176">
        <v>0</v>
      </c>
      <c r="G697" s="182" t="s">
        <v>195</v>
      </c>
      <c r="H697" s="174">
        <v>1</v>
      </c>
      <c r="I697" s="173">
        <v>0</v>
      </c>
      <c r="J697" s="174">
        <v>1</v>
      </c>
      <c r="K697" s="173">
        <v>0</v>
      </c>
      <c r="Q697" s="160">
        <f>[3]Source!X493</f>
        <v>0</v>
      </c>
      <c r="R697" s="160">
        <f>[3]Source!X494</f>
        <v>0</v>
      </c>
      <c r="S697" s="160">
        <f>[3]Source!Y493</f>
        <v>0</v>
      </c>
      <c r="T697" s="160">
        <f>[3]Source!Y494</f>
        <v>0</v>
      </c>
      <c r="U697" s="160">
        <f>ROUND((175/100)*ROUND([3]Source!R493, 2), 2)</f>
        <v>0</v>
      </c>
      <c r="V697" s="160">
        <f>ROUND((157/100)*ROUND([3]Source!R494, 2), 2)</f>
        <v>0</v>
      </c>
    </row>
    <row r="698" spans="1:22" ht="14.25" x14ac:dyDescent="0.2">
      <c r="A698" s="179"/>
      <c r="B698" s="178"/>
      <c r="C698" s="178" t="s">
        <v>194</v>
      </c>
      <c r="D698" s="177" t="s">
        <v>187</v>
      </c>
      <c r="E698" s="174">
        <v>105</v>
      </c>
      <c r="F698" s="176"/>
      <c r="G698" s="175"/>
      <c r="H698" s="174"/>
      <c r="I698" s="173">
        <v>148.02000000000001</v>
      </c>
      <c r="J698" s="174">
        <v>85</v>
      </c>
      <c r="K698" s="173">
        <v>2797.9</v>
      </c>
    </row>
    <row r="699" spans="1:22" ht="14.25" x14ac:dyDescent="0.2">
      <c r="A699" s="172"/>
      <c r="B699" s="171"/>
      <c r="C699" s="171" t="s">
        <v>193</v>
      </c>
      <c r="D699" s="170" t="s">
        <v>187</v>
      </c>
      <c r="E699" s="167">
        <v>70</v>
      </c>
      <c r="F699" s="169"/>
      <c r="G699" s="168"/>
      <c r="H699" s="167"/>
      <c r="I699" s="166">
        <v>98.68</v>
      </c>
      <c r="J699" s="167">
        <v>41</v>
      </c>
      <c r="K699" s="166">
        <v>1349.58</v>
      </c>
    </row>
    <row r="700" spans="1:22" ht="15" x14ac:dyDescent="0.25">
      <c r="A700" s="164"/>
      <c r="B700" s="164"/>
      <c r="C700" s="165" t="s">
        <v>183</v>
      </c>
      <c r="D700" s="164"/>
      <c r="E700" s="164"/>
      <c r="F700" s="164"/>
      <c r="G700" s="164"/>
      <c r="H700" s="414">
        <v>394.6</v>
      </c>
      <c r="I700" s="414"/>
      <c r="J700" s="414">
        <v>7466.99</v>
      </c>
      <c r="K700" s="414"/>
      <c r="O700" s="163">
        <f>I695+I696+I698+I699+SUM(I697:I697)</f>
        <v>394.6</v>
      </c>
      <c r="P700" s="163">
        <f>K695+K696+K698+K699+SUM(K697:K697)</f>
        <v>7466.99</v>
      </c>
    </row>
    <row r="702" spans="1:22" ht="42.75" x14ac:dyDescent="0.2">
      <c r="A702" s="179" t="s">
        <v>1870</v>
      </c>
      <c r="B702" s="178" t="s">
        <v>2050</v>
      </c>
      <c r="C702" s="178" t="s">
        <v>386</v>
      </c>
      <c r="D702" s="177" t="s">
        <v>2042</v>
      </c>
      <c r="E702" s="174">
        <v>4</v>
      </c>
      <c r="F702" s="176"/>
      <c r="G702" s="175"/>
      <c r="H702" s="174"/>
      <c r="I702" s="173"/>
      <c r="J702" s="174"/>
      <c r="K702" s="173"/>
      <c r="Q702" s="160">
        <f>[3]Source!X495</f>
        <v>395.39</v>
      </c>
      <c r="R702" s="160">
        <f>[3]Source!X496</f>
        <v>7473.78</v>
      </c>
      <c r="S702" s="160">
        <f>[3]Source!Y495</f>
        <v>263.58999999999997</v>
      </c>
      <c r="T702" s="160">
        <f>[3]Source!Y496</f>
        <v>3605</v>
      </c>
      <c r="U702" s="160">
        <f>ROUND((175/100)*ROUND([3]Source!R495, 2), 2)</f>
        <v>0</v>
      </c>
      <c r="V702" s="160">
        <f>ROUND((157/100)*ROUND([3]Source!R496, 2), 2)</f>
        <v>0</v>
      </c>
    </row>
    <row r="703" spans="1:22" ht="14.25" x14ac:dyDescent="0.2">
      <c r="A703" s="179"/>
      <c r="B703" s="178"/>
      <c r="C703" s="178" t="s">
        <v>197</v>
      </c>
      <c r="D703" s="177"/>
      <c r="E703" s="174"/>
      <c r="F703" s="176">
        <v>94.14</v>
      </c>
      <c r="G703" s="175" t="s">
        <v>195</v>
      </c>
      <c r="H703" s="174">
        <v>1</v>
      </c>
      <c r="I703" s="173">
        <v>376.56</v>
      </c>
      <c r="J703" s="174">
        <v>23.35</v>
      </c>
      <c r="K703" s="173">
        <v>8792.68</v>
      </c>
    </row>
    <row r="704" spans="1:22" ht="14.25" x14ac:dyDescent="0.2">
      <c r="A704" s="179"/>
      <c r="B704" s="178"/>
      <c r="C704" s="178" t="s">
        <v>205</v>
      </c>
      <c r="D704" s="177"/>
      <c r="E704" s="174"/>
      <c r="F704" s="176">
        <v>4.63</v>
      </c>
      <c r="G704" s="175" t="s">
        <v>195</v>
      </c>
      <c r="H704" s="174">
        <v>1</v>
      </c>
      <c r="I704" s="173">
        <v>18.52</v>
      </c>
      <c r="J704" s="174">
        <v>4.01</v>
      </c>
      <c r="K704" s="173">
        <v>74.27</v>
      </c>
    </row>
    <row r="705" spans="1:22" ht="28.5" x14ac:dyDescent="0.2">
      <c r="A705" s="179" t="s">
        <v>1871</v>
      </c>
      <c r="B705" s="178" t="s">
        <v>2115</v>
      </c>
      <c r="C705" s="178" t="s">
        <v>385</v>
      </c>
      <c r="D705" s="177" t="s">
        <v>1661</v>
      </c>
      <c r="E705" s="174">
        <v>16</v>
      </c>
      <c r="F705" s="176">
        <v>0</v>
      </c>
      <c r="G705" s="182" t="s">
        <v>195</v>
      </c>
      <c r="H705" s="174">
        <v>1</v>
      </c>
      <c r="I705" s="173">
        <v>0</v>
      </c>
      <c r="J705" s="174">
        <v>1</v>
      </c>
      <c r="K705" s="173">
        <v>0</v>
      </c>
      <c r="Q705" s="160">
        <f>[3]Source!X497</f>
        <v>0</v>
      </c>
      <c r="R705" s="160">
        <f>[3]Source!X498</f>
        <v>0</v>
      </c>
      <c r="S705" s="160">
        <f>[3]Source!Y497</f>
        <v>0</v>
      </c>
      <c r="T705" s="160">
        <f>[3]Source!Y498</f>
        <v>0</v>
      </c>
      <c r="U705" s="160">
        <f>ROUND((175/100)*ROUND([3]Source!R497, 2), 2)</f>
        <v>0</v>
      </c>
      <c r="V705" s="160">
        <f>ROUND((157/100)*ROUND([3]Source!R498, 2), 2)</f>
        <v>0</v>
      </c>
    </row>
    <row r="706" spans="1:22" ht="14.25" x14ac:dyDescent="0.2">
      <c r="A706" s="179"/>
      <c r="B706" s="178"/>
      <c r="C706" s="178" t="s">
        <v>194</v>
      </c>
      <c r="D706" s="177" t="s">
        <v>187</v>
      </c>
      <c r="E706" s="174">
        <v>105</v>
      </c>
      <c r="F706" s="176"/>
      <c r="G706" s="175"/>
      <c r="H706" s="174"/>
      <c r="I706" s="173">
        <v>395.39</v>
      </c>
      <c r="J706" s="174">
        <v>85</v>
      </c>
      <c r="K706" s="173">
        <v>7473.78</v>
      </c>
    </row>
    <row r="707" spans="1:22" ht="14.25" x14ac:dyDescent="0.2">
      <c r="A707" s="172"/>
      <c r="B707" s="171"/>
      <c r="C707" s="171" t="s">
        <v>193</v>
      </c>
      <c r="D707" s="170" t="s">
        <v>187</v>
      </c>
      <c r="E707" s="167">
        <v>70</v>
      </c>
      <c r="F707" s="169"/>
      <c r="G707" s="168"/>
      <c r="H707" s="167"/>
      <c r="I707" s="166">
        <v>263.58999999999997</v>
      </c>
      <c r="J707" s="167">
        <v>41</v>
      </c>
      <c r="K707" s="166">
        <v>3605</v>
      </c>
    </row>
    <row r="708" spans="1:22" ht="15" x14ac:dyDescent="0.25">
      <c r="A708" s="164"/>
      <c r="B708" s="164"/>
      <c r="C708" s="165" t="s">
        <v>183</v>
      </c>
      <c r="D708" s="164"/>
      <c r="E708" s="164"/>
      <c r="F708" s="164"/>
      <c r="G708" s="164"/>
      <c r="H708" s="414">
        <v>1054.06</v>
      </c>
      <c r="I708" s="414"/>
      <c r="J708" s="414">
        <v>19945.73</v>
      </c>
      <c r="K708" s="414"/>
      <c r="O708" s="163">
        <f>I703+I704+I706+I707+SUM(I705:I705)</f>
        <v>1054.06</v>
      </c>
      <c r="P708" s="163">
        <f>K703+K704+K706+K707+SUM(K705:K705)</f>
        <v>19945.73</v>
      </c>
    </row>
    <row r="710" spans="1:22" ht="28.5" x14ac:dyDescent="0.2">
      <c r="A710" s="179" t="s">
        <v>1877</v>
      </c>
      <c r="B710" s="178" t="s">
        <v>2074</v>
      </c>
      <c r="C710" s="178" t="s">
        <v>202</v>
      </c>
      <c r="D710" s="177" t="s">
        <v>1907</v>
      </c>
      <c r="E710" s="174">
        <v>11</v>
      </c>
      <c r="F710" s="176"/>
      <c r="G710" s="175"/>
      <c r="H710" s="174"/>
      <c r="I710" s="173"/>
      <c r="J710" s="174"/>
      <c r="K710" s="173"/>
      <c r="Q710" s="160">
        <f>[3]Source!X499</f>
        <v>58.9</v>
      </c>
      <c r="R710" s="160">
        <f>[3]Source!X500</f>
        <v>974.12</v>
      </c>
      <c r="S710" s="160">
        <f>[3]Source!Y499</f>
        <v>41.23</v>
      </c>
      <c r="T710" s="160">
        <f>[3]Source!Y500</f>
        <v>469.87</v>
      </c>
      <c r="U710" s="160">
        <f>ROUND((175/100)*ROUND([3]Source!R499, 2), 2)</f>
        <v>0.49</v>
      </c>
      <c r="V710" s="160">
        <f>ROUND((157/100)*ROUND([3]Source!R500, 2), 2)</f>
        <v>10.27</v>
      </c>
    </row>
    <row r="711" spans="1:22" ht="14.25" x14ac:dyDescent="0.2">
      <c r="A711" s="179"/>
      <c r="B711" s="178"/>
      <c r="C711" s="178" t="s">
        <v>197</v>
      </c>
      <c r="D711" s="177"/>
      <c r="E711" s="174"/>
      <c r="F711" s="176">
        <v>3.88</v>
      </c>
      <c r="G711" s="175" t="s">
        <v>2075</v>
      </c>
      <c r="H711" s="174">
        <v>1</v>
      </c>
      <c r="I711" s="173">
        <v>49.08</v>
      </c>
      <c r="J711" s="174">
        <v>23.35</v>
      </c>
      <c r="K711" s="173">
        <v>1146.02</v>
      </c>
    </row>
    <row r="712" spans="1:22" ht="14.25" x14ac:dyDescent="0.2">
      <c r="A712" s="179"/>
      <c r="B712" s="178"/>
      <c r="C712" s="178" t="s">
        <v>184</v>
      </c>
      <c r="D712" s="177"/>
      <c r="E712" s="174"/>
      <c r="F712" s="176">
        <v>0.18</v>
      </c>
      <c r="G712" s="175" t="s">
        <v>2076</v>
      </c>
      <c r="H712" s="174">
        <v>1</v>
      </c>
      <c r="I712" s="173">
        <v>2.48</v>
      </c>
      <c r="J712" s="174">
        <v>8.61</v>
      </c>
      <c r="K712" s="173">
        <v>21.35</v>
      </c>
    </row>
    <row r="713" spans="1:22" ht="14.25" x14ac:dyDescent="0.2">
      <c r="A713" s="179"/>
      <c r="B713" s="178"/>
      <c r="C713" s="178" t="s">
        <v>189</v>
      </c>
      <c r="D713" s="177"/>
      <c r="E713" s="174"/>
      <c r="F713" s="176">
        <v>0.02</v>
      </c>
      <c r="G713" s="175" t="s">
        <v>2076</v>
      </c>
      <c r="H713" s="174">
        <v>1</v>
      </c>
      <c r="I713" s="180">
        <v>0.28000000000000003</v>
      </c>
      <c r="J713" s="174">
        <v>23.35</v>
      </c>
      <c r="K713" s="180">
        <v>6.54</v>
      </c>
    </row>
    <row r="714" spans="1:22" ht="28.5" x14ac:dyDescent="0.2">
      <c r="A714" s="179" t="s">
        <v>2116</v>
      </c>
      <c r="B714" s="178" t="s">
        <v>2077</v>
      </c>
      <c r="C714" s="178" t="s">
        <v>384</v>
      </c>
      <c r="D714" s="177" t="s">
        <v>1913</v>
      </c>
      <c r="E714" s="174">
        <v>11</v>
      </c>
      <c r="F714" s="176">
        <v>1390.95</v>
      </c>
      <c r="G714" s="182" t="s">
        <v>195</v>
      </c>
      <c r="H714" s="174">
        <v>1</v>
      </c>
      <c r="I714" s="173">
        <v>15300.45</v>
      </c>
      <c r="J714" s="174">
        <v>4.28</v>
      </c>
      <c r="K714" s="173">
        <v>65485.93</v>
      </c>
      <c r="Q714" s="160">
        <f>[3]Source!X501</f>
        <v>0</v>
      </c>
      <c r="R714" s="160">
        <f>[3]Source!X502</f>
        <v>0</v>
      </c>
      <c r="S714" s="160">
        <f>[3]Source!Y501</f>
        <v>0</v>
      </c>
      <c r="T714" s="160">
        <f>[3]Source!Y502</f>
        <v>0</v>
      </c>
      <c r="U714" s="160">
        <f>ROUND((175/100)*ROUND([3]Source!R501, 2), 2)</f>
        <v>0</v>
      </c>
      <c r="V714" s="160">
        <f>ROUND((157/100)*ROUND([3]Source!R502, 2), 2)</f>
        <v>0</v>
      </c>
    </row>
    <row r="715" spans="1:22" ht="14.25" x14ac:dyDescent="0.2">
      <c r="A715" s="179"/>
      <c r="B715" s="178"/>
      <c r="C715" s="178" t="s">
        <v>194</v>
      </c>
      <c r="D715" s="177" t="s">
        <v>187</v>
      </c>
      <c r="E715" s="174">
        <v>120</v>
      </c>
      <c r="F715" s="176"/>
      <c r="G715" s="175"/>
      <c r="H715" s="174"/>
      <c r="I715" s="173">
        <v>58.9</v>
      </c>
      <c r="J715" s="174">
        <v>85</v>
      </c>
      <c r="K715" s="173">
        <v>974.12</v>
      </c>
    </row>
    <row r="716" spans="1:22" ht="14.25" x14ac:dyDescent="0.2">
      <c r="A716" s="179"/>
      <c r="B716" s="178"/>
      <c r="C716" s="178" t="s">
        <v>193</v>
      </c>
      <c r="D716" s="177" t="s">
        <v>187</v>
      </c>
      <c r="E716" s="174">
        <v>84</v>
      </c>
      <c r="F716" s="176"/>
      <c r="G716" s="175"/>
      <c r="H716" s="174"/>
      <c r="I716" s="173">
        <v>41.23</v>
      </c>
      <c r="J716" s="174">
        <v>41</v>
      </c>
      <c r="K716" s="173">
        <v>469.87</v>
      </c>
    </row>
    <row r="717" spans="1:22" ht="14.25" x14ac:dyDescent="0.2">
      <c r="A717" s="172"/>
      <c r="B717" s="171"/>
      <c r="C717" s="171" t="s">
        <v>188</v>
      </c>
      <c r="D717" s="170" t="s">
        <v>187</v>
      </c>
      <c r="E717" s="167">
        <v>175</v>
      </c>
      <c r="F717" s="169"/>
      <c r="G717" s="168"/>
      <c r="H717" s="167"/>
      <c r="I717" s="166">
        <v>0.49</v>
      </c>
      <c r="J717" s="167">
        <v>157</v>
      </c>
      <c r="K717" s="166">
        <v>10.27</v>
      </c>
    </row>
    <row r="718" spans="1:22" ht="15" x14ac:dyDescent="0.25">
      <c r="A718" s="164"/>
      <c r="B718" s="164"/>
      <c r="C718" s="165" t="s">
        <v>183</v>
      </c>
      <c r="D718" s="164"/>
      <c r="E718" s="164"/>
      <c r="F718" s="164"/>
      <c r="G718" s="164"/>
      <c r="H718" s="414">
        <v>15452.63</v>
      </c>
      <c r="I718" s="414"/>
      <c r="J718" s="414">
        <v>68107.56</v>
      </c>
      <c r="K718" s="414"/>
      <c r="O718" s="163">
        <f>I711+I712+I715+I716+I717+SUM(I714:I714)</f>
        <v>15452.63</v>
      </c>
      <c r="P718" s="163">
        <f>K711+K712+K715+K716+K717+SUM(K714:K714)</f>
        <v>68107.56</v>
      </c>
    </row>
    <row r="721" spans="1:22" ht="15" x14ac:dyDescent="0.25">
      <c r="A721" s="417" t="s">
        <v>2117</v>
      </c>
      <c r="B721" s="417"/>
      <c r="C721" s="417"/>
      <c r="D721" s="417"/>
      <c r="E721" s="417"/>
      <c r="F721" s="417"/>
      <c r="G721" s="417"/>
      <c r="H721" s="415">
        <v>88835.93</v>
      </c>
      <c r="I721" s="416"/>
      <c r="J721" s="415">
        <v>1276986.03</v>
      </c>
      <c r="K721" s="416"/>
    </row>
    <row r="722" spans="1:22" hidden="1" x14ac:dyDescent="0.2">
      <c r="A722" s="160" t="s">
        <v>182</v>
      </c>
      <c r="I722" s="160">
        <v>0</v>
      </c>
      <c r="J722" s="160">
        <v>0</v>
      </c>
    </row>
    <row r="723" spans="1:22" hidden="1" x14ac:dyDescent="0.2">
      <c r="A723" s="160" t="s">
        <v>181</v>
      </c>
      <c r="I723" s="160">
        <v>0</v>
      </c>
      <c r="J723" s="160">
        <v>0</v>
      </c>
    </row>
    <row r="725" spans="1:22" ht="15" x14ac:dyDescent="0.25">
      <c r="A725" s="417" t="s">
        <v>2118</v>
      </c>
      <c r="B725" s="417"/>
      <c r="C725" s="417"/>
      <c r="D725" s="417"/>
      <c r="E725" s="417"/>
      <c r="F725" s="417"/>
      <c r="G725" s="417"/>
      <c r="H725" s="415">
        <v>2994230.72</v>
      </c>
      <c r="I725" s="416"/>
      <c r="J725" s="415">
        <v>48822906.420000002</v>
      </c>
      <c r="K725" s="416"/>
    </row>
    <row r="726" spans="1:22" hidden="1" x14ac:dyDescent="0.2">
      <c r="A726" s="160" t="s">
        <v>182</v>
      </c>
      <c r="I726" s="160">
        <v>0</v>
      </c>
      <c r="J726" s="160">
        <v>0</v>
      </c>
    </row>
    <row r="727" spans="1:22" hidden="1" x14ac:dyDescent="0.2">
      <c r="A727" s="160" t="s">
        <v>181</v>
      </c>
      <c r="I727" s="160">
        <v>0</v>
      </c>
      <c r="J727" s="160">
        <v>0</v>
      </c>
    </row>
    <row r="729" spans="1:22" ht="16.5" x14ac:dyDescent="0.25">
      <c r="A729" s="413" t="s">
        <v>1921</v>
      </c>
      <c r="B729" s="413"/>
      <c r="C729" s="413"/>
      <c r="D729" s="413"/>
      <c r="E729" s="413"/>
      <c r="F729" s="413"/>
      <c r="G729" s="413"/>
      <c r="H729" s="413"/>
      <c r="I729" s="413"/>
      <c r="J729" s="413"/>
      <c r="K729" s="413"/>
    </row>
    <row r="730" spans="1:22" ht="42.75" x14ac:dyDescent="0.2">
      <c r="A730" s="179" t="s">
        <v>1889</v>
      </c>
      <c r="B730" s="178" t="s">
        <v>1923</v>
      </c>
      <c r="C730" s="178" t="s">
        <v>190</v>
      </c>
      <c r="D730" s="177" t="s">
        <v>1785</v>
      </c>
      <c r="E730" s="174">
        <v>634.28251999999998</v>
      </c>
      <c r="F730" s="176"/>
      <c r="G730" s="175"/>
      <c r="H730" s="174"/>
      <c r="I730" s="173"/>
      <c r="J730" s="174"/>
      <c r="K730" s="173"/>
      <c r="Q730" s="160">
        <f>[3]Source!X568</f>
        <v>0</v>
      </c>
      <c r="R730" s="160">
        <f>[3]Source!X569</f>
        <v>0</v>
      </c>
      <c r="S730" s="160">
        <f>[3]Source!Y568</f>
        <v>0</v>
      </c>
      <c r="T730" s="160">
        <f>[3]Source!Y569</f>
        <v>0</v>
      </c>
      <c r="U730" s="160">
        <f>ROUND((175/100)*ROUND([3]Source!R568, 2), 2)</f>
        <v>1642.8</v>
      </c>
      <c r="V730" s="160">
        <f>ROUND((157/100)*ROUND([3]Source!R569, 2), 2)</f>
        <v>34413.74</v>
      </c>
    </row>
    <row r="731" spans="1:22" ht="51" x14ac:dyDescent="0.2">
      <c r="C731" s="181" t="s">
        <v>2119</v>
      </c>
    </row>
    <row r="732" spans="1:22" ht="14.25" x14ac:dyDescent="0.2">
      <c r="A732" s="179"/>
      <c r="B732" s="178"/>
      <c r="C732" s="178" t="s">
        <v>184</v>
      </c>
      <c r="D732" s="177"/>
      <c r="E732" s="174"/>
      <c r="F732" s="176">
        <v>8.86</v>
      </c>
      <c r="G732" s="175" t="s">
        <v>195</v>
      </c>
      <c r="H732" s="174">
        <v>1</v>
      </c>
      <c r="I732" s="173">
        <v>5619.74</v>
      </c>
      <c r="J732" s="174">
        <v>8.36</v>
      </c>
      <c r="K732" s="173">
        <v>46981.03</v>
      </c>
    </row>
    <row r="733" spans="1:22" ht="14.25" x14ac:dyDescent="0.2">
      <c r="A733" s="179"/>
      <c r="B733" s="178"/>
      <c r="C733" s="178" t="s">
        <v>189</v>
      </c>
      <c r="D733" s="177"/>
      <c r="E733" s="174"/>
      <c r="F733" s="176">
        <v>1.48</v>
      </c>
      <c r="G733" s="175" t="s">
        <v>195</v>
      </c>
      <c r="H733" s="174">
        <v>1</v>
      </c>
      <c r="I733" s="180">
        <v>938.74</v>
      </c>
      <c r="J733" s="174">
        <v>23.35</v>
      </c>
      <c r="K733" s="180">
        <v>21919.58</v>
      </c>
    </row>
    <row r="734" spans="1:22" ht="14.25" x14ac:dyDescent="0.2">
      <c r="A734" s="172"/>
      <c r="B734" s="171"/>
      <c r="C734" s="171" t="s">
        <v>188</v>
      </c>
      <c r="D734" s="170" t="s">
        <v>187</v>
      </c>
      <c r="E734" s="167">
        <v>175</v>
      </c>
      <c r="F734" s="169"/>
      <c r="G734" s="168"/>
      <c r="H734" s="167"/>
      <c r="I734" s="166">
        <v>1642.8</v>
      </c>
      <c r="J734" s="167">
        <v>157</v>
      </c>
      <c r="K734" s="166">
        <v>34413.74</v>
      </c>
    </row>
    <row r="735" spans="1:22" ht="15" x14ac:dyDescent="0.25">
      <c r="A735" s="164"/>
      <c r="B735" s="164"/>
      <c r="C735" s="165" t="s">
        <v>183</v>
      </c>
      <c r="D735" s="164"/>
      <c r="E735" s="164"/>
      <c r="F735" s="164"/>
      <c r="G735" s="164"/>
      <c r="H735" s="414">
        <v>7262.54</v>
      </c>
      <c r="I735" s="414"/>
      <c r="J735" s="414">
        <v>81394.77</v>
      </c>
      <c r="K735" s="414"/>
      <c r="O735" s="163">
        <f>I732+I734</f>
        <v>7262.54</v>
      </c>
      <c r="P735" s="163">
        <f>K732+K734</f>
        <v>81394.77</v>
      </c>
    </row>
    <row r="738" spans="1:22" ht="15" x14ac:dyDescent="0.25">
      <c r="A738" s="417" t="s">
        <v>1925</v>
      </c>
      <c r="B738" s="417"/>
      <c r="C738" s="417"/>
      <c r="D738" s="417"/>
      <c r="E738" s="417"/>
      <c r="F738" s="417"/>
      <c r="G738" s="417"/>
      <c r="H738" s="415">
        <v>7262.54</v>
      </c>
      <c r="I738" s="416"/>
      <c r="J738" s="415">
        <v>81394.77</v>
      </c>
      <c r="K738" s="416"/>
    </row>
    <row r="739" spans="1:22" hidden="1" x14ac:dyDescent="0.2">
      <c r="A739" s="160" t="s">
        <v>182</v>
      </c>
      <c r="I739" s="160">
        <v>0</v>
      </c>
      <c r="J739" s="160">
        <v>0</v>
      </c>
    </row>
    <row r="740" spans="1:22" hidden="1" x14ac:dyDescent="0.2">
      <c r="A740" s="160" t="s">
        <v>181</v>
      </c>
      <c r="I740" s="160">
        <v>0</v>
      </c>
      <c r="J740" s="160">
        <v>0</v>
      </c>
    </row>
    <row r="742" spans="1:22" ht="16.5" x14ac:dyDescent="0.25">
      <c r="A742" s="413" t="s">
        <v>1926</v>
      </c>
      <c r="B742" s="413"/>
      <c r="C742" s="413"/>
      <c r="D742" s="413"/>
      <c r="E742" s="413"/>
      <c r="F742" s="413"/>
      <c r="G742" s="413"/>
      <c r="H742" s="413"/>
      <c r="I742" s="413"/>
      <c r="J742" s="413"/>
      <c r="K742" s="413"/>
    </row>
    <row r="743" spans="1:22" ht="42.75" x14ac:dyDescent="0.2">
      <c r="A743" s="179" t="s">
        <v>1894</v>
      </c>
      <c r="B743" s="178" t="s">
        <v>2120</v>
      </c>
      <c r="C743" s="178" t="s">
        <v>383</v>
      </c>
      <c r="D743" s="177" t="s">
        <v>1533</v>
      </c>
      <c r="E743" s="174">
        <v>634.28251999999998</v>
      </c>
      <c r="F743" s="176"/>
      <c r="G743" s="175"/>
      <c r="H743" s="174"/>
      <c r="I743" s="173"/>
      <c r="J743" s="174"/>
      <c r="K743" s="173"/>
      <c r="Q743" s="160">
        <f>[3]Source!X605</f>
        <v>0</v>
      </c>
      <c r="R743" s="160">
        <f>[3]Source!X606</f>
        <v>0</v>
      </c>
      <c r="S743" s="160">
        <f>[3]Source!Y605</f>
        <v>0</v>
      </c>
      <c r="T743" s="160">
        <f>[3]Source!Y606</f>
        <v>0</v>
      </c>
      <c r="U743" s="160">
        <f>ROUND((175/100)*ROUND([3]Source!R605, 2), 2)</f>
        <v>0</v>
      </c>
      <c r="V743" s="160">
        <f>ROUND((157/100)*ROUND([3]Source!R606, 2), 2)</f>
        <v>0</v>
      </c>
    </row>
    <row r="744" spans="1:22" ht="14.25" x14ac:dyDescent="0.2">
      <c r="A744" s="172"/>
      <c r="B744" s="171"/>
      <c r="C744" s="171" t="s">
        <v>184</v>
      </c>
      <c r="D744" s="170"/>
      <c r="E744" s="167"/>
      <c r="F744" s="169">
        <v>34.15</v>
      </c>
      <c r="G744" s="168" t="s">
        <v>195</v>
      </c>
      <c r="H744" s="167">
        <v>1</v>
      </c>
      <c r="I744" s="166">
        <v>21660.75</v>
      </c>
      <c r="J744" s="167">
        <v>9.57</v>
      </c>
      <c r="K744" s="166">
        <v>207293.38</v>
      </c>
    </row>
    <row r="745" spans="1:22" ht="15" x14ac:dyDescent="0.25">
      <c r="A745" s="164"/>
      <c r="B745" s="164"/>
      <c r="C745" s="165" t="s">
        <v>183</v>
      </c>
      <c r="D745" s="164"/>
      <c r="E745" s="164"/>
      <c r="F745" s="164"/>
      <c r="G745" s="164"/>
      <c r="H745" s="414">
        <v>21660.75</v>
      </c>
      <c r="I745" s="414"/>
      <c r="J745" s="414">
        <v>207293.38</v>
      </c>
      <c r="K745" s="414"/>
      <c r="O745" s="163">
        <f>I744</f>
        <v>21660.75</v>
      </c>
      <c r="P745" s="163">
        <f>K744</f>
        <v>207293.38</v>
      </c>
    </row>
    <row r="747" spans="1:22" ht="14.25" x14ac:dyDescent="0.2">
      <c r="A747" s="179" t="s">
        <v>1902</v>
      </c>
      <c r="B747" s="178" t="s">
        <v>1930</v>
      </c>
      <c r="C747" s="178" t="s">
        <v>382</v>
      </c>
      <c r="D747" s="177" t="s">
        <v>1785</v>
      </c>
      <c r="E747" s="174">
        <v>634.28251999999998</v>
      </c>
      <c r="F747" s="176"/>
      <c r="G747" s="175"/>
      <c r="H747" s="174"/>
      <c r="I747" s="173"/>
      <c r="J747" s="174"/>
      <c r="K747" s="173"/>
      <c r="Q747" s="160">
        <f>[3]Source!X607</f>
        <v>0</v>
      </c>
      <c r="R747" s="160">
        <f>[3]Source!X608</f>
        <v>0</v>
      </c>
      <c r="S747" s="160">
        <f>[3]Source!Y607</f>
        <v>0</v>
      </c>
      <c r="T747" s="160">
        <f>[3]Source!Y608</f>
        <v>0</v>
      </c>
      <c r="U747" s="160">
        <f>ROUND((175/100)*ROUND([3]Source!R607, 2), 2)</f>
        <v>0</v>
      </c>
      <c r="V747" s="160">
        <f>ROUND((157/100)*ROUND([3]Source!R608, 2), 2)</f>
        <v>0</v>
      </c>
    </row>
    <row r="748" spans="1:22" ht="14.25" x14ac:dyDescent="0.2">
      <c r="A748" s="172"/>
      <c r="B748" s="171"/>
      <c r="C748" s="171" t="s">
        <v>184</v>
      </c>
      <c r="D748" s="170"/>
      <c r="E748" s="167"/>
      <c r="F748" s="169">
        <v>101</v>
      </c>
      <c r="G748" s="168" t="s">
        <v>195</v>
      </c>
      <c r="H748" s="167">
        <v>1</v>
      </c>
      <c r="I748" s="166">
        <v>64062.53</v>
      </c>
      <c r="J748" s="167">
        <v>1.96</v>
      </c>
      <c r="K748" s="166">
        <v>125562.56</v>
      </c>
    </row>
    <row r="749" spans="1:22" ht="15" x14ac:dyDescent="0.25">
      <c r="A749" s="164"/>
      <c r="B749" s="164"/>
      <c r="C749" s="165" t="s">
        <v>183</v>
      </c>
      <c r="D749" s="164"/>
      <c r="E749" s="164"/>
      <c r="F749" s="164"/>
      <c r="G749" s="164"/>
      <c r="H749" s="414">
        <v>64062.53</v>
      </c>
      <c r="I749" s="414"/>
      <c r="J749" s="414">
        <v>125562.56</v>
      </c>
      <c r="K749" s="414"/>
      <c r="O749" s="163">
        <f>I748</f>
        <v>64062.53</v>
      </c>
      <c r="P749" s="163">
        <f>K748</f>
        <v>125562.56</v>
      </c>
    </row>
    <row r="752" spans="1:22" ht="15" x14ac:dyDescent="0.25">
      <c r="A752" s="417" t="s">
        <v>1931</v>
      </c>
      <c r="B752" s="417"/>
      <c r="C752" s="417"/>
      <c r="D752" s="417"/>
      <c r="E752" s="417"/>
      <c r="F752" s="417"/>
      <c r="G752" s="417"/>
      <c r="H752" s="415">
        <v>85723.28</v>
      </c>
      <c r="I752" s="416"/>
      <c r="J752" s="415">
        <v>332855.94</v>
      </c>
      <c r="K752" s="416"/>
    </row>
    <row r="753" spans="1:32" hidden="1" x14ac:dyDescent="0.2">
      <c r="A753" s="160" t="s">
        <v>182</v>
      </c>
      <c r="I753" s="160">
        <v>0</v>
      </c>
      <c r="J753" s="160">
        <v>0</v>
      </c>
    </row>
    <row r="754" spans="1:32" hidden="1" x14ac:dyDescent="0.2">
      <c r="A754" s="160" t="s">
        <v>181</v>
      </c>
      <c r="I754" s="160">
        <v>0</v>
      </c>
      <c r="J754" s="160">
        <v>0</v>
      </c>
    </row>
    <row r="756" spans="1:32" ht="15" x14ac:dyDescent="0.25">
      <c r="A756" s="417" t="s">
        <v>2121</v>
      </c>
      <c r="B756" s="417"/>
      <c r="C756" s="417"/>
      <c r="D756" s="417"/>
      <c r="E756" s="417"/>
      <c r="F756" s="417"/>
      <c r="G756" s="417"/>
      <c r="H756" s="415">
        <v>4089633.65</v>
      </c>
      <c r="I756" s="416"/>
      <c r="J756" s="415">
        <v>65825374.649999999</v>
      </c>
      <c r="K756" s="416"/>
      <c r="AF756" s="201" t="str">
        <f>CONCATENATE("Итого по локальной смете: ",IF([3]Source!G640&lt;&gt;"Новая локальная смета", [3]Source!G640, ""))</f>
        <v>Итого по локальной смете: Архитектурные решения. Реставрация и приспособления</v>
      </c>
    </row>
    <row r="757" spans="1:32" hidden="1" x14ac:dyDescent="0.2">
      <c r="A757" s="160" t="s">
        <v>182</v>
      </c>
      <c r="I757" s="160">
        <v>0</v>
      </c>
      <c r="J757" s="160">
        <v>0</v>
      </c>
    </row>
    <row r="758" spans="1:32" hidden="1" x14ac:dyDescent="0.2">
      <c r="A758" s="160" t="s">
        <v>181</v>
      </c>
      <c r="I758" s="160">
        <v>0</v>
      </c>
      <c r="J758" s="160">
        <v>0</v>
      </c>
    </row>
    <row r="759" spans="1:32" ht="14.25" x14ac:dyDescent="0.2">
      <c r="C759" s="410" t="s">
        <v>1920</v>
      </c>
      <c r="D759" s="410"/>
      <c r="E759" s="410"/>
      <c r="F759" s="410"/>
      <c r="G759" s="410"/>
      <c r="H759" s="411">
        <v>2050058.5</v>
      </c>
      <c r="I759" s="411"/>
      <c r="J759" s="411">
        <v>32620408.870000001</v>
      </c>
      <c r="K759" s="411"/>
    </row>
    <row r="760" spans="1:32" ht="14.25" x14ac:dyDescent="0.2">
      <c r="C760" s="410" t="s">
        <v>1933</v>
      </c>
      <c r="D760" s="410"/>
      <c r="E760" s="410"/>
      <c r="F760" s="410"/>
      <c r="G760" s="410"/>
      <c r="H760" s="411">
        <v>829793.51</v>
      </c>
      <c r="I760" s="411"/>
      <c r="J760" s="411">
        <v>5919204.04</v>
      </c>
      <c r="K760" s="411"/>
    </row>
    <row r="761" spans="1:32" ht="14.25" x14ac:dyDescent="0.2">
      <c r="C761" s="410" t="s">
        <v>1934</v>
      </c>
      <c r="D761" s="410"/>
      <c r="E761" s="410"/>
      <c r="F761" s="410"/>
      <c r="G761" s="410"/>
      <c r="H761" s="411">
        <v>829793.51</v>
      </c>
      <c r="I761" s="411"/>
      <c r="J761" s="411">
        <v>5919204.04</v>
      </c>
      <c r="K761" s="411"/>
    </row>
    <row r="762" spans="1:32" ht="14.25" x14ac:dyDescent="0.2">
      <c r="C762" s="410" t="s">
        <v>1935</v>
      </c>
      <c r="D762" s="410"/>
      <c r="E762" s="410"/>
      <c r="F762" s="410"/>
      <c r="G762" s="410"/>
      <c r="H762" s="411">
        <v>0</v>
      </c>
      <c r="I762" s="411"/>
      <c r="J762" s="411">
        <v>0</v>
      </c>
      <c r="K762" s="411"/>
    </row>
    <row r="763" spans="1:32" ht="14.25" x14ac:dyDescent="0.2">
      <c r="C763" s="410" t="s">
        <v>1938</v>
      </c>
      <c r="D763" s="410"/>
      <c r="E763" s="410"/>
      <c r="F763" s="410"/>
      <c r="G763" s="410"/>
      <c r="H763" s="411">
        <v>1126277.68</v>
      </c>
      <c r="I763" s="411"/>
      <c r="J763" s="411">
        <v>26298583.84</v>
      </c>
      <c r="K763" s="411"/>
    </row>
    <row r="764" spans="1:32" ht="14.25" x14ac:dyDescent="0.2">
      <c r="C764" s="410" t="s">
        <v>1939</v>
      </c>
      <c r="D764" s="410"/>
      <c r="E764" s="410"/>
      <c r="F764" s="410"/>
      <c r="G764" s="410"/>
      <c r="H764" s="411">
        <v>4003910.37</v>
      </c>
      <c r="I764" s="411"/>
      <c r="J764" s="411">
        <v>65492518.710000001</v>
      </c>
      <c r="K764" s="411"/>
    </row>
    <row r="765" spans="1:32" ht="14.25" x14ac:dyDescent="0.2">
      <c r="C765" s="410" t="s">
        <v>1940</v>
      </c>
      <c r="D765" s="410"/>
      <c r="E765" s="410"/>
      <c r="F765" s="410"/>
      <c r="G765" s="410"/>
      <c r="H765" s="411">
        <v>0</v>
      </c>
      <c r="I765" s="411"/>
      <c r="J765" s="411">
        <v>0</v>
      </c>
      <c r="K765" s="411"/>
    </row>
    <row r="766" spans="1:32" ht="14.25" x14ac:dyDescent="0.2">
      <c r="C766" s="410" t="s">
        <v>1941</v>
      </c>
      <c r="D766" s="410"/>
      <c r="E766" s="410"/>
      <c r="F766" s="410"/>
      <c r="G766" s="410"/>
      <c r="H766" s="411">
        <v>85723.28</v>
      </c>
      <c r="I766" s="411"/>
      <c r="J766" s="411">
        <v>332855.94</v>
      </c>
      <c r="K766" s="411"/>
    </row>
    <row r="767" spans="1:32" ht="14.25" x14ac:dyDescent="0.2">
      <c r="C767" s="410" t="s">
        <v>1942</v>
      </c>
      <c r="D767" s="410"/>
      <c r="E767" s="410"/>
      <c r="F767" s="410"/>
      <c r="G767" s="410"/>
      <c r="H767" s="411">
        <v>1188244.93</v>
      </c>
      <c r="I767" s="411"/>
      <c r="J767" s="411">
        <v>22367685.07</v>
      </c>
      <c r="K767" s="411"/>
    </row>
    <row r="768" spans="1:32" ht="14.25" x14ac:dyDescent="0.2">
      <c r="C768" s="410" t="s">
        <v>1943</v>
      </c>
      <c r="D768" s="410"/>
      <c r="E768" s="410"/>
      <c r="F768" s="410"/>
      <c r="G768" s="410"/>
      <c r="H768" s="411">
        <v>848711.28</v>
      </c>
      <c r="I768" s="411"/>
      <c r="J768" s="411">
        <v>10782419.369999999</v>
      </c>
      <c r="K768" s="411"/>
    </row>
    <row r="769" spans="1:11" ht="14.25" x14ac:dyDescent="0.2">
      <c r="C769" s="410" t="s">
        <v>1944</v>
      </c>
      <c r="D769" s="410"/>
      <c r="E769" s="410"/>
      <c r="F769" s="410"/>
      <c r="G769" s="410"/>
      <c r="H769" s="411">
        <v>4089633.65</v>
      </c>
      <c r="I769" s="411"/>
      <c r="J769" s="411">
        <v>65825374.649999999</v>
      </c>
      <c r="K769" s="411"/>
    </row>
    <row r="772" spans="1:11" ht="14.25" x14ac:dyDescent="0.2">
      <c r="A772" s="412" t="s">
        <v>180</v>
      </c>
      <c r="B772" s="412"/>
      <c r="C772" s="162" t="s">
        <v>107</v>
      </c>
      <c r="D772" s="162"/>
      <c r="E772" s="162"/>
      <c r="F772" s="162"/>
      <c r="G772" s="162"/>
      <c r="H772" s="161" t="s">
        <v>2122</v>
      </c>
      <c r="I772" s="161"/>
      <c r="J772" s="161"/>
      <c r="K772" s="161"/>
    </row>
    <row r="773" spans="1:11" ht="14.25" x14ac:dyDescent="0.2">
      <c r="A773" s="161"/>
      <c r="B773" s="161"/>
      <c r="C773" s="409" t="s">
        <v>72</v>
      </c>
      <c r="D773" s="409"/>
      <c r="E773" s="409"/>
      <c r="F773" s="409"/>
      <c r="G773" s="409"/>
      <c r="H773" s="161"/>
      <c r="I773" s="161"/>
      <c r="J773" s="161"/>
      <c r="K773" s="161"/>
    </row>
    <row r="774" spans="1:11" ht="14.25" x14ac:dyDescent="0.2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</row>
    <row r="775" spans="1:11" ht="14.25" x14ac:dyDescent="0.2">
      <c r="A775" s="412" t="s">
        <v>179</v>
      </c>
      <c r="B775" s="412"/>
      <c r="C775" s="162" t="s">
        <v>107</v>
      </c>
      <c r="D775" s="162"/>
      <c r="E775" s="162"/>
      <c r="F775" s="162"/>
      <c r="G775" s="162"/>
      <c r="H775" s="161" t="s">
        <v>107</v>
      </c>
      <c r="I775" s="161"/>
      <c r="J775" s="161"/>
      <c r="K775" s="161"/>
    </row>
    <row r="776" spans="1:11" ht="14.25" x14ac:dyDescent="0.2">
      <c r="A776" s="161"/>
      <c r="B776" s="161"/>
      <c r="C776" s="409" t="s">
        <v>72</v>
      </c>
      <c r="D776" s="409"/>
      <c r="E776" s="409"/>
      <c r="F776" s="409"/>
      <c r="G776" s="409"/>
      <c r="H776" s="161"/>
      <c r="I776" s="161"/>
      <c r="J776" s="161"/>
      <c r="K776" s="161"/>
    </row>
  </sheetData>
  <mergeCells count="243">
    <mergeCell ref="A775:B775"/>
    <mergeCell ref="C776:G776"/>
    <mergeCell ref="C768:G768"/>
    <mergeCell ref="H768:I768"/>
    <mergeCell ref="C766:G766"/>
    <mergeCell ref="H766:I766"/>
    <mergeCell ref="J766:K766"/>
    <mergeCell ref="J768:K768"/>
    <mergeCell ref="C769:G769"/>
    <mergeCell ref="H769:I769"/>
    <mergeCell ref="J769:K769"/>
    <mergeCell ref="A772:B772"/>
    <mergeCell ref="C773:G773"/>
    <mergeCell ref="J756:K756"/>
    <mergeCell ref="H756:I756"/>
    <mergeCell ref="A756:G756"/>
    <mergeCell ref="C767:G767"/>
    <mergeCell ref="H767:I767"/>
    <mergeCell ref="J767:K767"/>
    <mergeCell ref="C760:G760"/>
    <mergeCell ref="H760:I760"/>
    <mergeCell ref="J760:K760"/>
    <mergeCell ref="C761:G761"/>
    <mergeCell ref="H761:I761"/>
    <mergeCell ref="J761:K761"/>
    <mergeCell ref="C762:G762"/>
    <mergeCell ref="H762:I762"/>
    <mergeCell ref="J762:K762"/>
    <mergeCell ref="C763:G763"/>
    <mergeCell ref="H763:I763"/>
    <mergeCell ref="J763:K763"/>
    <mergeCell ref="C764:G764"/>
    <mergeCell ref="H764:I764"/>
    <mergeCell ref="J764:K764"/>
    <mergeCell ref="C765:G765"/>
    <mergeCell ref="H765:I765"/>
    <mergeCell ref="J765:K765"/>
    <mergeCell ref="A738:G738"/>
    <mergeCell ref="A742:K742"/>
    <mergeCell ref="J745:K745"/>
    <mergeCell ref="H745:I745"/>
    <mergeCell ref="J749:K749"/>
    <mergeCell ref="H749:I749"/>
    <mergeCell ref="J752:K752"/>
    <mergeCell ref="H752:I752"/>
    <mergeCell ref="A752:G752"/>
    <mergeCell ref="J675:K675"/>
    <mergeCell ref="H675:I675"/>
    <mergeCell ref="J681:K681"/>
    <mergeCell ref="H681:I681"/>
    <mergeCell ref="J692:K692"/>
    <mergeCell ref="H692:I692"/>
    <mergeCell ref="J700:K700"/>
    <mergeCell ref="H700:I700"/>
    <mergeCell ref="C759:G759"/>
    <mergeCell ref="H759:I759"/>
    <mergeCell ref="J759:K759"/>
    <mergeCell ref="J718:K718"/>
    <mergeCell ref="H718:I718"/>
    <mergeCell ref="J721:K721"/>
    <mergeCell ref="H721:I721"/>
    <mergeCell ref="A721:G721"/>
    <mergeCell ref="J725:K725"/>
    <mergeCell ref="H725:I725"/>
    <mergeCell ref="A725:G725"/>
    <mergeCell ref="A729:K729"/>
    <mergeCell ref="J735:K735"/>
    <mergeCell ref="H735:I735"/>
    <mergeCell ref="J738:K738"/>
    <mergeCell ref="H738:I738"/>
    <mergeCell ref="A559:G559"/>
    <mergeCell ref="A563:K563"/>
    <mergeCell ref="J574:K574"/>
    <mergeCell ref="H574:I574"/>
    <mergeCell ref="J586:K586"/>
    <mergeCell ref="H586:I586"/>
    <mergeCell ref="J593:K593"/>
    <mergeCell ref="H593:I593"/>
    <mergeCell ref="J708:K708"/>
    <mergeCell ref="H708:I708"/>
    <mergeCell ref="J606:K606"/>
    <mergeCell ref="H606:I606"/>
    <mergeCell ref="J612:K612"/>
    <mergeCell ref="H612:I612"/>
    <mergeCell ref="J620:K620"/>
    <mergeCell ref="H620:I620"/>
    <mergeCell ref="J632:K632"/>
    <mergeCell ref="H632:I632"/>
    <mergeCell ref="J645:K645"/>
    <mergeCell ref="H645:I645"/>
    <mergeCell ref="J652:K652"/>
    <mergeCell ref="H652:I652"/>
    <mergeCell ref="J664:K664"/>
    <mergeCell ref="H664:I664"/>
    <mergeCell ref="J600:K600"/>
    <mergeCell ref="H600:I600"/>
    <mergeCell ref="J511:K511"/>
    <mergeCell ref="H511:I511"/>
    <mergeCell ref="J520:K520"/>
    <mergeCell ref="H520:I520"/>
    <mergeCell ref="J526:K526"/>
    <mergeCell ref="H526:I526"/>
    <mergeCell ref="J536:K536"/>
    <mergeCell ref="H536:I536"/>
    <mergeCell ref="J549:K549"/>
    <mergeCell ref="H549:I549"/>
    <mergeCell ref="J556:K556"/>
    <mergeCell ref="H556:I556"/>
    <mergeCell ref="J559:K559"/>
    <mergeCell ref="H559:I559"/>
    <mergeCell ref="J505:K505"/>
    <mergeCell ref="H505:I505"/>
    <mergeCell ref="J452:K452"/>
    <mergeCell ref="H452:I452"/>
    <mergeCell ref="J396:K396"/>
    <mergeCell ref="H396:I396"/>
    <mergeCell ref="J407:K407"/>
    <mergeCell ref="H407:I407"/>
    <mergeCell ref="J418:K418"/>
    <mergeCell ref="H418:I418"/>
    <mergeCell ref="J460:K460"/>
    <mergeCell ref="H460:I460"/>
    <mergeCell ref="J468:K468"/>
    <mergeCell ref="H468:I468"/>
    <mergeCell ref="J476:K476"/>
    <mergeCell ref="H476:I476"/>
    <mergeCell ref="J488:K488"/>
    <mergeCell ref="H488:I488"/>
    <mergeCell ref="J494:K494"/>
    <mergeCell ref="H494:I494"/>
    <mergeCell ref="J429:K429"/>
    <mergeCell ref="H429:I429"/>
    <mergeCell ref="J441:K441"/>
    <mergeCell ref="H441:I441"/>
    <mergeCell ref="J375:K375"/>
    <mergeCell ref="H375:I375"/>
    <mergeCell ref="J382:K382"/>
    <mergeCell ref="H382:I382"/>
    <mergeCell ref="J389:K389"/>
    <mergeCell ref="H389:I389"/>
    <mergeCell ref="H285:I285"/>
    <mergeCell ref="J308:K308"/>
    <mergeCell ref="H308:I308"/>
    <mergeCell ref="J316:K316"/>
    <mergeCell ref="H316:I316"/>
    <mergeCell ref="J324:K324"/>
    <mergeCell ref="H324:I324"/>
    <mergeCell ref="J297:K297"/>
    <mergeCell ref="H297:I297"/>
    <mergeCell ref="A365:G365"/>
    <mergeCell ref="A369:K369"/>
    <mergeCell ref="J340:K340"/>
    <mergeCell ref="H340:I340"/>
    <mergeCell ref="J346:K346"/>
    <mergeCell ref="H346:I346"/>
    <mergeCell ref="J356:K356"/>
    <mergeCell ref="H356:I356"/>
    <mergeCell ref="J362:K362"/>
    <mergeCell ref="H362:I362"/>
    <mergeCell ref="J365:K365"/>
    <mergeCell ref="H365:I365"/>
    <mergeCell ref="J188:K188"/>
    <mergeCell ref="H188:I188"/>
    <mergeCell ref="A188:G188"/>
    <mergeCell ref="A192:K192"/>
    <mergeCell ref="A194:K194"/>
    <mergeCell ref="J202:K202"/>
    <mergeCell ref="H202:I202"/>
    <mergeCell ref="J211:K211"/>
    <mergeCell ref="H211:I211"/>
    <mergeCell ref="J220:K220"/>
    <mergeCell ref="H220:I220"/>
    <mergeCell ref="J231:K231"/>
    <mergeCell ref="H231:I231"/>
    <mergeCell ref="J242:K242"/>
    <mergeCell ref="H242:I242"/>
    <mergeCell ref="J252:K252"/>
    <mergeCell ref="H252:I252"/>
    <mergeCell ref="J263:K263"/>
    <mergeCell ref="H263:I263"/>
    <mergeCell ref="J274:K274"/>
    <mergeCell ref="H274:I274"/>
    <mergeCell ref="J285:K285"/>
    <mergeCell ref="J185:K185"/>
    <mergeCell ref="H185:I185"/>
    <mergeCell ref="J91:K91"/>
    <mergeCell ref="H91:I91"/>
    <mergeCell ref="J99:K99"/>
    <mergeCell ref="H99:I99"/>
    <mergeCell ref="J106:K106"/>
    <mergeCell ref="H106:I106"/>
    <mergeCell ref="J117:K117"/>
    <mergeCell ref="H117:I117"/>
    <mergeCell ref="J126:K126"/>
    <mergeCell ref="H126:I126"/>
    <mergeCell ref="J132:K132"/>
    <mergeCell ref="H132:I132"/>
    <mergeCell ref="J138:K138"/>
    <mergeCell ref="H138:I138"/>
    <mergeCell ref="J146:K146"/>
    <mergeCell ref="H146:I146"/>
    <mergeCell ref="J155:K155"/>
    <mergeCell ref="H155:I155"/>
    <mergeCell ref="J164:K164"/>
    <mergeCell ref="H164:I164"/>
    <mergeCell ref="J173:K173"/>
    <mergeCell ref="H173:I173"/>
    <mergeCell ref="J83:K83"/>
    <mergeCell ref="H83:I83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36:K36"/>
    <mergeCell ref="J42:K42"/>
    <mergeCell ref="H42:I42"/>
    <mergeCell ref="J51:K51"/>
    <mergeCell ref="H51:I51"/>
    <mergeCell ref="J61:K61"/>
    <mergeCell ref="H61:I61"/>
    <mergeCell ref="J68:K68"/>
    <mergeCell ref="H68:I68"/>
    <mergeCell ref="J75:K75"/>
    <mergeCell ref="H75:I75"/>
    <mergeCell ref="A11:K11"/>
    <mergeCell ref="A13:K13"/>
    <mergeCell ref="A15:K15"/>
    <mergeCell ref="B3:E3"/>
    <mergeCell ref="G3:K3"/>
    <mergeCell ref="B4:E4"/>
    <mergeCell ref="G4:K4"/>
    <mergeCell ref="B6:E6"/>
    <mergeCell ref="G6:K6"/>
    <mergeCell ref="B7:E7"/>
    <mergeCell ref="G7:K7"/>
    <mergeCell ref="A10:K10"/>
  </mergeCells>
  <pageMargins left="0.4" right="0.2" top="0.2" bottom="0.4" header="0.2" footer="0.2"/>
  <pageSetup paperSize="9" scale="63" fitToHeight="0" orientation="portrait" horizontalDpi="1200" verticalDpi="1200" r:id="rId1"/>
  <headerFooter>
    <oddHeader>&amp;L&amp;8</oddHead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F1242"/>
  <sheetViews>
    <sheetView topLeftCell="A1213" zoomScaleNormal="100" workbookViewId="0">
      <selection activeCell="E26" sqref="E26"/>
    </sheetView>
  </sheetViews>
  <sheetFormatPr defaultColWidth="9.140625" defaultRowHeight="12.75" x14ac:dyDescent="0.2"/>
  <cols>
    <col min="1" max="1" width="5.7109375" style="160" customWidth="1"/>
    <col min="2" max="2" width="11.7109375" style="160" customWidth="1"/>
    <col min="3" max="3" width="40.7109375" style="160" customWidth="1"/>
    <col min="4" max="6" width="11.7109375" style="160" customWidth="1"/>
    <col min="7" max="7" width="12.7109375" style="160" customWidth="1"/>
    <col min="8" max="8" width="10.7109375" style="160" customWidth="1"/>
    <col min="9" max="11" width="12.7109375" style="160" customWidth="1"/>
    <col min="12" max="14" width="9.140625" style="160"/>
    <col min="15" max="30" width="0" style="160" hidden="1" customWidth="1"/>
    <col min="31" max="31" width="150.7109375" style="160" hidden="1" customWidth="1"/>
    <col min="32" max="32" width="104.7109375" style="160" hidden="1" customWidth="1"/>
    <col min="33" max="36" width="0" style="160" hidden="1" customWidth="1"/>
    <col min="37" max="16384" width="9.140625" style="160"/>
  </cols>
  <sheetData>
    <row r="1" spans="1:31" x14ac:dyDescent="0.2">
      <c r="A1" s="200" t="s">
        <v>1523</v>
      </c>
    </row>
    <row r="2" spans="1:31" ht="14.25" x14ac:dyDescent="0.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61" t="s">
        <v>381</v>
      </c>
    </row>
    <row r="3" spans="1:31" ht="16.5" x14ac:dyDescent="0.25">
      <c r="A3" s="199"/>
      <c r="B3" s="428" t="s">
        <v>380</v>
      </c>
      <c r="C3" s="428"/>
      <c r="D3" s="428"/>
      <c r="E3" s="428"/>
      <c r="F3" s="161"/>
      <c r="G3" s="428" t="s">
        <v>0</v>
      </c>
      <c r="H3" s="428"/>
      <c r="I3" s="428"/>
      <c r="J3" s="428"/>
      <c r="K3" s="428"/>
    </row>
    <row r="4" spans="1:31" ht="14.25" x14ac:dyDescent="0.2">
      <c r="A4" s="161"/>
      <c r="B4" s="418"/>
      <c r="C4" s="418"/>
      <c r="D4" s="418"/>
      <c r="E4" s="418"/>
      <c r="F4" s="161"/>
      <c r="G4" s="418"/>
      <c r="H4" s="418"/>
      <c r="I4" s="418"/>
      <c r="J4" s="418"/>
      <c r="K4" s="418"/>
    </row>
    <row r="5" spans="1:31" ht="14.25" x14ac:dyDescent="0.2">
      <c r="A5" s="198"/>
      <c r="B5" s="198"/>
      <c r="C5" s="197"/>
      <c r="D5" s="197"/>
      <c r="E5" s="197"/>
      <c r="F5" s="161"/>
      <c r="G5" s="187"/>
      <c r="H5" s="197"/>
      <c r="I5" s="197"/>
      <c r="J5" s="197"/>
      <c r="K5" s="187"/>
    </row>
    <row r="6" spans="1:31" ht="14.25" x14ac:dyDescent="0.2">
      <c r="A6" s="187"/>
      <c r="B6" s="418" t="s">
        <v>1524</v>
      </c>
      <c r="C6" s="418"/>
      <c r="D6" s="418"/>
      <c r="E6" s="418"/>
      <c r="F6" s="161"/>
      <c r="G6" s="418" t="s">
        <v>1524</v>
      </c>
      <c r="H6" s="418"/>
      <c r="I6" s="418"/>
      <c r="J6" s="418"/>
      <c r="K6" s="418"/>
    </row>
    <row r="7" spans="1:31" ht="14.25" x14ac:dyDescent="0.2">
      <c r="A7" s="196"/>
      <c r="B7" s="429" t="s">
        <v>379</v>
      </c>
      <c r="C7" s="429"/>
      <c r="D7" s="429"/>
      <c r="E7" s="429"/>
      <c r="F7" s="161"/>
      <c r="G7" s="429" t="s">
        <v>379</v>
      </c>
      <c r="H7" s="429"/>
      <c r="I7" s="429"/>
      <c r="J7" s="429"/>
      <c r="K7" s="429"/>
    </row>
    <row r="9" spans="1:31" ht="14.25" x14ac:dyDescent="0.2">
      <c r="A9" s="161"/>
      <c r="B9" s="161"/>
      <c r="C9" s="161"/>
      <c r="D9" s="161"/>
      <c r="E9" s="161"/>
      <c r="F9" s="161"/>
      <c r="G9" s="161"/>
      <c r="H9" s="161"/>
      <c r="I9" s="161"/>
      <c r="J9" s="161"/>
      <c r="K9" s="161"/>
    </row>
    <row r="10" spans="1:31" ht="47.25" x14ac:dyDescent="0.25">
      <c r="A10" s="422" t="s">
        <v>3850</v>
      </c>
      <c r="B10" s="422"/>
      <c r="C10" s="422"/>
      <c r="D10" s="422"/>
      <c r="E10" s="422"/>
      <c r="F10" s="422"/>
      <c r="G10" s="422"/>
      <c r="H10" s="422"/>
      <c r="I10" s="422"/>
      <c r="J10" s="422"/>
      <c r="K10" s="422"/>
      <c r="AE10" s="194" t="str">
        <f>IF([4]Source!G12&lt;&gt;"Новый объект", [4]Source!G12,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09" t="s">
        <v>75</v>
      </c>
      <c r="B11" s="409"/>
      <c r="C11" s="409"/>
      <c r="D11" s="409"/>
      <c r="E11" s="409"/>
      <c r="F11" s="409"/>
      <c r="G11" s="409"/>
      <c r="H11" s="409"/>
      <c r="I11" s="409"/>
      <c r="J11" s="409"/>
      <c r="K11" s="409"/>
    </row>
    <row r="12" spans="1:31" ht="14.25" x14ac:dyDescent="0.2">
      <c r="A12" s="161"/>
      <c r="B12" s="161"/>
      <c r="C12" s="161"/>
      <c r="D12" s="161"/>
      <c r="E12" s="161"/>
      <c r="F12" s="161"/>
      <c r="G12" s="161"/>
      <c r="H12" s="161"/>
      <c r="I12" s="161"/>
      <c r="J12" s="161"/>
      <c r="K12" s="161"/>
    </row>
    <row r="13" spans="1:31" ht="15.75" x14ac:dyDescent="0.25">
      <c r="A13" s="422" t="s">
        <v>3883</v>
      </c>
      <c r="B13" s="423"/>
      <c r="C13" s="423"/>
      <c r="D13" s="423"/>
      <c r="E13" s="423"/>
      <c r="F13" s="423"/>
      <c r="G13" s="423"/>
      <c r="H13" s="423"/>
      <c r="I13" s="423"/>
      <c r="J13" s="423"/>
      <c r="K13" s="423"/>
    </row>
    <row r="14" spans="1:31" ht="14.25" x14ac:dyDescent="0.2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</row>
    <row r="15" spans="1:31" ht="18" x14ac:dyDescent="0.25">
      <c r="A15" s="424" t="s">
        <v>2123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</row>
    <row r="16" spans="1:31" x14ac:dyDescent="0.2">
      <c r="A16" s="425" t="s">
        <v>378</v>
      </c>
      <c r="B16" s="426"/>
      <c r="C16" s="426"/>
      <c r="D16" s="426"/>
      <c r="E16" s="426"/>
      <c r="F16" s="426"/>
      <c r="G16" s="426"/>
      <c r="H16" s="426"/>
      <c r="I16" s="426"/>
      <c r="J16" s="426"/>
      <c r="K16" s="426"/>
    </row>
    <row r="17" spans="1:31" ht="14.25" x14ac:dyDescent="0.2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</row>
    <row r="18" spans="1:31" ht="14.25" x14ac:dyDescent="0.2">
      <c r="A18" s="421" t="s">
        <v>2124</v>
      </c>
      <c r="B18" s="421"/>
      <c r="C18" s="421"/>
      <c r="D18" s="421"/>
      <c r="E18" s="421"/>
      <c r="F18" s="421"/>
      <c r="G18" s="421"/>
      <c r="H18" s="421"/>
      <c r="I18" s="421"/>
      <c r="J18" s="421"/>
      <c r="K18" s="421"/>
    </row>
    <row r="19" spans="1:31" ht="14.25" x14ac:dyDescent="0.2">
      <c r="A19" s="193"/>
      <c r="B19" s="193"/>
      <c r="C19" s="193"/>
      <c r="D19" s="193"/>
      <c r="E19" s="193"/>
      <c r="F19" s="193"/>
      <c r="G19" s="193"/>
      <c r="H19" s="193"/>
      <c r="I19" s="193"/>
      <c r="J19" s="193"/>
      <c r="K19" s="193"/>
    </row>
    <row r="20" spans="1:31" ht="28.5" x14ac:dyDescent="0.2">
      <c r="A20" s="161"/>
      <c r="B20" s="161"/>
      <c r="C20" s="161"/>
      <c r="D20" s="161"/>
      <c r="E20" s="161"/>
      <c r="F20" s="161"/>
      <c r="G20" s="161"/>
      <c r="H20" s="161"/>
      <c r="I20" s="192" t="s">
        <v>377</v>
      </c>
      <c r="J20" s="192" t="s">
        <v>376</v>
      </c>
      <c r="K20" s="161"/>
    </row>
    <row r="21" spans="1:31" ht="15" x14ac:dyDescent="0.25">
      <c r="A21" s="161"/>
      <c r="B21" s="161"/>
      <c r="C21" s="161"/>
      <c r="D21" s="161"/>
      <c r="E21" s="161"/>
      <c r="F21" s="427" t="s">
        <v>375</v>
      </c>
      <c r="G21" s="427"/>
      <c r="H21" s="427"/>
      <c r="I21" s="191">
        <v>1994.52</v>
      </c>
      <c r="J21" s="191">
        <v>12069.19</v>
      </c>
      <c r="K21" s="190" t="s">
        <v>366</v>
      </c>
    </row>
    <row r="22" spans="1:31" ht="14.25" x14ac:dyDescent="0.2">
      <c r="A22" s="161"/>
      <c r="B22" s="161"/>
      <c r="C22" s="161"/>
      <c r="D22" s="161"/>
      <c r="E22" s="161"/>
      <c r="F22" s="418" t="s">
        <v>374</v>
      </c>
      <c r="G22" s="418"/>
      <c r="H22" s="418"/>
      <c r="I22" s="186">
        <v>1958.68</v>
      </c>
      <c r="J22" s="186">
        <v>11930.04</v>
      </c>
      <c r="K22" s="161" t="s">
        <v>366</v>
      </c>
    </row>
    <row r="23" spans="1:31" ht="14.25" x14ac:dyDescent="0.2">
      <c r="A23" s="161"/>
      <c r="B23" s="161"/>
      <c r="C23" s="161"/>
      <c r="D23" s="161"/>
      <c r="E23" s="161"/>
      <c r="F23" s="418" t="s">
        <v>373</v>
      </c>
      <c r="G23" s="418"/>
      <c r="H23" s="418"/>
      <c r="I23" s="186">
        <v>0</v>
      </c>
      <c r="J23" s="186">
        <v>0</v>
      </c>
      <c r="K23" s="161" t="s">
        <v>366</v>
      </c>
    </row>
    <row r="24" spans="1:31" ht="14.25" x14ac:dyDescent="0.2">
      <c r="A24" s="161"/>
      <c r="B24" s="161"/>
      <c r="C24" s="161"/>
      <c r="D24" s="161"/>
      <c r="E24" s="161"/>
      <c r="F24" s="418" t="s">
        <v>106</v>
      </c>
      <c r="G24" s="418"/>
      <c r="H24" s="418"/>
      <c r="I24" s="186">
        <v>0</v>
      </c>
      <c r="J24" s="186">
        <v>0</v>
      </c>
      <c r="K24" s="161" t="s">
        <v>366</v>
      </c>
    </row>
    <row r="25" spans="1:31" ht="14.25" x14ac:dyDescent="0.2">
      <c r="A25" s="161"/>
      <c r="B25" s="161"/>
      <c r="C25" s="161"/>
      <c r="D25" s="161"/>
      <c r="E25" s="161"/>
      <c r="F25" s="418" t="s">
        <v>372</v>
      </c>
      <c r="G25" s="418"/>
      <c r="H25" s="418"/>
      <c r="I25" s="186">
        <v>35.840000000000003</v>
      </c>
      <c r="J25" s="186">
        <v>139.15</v>
      </c>
      <c r="K25" s="161" t="s">
        <v>366</v>
      </c>
    </row>
    <row r="26" spans="1:31" ht="14.25" x14ac:dyDescent="0.2">
      <c r="A26" s="161"/>
      <c r="B26" s="161"/>
      <c r="C26" s="161"/>
      <c r="D26" s="161"/>
      <c r="E26" s="161"/>
      <c r="F26" s="418" t="s">
        <v>371</v>
      </c>
      <c r="G26" s="418"/>
      <c r="H26" s="418"/>
      <c r="I26" s="186">
        <v>140.03</v>
      </c>
      <c r="J26" s="186">
        <v>3267.17</v>
      </c>
      <c r="K26" s="161" t="s">
        <v>366</v>
      </c>
    </row>
    <row r="27" spans="1:31" ht="14.25" x14ac:dyDescent="0.2">
      <c r="A27" s="161"/>
      <c r="B27" s="161"/>
      <c r="C27" s="161"/>
      <c r="D27" s="161"/>
      <c r="E27" s="161"/>
      <c r="F27" s="418" t="s">
        <v>370</v>
      </c>
      <c r="G27" s="418"/>
      <c r="H27" s="418"/>
      <c r="I27" s="186">
        <v>12182.87</v>
      </c>
      <c r="J27" s="186"/>
      <c r="K27" s="161" t="s">
        <v>369</v>
      </c>
    </row>
    <row r="28" spans="1:31" ht="14.25" hidden="1" x14ac:dyDescent="0.2">
      <c r="A28" s="161"/>
      <c r="B28" s="161"/>
      <c r="C28" s="161"/>
      <c r="D28" s="161"/>
      <c r="E28" s="161"/>
      <c r="F28" s="188" t="s">
        <v>368</v>
      </c>
      <c r="G28" s="188"/>
      <c r="H28" s="188"/>
      <c r="I28" s="186"/>
      <c r="J28" s="186"/>
      <c r="K28" s="161"/>
    </row>
    <row r="29" spans="1:31" ht="14.25" hidden="1" x14ac:dyDescent="0.2">
      <c r="A29" s="161"/>
      <c r="B29" s="161"/>
      <c r="C29" s="161"/>
      <c r="D29" s="161"/>
      <c r="E29" s="161"/>
      <c r="F29" s="419" t="s">
        <v>367</v>
      </c>
      <c r="G29" s="420"/>
      <c r="H29" s="420"/>
      <c r="I29" s="186">
        <v>0</v>
      </c>
      <c r="J29" s="186">
        <v>0</v>
      </c>
      <c r="K29" s="161" t="s">
        <v>366</v>
      </c>
    </row>
    <row r="30" spans="1:31" ht="14.25" x14ac:dyDescent="0.2">
      <c r="A30" s="161"/>
      <c r="B30" s="161"/>
      <c r="C30" s="161"/>
      <c r="D30" s="161"/>
      <c r="E30" s="161"/>
      <c r="F30" s="187"/>
      <c r="G30" s="187"/>
      <c r="H30" s="187"/>
      <c r="I30" s="186"/>
      <c r="J30" s="186"/>
      <c r="K30" s="161"/>
    </row>
    <row r="31" spans="1:31" ht="14.25" x14ac:dyDescent="0.2">
      <c r="A31" s="161" t="s">
        <v>365</v>
      </c>
      <c r="B31" s="161"/>
      <c r="C31" s="161"/>
      <c r="D31" s="161"/>
      <c r="E31" s="161"/>
      <c r="F31" s="187"/>
      <c r="G31" s="187"/>
      <c r="H31" s="187"/>
      <c r="I31" s="186"/>
      <c r="J31" s="186"/>
      <c r="K31" s="161"/>
    </row>
    <row r="32" spans="1:31" ht="28.5" x14ac:dyDescent="0.2">
      <c r="A32" s="421" t="s">
        <v>364</v>
      </c>
      <c r="B32" s="421"/>
      <c r="C32" s="421"/>
      <c r="D32" s="421"/>
      <c r="E32" s="421"/>
      <c r="F32" s="421"/>
      <c r="G32" s="421"/>
      <c r="H32" s="421"/>
      <c r="I32" s="421"/>
      <c r="J32" s="421"/>
      <c r="K32" s="421"/>
      <c r="AE32" s="185" t="s">
        <v>364</v>
      </c>
    </row>
    <row r="33" spans="1:22" ht="85.5" x14ac:dyDescent="0.2">
      <c r="A33" s="183" t="s">
        <v>81</v>
      </c>
      <c r="B33" s="183" t="s">
        <v>363</v>
      </c>
      <c r="C33" s="183" t="s">
        <v>83</v>
      </c>
      <c r="D33" s="183" t="s">
        <v>362</v>
      </c>
      <c r="E33" s="183" t="s">
        <v>361</v>
      </c>
      <c r="F33" s="183" t="s">
        <v>360</v>
      </c>
      <c r="G33" s="184" t="s">
        <v>359</v>
      </c>
      <c r="H33" s="184" t="s">
        <v>358</v>
      </c>
      <c r="I33" s="183" t="s">
        <v>357</v>
      </c>
      <c r="J33" s="183" t="s">
        <v>356</v>
      </c>
      <c r="K33" s="183" t="s">
        <v>355</v>
      </c>
    </row>
    <row r="34" spans="1:22" ht="14.25" x14ac:dyDescent="0.2">
      <c r="A34" s="183">
        <v>1</v>
      </c>
      <c r="B34" s="183">
        <v>2</v>
      </c>
      <c r="C34" s="183">
        <v>3</v>
      </c>
      <c r="D34" s="183">
        <v>4</v>
      </c>
      <c r="E34" s="183">
        <v>5</v>
      </c>
      <c r="F34" s="183">
        <v>6</v>
      </c>
      <c r="G34" s="183">
        <v>7</v>
      </c>
      <c r="H34" s="183">
        <v>8</v>
      </c>
      <c r="I34" s="183">
        <v>9</v>
      </c>
      <c r="J34" s="183">
        <v>10</v>
      </c>
      <c r="K34" s="183">
        <v>11</v>
      </c>
    </row>
    <row r="36" spans="1:22" ht="16.5" x14ac:dyDescent="0.25">
      <c r="A36" s="413" t="s">
        <v>2125</v>
      </c>
      <c r="B36" s="413"/>
      <c r="C36" s="413"/>
      <c r="D36" s="413"/>
      <c r="E36" s="413"/>
      <c r="F36" s="413"/>
      <c r="G36" s="413"/>
      <c r="H36" s="413"/>
      <c r="I36" s="413"/>
      <c r="J36" s="413"/>
      <c r="K36" s="413"/>
    </row>
    <row r="38" spans="1:22" ht="16.5" x14ac:dyDescent="0.25">
      <c r="A38" s="413" t="s">
        <v>2126</v>
      </c>
      <c r="B38" s="413"/>
      <c r="C38" s="413"/>
      <c r="D38" s="413"/>
      <c r="E38" s="413"/>
      <c r="F38" s="413"/>
      <c r="G38" s="413"/>
      <c r="H38" s="413"/>
      <c r="I38" s="413"/>
      <c r="J38" s="413"/>
      <c r="K38" s="413"/>
    </row>
    <row r="39" spans="1:22" ht="52.5" x14ac:dyDescent="0.2">
      <c r="A39" s="179" t="s">
        <v>719</v>
      </c>
      <c r="B39" s="178" t="s">
        <v>592</v>
      </c>
      <c r="C39" s="178" t="s">
        <v>591</v>
      </c>
      <c r="D39" s="177" t="s">
        <v>2127</v>
      </c>
      <c r="E39" s="174">
        <v>6.2E-2</v>
      </c>
      <c r="F39" s="176"/>
      <c r="G39" s="175"/>
      <c r="H39" s="174"/>
      <c r="I39" s="173"/>
      <c r="J39" s="174"/>
      <c r="K39" s="173"/>
      <c r="Q39" s="160">
        <f>[4]Source!X32</f>
        <v>167.72</v>
      </c>
      <c r="R39" s="160">
        <f>[4]Source!X33</f>
        <v>3141.66</v>
      </c>
      <c r="S39" s="160">
        <f>[4]Source!Y32</f>
        <v>123.49</v>
      </c>
      <c r="T39" s="160">
        <f>[4]Source!Y33</f>
        <v>1764.49</v>
      </c>
      <c r="U39" s="160">
        <f>ROUND((175/100)*ROUND([4]Source!R32, 2), 2)</f>
        <v>0</v>
      </c>
      <c r="V39" s="160">
        <f>ROUND((157/100)*ROUND([4]Source!R33, 2), 2)</f>
        <v>0</v>
      </c>
    </row>
    <row r="40" spans="1:22" x14ac:dyDescent="0.2">
      <c r="C40" s="181" t="s">
        <v>2128</v>
      </c>
    </row>
    <row r="41" spans="1:22" ht="14.25" x14ac:dyDescent="0.2">
      <c r="A41" s="179"/>
      <c r="B41" s="178"/>
      <c r="C41" s="178" t="s">
        <v>197</v>
      </c>
      <c r="D41" s="177"/>
      <c r="E41" s="174"/>
      <c r="F41" s="176">
        <v>2584.9699999999998</v>
      </c>
      <c r="G41" s="175" t="s">
        <v>1548</v>
      </c>
      <c r="H41" s="174">
        <v>1</v>
      </c>
      <c r="I41" s="173">
        <v>184.31</v>
      </c>
      <c r="J41" s="174">
        <v>23.35</v>
      </c>
      <c r="K41" s="173">
        <v>4303.6400000000003</v>
      </c>
    </row>
    <row r="42" spans="1:22" ht="14.25" x14ac:dyDescent="0.2">
      <c r="A42" s="179"/>
      <c r="B42" s="178"/>
      <c r="C42" s="178" t="s">
        <v>194</v>
      </c>
      <c r="D42" s="177" t="s">
        <v>187</v>
      </c>
      <c r="E42" s="174">
        <v>91</v>
      </c>
      <c r="F42" s="176"/>
      <c r="G42" s="175"/>
      <c r="H42" s="174"/>
      <c r="I42" s="173">
        <v>167.72</v>
      </c>
      <c r="J42" s="174">
        <v>73</v>
      </c>
      <c r="K42" s="173">
        <v>3141.66</v>
      </c>
    </row>
    <row r="43" spans="1:22" ht="14.25" x14ac:dyDescent="0.2">
      <c r="A43" s="179"/>
      <c r="B43" s="178"/>
      <c r="C43" s="178" t="s">
        <v>193</v>
      </c>
      <c r="D43" s="177" t="s">
        <v>187</v>
      </c>
      <c r="E43" s="174">
        <v>67</v>
      </c>
      <c r="F43" s="176"/>
      <c r="G43" s="175"/>
      <c r="H43" s="174"/>
      <c r="I43" s="173">
        <v>123.49</v>
      </c>
      <c r="J43" s="174">
        <v>41</v>
      </c>
      <c r="K43" s="173">
        <v>1764.49</v>
      </c>
    </row>
    <row r="44" spans="1:22" ht="14.25" x14ac:dyDescent="0.2">
      <c r="A44" s="172"/>
      <c r="B44" s="171"/>
      <c r="C44" s="171" t="s">
        <v>192</v>
      </c>
      <c r="D44" s="170" t="s">
        <v>191</v>
      </c>
      <c r="E44" s="167">
        <v>222.65</v>
      </c>
      <c r="F44" s="169"/>
      <c r="G44" s="168" t="s">
        <v>1548</v>
      </c>
      <c r="H44" s="167">
        <v>1</v>
      </c>
      <c r="I44" s="166">
        <v>15.87</v>
      </c>
      <c r="J44" s="167"/>
      <c r="K44" s="166"/>
    </row>
    <row r="45" spans="1:22" ht="15" x14ac:dyDescent="0.25">
      <c r="A45" s="164"/>
      <c r="B45" s="164"/>
      <c r="C45" s="165" t="s">
        <v>183</v>
      </c>
      <c r="D45" s="164"/>
      <c r="E45" s="164"/>
      <c r="F45" s="164"/>
      <c r="G45" s="164"/>
      <c r="H45" s="414">
        <v>475.52</v>
      </c>
      <c r="I45" s="414"/>
      <c r="J45" s="414">
        <v>9209.7900000000009</v>
      </c>
      <c r="K45" s="414"/>
      <c r="O45" s="163">
        <f>I41+I42+I43</f>
        <v>475.52</v>
      </c>
      <c r="P45" s="163">
        <f>K41+K42+K43</f>
        <v>9209.7900000000009</v>
      </c>
    </row>
    <row r="47" spans="1:22" ht="57" x14ac:dyDescent="0.2">
      <c r="A47" s="179" t="s">
        <v>1534</v>
      </c>
      <c r="B47" s="178" t="s">
        <v>586</v>
      </c>
      <c r="C47" s="178" t="s">
        <v>528</v>
      </c>
      <c r="D47" s="177" t="s">
        <v>2129</v>
      </c>
      <c r="E47" s="174">
        <v>3.9</v>
      </c>
      <c r="F47" s="176"/>
      <c r="G47" s="175"/>
      <c r="H47" s="174"/>
      <c r="I47" s="173"/>
      <c r="J47" s="174"/>
      <c r="K47" s="173"/>
      <c r="Q47" s="160">
        <f>[4]Source!X34</f>
        <v>157.88999999999999</v>
      </c>
      <c r="R47" s="160">
        <f>[4]Source!X35</f>
        <v>3013.25</v>
      </c>
      <c r="S47" s="160">
        <f>[4]Source!Y34</f>
        <v>106.27</v>
      </c>
      <c r="T47" s="160">
        <f>[4]Source!Y35</f>
        <v>1453.45</v>
      </c>
      <c r="U47" s="160">
        <f>ROUND((175/100)*ROUND([4]Source!R34, 2), 2)</f>
        <v>47.51</v>
      </c>
      <c r="V47" s="160">
        <f>ROUND((157/100)*ROUND([4]Source!R35, 2), 2)</f>
        <v>995.3</v>
      </c>
    </row>
    <row r="48" spans="1:22" ht="14.25" x14ac:dyDescent="0.2">
      <c r="A48" s="179"/>
      <c r="B48" s="178"/>
      <c r="C48" s="178" t="s">
        <v>197</v>
      </c>
      <c r="D48" s="177"/>
      <c r="E48" s="174"/>
      <c r="F48" s="176">
        <v>33.85</v>
      </c>
      <c r="G48" s="175" t="s">
        <v>1548</v>
      </c>
      <c r="H48" s="174">
        <v>1</v>
      </c>
      <c r="I48" s="173">
        <v>151.82</v>
      </c>
      <c r="J48" s="174">
        <v>23.35</v>
      </c>
      <c r="K48" s="173">
        <v>3545</v>
      </c>
    </row>
    <row r="49" spans="1:22" ht="14.25" x14ac:dyDescent="0.2">
      <c r="A49" s="179"/>
      <c r="B49" s="178"/>
      <c r="C49" s="178" t="s">
        <v>184</v>
      </c>
      <c r="D49" s="177"/>
      <c r="E49" s="174"/>
      <c r="F49" s="176">
        <v>18.399999999999999</v>
      </c>
      <c r="G49" s="175" t="s">
        <v>1549</v>
      </c>
      <c r="H49" s="174">
        <v>1</v>
      </c>
      <c r="I49" s="173">
        <v>89.7</v>
      </c>
      <c r="J49" s="174">
        <v>11.6</v>
      </c>
      <c r="K49" s="173">
        <v>1040.52</v>
      </c>
    </row>
    <row r="50" spans="1:22" ht="14.25" x14ac:dyDescent="0.2">
      <c r="A50" s="179"/>
      <c r="B50" s="178"/>
      <c r="C50" s="178" t="s">
        <v>189</v>
      </c>
      <c r="D50" s="177"/>
      <c r="E50" s="174"/>
      <c r="F50" s="176">
        <v>5.57</v>
      </c>
      <c r="G50" s="175" t="s">
        <v>1549</v>
      </c>
      <c r="H50" s="174">
        <v>1</v>
      </c>
      <c r="I50" s="180">
        <v>27.15</v>
      </c>
      <c r="J50" s="174">
        <v>23.35</v>
      </c>
      <c r="K50" s="180">
        <v>633.95000000000005</v>
      </c>
    </row>
    <row r="51" spans="1:22" ht="14.25" x14ac:dyDescent="0.2">
      <c r="A51" s="179"/>
      <c r="B51" s="178"/>
      <c r="C51" s="178" t="s">
        <v>205</v>
      </c>
      <c r="D51" s="177"/>
      <c r="E51" s="174"/>
      <c r="F51" s="176">
        <v>117.73</v>
      </c>
      <c r="G51" s="175" t="s">
        <v>195</v>
      </c>
      <c r="H51" s="174">
        <v>1</v>
      </c>
      <c r="I51" s="173">
        <v>459.15</v>
      </c>
      <c r="J51" s="174">
        <v>5.26</v>
      </c>
      <c r="K51" s="173">
        <v>2415.13</v>
      </c>
    </row>
    <row r="52" spans="1:22" ht="14.25" x14ac:dyDescent="0.2">
      <c r="A52" s="179"/>
      <c r="B52" s="178"/>
      <c r="C52" s="178" t="s">
        <v>194</v>
      </c>
      <c r="D52" s="177" t="s">
        <v>187</v>
      </c>
      <c r="E52" s="174">
        <v>104</v>
      </c>
      <c r="F52" s="176"/>
      <c r="G52" s="175"/>
      <c r="H52" s="174"/>
      <c r="I52" s="173">
        <v>157.88999999999999</v>
      </c>
      <c r="J52" s="174">
        <v>85</v>
      </c>
      <c r="K52" s="173">
        <v>3013.25</v>
      </c>
    </row>
    <row r="53" spans="1:22" ht="14.25" x14ac:dyDescent="0.2">
      <c r="A53" s="179"/>
      <c r="B53" s="178"/>
      <c r="C53" s="178" t="s">
        <v>193</v>
      </c>
      <c r="D53" s="177" t="s">
        <v>187</v>
      </c>
      <c r="E53" s="174">
        <v>70</v>
      </c>
      <c r="F53" s="176"/>
      <c r="G53" s="175"/>
      <c r="H53" s="174"/>
      <c r="I53" s="173">
        <v>106.27</v>
      </c>
      <c r="J53" s="174">
        <v>41</v>
      </c>
      <c r="K53" s="173">
        <v>1453.45</v>
      </c>
    </row>
    <row r="54" spans="1:22" ht="14.25" x14ac:dyDescent="0.2">
      <c r="A54" s="179"/>
      <c r="B54" s="178"/>
      <c r="C54" s="178" t="s">
        <v>188</v>
      </c>
      <c r="D54" s="177" t="s">
        <v>187</v>
      </c>
      <c r="E54" s="174">
        <v>175</v>
      </c>
      <c r="F54" s="176"/>
      <c r="G54" s="175"/>
      <c r="H54" s="174"/>
      <c r="I54" s="173">
        <v>47.51</v>
      </c>
      <c r="J54" s="174">
        <v>157</v>
      </c>
      <c r="K54" s="173">
        <v>995.3</v>
      </c>
    </row>
    <row r="55" spans="1:22" ht="14.25" x14ac:dyDescent="0.2">
      <c r="A55" s="172"/>
      <c r="B55" s="171"/>
      <c r="C55" s="171" t="s">
        <v>192</v>
      </c>
      <c r="D55" s="170" t="s">
        <v>191</v>
      </c>
      <c r="E55" s="167">
        <v>2.99</v>
      </c>
      <c r="F55" s="169"/>
      <c r="G55" s="168" t="s">
        <v>1548</v>
      </c>
      <c r="H55" s="167">
        <v>1</v>
      </c>
      <c r="I55" s="166">
        <v>13.41</v>
      </c>
      <c r="J55" s="167"/>
      <c r="K55" s="166"/>
    </row>
    <row r="56" spans="1:22" ht="15" x14ac:dyDescent="0.25">
      <c r="A56" s="164"/>
      <c r="B56" s="164"/>
      <c r="C56" s="165" t="s">
        <v>183</v>
      </c>
      <c r="D56" s="164"/>
      <c r="E56" s="164"/>
      <c r="F56" s="164"/>
      <c r="G56" s="164"/>
      <c r="H56" s="414">
        <v>1012.34</v>
      </c>
      <c r="I56" s="414"/>
      <c r="J56" s="414">
        <v>12462.65</v>
      </c>
      <c r="K56" s="414"/>
      <c r="O56" s="163">
        <f>I48+I49+I51+I52+I53+I54</f>
        <v>1012.34</v>
      </c>
      <c r="P56" s="163">
        <f>K48+K49+K51+K52+K53+K54</f>
        <v>12462.65</v>
      </c>
    </row>
    <row r="58" spans="1:22" ht="52.5" x14ac:dyDescent="0.2">
      <c r="A58" s="179" t="s">
        <v>104</v>
      </c>
      <c r="B58" s="178" t="s">
        <v>263</v>
      </c>
      <c r="C58" s="178" t="s">
        <v>262</v>
      </c>
      <c r="D58" s="177" t="s">
        <v>1749</v>
      </c>
      <c r="E58" s="174">
        <v>1.95E-2</v>
      </c>
      <c r="F58" s="176"/>
      <c r="G58" s="175"/>
      <c r="H58" s="174"/>
      <c r="I58" s="173"/>
      <c r="J58" s="174"/>
      <c r="K58" s="173"/>
      <c r="Q58" s="160">
        <f>[4]Source!X36</f>
        <v>26.3</v>
      </c>
      <c r="R58" s="160">
        <f>[4]Source!X37</f>
        <v>491.27</v>
      </c>
      <c r="S58" s="160">
        <f>[4]Source!Y36</f>
        <v>21.66</v>
      </c>
      <c r="T58" s="160">
        <f>[4]Source!Y37</f>
        <v>296.2</v>
      </c>
      <c r="U58" s="160">
        <f>ROUND((175/100)*ROUND([4]Source!R36, 2), 2)</f>
        <v>0.09</v>
      </c>
      <c r="V58" s="160">
        <f>ROUND((157/100)*ROUND([4]Source!R37, 2), 2)</f>
        <v>1.84</v>
      </c>
    </row>
    <row r="59" spans="1:22" x14ac:dyDescent="0.2">
      <c r="C59" s="181" t="s">
        <v>2130</v>
      </c>
    </row>
    <row r="60" spans="1:22" ht="14.25" x14ac:dyDescent="0.2">
      <c r="A60" s="179"/>
      <c r="B60" s="178"/>
      <c r="C60" s="178" t="s">
        <v>197</v>
      </c>
      <c r="D60" s="177"/>
      <c r="E60" s="174"/>
      <c r="F60" s="176">
        <v>1379.7</v>
      </c>
      <c r="G60" s="175" t="s">
        <v>1548</v>
      </c>
      <c r="H60" s="174">
        <v>1</v>
      </c>
      <c r="I60" s="173">
        <v>30.94</v>
      </c>
      <c r="J60" s="174">
        <v>23.35</v>
      </c>
      <c r="K60" s="173">
        <v>722.45</v>
      </c>
    </row>
    <row r="61" spans="1:22" ht="14.25" x14ac:dyDescent="0.2">
      <c r="A61" s="179"/>
      <c r="B61" s="178"/>
      <c r="C61" s="178" t="s">
        <v>184</v>
      </c>
      <c r="D61" s="177"/>
      <c r="E61" s="174"/>
      <c r="F61" s="176">
        <v>22.6</v>
      </c>
      <c r="G61" s="175" t="s">
        <v>1549</v>
      </c>
      <c r="H61" s="174">
        <v>1</v>
      </c>
      <c r="I61" s="173">
        <v>0.55000000000000004</v>
      </c>
      <c r="J61" s="174">
        <v>5.49</v>
      </c>
      <c r="K61" s="173">
        <v>3.02</v>
      </c>
    </row>
    <row r="62" spans="1:22" ht="14.25" x14ac:dyDescent="0.2">
      <c r="A62" s="179"/>
      <c r="B62" s="178"/>
      <c r="C62" s="178" t="s">
        <v>189</v>
      </c>
      <c r="D62" s="177"/>
      <c r="E62" s="174"/>
      <c r="F62" s="176">
        <v>2.09</v>
      </c>
      <c r="G62" s="175" t="s">
        <v>1549</v>
      </c>
      <c r="H62" s="174">
        <v>1</v>
      </c>
      <c r="I62" s="180">
        <v>0.05</v>
      </c>
      <c r="J62" s="174">
        <v>23.35</v>
      </c>
      <c r="K62" s="180">
        <v>1.17</v>
      </c>
    </row>
    <row r="63" spans="1:22" ht="14.25" x14ac:dyDescent="0.2">
      <c r="A63" s="179"/>
      <c r="B63" s="178"/>
      <c r="C63" s="178" t="s">
        <v>205</v>
      </c>
      <c r="D63" s="177"/>
      <c r="E63" s="174"/>
      <c r="F63" s="176">
        <v>1859.87</v>
      </c>
      <c r="G63" s="175" t="s">
        <v>195</v>
      </c>
      <c r="H63" s="174">
        <v>1</v>
      </c>
      <c r="I63" s="173">
        <v>36.270000000000003</v>
      </c>
      <c r="J63" s="174">
        <v>3.05</v>
      </c>
      <c r="K63" s="173">
        <v>110.62</v>
      </c>
    </row>
    <row r="64" spans="1:22" ht="57" x14ac:dyDescent="0.2">
      <c r="A64" s="179" t="s">
        <v>1542</v>
      </c>
      <c r="B64" s="178" t="s">
        <v>2131</v>
      </c>
      <c r="C64" s="178" t="s">
        <v>585</v>
      </c>
      <c r="D64" s="177" t="s">
        <v>1594</v>
      </c>
      <c r="E64" s="174">
        <v>1.9890000000000001</v>
      </c>
      <c r="F64" s="176">
        <v>517.14</v>
      </c>
      <c r="G64" s="182" t="s">
        <v>195</v>
      </c>
      <c r="H64" s="174">
        <v>1</v>
      </c>
      <c r="I64" s="173">
        <v>1028.5899999999999</v>
      </c>
      <c r="J64" s="174">
        <v>7.59</v>
      </c>
      <c r="K64" s="173">
        <v>7807</v>
      </c>
      <c r="Q64" s="160">
        <f>[4]Source!X38</f>
        <v>0</v>
      </c>
      <c r="R64" s="160">
        <f>[4]Source!X39</f>
        <v>0</v>
      </c>
      <c r="S64" s="160">
        <f>[4]Source!Y38</f>
        <v>0</v>
      </c>
      <c r="T64" s="160">
        <f>[4]Source!Y39</f>
        <v>0</v>
      </c>
      <c r="U64" s="160">
        <f>ROUND((175/100)*ROUND([4]Source!R38, 2), 2)</f>
        <v>0</v>
      </c>
      <c r="V64" s="160">
        <f>ROUND((157/100)*ROUND([4]Source!R39, 2), 2)</f>
        <v>0</v>
      </c>
    </row>
    <row r="65" spans="1:22" ht="14.25" x14ac:dyDescent="0.2">
      <c r="A65" s="179"/>
      <c r="B65" s="178"/>
      <c r="C65" s="178" t="s">
        <v>194</v>
      </c>
      <c r="D65" s="177" t="s">
        <v>187</v>
      </c>
      <c r="E65" s="174">
        <v>85</v>
      </c>
      <c r="F65" s="176"/>
      <c r="G65" s="175"/>
      <c r="H65" s="174"/>
      <c r="I65" s="173">
        <v>26.3</v>
      </c>
      <c r="J65" s="174">
        <v>68</v>
      </c>
      <c r="K65" s="173">
        <v>491.27</v>
      </c>
    </row>
    <row r="66" spans="1:22" ht="14.25" x14ac:dyDescent="0.2">
      <c r="A66" s="179"/>
      <c r="B66" s="178"/>
      <c r="C66" s="178" t="s">
        <v>193</v>
      </c>
      <c r="D66" s="177" t="s">
        <v>187</v>
      </c>
      <c r="E66" s="174">
        <v>70</v>
      </c>
      <c r="F66" s="176"/>
      <c r="G66" s="175"/>
      <c r="H66" s="174"/>
      <c r="I66" s="173">
        <v>21.66</v>
      </c>
      <c r="J66" s="174">
        <v>41</v>
      </c>
      <c r="K66" s="173">
        <v>296.2</v>
      </c>
    </row>
    <row r="67" spans="1:22" ht="14.25" x14ac:dyDescent="0.2">
      <c r="A67" s="179"/>
      <c r="B67" s="178"/>
      <c r="C67" s="178" t="s">
        <v>188</v>
      </c>
      <c r="D67" s="177" t="s">
        <v>187</v>
      </c>
      <c r="E67" s="174">
        <v>175</v>
      </c>
      <c r="F67" s="176"/>
      <c r="G67" s="175"/>
      <c r="H67" s="174"/>
      <c r="I67" s="173">
        <v>0.09</v>
      </c>
      <c r="J67" s="174">
        <v>157</v>
      </c>
      <c r="K67" s="173">
        <v>1.84</v>
      </c>
    </row>
    <row r="68" spans="1:22" ht="14.25" x14ac:dyDescent="0.2">
      <c r="A68" s="172"/>
      <c r="B68" s="171"/>
      <c r="C68" s="171" t="s">
        <v>192</v>
      </c>
      <c r="D68" s="170" t="s">
        <v>191</v>
      </c>
      <c r="E68" s="167">
        <v>135</v>
      </c>
      <c r="F68" s="169"/>
      <c r="G68" s="168" t="s">
        <v>1548</v>
      </c>
      <c r="H68" s="167">
        <v>1</v>
      </c>
      <c r="I68" s="166">
        <v>3.03</v>
      </c>
      <c r="J68" s="167"/>
      <c r="K68" s="166"/>
    </row>
    <row r="69" spans="1:22" ht="15" x14ac:dyDescent="0.25">
      <c r="A69" s="164"/>
      <c r="B69" s="164"/>
      <c r="C69" s="165" t="s">
        <v>183</v>
      </c>
      <c r="D69" s="164"/>
      <c r="E69" s="164"/>
      <c r="F69" s="164"/>
      <c r="G69" s="164"/>
      <c r="H69" s="414">
        <v>1144.4000000000001</v>
      </c>
      <c r="I69" s="414"/>
      <c r="J69" s="414">
        <v>9432.4</v>
      </c>
      <c r="K69" s="414"/>
      <c r="O69" s="163">
        <f>I60+I61+I63+I65+I66+I67+SUM(I64:I64)</f>
        <v>1144.4000000000001</v>
      </c>
      <c r="P69" s="163">
        <f>K60+K61+K63+K65+K66+K67+SUM(K64:K64)</f>
        <v>9432.4</v>
      </c>
    </row>
    <row r="71" spans="1:22" ht="71.25" x14ac:dyDescent="0.2">
      <c r="A71" s="179" t="s">
        <v>1546</v>
      </c>
      <c r="B71" s="178" t="s">
        <v>549</v>
      </c>
      <c r="C71" s="178" t="s">
        <v>548</v>
      </c>
      <c r="D71" s="177" t="s">
        <v>1855</v>
      </c>
      <c r="E71" s="174">
        <v>0.19500000000000001</v>
      </c>
      <c r="F71" s="176"/>
      <c r="G71" s="175"/>
      <c r="H71" s="174"/>
      <c r="I71" s="173"/>
      <c r="J71" s="174"/>
      <c r="K71" s="173"/>
      <c r="Q71" s="160">
        <f>[4]Source!X40</f>
        <v>87.77</v>
      </c>
      <c r="R71" s="160">
        <f>[4]Source!X41</f>
        <v>1674.93</v>
      </c>
      <c r="S71" s="160">
        <f>[4]Source!Y40</f>
        <v>59.07</v>
      </c>
      <c r="T71" s="160">
        <f>[4]Source!Y41</f>
        <v>807.91</v>
      </c>
      <c r="U71" s="160">
        <f>ROUND((175/100)*ROUND([4]Source!R40, 2), 2)</f>
        <v>27.37</v>
      </c>
      <c r="V71" s="160">
        <f>ROUND((157/100)*ROUND([4]Source!R41, 2), 2)</f>
        <v>573.35</v>
      </c>
    </row>
    <row r="72" spans="1:22" x14ac:dyDescent="0.2">
      <c r="C72" s="181" t="s">
        <v>2132</v>
      </c>
    </row>
    <row r="73" spans="1:22" ht="14.25" x14ac:dyDescent="0.2">
      <c r="A73" s="179"/>
      <c r="B73" s="178"/>
      <c r="C73" s="178" t="s">
        <v>197</v>
      </c>
      <c r="D73" s="177"/>
      <c r="E73" s="174"/>
      <c r="F73" s="176">
        <v>376.32</v>
      </c>
      <c r="G73" s="175" t="s">
        <v>1548</v>
      </c>
      <c r="H73" s="174">
        <v>1</v>
      </c>
      <c r="I73" s="173">
        <v>84.39</v>
      </c>
      <c r="J73" s="174">
        <v>23.35</v>
      </c>
      <c r="K73" s="173">
        <v>1970.51</v>
      </c>
    </row>
    <row r="74" spans="1:22" ht="14.25" x14ac:dyDescent="0.2">
      <c r="A74" s="179"/>
      <c r="B74" s="178"/>
      <c r="C74" s="178" t="s">
        <v>184</v>
      </c>
      <c r="D74" s="177"/>
      <c r="E74" s="174"/>
      <c r="F74" s="176">
        <v>403.01</v>
      </c>
      <c r="G74" s="175" t="s">
        <v>1549</v>
      </c>
      <c r="H74" s="174">
        <v>1</v>
      </c>
      <c r="I74" s="173">
        <v>98.23</v>
      </c>
      <c r="J74" s="174">
        <v>8.2200000000000006</v>
      </c>
      <c r="K74" s="173">
        <v>807.45</v>
      </c>
    </row>
    <row r="75" spans="1:22" ht="14.25" x14ac:dyDescent="0.2">
      <c r="A75" s="179"/>
      <c r="B75" s="178"/>
      <c r="C75" s="178" t="s">
        <v>189</v>
      </c>
      <c r="D75" s="177"/>
      <c r="E75" s="174"/>
      <c r="F75" s="176">
        <v>64.180000000000007</v>
      </c>
      <c r="G75" s="175" t="s">
        <v>1549</v>
      </c>
      <c r="H75" s="174">
        <v>1</v>
      </c>
      <c r="I75" s="180">
        <v>15.64</v>
      </c>
      <c r="J75" s="174">
        <v>23.35</v>
      </c>
      <c r="K75" s="180">
        <v>365.19</v>
      </c>
    </row>
    <row r="76" spans="1:22" ht="14.25" x14ac:dyDescent="0.2">
      <c r="A76" s="179"/>
      <c r="B76" s="178"/>
      <c r="C76" s="178" t="s">
        <v>205</v>
      </c>
      <c r="D76" s="177"/>
      <c r="E76" s="174"/>
      <c r="F76" s="176">
        <v>10508.86</v>
      </c>
      <c r="G76" s="175" t="s">
        <v>195</v>
      </c>
      <c r="H76" s="174">
        <v>1</v>
      </c>
      <c r="I76" s="173">
        <v>2049.23</v>
      </c>
      <c r="J76" s="174">
        <v>2.58</v>
      </c>
      <c r="K76" s="173">
        <v>5287.01</v>
      </c>
    </row>
    <row r="77" spans="1:22" ht="57" x14ac:dyDescent="0.2">
      <c r="A77" s="179" t="s">
        <v>1550</v>
      </c>
      <c r="B77" s="178" t="s">
        <v>2133</v>
      </c>
      <c r="C77" s="178" t="s">
        <v>582</v>
      </c>
      <c r="D77" s="177" t="s">
        <v>1557</v>
      </c>
      <c r="E77" s="174">
        <v>21.84</v>
      </c>
      <c r="F77" s="176">
        <v>17.84</v>
      </c>
      <c r="G77" s="182" t="s">
        <v>195</v>
      </c>
      <c r="H77" s="174">
        <v>1</v>
      </c>
      <c r="I77" s="173">
        <v>389.63</v>
      </c>
      <c r="J77" s="174">
        <v>2.92</v>
      </c>
      <c r="K77" s="173">
        <v>1137.72</v>
      </c>
      <c r="Q77" s="160">
        <f>[4]Source!X42</f>
        <v>0</v>
      </c>
      <c r="R77" s="160">
        <f>[4]Source!X43</f>
        <v>0</v>
      </c>
      <c r="S77" s="160">
        <f>[4]Source!Y42</f>
        <v>0</v>
      </c>
      <c r="T77" s="160">
        <f>[4]Source!Y43</f>
        <v>0</v>
      </c>
      <c r="U77" s="160">
        <f>ROUND((175/100)*ROUND([4]Source!R42, 2), 2)</f>
        <v>0</v>
      </c>
      <c r="V77" s="160">
        <f>ROUND((157/100)*ROUND([4]Source!R43, 2), 2)</f>
        <v>0</v>
      </c>
    </row>
    <row r="78" spans="1:22" ht="14.25" x14ac:dyDescent="0.2">
      <c r="A78" s="179"/>
      <c r="B78" s="178"/>
      <c r="C78" s="178" t="s">
        <v>194</v>
      </c>
      <c r="D78" s="177" t="s">
        <v>187</v>
      </c>
      <c r="E78" s="174">
        <v>104</v>
      </c>
      <c r="F78" s="176"/>
      <c r="G78" s="175"/>
      <c r="H78" s="174"/>
      <c r="I78" s="173">
        <v>87.77</v>
      </c>
      <c r="J78" s="174">
        <v>85</v>
      </c>
      <c r="K78" s="173">
        <v>1674.93</v>
      </c>
    </row>
    <row r="79" spans="1:22" ht="14.25" x14ac:dyDescent="0.2">
      <c r="A79" s="179"/>
      <c r="B79" s="178"/>
      <c r="C79" s="178" t="s">
        <v>193</v>
      </c>
      <c r="D79" s="177" t="s">
        <v>187</v>
      </c>
      <c r="E79" s="174">
        <v>70</v>
      </c>
      <c r="F79" s="176"/>
      <c r="G79" s="175"/>
      <c r="H79" s="174"/>
      <c r="I79" s="173">
        <v>59.07</v>
      </c>
      <c r="J79" s="174">
        <v>41</v>
      </c>
      <c r="K79" s="173">
        <v>807.91</v>
      </c>
    </row>
    <row r="80" spans="1:22" ht="14.25" x14ac:dyDescent="0.2">
      <c r="A80" s="179"/>
      <c r="B80" s="178"/>
      <c r="C80" s="178" t="s">
        <v>188</v>
      </c>
      <c r="D80" s="177" t="s">
        <v>187</v>
      </c>
      <c r="E80" s="174">
        <v>175</v>
      </c>
      <c r="F80" s="176"/>
      <c r="G80" s="175"/>
      <c r="H80" s="174"/>
      <c r="I80" s="173">
        <v>27.37</v>
      </c>
      <c r="J80" s="174">
        <v>157</v>
      </c>
      <c r="K80" s="173">
        <v>573.35</v>
      </c>
    </row>
    <row r="81" spans="1:22" ht="14.25" x14ac:dyDescent="0.2">
      <c r="A81" s="172"/>
      <c r="B81" s="171"/>
      <c r="C81" s="171" t="s">
        <v>192</v>
      </c>
      <c r="D81" s="170" t="s">
        <v>191</v>
      </c>
      <c r="E81" s="167">
        <v>32</v>
      </c>
      <c r="F81" s="169"/>
      <c r="G81" s="168" t="s">
        <v>1548</v>
      </c>
      <c r="H81" s="167">
        <v>1</v>
      </c>
      <c r="I81" s="166">
        <v>7.18</v>
      </c>
      <c r="J81" s="167"/>
      <c r="K81" s="166"/>
    </row>
    <row r="82" spans="1:22" ht="15" x14ac:dyDescent="0.25">
      <c r="A82" s="164"/>
      <c r="B82" s="164"/>
      <c r="C82" s="165" t="s">
        <v>183</v>
      </c>
      <c r="D82" s="164"/>
      <c r="E82" s="164"/>
      <c r="F82" s="164"/>
      <c r="G82" s="164"/>
      <c r="H82" s="414">
        <v>2795.69</v>
      </c>
      <c r="I82" s="414"/>
      <c r="J82" s="414">
        <v>12258.88</v>
      </c>
      <c r="K82" s="414"/>
      <c r="O82" s="163">
        <f>I73+I74+I76+I78+I79+I80+SUM(I77:I77)</f>
        <v>2795.69</v>
      </c>
      <c r="P82" s="163">
        <f>K73+K74+K76+K78+K79+K80+SUM(K77:K77)</f>
        <v>12258.88</v>
      </c>
    </row>
    <row r="84" spans="1:22" ht="52.5" x14ac:dyDescent="0.2">
      <c r="A84" s="179" t="s">
        <v>1560</v>
      </c>
      <c r="B84" s="178" t="s">
        <v>581</v>
      </c>
      <c r="C84" s="178" t="s">
        <v>580</v>
      </c>
      <c r="D84" s="177" t="s">
        <v>1749</v>
      </c>
      <c r="E84" s="174">
        <v>7.0000000000000007E-2</v>
      </c>
      <c r="F84" s="176"/>
      <c r="G84" s="175"/>
      <c r="H84" s="174"/>
      <c r="I84" s="173"/>
      <c r="J84" s="174"/>
      <c r="K84" s="173"/>
      <c r="Q84" s="160">
        <f>[4]Source!X48</f>
        <v>303.61</v>
      </c>
      <c r="R84" s="160">
        <f>[4]Source!X49</f>
        <v>5671.47</v>
      </c>
      <c r="S84" s="160">
        <f>[4]Source!Y48</f>
        <v>250.03</v>
      </c>
      <c r="T84" s="160">
        <f>[4]Source!Y49</f>
        <v>3419.56</v>
      </c>
      <c r="U84" s="160">
        <f>ROUND((175/100)*ROUND([4]Source!R48, 2), 2)</f>
        <v>13.62</v>
      </c>
      <c r="V84" s="160">
        <f>ROUND((157/100)*ROUND([4]Source!R49, 2), 2)</f>
        <v>285.20999999999998</v>
      </c>
    </row>
    <row r="85" spans="1:22" x14ac:dyDescent="0.2">
      <c r="C85" s="181" t="s">
        <v>2134</v>
      </c>
    </row>
    <row r="86" spans="1:22" ht="14.25" x14ac:dyDescent="0.2">
      <c r="A86" s="179"/>
      <c r="B86" s="178"/>
      <c r="C86" s="178" t="s">
        <v>197</v>
      </c>
      <c r="D86" s="177"/>
      <c r="E86" s="174"/>
      <c r="F86" s="176">
        <v>4437.16</v>
      </c>
      <c r="G86" s="175" t="s">
        <v>1548</v>
      </c>
      <c r="H86" s="174">
        <v>1</v>
      </c>
      <c r="I86" s="173">
        <v>357.19</v>
      </c>
      <c r="J86" s="174">
        <v>23.35</v>
      </c>
      <c r="K86" s="173">
        <v>8340.39</v>
      </c>
    </row>
    <row r="87" spans="1:22" ht="14.25" x14ac:dyDescent="0.2">
      <c r="A87" s="179"/>
      <c r="B87" s="178"/>
      <c r="C87" s="178" t="s">
        <v>184</v>
      </c>
      <c r="D87" s="177"/>
      <c r="E87" s="174"/>
      <c r="F87" s="176">
        <v>951.85</v>
      </c>
      <c r="G87" s="175" t="s">
        <v>1549</v>
      </c>
      <c r="H87" s="174">
        <v>1</v>
      </c>
      <c r="I87" s="173">
        <v>83.29</v>
      </c>
      <c r="J87" s="174">
        <v>7.3</v>
      </c>
      <c r="K87" s="173">
        <v>608.02</v>
      </c>
    </row>
    <row r="88" spans="1:22" ht="14.25" x14ac:dyDescent="0.2">
      <c r="A88" s="179"/>
      <c r="B88" s="178"/>
      <c r="C88" s="178" t="s">
        <v>189</v>
      </c>
      <c r="D88" s="177"/>
      <c r="E88" s="174"/>
      <c r="F88" s="176">
        <v>88.91</v>
      </c>
      <c r="G88" s="175" t="s">
        <v>1549</v>
      </c>
      <c r="H88" s="174">
        <v>1</v>
      </c>
      <c r="I88" s="180">
        <v>7.78</v>
      </c>
      <c r="J88" s="174">
        <v>23.35</v>
      </c>
      <c r="K88" s="180">
        <v>181.66</v>
      </c>
    </row>
    <row r="89" spans="1:22" ht="14.25" x14ac:dyDescent="0.2">
      <c r="A89" s="179"/>
      <c r="B89" s="178"/>
      <c r="C89" s="178" t="s">
        <v>205</v>
      </c>
      <c r="D89" s="177"/>
      <c r="E89" s="174"/>
      <c r="F89" s="176">
        <v>4582.6099999999997</v>
      </c>
      <c r="G89" s="175" t="s">
        <v>195</v>
      </c>
      <c r="H89" s="174">
        <v>1</v>
      </c>
      <c r="I89" s="173">
        <v>320.77999999999997</v>
      </c>
      <c r="J89" s="174">
        <v>4.47</v>
      </c>
      <c r="K89" s="173">
        <v>1433.89</v>
      </c>
    </row>
    <row r="90" spans="1:22" ht="71.25" x14ac:dyDescent="0.2">
      <c r="A90" s="179" t="s">
        <v>1562</v>
      </c>
      <c r="B90" s="178" t="s">
        <v>2135</v>
      </c>
      <c r="C90" s="178" t="s">
        <v>587</v>
      </c>
      <c r="D90" s="177" t="s">
        <v>1533</v>
      </c>
      <c r="E90" s="174">
        <v>5.6140000000000002E-2</v>
      </c>
      <c r="F90" s="176">
        <v>5752.41</v>
      </c>
      <c r="G90" s="182" t="s">
        <v>195</v>
      </c>
      <c r="H90" s="174">
        <v>1</v>
      </c>
      <c r="I90" s="173">
        <v>322.94</v>
      </c>
      <c r="J90" s="174">
        <v>7.59</v>
      </c>
      <c r="K90" s="173">
        <v>2451.11</v>
      </c>
      <c r="Q90" s="160">
        <f>[4]Source!X50</f>
        <v>0</v>
      </c>
      <c r="R90" s="160">
        <f>[4]Source!X51</f>
        <v>0</v>
      </c>
      <c r="S90" s="160">
        <f>[4]Source!Y50</f>
        <v>0</v>
      </c>
      <c r="T90" s="160">
        <f>[4]Source!Y51</f>
        <v>0</v>
      </c>
      <c r="U90" s="160">
        <f>ROUND((175/100)*ROUND([4]Source!R50, 2), 2)</f>
        <v>0</v>
      </c>
      <c r="V90" s="160">
        <f>ROUND((157/100)*ROUND([4]Source!R51, 2), 2)</f>
        <v>0</v>
      </c>
    </row>
    <row r="91" spans="1:22" ht="71.25" x14ac:dyDescent="0.2">
      <c r="A91" s="179" t="s">
        <v>1563</v>
      </c>
      <c r="B91" s="178" t="s">
        <v>2136</v>
      </c>
      <c r="C91" s="178" t="s">
        <v>579</v>
      </c>
      <c r="D91" s="177" t="s">
        <v>1533</v>
      </c>
      <c r="E91" s="174">
        <v>0.1673</v>
      </c>
      <c r="F91" s="176">
        <v>5752.41</v>
      </c>
      <c r="G91" s="182" t="s">
        <v>195</v>
      </c>
      <c r="H91" s="174">
        <v>1</v>
      </c>
      <c r="I91" s="173">
        <v>962.38</v>
      </c>
      <c r="J91" s="174">
        <v>7.9</v>
      </c>
      <c r="K91" s="173">
        <v>7602.8</v>
      </c>
      <c r="Q91" s="160">
        <f>[4]Source!X52</f>
        <v>0</v>
      </c>
      <c r="R91" s="160">
        <f>[4]Source!X53</f>
        <v>0</v>
      </c>
      <c r="S91" s="160">
        <f>[4]Source!Y52</f>
        <v>0</v>
      </c>
      <c r="T91" s="160">
        <f>[4]Source!Y53</f>
        <v>0</v>
      </c>
      <c r="U91" s="160">
        <f>ROUND((175/100)*ROUND([4]Source!R52, 2), 2)</f>
        <v>0</v>
      </c>
      <c r="V91" s="160">
        <f>ROUND((157/100)*ROUND([4]Source!R53, 2), 2)</f>
        <v>0</v>
      </c>
    </row>
    <row r="92" spans="1:22" ht="57" x14ac:dyDescent="0.2">
      <c r="A92" s="179" t="s">
        <v>2137</v>
      </c>
      <c r="B92" s="178" t="s">
        <v>2138</v>
      </c>
      <c r="C92" s="178" t="s">
        <v>554</v>
      </c>
      <c r="D92" s="177" t="s">
        <v>1594</v>
      </c>
      <c r="E92" s="174">
        <v>7.1050000000000004</v>
      </c>
      <c r="F92" s="176">
        <v>745.24</v>
      </c>
      <c r="G92" s="182" t="s">
        <v>195</v>
      </c>
      <c r="H92" s="174">
        <v>1</v>
      </c>
      <c r="I92" s="173">
        <v>5294.93</v>
      </c>
      <c r="J92" s="174">
        <v>5.92</v>
      </c>
      <c r="K92" s="173">
        <v>31345.99</v>
      </c>
      <c r="Q92" s="160">
        <f>[4]Source!X54</f>
        <v>0</v>
      </c>
      <c r="R92" s="160">
        <f>[4]Source!X55</f>
        <v>0</v>
      </c>
      <c r="S92" s="160">
        <f>[4]Source!Y54</f>
        <v>0</v>
      </c>
      <c r="T92" s="160">
        <f>[4]Source!Y55</f>
        <v>0</v>
      </c>
      <c r="U92" s="160">
        <f>ROUND((175/100)*ROUND([4]Source!R54, 2), 2)</f>
        <v>0</v>
      </c>
      <c r="V92" s="160">
        <f>ROUND((157/100)*ROUND([4]Source!R55, 2), 2)</f>
        <v>0</v>
      </c>
    </row>
    <row r="93" spans="1:22" ht="71.25" x14ac:dyDescent="0.2">
      <c r="A93" s="179" t="s">
        <v>2139</v>
      </c>
      <c r="B93" s="178" t="s">
        <v>2140</v>
      </c>
      <c r="C93" s="178" t="s">
        <v>578</v>
      </c>
      <c r="D93" s="177" t="s">
        <v>1533</v>
      </c>
      <c r="E93" s="174">
        <v>4.2840000000000003E-2</v>
      </c>
      <c r="F93" s="176">
        <v>4860.5</v>
      </c>
      <c r="G93" s="182" t="s">
        <v>195</v>
      </c>
      <c r="H93" s="174">
        <v>1</v>
      </c>
      <c r="I93" s="173">
        <v>208.22</v>
      </c>
      <c r="J93" s="174">
        <v>6.93</v>
      </c>
      <c r="K93" s="173">
        <v>1442.96</v>
      </c>
      <c r="Q93" s="160">
        <f>[4]Source!X56</f>
        <v>0</v>
      </c>
      <c r="R93" s="160">
        <f>[4]Source!X57</f>
        <v>0</v>
      </c>
      <c r="S93" s="160">
        <f>[4]Source!Y56</f>
        <v>0</v>
      </c>
      <c r="T93" s="160">
        <f>[4]Source!Y57</f>
        <v>0</v>
      </c>
      <c r="U93" s="160">
        <f>ROUND((175/100)*ROUND([4]Source!R56, 2), 2)</f>
        <v>0</v>
      </c>
      <c r="V93" s="160">
        <f>ROUND((157/100)*ROUND([4]Source!R57, 2), 2)</f>
        <v>0</v>
      </c>
    </row>
    <row r="94" spans="1:22" ht="14.25" x14ac:dyDescent="0.2">
      <c r="A94" s="179"/>
      <c r="B94" s="178"/>
      <c r="C94" s="178" t="s">
        <v>194</v>
      </c>
      <c r="D94" s="177" t="s">
        <v>187</v>
      </c>
      <c r="E94" s="174">
        <v>85</v>
      </c>
      <c r="F94" s="176"/>
      <c r="G94" s="175"/>
      <c r="H94" s="174"/>
      <c r="I94" s="173">
        <v>303.61</v>
      </c>
      <c r="J94" s="174">
        <v>68</v>
      </c>
      <c r="K94" s="173">
        <v>5671.47</v>
      </c>
    </row>
    <row r="95" spans="1:22" ht="14.25" x14ac:dyDescent="0.2">
      <c r="A95" s="179"/>
      <c r="B95" s="178"/>
      <c r="C95" s="178" t="s">
        <v>193</v>
      </c>
      <c r="D95" s="177" t="s">
        <v>187</v>
      </c>
      <c r="E95" s="174">
        <v>70</v>
      </c>
      <c r="F95" s="176"/>
      <c r="G95" s="175"/>
      <c r="H95" s="174"/>
      <c r="I95" s="173">
        <v>250.03</v>
      </c>
      <c r="J95" s="174">
        <v>41</v>
      </c>
      <c r="K95" s="173">
        <v>3419.56</v>
      </c>
    </row>
    <row r="96" spans="1:22" ht="14.25" x14ac:dyDescent="0.2">
      <c r="A96" s="179"/>
      <c r="B96" s="178"/>
      <c r="C96" s="178" t="s">
        <v>188</v>
      </c>
      <c r="D96" s="177" t="s">
        <v>187</v>
      </c>
      <c r="E96" s="174">
        <v>175</v>
      </c>
      <c r="F96" s="176"/>
      <c r="G96" s="175"/>
      <c r="H96" s="174"/>
      <c r="I96" s="173">
        <v>13.62</v>
      </c>
      <c r="J96" s="174">
        <v>157</v>
      </c>
      <c r="K96" s="173">
        <v>285.20999999999998</v>
      </c>
    </row>
    <row r="97" spans="1:32" ht="14.25" x14ac:dyDescent="0.2">
      <c r="A97" s="172"/>
      <c r="B97" s="171"/>
      <c r="C97" s="171" t="s">
        <v>192</v>
      </c>
      <c r="D97" s="170" t="s">
        <v>191</v>
      </c>
      <c r="E97" s="167">
        <v>364</v>
      </c>
      <c r="F97" s="169"/>
      <c r="G97" s="168" t="s">
        <v>1548</v>
      </c>
      <c r="H97" s="167">
        <v>1</v>
      </c>
      <c r="I97" s="166">
        <v>29.3</v>
      </c>
      <c r="J97" s="167"/>
      <c r="K97" s="166"/>
    </row>
    <row r="98" spans="1:32" ht="15" x14ac:dyDescent="0.25">
      <c r="A98" s="164"/>
      <c r="B98" s="164"/>
      <c r="C98" s="165" t="s">
        <v>183</v>
      </c>
      <c r="D98" s="164"/>
      <c r="E98" s="164"/>
      <c r="F98" s="164"/>
      <c r="G98" s="164"/>
      <c r="H98" s="414">
        <v>8116.99</v>
      </c>
      <c r="I98" s="414"/>
      <c r="J98" s="414">
        <v>62601.4</v>
      </c>
      <c r="K98" s="414"/>
      <c r="O98" s="163">
        <f>I86+I87+I89+I94+I95+I96+SUM(I90:I93)</f>
        <v>8116.99</v>
      </c>
      <c r="P98" s="163">
        <f>K86+K87+K89+K94+K95+K96+SUM(K90:K93)</f>
        <v>62601.4</v>
      </c>
    </row>
    <row r="100" spans="1:32" ht="57" x14ac:dyDescent="0.2">
      <c r="A100" s="179" t="s">
        <v>1572</v>
      </c>
      <c r="B100" s="178" t="s">
        <v>590</v>
      </c>
      <c r="C100" s="178" t="s">
        <v>589</v>
      </c>
      <c r="D100" s="177" t="s">
        <v>2141</v>
      </c>
      <c r="E100" s="174">
        <v>1</v>
      </c>
      <c r="F100" s="176"/>
      <c r="G100" s="175"/>
      <c r="H100" s="174"/>
      <c r="I100" s="173"/>
      <c r="J100" s="174"/>
      <c r="K100" s="173"/>
      <c r="Q100" s="160">
        <f>[4]Source!X64</f>
        <v>128.84</v>
      </c>
      <c r="R100" s="160">
        <f>[4]Source!X65</f>
        <v>2413.3000000000002</v>
      </c>
      <c r="S100" s="160">
        <f>[4]Source!Y64</f>
        <v>99.11</v>
      </c>
      <c r="T100" s="160">
        <f>[4]Source!Y65</f>
        <v>1355.41</v>
      </c>
      <c r="U100" s="160">
        <f>ROUND((175/100)*ROUND([4]Source!R64, 2), 2)</f>
        <v>9.6999999999999993</v>
      </c>
      <c r="V100" s="160">
        <f>ROUND((157/100)*ROUND([4]Source!R65, 2), 2)</f>
        <v>203.1</v>
      </c>
    </row>
    <row r="101" spans="1:32" ht="14.25" x14ac:dyDescent="0.2">
      <c r="A101" s="179"/>
      <c r="B101" s="178"/>
      <c r="C101" s="178" t="s">
        <v>197</v>
      </c>
      <c r="D101" s="177"/>
      <c r="E101" s="174"/>
      <c r="F101" s="176">
        <v>123.11</v>
      </c>
      <c r="G101" s="175" t="s">
        <v>1548</v>
      </c>
      <c r="H101" s="174">
        <v>1</v>
      </c>
      <c r="I101" s="173">
        <v>141.58000000000001</v>
      </c>
      <c r="J101" s="174">
        <v>23.35</v>
      </c>
      <c r="K101" s="173">
        <v>3305.89</v>
      </c>
    </row>
    <row r="102" spans="1:32" ht="14.25" x14ac:dyDescent="0.2">
      <c r="A102" s="179"/>
      <c r="B102" s="178"/>
      <c r="C102" s="178" t="s">
        <v>184</v>
      </c>
      <c r="D102" s="177"/>
      <c r="E102" s="174"/>
      <c r="F102" s="176">
        <v>22.16</v>
      </c>
      <c r="G102" s="175" t="s">
        <v>1549</v>
      </c>
      <c r="H102" s="174">
        <v>1</v>
      </c>
      <c r="I102" s="173">
        <v>27.7</v>
      </c>
      <c r="J102" s="174">
        <v>8.9499999999999993</v>
      </c>
      <c r="K102" s="173">
        <v>247.92</v>
      </c>
    </row>
    <row r="103" spans="1:32" ht="14.25" x14ac:dyDescent="0.2">
      <c r="A103" s="179"/>
      <c r="B103" s="178"/>
      <c r="C103" s="178" t="s">
        <v>189</v>
      </c>
      <c r="D103" s="177"/>
      <c r="E103" s="174"/>
      <c r="F103" s="176">
        <v>4.43</v>
      </c>
      <c r="G103" s="175" t="s">
        <v>1549</v>
      </c>
      <c r="H103" s="174">
        <v>1</v>
      </c>
      <c r="I103" s="180">
        <v>5.54</v>
      </c>
      <c r="J103" s="174">
        <v>23.35</v>
      </c>
      <c r="K103" s="180">
        <v>129.36000000000001</v>
      </c>
    </row>
    <row r="104" spans="1:32" ht="71.25" x14ac:dyDescent="0.2">
      <c r="A104" s="179" t="s">
        <v>1574</v>
      </c>
      <c r="B104" s="178" t="s">
        <v>2142</v>
      </c>
      <c r="C104" s="178" t="s">
        <v>588</v>
      </c>
      <c r="D104" s="177" t="s">
        <v>1594</v>
      </c>
      <c r="E104" s="174">
        <v>1.02</v>
      </c>
      <c r="F104" s="176">
        <v>1323.05</v>
      </c>
      <c r="G104" s="182" t="s">
        <v>195</v>
      </c>
      <c r="H104" s="174">
        <v>1</v>
      </c>
      <c r="I104" s="173">
        <v>1349.51</v>
      </c>
      <c r="J104" s="174">
        <v>3.44</v>
      </c>
      <c r="K104" s="173">
        <v>4642.3100000000004</v>
      </c>
      <c r="Q104" s="160">
        <f>[4]Source!X66</f>
        <v>0</v>
      </c>
      <c r="R104" s="160">
        <f>[4]Source!X67</f>
        <v>0</v>
      </c>
      <c r="S104" s="160">
        <f>[4]Source!Y66</f>
        <v>0</v>
      </c>
      <c r="T104" s="160">
        <f>[4]Source!Y67</f>
        <v>0</v>
      </c>
      <c r="U104" s="160">
        <f>ROUND((175/100)*ROUND([4]Source!R66, 2), 2)</f>
        <v>0</v>
      </c>
      <c r="V104" s="160">
        <f>ROUND((157/100)*ROUND([4]Source!R67, 2), 2)</f>
        <v>0</v>
      </c>
    </row>
    <row r="105" spans="1:32" ht="14.25" x14ac:dyDescent="0.2">
      <c r="A105" s="179"/>
      <c r="B105" s="178"/>
      <c r="C105" s="178" t="s">
        <v>194</v>
      </c>
      <c r="D105" s="177" t="s">
        <v>187</v>
      </c>
      <c r="E105" s="174">
        <v>91</v>
      </c>
      <c r="F105" s="176"/>
      <c r="G105" s="175"/>
      <c r="H105" s="174"/>
      <c r="I105" s="173">
        <v>128.84</v>
      </c>
      <c r="J105" s="174">
        <v>73</v>
      </c>
      <c r="K105" s="173">
        <v>2413.3000000000002</v>
      </c>
    </row>
    <row r="106" spans="1:32" ht="14.25" x14ac:dyDescent="0.2">
      <c r="A106" s="179"/>
      <c r="B106" s="178"/>
      <c r="C106" s="178" t="s">
        <v>193</v>
      </c>
      <c r="D106" s="177" t="s">
        <v>187</v>
      </c>
      <c r="E106" s="174">
        <v>70</v>
      </c>
      <c r="F106" s="176"/>
      <c r="G106" s="175"/>
      <c r="H106" s="174"/>
      <c r="I106" s="173">
        <v>99.11</v>
      </c>
      <c r="J106" s="174">
        <v>41</v>
      </c>
      <c r="K106" s="173">
        <v>1355.41</v>
      </c>
    </row>
    <row r="107" spans="1:32" ht="14.25" x14ac:dyDescent="0.2">
      <c r="A107" s="179"/>
      <c r="B107" s="178"/>
      <c r="C107" s="178" t="s">
        <v>188</v>
      </c>
      <c r="D107" s="177" t="s">
        <v>187</v>
      </c>
      <c r="E107" s="174">
        <v>175</v>
      </c>
      <c r="F107" s="176"/>
      <c r="G107" s="175"/>
      <c r="H107" s="174"/>
      <c r="I107" s="173">
        <v>9.6999999999999993</v>
      </c>
      <c r="J107" s="174">
        <v>157</v>
      </c>
      <c r="K107" s="173">
        <v>203.1</v>
      </c>
    </row>
    <row r="108" spans="1:32" ht="14.25" x14ac:dyDescent="0.2">
      <c r="A108" s="172"/>
      <c r="B108" s="171"/>
      <c r="C108" s="171" t="s">
        <v>192</v>
      </c>
      <c r="D108" s="170" t="s">
        <v>191</v>
      </c>
      <c r="E108" s="167">
        <v>9.4700000000000006</v>
      </c>
      <c r="F108" s="169"/>
      <c r="G108" s="168" t="s">
        <v>1548</v>
      </c>
      <c r="H108" s="167">
        <v>1</v>
      </c>
      <c r="I108" s="166">
        <v>10.89</v>
      </c>
      <c r="J108" s="167"/>
      <c r="K108" s="166"/>
    </row>
    <row r="109" spans="1:32" ht="15" x14ac:dyDescent="0.25">
      <c r="A109" s="164"/>
      <c r="B109" s="164"/>
      <c r="C109" s="165" t="s">
        <v>183</v>
      </c>
      <c r="D109" s="164"/>
      <c r="E109" s="164"/>
      <c r="F109" s="164"/>
      <c r="G109" s="164"/>
      <c r="H109" s="414">
        <v>1756.44</v>
      </c>
      <c r="I109" s="414"/>
      <c r="J109" s="414">
        <v>12167.93</v>
      </c>
      <c r="K109" s="414"/>
      <c r="O109" s="163">
        <f>I101+I102+I105+I106+I107+SUM(I104:I104)</f>
        <v>1756.44</v>
      </c>
      <c r="P109" s="163">
        <f>K101+K102+K105+K106+K107+SUM(K104:K104)</f>
        <v>12167.93</v>
      </c>
    </row>
    <row r="112" spans="1:32" ht="15" x14ac:dyDescent="0.25">
      <c r="A112" s="417" t="s">
        <v>2143</v>
      </c>
      <c r="B112" s="417"/>
      <c r="C112" s="417"/>
      <c r="D112" s="417"/>
      <c r="E112" s="417"/>
      <c r="F112" s="417"/>
      <c r="G112" s="417"/>
      <c r="H112" s="415">
        <v>15301.38</v>
      </c>
      <c r="I112" s="416"/>
      <c r="J112" s="415">
        <v>118133.05</v>
      </c>
      <c r="K112" s="416"/>
      <c r="AF112" s="201" t="str">
        <f>CONCATENATE("Итого по подразделу: ",IF([4]Source!G69&lt;&gt;"Новый подраздел", [4]Source!G69, ""))</f>
        <v>Итого по подразделу: Лестницы входа в подвал в осях "2-4/Г-В/2". 023/18КН-КР 4.2 лист 1</v>
      </c>
    </row>
    <row r="113" spans="1:22" hidden="1" x14ac:dyDescent="0.2">
      <c r="A113" s="160" t="s">
        <v>182</v>
      </c>
      <c r="I113" s="160">
        <v>0</v>
      </c>
      <c r="J113" s="160">
        <v>0</v>
      </c>
    </row>
    <row r="114" spans="1:22" hidden="1" x14ac:dyDescent="0.2">
      <c r="A114" s="160" t="s">
        <v>181</v>
      </c>
      <c r="I114" s="160">
        <v>0</v>
      </c>
      <c r="J114" s="160">
        <v>0</v>
      </c>
    </row>
    <row r="116" spans="1:22" ht="16.5" x14ac:dyDescent="0.25">
      <c r="A116" s="413" t="s">
        <v>2144</v>
      </c>
      <c r="B116" s="413"/>
      <c r="C116" s="413"/>
      <c r="D116" s="413"/>
      <c r="E116" s="413"/>
      <c r="F116" s="413"/>
      <c r="G116" s="413"/>
      <c r="H116" s="413"/>
      <c r="I116" s="413"/>
      <c r="J116" s="413"/>
      <c r="K116" s="413"/>
    </row>
    <row r="117" spans="1:22" ht="57" x14ac:dyDescent="0.2">
      <c r="A117" s="179" t="s">
        <v>1578</v>
      </c>
      <c r="B117" s="178" t="s">
        <v>586</v>
      </c>
      <c r="C117" s="178" t="s">
        <v>528</v>
      </c>
      <c r="D117" s="177" t="s">
        <v>2129</v>
      </c>
      <c r="E117" s="174">
        <v>0.28999999999999998</v>
      </c>
      <c r="F117" s="176"/>
      <c r="G117" s="175"/>
      <c r="H117" s="174"/>
      <c r="I117" s="173"/>
      <c r="J117" s="174"/>
      <c r="K117" s="173"/>
      <c r="Q117" s="160">
        <f>[4]Source!X103</f>
        <v>11.74</v>
      </c>
      <c r="R117" s="160">
        <f>[4]Source!X104</f>
        <v>224.08</v>
      </c>
      <c r="S117" s="160">
        <f>[4]Source!Y103</f>
        <v>7.9</v>
      </c>
      <c r="T117" s="160">
        <f>[4]Source!Y104</f>
        <v>108.08</v>
      </c>
      <c r="U117" s="160">
        <f>ROUND((175/100)*ROUND([4]Source!R103, 2), 2)</f>
        <v>3.54</v>
      </c>
      <c r="V117" s="160">
        <f>ROUND((157/100)*ROUND([4]Source!R104, 2), 2)</f>
        <v>74.06</v>
      </c>
    </row>
    <row r="118" spans="1:22" ht="14.25" x14ac:dyDescent="0.2">
      <c r="A118" s="179"/>
      <c r="B118" s="178"/>
      <c r="C118" s="178" t="s">
        <v>197</v>
      </c>
      <c r="D118" s="177"/>
      <c r="E118" s="174"/>
      <c r="F118" s="176">
        <v>33.85</v>
      </c>
      <c r="G118" s="175" t="s">
        <v>1548</v>
      </c>
      <c r="H118" s="174">
        <v>1</v>
      </c>
      <c r="I118" s="173">
        <v>11.29</v>
      </c>
      <c r="J118" s="174">
        <v>23.35</v>
      </c>
      <c r="K118" s="173">
        <v>263.62</v>
      </c>
    </row>
    <row r="119" spans="1:22" ht="14.25" x14ac:dyDescent="0.2">
      <c r="A119" s="179"/>
      <c r="B119" s="178"/>
      <c r="C119" s="178" t="s">
        <v>184</v>
      </c>
      <c r="D119" s="177"/>
      <c r="E119" s="174"/>
      <c r="F119" s="176">
        <v>18.399999999999999</v>
      </c>
      <c r="G119" s="175" t="s">
        <v>1549</v>
      </c>
      <c r="H119" s="174">
        <v>1</v>
      </c>
      <c r="I119" s="173">
        <v>6.67</v>
      </c>
      <c r="J119" s="174">
        <v>11.6</v>
      </c>
      <c r="K119" s="173">
        <v>77.37</v>
      </c>
    </row>
    <row r="120" spans="1:22" ht="14.25" x14ac:dyDescent="0.2">
      <c r="A120" s="179"/>
      <c r="B120" s="178"/>
      <c r="C120" s="178" t="s">
        <v>189</v>
      </c>
      <c r="D120" s="177"/>
      <c r="E120" s="174"/>
      <c r="F120" s="176">
        <v>5.57</v>
      </c>
      <c r="G120" s="175" t="s">
        <v>1549</v>
      </c>
      <c r="H120" s="174">
        <v>1</v>
      </c>
      <c r="I120" s="180">
        <v>2.02</v>
      </c>
      <c r="J120" s="174">
        <v>23.35</v>
      </c>
      <c r="K120" s="180">
        <v>47.17</v>
      </c>
    </row>
    <row r="121" spans="1:22" ht="14.25" x14ac:dyDescent="0.2">
      <c r="A121" s="179"/>
      <c r="B121" s="178"/>
      <c r="C121" s="178" t="s">
        <v>205</v>
      </c>
      <c r="D121" s="177"/>
      <c r="E121" s="174"/>
      <c r="F121" s="176">
        <v>117.73</v>
      </c>
      <c r="G121" s="175" t="s">
        <v>195</v>
      </c>
      <c r="H121" s="174">
        <v>1</v>
      </c>
      <c r="I121" s="173">
        <v>34.14</v>
      </c>
      <c r="J121" s="174">
        <v>5.26</v>
      </c>
      <c r="K121" s="173">
        <v>179.58</v>
      </c>
    </row>
    <row r="122" spans="1:22" ht="14.25" x14ac:dyDescent="0.2">
      <c r="A122" s="179"/>
      <c r="B122" s="178"/>
      <c r="C122" s="178" t="s">
        <v>194</v>
      </c>
      <c r="D122" s="177" t="s">
        <v>187</v>
      </c>
      <c r="E122" s="174">
        <v>104</v>
      </c>
      <c r="F122" s="176"/>
      <c r="G122" s="175"/>
      <c r="H122" s="174"/>
      <c r="I122" s="173">
        <v>11.74</v>
      </c>
      <c r="J122" s="174">
        <v>85</v>
      </c>
      <c r="K122" s="173">
        <v>224.08</v>
      </c>
    </row>
    <row r="123" spans="1:22" ht="14.25" x14ac:dyDescent="0.2">
      <c r="A123" s="179"/>
      <c r="B123" s="178"/>
      <c r="C123" s="178" t="s">
        <v>193</v>
      </c>
      <c r="D123" s="177" t="s">
        <v>187</v>
      </c>
      <c r="E123" s="174">
        <v>70</v>
      </c>
      <c r="F123" s="176"/>
      <c r="G123" s="175"/>
      <c r="H123" s="174"/>
      <c r="I123" s="173">
        <v>7.9</v>
      </c>
      <c r="J123" s="174">
        <v>41</v>
      </c>
      <c r="K123" s="173">
        <v>108.08</v>
      </c>
    </row>
    <row r="124" spans="1:22" ht="14.25" x14ac:dyDescent="0.2">
      <c r="A124" s="179"/>
      <c r="B124" s="178"/>
      <c r="C124" s="178" t="s">
        <v>188</v>
      </c>
      <c r="D124" s="177" t="s">
        <v>187</v>
      </c>
      <c r="E124" s="174">
        <v>175</v>
      </c>
      <c r="F124" s="176"/>
      <c r="G124" s="175"/>
      <c r="H124" s="174"/>
      <c r="I124" s="173">
        <v>3.54</v>
      </c>
      <c r="J124" s="174">
        <v>157</v>
      </c>
      <c r="K124" s="173">
        <v>74.06</v>
      </c>
    </row>
    <row r="125" spans="1:22" ht="14.25" x14ac:dyDescent="0.2">
      <c r="A125" s="172"/>
      <c r="B125" s="171"/>
      <c r="C125" s="171" t="s">
        <v>192</v>
      </c>
      <c r="D125" s="170" t="s">
        <v>191</v>
      </c>
      <c r="E125" s="167">
        <v>2.99</v>
      </c>
      <c r="F125" s="169"/>
      <c r="G125" s="168" t="s">
        <v>1548</v>
      </c>
      <c r="H125" s="167">
        <v>1</v>
      </c>
      <c r="I125" s="166">
        <v>1</v>
      </c>
      <c r="J125" s="167"/>
      <c r="K125" s="166"/>
    </row>
    <row r="126" spans="1:22" ht="15" x14ac:dyDescent="0.25">
      <c r="A126" s="164"/>
      <c r="B126" s="164"/>
      <c r="C126" s="165" t="s">
        <v>183</v>
      </c>
      <c r="D126" s="164"/>
      <c r="E126" s="164"/>
      <c r="F126" s="164"/>
      <c r="G126" s="164"/>
      <c r="H126" s="414">
        <v>75.28</v>
      </c>
      <c r="I126" s="414"/>
      <c r="J126" s="414">
        <v>926.79</v>
      </c>
      <c r="K126" s="414"/>
      <c r="O126" s="163">
        <f>I118+I119+I121+I122+I123+I124</f>
        <v>75.28</v>
      </c>
      <c r="P126" s="163">
        <f>K118+K119+K121+K122+K123+K124</f>
        <v>926.79</v>
      </c>
    </row>
    <row r="128" spans="1:22" ht="52.5" x14ac:dyDescent="0.2">
      <c r="A128" s="179" t="s">
        <v>1587</v>
      </c>
      <c r="B128" s="178" t="s">
        <v>263</v>
      </c>
      <c r="C128" s="178" t="s">
        <v>262</v>
      </c>
      <c r="D128" s="177" t="s">
        <v>1749</v>
      </c>
      <c r="E128" s="174">
        <v>1.4E-3</v>
      </c>
      <c r="F128" s="176"/>
      <c r="G128" s="175"/>
      <c r="H128" s="174"/>
      <c r="I128" s="173"/>
      <c r="J128" s="174"/>
      <c r="K128" s="173"/>
      <c r="Q128" s="160">
        <f>[4]Source!X105</f>
        <v>1.89</v>
      </c>
      <c r="R128" s="160">
        <f>[4]Source!X106</f>
        <v>35.25</v>
      </c>
      <c r="S128" s="160">
        <f>[4]Source!Y105</f>
        <v>1.55</v>
      </c>
      <c r="T128" s="160">
        <f>[4]Source!Y106</f>
        <v>21.25</v>
      </c>
      <c r="U128" s="160">
        <f>ROUND((175/100)*ROUND([4]Source!R105, 2), 2)</f>
        <v>0</v>
      </c>
      <c r="V128" s="160">
        <f>ROUND((157/100)*ROUND([4]Source!R106, 2), 2)</f>
        <v>0</v>
      </c>
    </row>
    <row r="129" spans="1:22" x14ac:dyDescent="0.2">
      <c r="C129" s="181" t="s">
        <v>2145</v>
      </c>
    </row>
    <row r="130" spans="1:22" ht="14.25" x14ac:dyDescent="0.2">
      <c r="A130" s="179"/>
      <c r="B130" s="178"/>
      <c r="C130" s="178" t="s">
        <v>197</v>
      </c>
      <c r="D130" s="177"/>
      <c r="E130" s="174"/>
      <c r="F130" s="176">
        <v>1379.7</v>
      </c>
      <c r="G130" s="175" t="s">
        <v>1548</v>
      </c>
      <c r="H130" s="174">
        <v>1</v>
      </c>
      <c r="I130" s="173">
        <v>2.2200000000000002</v>
      </c>
      <c r="J130" s="174">
        <v>23.35</v>
      </c>
      <c r="K130" s="173">
        <v>51.84</v>
      </c>
    </row>
    <row r="131" spans="1:22" ht="14.25" x14ac:dyDescent="0.2">
      <c r="A131" s="179"/>
      <c r="B131" s="178"/>
      <c r="C131" s="178" t="s">
        <v>184</v>
      </c>
      <c r="D131" s="177"/>
      <c r="E131" s="174"/>
      <c r="F131" s="176">
        <v>22.6</v>
      </c>
      <c r="G131" s="175" t="s">
        <v>1549</v>
      </c>
      <c r="H131" s="174">
        <v>1</v>
      </c>
      <c r="I131" s="173">
        <v>0.04</v>
      </c>
      <c r="J131" s="174">
        <v>5.49</v>
      </c>
      <c r="K131" s="173">
        <v>0.22</v>
      </c>
    </row>
    <row r="132" spans="1:22" ht="14.25" x14ac:dyDescent="0.2">
      <c r="A132" s="179"/>
      <c r="B132" s="178"/>
      <c r="C132" s="178" t="s">
        <v>205</v>
      </c>
      <c r="D132" s="177"/>
      <c r="E132" s="174"/>
      <c r="F132" s="176">
        <v>1859.87</v>
      </c>
      <c r="G132" s="175" t="s">
        <v>195</v>
      </c>
      <c r="H132" s="174">
        <v>1</v>
      </c>
      <c r="I132" s="173">
        <v>2.6</v>
      </c>
      <c r="J132" s="174">
        <v>3.05</v>
      </c>
      <c r="K132" s="173">
        <v>7.93</v>
      </c>
    </row>
    <row r="133" spans="1:22" ht="57" x14ac:dyDescent="0.2">
      <c r="A133" s="179" t="s">
        <v>1588</v>
      </c>
      <c r="B133" s="178" t="s">
        <v>2131</v>
      </c>
      <c r="C133" s="178" t="s">
        <v>585</v>
      </c>
      <c r="D133" s="177" t="s">
        <v>1594</v>
      </c>
      <c r="E133" s="174">
        <v>0.14280000000000001</v>
      </c>
      <c r="F133" s="176">
        <v>517.14</v>
      </c>
      <c r="G133" s="182" t="s">
        <v>195</v>
      </c>
      <c r="H133" s="174">
        <v>1</v>
      </c>
      <c r="I133" s="173">
        <v>73.849999999999994</v>
      </c>
      <c r="J133" s="174">
        <v>7.59</v>
      </c>
      <c r="K133" s="173">
        <v>560.52</v>
      </c>
      <c r="Q133" s="160">
        <f>[4]Source!X107</f>
        <v>0</v>
      </c>
      <c r="R133" s="160">
        <f>[4]Source!X108</f>
        <v>0</v>
      </c>
      <c r="S133" s="160">
        <f>[4]Source!Y107</f>
        <v>0</v>
      </c>
      <c r="T133" s="160">
        <f>[4]Source!Y108</f>
        <v>0</v>
      </c>
      <c r="U133" s="160">
        <f>ROUND((175/100)*ROUND([4]Source!R107, 2), 2)</f>
        <v>0</v>
      </c>
      <c r="V133" s="160">
        <f>ROUND((157/100)*ROUND([4]Source!R108, 2), 2)</f>
        <v>0</v>
      </c>
    </row>
    <row r="134" spans="1:22" ht="14.25" x14ac:dyDescent="0.2">
      <c r="A134" s="179"/>
      <c r="B134" s="178"/>
      <c r="C134" s="178" t="s">
        <v>194</v>
      </c>
      <c r="D134" s="177" t="s">
        <v>187</v>
      </c>
      <c r="E134" s="174">
        <v>85</v>
      </c>
      <c r="F134" s="176"/>
      <c r="G134" s="175"/>
      <c r="H134" s="174"/>
      <c r="I134" s="173">
        <v>1.89</v>
      </c>
      <c r="J134" s="174">
        <v>68</v>
      </c>
      <c r="K134" s="173">
        <v>35.25</v>
      </c>
    </row>
    <row r="135" spans="1:22" ht="14.25" x14ac:dyDescent="0.2">
      <c r="A135" s="179"/>
      <c r="B135" s="178"/>
      <c r="C135" s="178" t="s">
        <v>193</v>
      </c>
      <c r="D135" s="177" t="s">
        <v>187</v>
      </c>
      <c r="E135" s="174">
        <v>70</v>
      </c>
      <c r="F135" s="176"/>
      <c r="G135" s="175"/>
      <c r="H135" s="174"/>
      <c r="I135" s="173">
        <v>1.55</v>
      </c>
      <c r="J135" s="174">
        <v>41</v>
      </c>
      <c r="K135" s="173">
        <v>21.25</v>
      </c>
    </row>
    <row r="136" spans="1:22" ht="14.25" x14ac:dyDescent="0.2">
      <c r="A136" s="172"/>
      <c r="B136" s="171"/>
      <c r="C136" s="171" t="s">
        <v>192</v>
      </c>
      <c r="D136" s="170" t="s">
        <v>191</v>
      </c>
      <c r="E136" s="167">
        <v>135</v>
      </c>
      <c r="F136" s="169"/>
      <c r="G136" s="168" t="s">
        <v>1548</v>
      </c>
      <c r="H136" s="167">
        <v>1</v>
      </c>
      <c r="I136" s="166">
        <v>0.22</v>
      </c>
      <c r="J136" s="167"/>
      <c r="K136" s="166"/>
    </row>
    <row r="137" spans="1:22" ht="15" x14ac:dyDescent="0.25">
      <c r="A137" s="164"/>
      <c r="B137" s="164"/>
      <c r="C137" s="165" t="s">
        <v>183</v>
      </c>
      <c r="D137" s="164"/>
      <c r="E137" s="164"/>
      <c r="F137" s="164"/>
      <c r="G137" s="164"/>
      <c r="H137" s="414">
        <v>82.15</v>
      </c>
      <c r="I137" s="414"/>
      <c r="J137" s="414">
        <v>677.01</v>
      </c>
      <c r="K137" s="414"/>
      <c r="O137" s="163">
        <f>I130+I131+I132+I134+I135+SUM(I133:I133)</f>
        <v>82.15</v>
      </c>
      <c r="P137" s="163">
        <f>K130+K131+K132+K134+K135+SUM(K133:K133)</f>
        <v>677.01</v>
      </c>
    </row>
    <row r="139" spans="1:22" ht="71.25" x14ac:dyDescent="0.2">
      <c r="A139" s="179" t="s">
        <v>1589</v>
      </c>
      <c r="B139" s="178" t="s">
        <v>549</v>
      </c>
      <c r="C139" s="178" t="s">
        <v>548</v>
      </c>
      <c r="D139" s="177" t="s">
        <v>1855</v>
      </c>
      <c r="E139" s="174">
        <v>1.44E-2</v>
      </c>
      <c r="F139" s="176"/>
      <c r="G139" s="175"/>
      <c r="H139" s="174"/>
      <c r="I139" s="173"/>
      <c r="J139" s="174"/>
      <c r="K139" s="173"/>
      <c r="Q139" s="160">
        <f>[4]Source!X109</f>
        <v>6.48</v>
      </c>
      <c r="R139" s="160">
        <f>[4]Source!X110</f>
        <v>123.65</v>
      </c>
      <c r="S139" s="160">
        <f>[4]Source!Y109</f>
        <v>4.3600000000000003</v>
      </c>
      <c r="T139" s="160">
        <f>[4]Source!Y110</f>
        <v>59.64</v>
      </c>
      <c r="U139" s="160">
        <f>ROUND((175/100)*ROUND([4]Source!R109, 2), 2)</f>
        <v>2.0299999999999998</v>
      </c>
      <c r="V139" s="160">
        <f>ROUND((157/100)*ROUND([4]Source!R110, 2), 2)</f>
        <v>42.53</v>
      </c>
    </row>
    <row r="140" spans="1:22" x14ac:dyDescent="0.2">
      <c r="C140" s="181" t="s">
        <v>2146</v>
      </c>
    </row>
    <row r="141" spans="1:22" ht="14.25" x14ac:dyDescent="0.2">
      <c r="A141" s="179"/>
      <c r="B141" s="178"/>
      <c r="C141" s="178" t="s">
        <v>197</v>
      </c>
      <c r="D141" s="177"/>
      <c r="E141" s="174"/>
      <c r="F141" s="176">
        <v>376.32</v>
      </c>
      <c r="G141" s="175" t="s">
        <v>1548</v>
      </c>
      <c r="H141" s="174">
        <v>1</v>
      </c>
      <c r="I141" s="173">
        <v>6.23</v>
      </c>
      <c r="J141" s="174">
        <v>23.35</v>
      </c>
      <c r="K141" s="173">
        <v>145.47</v>
      </c>
    </row>
    <row r="142" spans="1:22" ht="14.25" x14ac:dyDescent="0.2">
      <c r="A142" s="179"/>
      <c r="B142" s="178"/>
      <c r="C142" s="178" t="s">
        <v>184</v>
      </c>
      <c r="D142" s="177"/>
      <c r="E142" s="174"/>
      <c r="F142" s="176">
        <v>403.01</v>
      </c>
      <c r="G142" s="175" t="s">
        <v>1549</v>
      </c>
      <c r="H142" s="174">
        <v>1</v>
      </c>
      <c r="I142" s="173">
        <v>7.25</v>
      </c>
      <c r="J142" s="174">
        <v>8.2200000000000006</v>
      </c>
      <c r="K142" s="173">
        <v>59.6</v>
      </c>
    </row>
    <row r="143" spans="1:22" ht="14.25" x14ac:dyDescent="0.2">
      <c r="A143" s="179"/>
      <c r="B143" s="178"/>
      <c r="C143" s="178" t="s">
        <v>189</v>
      </c>
      <c r="D143" s="177"/>
      <c r="E143" s="174"/>
      <c r="F143" s="176">
        <v>64.180000000000007</v>
      </c>
      <c r="G143" s="175" t="s">
        <v>1549</v>
      </c>
      <c r="H143" s="174">
        <v>1</v>
      </c>
      <c r="I143" s="180">
        <v>1.1599999999999999</v>
      </c>
      <c r="J143" s="174">
        <v>23.35</v>
      </c>
      <c r="K143" s="180">
        <v>27.09</v>
      </c>
    </row>
    <row r="144" spans="1:22" ht="14.25" x14ac:dyDescent="0.2">
      <c r="A144" s="179"/>
      <c r="B144" s="178"/>
      <c r="C144" s="178" t="s">
        <v>205</v>
      </c>
      <c r="D144" s="177"/>
      <c r="E144" s="174"/>
      <c r="F144" s="176">
        <v>10508.86</v>
      </c>
      <c r="G144" s="175" t="s">
        <v>195</v>
      </c>
      <c r="H144" s="174">
        <v>1</v>
      </c>
      <c r="I144" s="173">
        <v>151.33000000000001</v>
      </c>
      <c r="J144" s="174">
        <v>2.58</v>
      </c>
      <c r="K144" s="173">
        <v>390.43</v>
      </c>
    </row>
    <row r="145" spans="1:22" ht="57" x14ac:dyDescent="0.2">
      <c r="A145" s="179" t="s">
        <v>1592</v>
      </c>
      <c r="B145" s="178" t="s">
        <v>2133</v>
      </c>
      <c r="C145" s="178" t="s">
        <v>582</v>
      </c>
      <c r="D145" s="177" t="s">
        <v>1557</v>
      </c>
      <c r="E145" s="174">
        <v>1.6128</v>
      </c>
      <c r="F145" s="176">
        <v>17.84</v>
      </c>
      <c r="G145" s="182" t="s">
        <v>195</v>
      </c>
      <c r="H145" s="174">
        <v>1</v>
      </c>
      <c r="I145" s="173">
        <v>28.77</v>
      </c>
      <c r="J145" s="174">
        <v>2.92</v>
      </c>
      <c r="K145" s="173">
        <v>84.01</v>
      </c>
      <c r="Q145" s="160">
        <f>[4]Source!X111</f>
        <v>0</v>
      </c>
      <c r="R145" s="160">
        <f>[4]Source!X112</f>
        <v>0</v>
      </c>
      <c r="S145" s="160">
        <f>[4]Source!Y111</f>
        <v>0</v>
      </c>
      <c r="T145" s="160">
        <f>[4]Source!Y112</f>
        <v>0</v>
      </c>
      <c r="U145" s="160">
        <f>ROUND((175/100)*ROUND([4]Source!R111, 2), 2)</f>
        <v>0</v>
      </c>
      <c r="V145" s="160">
        <f>ROUND((157/100)*ROUND([4]Source!R112, 2), 2)</f>
        <v>0</v>
      </c>
    </row>
    <row r="146" spans="1:22" ht="14.25" x14ac:dyDescent="0.2">
      <c r="A146" s="179"/>
      <c r="B146" s="178"/>
      <c r="C146" s="178" t="s">
        <v>194</v>
      </c>
      <c r="D146" s="177" t="s">
        <v>187</v>
      </c>
      <c r="E146" s="174">
        <v>104</v>
      </c>
      <c r="F146" s="176"/>
      <c r="G146" s="175"/>
      <c r="H146" s="174"/>
      <c r="I146" s="173">
        <v>6.48</v>
      </c>
      <c r="J146" s="174">
        <v>85</v>
      </c>
      <c r="K146" s="173">
        <v>123.65</v>
      </c>
    </row>
    <row r="147" spans="1:22" ht="14.25" x14ac:dyDescent="0.2">
      <c r="A147" s="179"/>
      <c r="B147" s="178"/>
      <c r="C147" s="178" t="s">
        <v>193</v>
      </c>
      <c r="D147" s="177" t="s">
        <v>187</v>
      </c>
      <c r="E147" s="174">
        <v>70</v>
      </c>
      <c r="F147" s="176"/>
      <c r="G147" s="175"/>
      <c r="H147" s="174"/>
      <c r="I147" s="173">
        <v>4.3600000000000003</v>
      </c>
      <c r="J147" s="174">
        <v>41</v>
      </c>
      <c r="K147" s="173">
        <v>59.64</v>
      </c>
    </row>
    <row r="148" spans="1:22" ht="14.25" x14ac:dyDescent="0.2">
      <c r="A148" s="179"/>
      <c r="B148" s="178"/>
      <c r="C148" s="178" t="s">
        <v>188</v>
      </c>
      <c r="D148" s="177" t="s">
        <v>187</v>
      </c>
      <c r="E148" s="174">
        <v>175</v>
      </c>
      <c r="F148" s="176"/>
      <c r="G148" s="175"/>
      <c r="H148" s="174"/>
      <c r="I148" s="173">
        <v>2.0299999999999998</v>
      </c>
      <c r="J148" s="174">
        <v>157</v>
      </c>
      <c r="K148" s="173">
        <v>42.53</v>
      </c>
    </row>
    <row r="149" spans="1:22" ht="14.25" x14ac:dyDescent="0.2">
      <c r="A149" s="172"/>
      <c r="B149" s="171"/>
      <c r="C149" s="171" t="s">
        <v>192</v>
      </c>
      <c r="D149" s="170" t="s">
        <v>191</v>
      </c>
      <c r="E149" s="167">
        <v>32</v>
      </c>
      <c r="F149" s="169"/>
      <c r="G149" s="168" t="s">
        <v>1548</v>
      </c>
      <c r="H149" s="167">
        <v>1</v>
      </c>
      <c r="I149" s="166">
        <v>0.53</v>
      </c>
      <c r="J149" s="167"/>
      <c r="K149" s="166"/>
    </row>
    <row r="150" spans="1:22" ht="15" x14ac:dyDescent="0.25">
      <c r="A150" s="164"/>
      <c r="B150" s="164"/>
      <c r="C150" s="165" t="s">
        <v>183</v>
      </c>
      <c r="D150" s="164"/>
      <c r="E150" s="164"/>
      <c r="F150" s="164"/>
      <c r="G150" s="164"/>
      <c r="H150" s="414">
        <v>206.45</v>
      </c>
      <c r="I150" s="414"/>
      <c r="J150" s="414">
        <v>905.33</v>
      </c>
      <c r="K150" s="414"/>
      <c r="O150" s="163">
        <f>I141+I142+I144+I146+I147+I148+SUM(I145:I145)</f>
        <v>206.45</v>
      </c>
      <c r="P150" s="163">
        <f>K141+K142+K144+K146+K147+K148+SUM(K145:K145)</f>
        <v>905.33</v>
      </c>
    </row>
    <row r="152" spans="1:22" ht="52.5" x14ac:dyDescent="0.2">
      <c r="A152" s="179" t="s">
        <v>1602</v>
      </c>
      <c r="B152" s="178" t="s">
        <v>581</v>
      </c>
      <c r="C152" s="178" t="s">
        <v>580</v>
      </c>
      <c r="D152" s="177" t="s">
        <v>1749</v>
      </c>
      <c r="E152" s="174">
        <v>5.0000000000000001E-3</v>
      </c>
      <c r="F152" s="176"/>
      <c r="G152" s="175"/>
      <c r="H152" s="174"/>
      <c r="I152" s="173"/>
      <c r="J152" s="174"/>
      <c r="K152" s="173"/>
      <c r="Q152" s="160">
        <f>[4]Source!X117</f>
        <v>21.68</v>
      </c>
      <c r="R152" s="160">
        <f>[4]Source!X118</f>
        <v>405.05</v>
      </c>
      <c r="S152" s="160">
        <f>[4]Source!Y117</f>
        <v>17.86</v>
      </c>
      <c r="T152" s="160">
        <f>[4]Source!Y118</f>
        <v>244.22</v>
      </c>
      <c r="U152" s="160">
        <f>ROUND((175/100)*ROUND([4]Source!R117, 2), 2)</f>
        <v>0.98</v>
      </c>
      <c r="V152" s="160">
        <f>ROUND((157/100)*ROUND([4]Source!R118, 2), 2)</f>
        <v>20.54</v>
      </c>
    </row>
    <row r="153" spans="1:22" x14ac:dyDescent="0.2">
      <c r="C153" s="181" t="s">
        <v>2147</v>
      </c>
    </row>
    <row r="154" spans="1:22" ht="14.25" x14ac:dyDescent="0.2">
      <c r="A154" s="179"/>
      <c r="B154" s="178"/>
      <c r="C154" s="178" t="s">
        <v>197</v>
      </c>
      <c r="D154" s="177"/>
      <c r="E154" s="174"/>
      <c r="F154" s="176">
        <v>4437.16</v>
      </c>
      <c r="G154" s="175" t="s">
        <v>1548</v>
      </c>
      <c r="H154" s="174">
        <v>1</v>
      </c>
      <c r="I154" s="173">
        <v>25.51</v>
      </c>
      <c r="J154" s="174">
        <v>23.35</v>
      </c>
      <c r="K154" s="173">
        <v>595.66</v>
      </c>
    </row>
    <row r="155" spans="1:22" ht="14.25" x14ac:dyDescent="0.2">
      <c r="A155" s="179"/>
      <c r="B155" s="178"/>
      <c r="C155" s="178" t="s">
        <v>184</v>
      </c>
      <c r="D155" s="177"/>
      <c r="E155" s="174"/>
      <c r="F155" s="176">
        <v>951.85</v>
      </c>
      <c r="G155" s="175" t="s">
        <v>1549</v>
      </c>
      <c r="H155" s="174">
        <v>1</v>
      </c>
      <c r="I155" s="173">
        <v>5.95</v>
      </c>
      <c r="J155" s="174">
        <v>7.3</v>
      </c>
      <c r="K155" s="173">
        <v>43.44</v>
      </c>
    </row>
    <row r="156" spans="1:22" ht="14.25" x14ac:dyDescent="0.2">
      <c r="A156" s="179"/>
      <c r="B156" s="178"/>
      <c r="C156" s="178" t="s">
        <v>189</v>
      </c>
      <c r="D156" s="177"/>
      <c r="E156" s="174"/>
      <c r="F156" s="176">
        <v>88.91</v>
      </c>
      <c r="G156" s="175" t="s">
        <v>1549</v>
      </c>
      <c r="H156" s="174">
        <v>1</v>
      </c>
      <c r="I156" s="180">
        <v>0.56000000000000005</v>
      </c>
      <c r="J156" s="174">
        <v>23.35</v>
      </c>
      <c r="K156" s="180">
        <v>13.08</v>
      </c>
    </row>
    <row r="157" spans="1:22" ht="14.25" x14ac:dyDescent="0.2">
      <c r="A157" s="179"/>
      <c r="B157" s="178"/>
      <c r="C157" s="178" t="s">
        <v>205</v>
      </c>
      <c r="D157" s="177"/>
      <c r="E157" s="174"/>
      <c r="F157" s="176">
        <v>4582.6099999999997</v>
      </c>
      <c r="G157" s="175" t="s">
        <v>195</v>
      </c>
      <c r="H157" s="174">
        <v>1</v>
      </c>
      <c r="I157" s="173">
        <v>22.91</v>
      </c>
      <c r="J157" s="174">
        <v>4.47</v>
      </c>
      <c r="K157" s="173">
        <v>102.41</v>
      </c>
    </row>
    <row r="158" spans="1:22" ht="71.25" x14ac:dyDescent="0.2">
      <c r="A158" s="179" t="s">
        <v>1604</v>
      </c>
      <c r="B158" s="178" t="s">
        <v>2135</v>
      </c>
      <c r="C158" s="178" t="s">
        <v>587</v>
      </c>
      <c r="D158" s="177" t="s">
        <v>1533</v>
      </c>
      <c r="E158" s="174">
        <v>6.5700000000000003E-3</v>
      </c>
      <c r="F158" s="176">
        <v>5752.41</v>
      </c>
      <c r="G158" s="182" t="s">
        <v>195</v>
      </c>
      <c r="H158" s="174">
        <v>1</v>
      </c>
      <c r="I158" s="173">
        <v>37.79</v>
      </c>
      <c r="J158" s="174">
        <v>7.59</v>
      </c>
      <c r="K158" s="173">
        <v>286.83</v>
      </c>
      <c r="Q158" s="160">
        <f>[4]Source!X119</f>
        <v>0</v>
      </c>
      <c r="R158" s="160">
        <f>[4]Source!X120</f>
        <v>0</v>
      </c>
      <c r="S158" s="160">
        <f>[4]Source!Y119</f>
        <v>0</v>
      </c>
      <c r="T158" s="160">
        <f>[4]Source!Y120</f>
        <v>0</v>
      </c>
      <c r="U158" s="160">
        <f>ROUND((175/100)*ROUND([4]Source!R119, 2), 2)</f>
        <v>0</v>
      </c>
      <c r="V158" s="160">
        <f>ROUND((157/100)*ROUND([4]Source!R120, 2), 2)</f>
        <v>0</v>
      </c>
    </row>
    <row r="159" spans="1:22" ht="71.25" x14ac:dyDescent="0.2">
      <c r="A159" s="179" t="s">
        <v>1605</v>
      </c>
      <c r="B159" s="178" t="s">
        <v>2136</v>
      </c>
      <c r="C159" s="178" t="s">
        <v>579</v>
      </c>
      <c r="D159" s="177" t="s">
        <v>1533</v>
      </c>
      <c r="E159" s="174">
        <v>0.23080000000000001</v>
      </c>
      <c r="F159" s="176">
        <v>5752.41</v>
      </c>
      <c r="G159" s="182" t="s">
        <v>195</v>
      </c>
      <c r="H159" s="174">
        <v>1</v>
      </c>
      <c r="I159" s="173">
        <v>1327.66</v>
      </c>
      <c r="J159" s="174">
        <v>7.9</v>
      </c>
      <c r="K159" s="173">
        <v>10488.51</v>
      </c>
      <c r="Q159" s="160">
        <f>[4]Source!X121</f>
        <v>0</v>
      </c>
      <c r="R159" s="160">
        <f>[4]Source!X122</f>
        <v>0</v>
      </c>
      <c r="S159" s="160">
        <f>[4]Source!Y121</f>
        <v>0</v>
      </c>
      <c r="T159" s="160">
        <f>[4]Source!Y122</f>
        <v>0</v>
      </c>
      <c r="U159" s="160">
        <f>ROUND((175/100)*ROUND([4]Source!R121, 2), 2)</f>
        <v>0</v>
      </c>
      <c r="V159" s="160">
        <f>ROUND((157/100)*ROUND([4]Source!R122, 2), 2)</f>
        <v>0</v>
      </c>
    </row>
    <row r="160" spans="1:22" ht="57" x14ac:dyDescent="0.2">
      <c r="A160" s="179" t="s">
        <v>1606</v>
      </c>
      <c r="B160" s="178" t="s">
        <v>2138</v>
      </c>
      <c r="C160" s="178" t="s">
        <v>554</v>
      </c>
      <c r="D160" s="177" t="s">
        <v>1594</v>
      </c>
      <c r="E160" s="174">
        <v>0.50749999999999995</v>
      </c>
      <c r="F160" s="176">
        <v>745.24</v>
      </c>
      <c r="G160" s="182" t="s">
        <v>195</v>
      </c>
      <c r="H160" s="174">
        <v>1</v>
      </c>
      <c r="I160" s="173">
        <v>378.21</v>
      </c>
      <c r="J160" s="174">
        <v>5.92</v>
      </c>
      <c r="K160" s="173">
        <v>2239</v>
      </c>
      <c r="Q160" s="160">
        <f>[4]Source!X123</f>
        <v>0</v>
      </c>
      <c r="R160" s="160">
        <f>[4]Source!X124</f>
        <v>0</v>
      </c>
      <c r="S160" s="160">
        <f>[4]Source!Y123</f>
        <v>0</v>
      </c>
      <c r="T160" s="160">
        <f>[4]Source!Y124</f>
        <v>0</v>
      </c>
      <c r="U160" s="160">
        <f>ROUND((175/100)*ROUND([4]Source!R123, 2), 2)</f>
        <v>0</v>
      </c>
      <c r="V160" s="160">
        <f>ROUND((157/100)*ROUND([4]Source!R124, 2), 2)</f>
        <v>0</v>
      </c>
    </row>
    <row r="161" spans="1:32" ht="71.25" x14ac:dyDescent="0.2">
      <c r="A161" s="179" t="s">
        <v>2148</v>
      </c>
      <c r="B161" s="178" t="s">
        <v>2140</v>
      </c>
      <c r="C161" s="178" t="s">
        <v>578</v>
      </c>
      <c r="D161" s="177" t="s">
        <v>1533</v>
      </c>
      <c r="E161" s="174">
        <v>7.5599999999999999E-3</v>
      </c>
      <c r="F161" s="176">
        <v>4860.5</v>
      </c>
      <c r="G161" s="182" t="s">
        <v>195</v>
      </c>
      <c r="H161" s="174">
        <v>1</v>
      </c>
      <c r="I161" s="173">
        <v>36.75</v>
      </c>
      <c r="J161" s="174">
        <v>6.93</v>
      </c>
      <c r="K161" s="173">
        <v>254.68</v>
      </c>
      <c r="Q161" s="160">
        <f>[4]Source!X125</f>
        <v>0</v>
      </c>
      <c r="R161" s="160">
        <f>[4]Source!X126</f>
        <v>0</v>
      </c>
      <c r="S161" s="160">
        <f>[4]Source!Y125</f>
        <v>0</v>
      </c>
      <c r="T161" s="160">
        <f>[4]Source!Y126</f>
        <v>0</v>
      </c>
      <c r="U161" s="160">
        <f>ROUND((175/100)*ROUND([4]Source!R125, 2), 2)</f>
        <v>0</v>
      </c>
      <c r="V161" s="160">
        <f>ROUND((157/100)*ROUND([4]Source!R126, 2), 2)</f>
        <v>0</v>
      </c>
    </row>
    <row r="162" spans="1:32" ht="14.25" x14ac:dyDescent="0.2">
      <c r="A162" s="179"/>
      <c r="B162" s="178"/>
      <c r="C162" s="178" t="s">
        <v>194</v>
      </c>
      <c r="D162" s="177" t="s">
        <v>187</v>
      </c>
      <c r="E162" s="174">
        <v>85</v>
      </c>
      <c r="F162" s="176"/>
      <c r="G162" s="175"/>
      <c r="H162" s="174"/>
      <c r="I162" s="173">
        <v>21.68</v>
      </c>
      <c r="J162" s="174">
        <v>68</v>
      </c>
      <c r="K162" s="173">
        <v>405.05</v>
      </c>
    </row>
    <row r="163" spans="1:32" ht="14.25" x14ac:dyDescent="0.2">
      <c r="A163" s="179"/>
      <c r="B163" s="178"/>
      <c r="C163" s="178" t="s">
        <v>193</v>
      </c>
      <c r="D163" s="177" t="s">
        <v>187</v>
      </c>
      <c r="E163" s="174">
        <v>70</v>
      </c>
      <c r="F163" s="176"/>
      <c r="G163" s="175"/>
      <c r="H163" s="174"/>
      <c r="I163" s="173">
        <v>17.86</v>
      </c>
      <c r="J163" s="174">
        <v>41</v>
      </c>
      <c r="K163" s="173">
        <v>244.22</v>
      </c>
    </row>
    <row r="164" spans="1:32" ht="14.25" x14ac:dyDescent="0.2">
      <c r="A164" s="179"/>
      <c r="B164" s="178"/>
      <c r="C164" s="178" t="s">
        <v>188</v>
      </c>
      <c r="D164" s="177" t="s">
        <v>187</v>
      </c>
      <c r="E164" s="174">
        <v>175</v>
      </c>
      <c r="F164" s="176"/>
      <c r="G164" s="175"/>
      <c r="H164" s="174"/>
      <c r="I164" s="173">
        <v>0.98</v>
      </c>
      <c r="J164" s="174">
        <v>157</v>
      </c>
      <c r="K164" s="173">
        <v>20.54</v>
      </c>
    </row>
    <row r="165" spans="1:32" ht="14.25" x14ac:dyDescent="0.2">
      <c r="A165" s="172"/>
      <c r="B165" s="171"/>
      <c r="C165" s="171" t="s">
        <v>192</v>
      </c>
      <c r="D165" s="170" t="s">
        <v>191</v>
      </c>
      <c r="E165" s="167">
        <v>364</v>
      </c>
      <c r="F165" s="169"/>
      <c r="G165" s="168" t="s">
        <v>1548</v>
      </c>
      <c r="H165" s="167">
        <v>1</v>
      </c>
      <c r="I165" s="166">
        <v>2.09</v>
      </c>
      <c r="J165" s="167"/>
      <c r="K165" s="166"/>
    </row>
    <row r="166" spans="1:32" ht="15" x14ac:dyDescent="0.25">
      <c r="A166" s="164"/>
      <c r="B166" s="164"/>
      <c r="C166" s="165" t="s">
        <v>183</v>
      </c>
      <c r="D166" s="164"/>
      <c r="E166" s="164"/>
      <c r="F166" s="164"/>
      <c r="G166" s="164"/>
      <c r="H166" s="414">
        <v>1875.3</v>
      </c>
      <c r="I166" s="414"/>
      <c r="J166" s="414">
        <v>14680.34</v>
      </c>
      <c r="K166" s="414"/>
      <c r="O166" s="163">
        <f>I154+I155+I157+I162+I163+I164+SUM(I158:I161)</f>
        <v>1875.3</v>
      </c>
      <c r="P166" s="163">
        <f>K154+K155+K157+K162+K163+K164+SUM(K158:K161)</f>
        <v>14680.34</v>
      </c>
    </row>
    <row r="169" spans="1:32" ht="15" x14ac:dyDescent="0.25">
      <c r="A169" s="417" t="s">
        <v>2149</v>
      </c>
      <c r="B169" s="417"/>
      <c r="C169" s="417"/>
      <c r="D169" s="417"/>
      <c r="E169" s="417"/>
      <c r="F169" s="417"/>
      <c r="G169" s="417"/>
      <c r="H169" s="415">
        <v>2239.1799999999998</v>
      </c>
      <c r="I169" s="416"/>
      <c r="J169" s="415">
        <v>17189.47</v>
      </c>
      <c r="K169" s="416"/>
      <c r="AF169" s="201" t="str">
        <f>CONCATENATE("Итого по подразделу: ",IF([4]Source!G134&lt;&gt;"Новый подраздел", [4]Source!G134, ""))</f>
        <v>Итого по подразделу: Лестницы входа в подвал в осях "11/В-В/2". 023/18КН-КР 4.2 лист 1</v>
      </c>
    </row>
    <row r="170" spans="1:32" hidden="1" x14ac:dyDescent="0.2">
      <c r="A170" s="160" t="s">
        <v>182</v>
      </c>
      <c r="I170" s="160">
        <v>0</v>
      </c>
      <c r="J170" s="160">
        <v>0</v>
      </c>
    </row>
    <row r="171" spans="1:32" hidden="1" x14ac:dyDescent="0.2">
      <c r="A171" s="160" t="s">
        <v>181</v>
      </c>
      <c r="I171" s="160">
        <v>0</v>
      </c>
      <c r="J171" s="160">
        <v>0</v>
      </c>
    </row>
    <row r="173" spans="1:32" ht="15" x14ac:dyDescent="0.25">
      <c r="A173" s="417" t="s">
        <v>2150</v>
      </c>
      <c r="B173" s="417"/>
      <c r="C173" s="417"/>
      <c r="D173" s="417"/>
      <c r="E173" s="417"/>
      <c r="F173" s="417"/>
      <c r="G173" s="417"/>
      <c r="H173" s="415">
        <v>17540.560000000001</v>
      </c>
      <c r="I173" s="416"/>
      <c r="J173" s="415">
        <v>135322.51999999999</v>
      </c>
      <c r="K173" s="416"/>
    </row>
    <row r="174" spans="1:32" hidden="1" x14ac:dyDescent="0.2">
      <c r="A174" s="160" t="s">
        <v>182</v>
      </c>
      <c r="I174" s="160">
        <v>0</v>
      </c>
      <c r="J174" s="160">
        <v>0</v>
      </c>
    </row>
    <row r="175" spans="1:32" hidden="1" x14ac:dyDescent="0.2">
      <c r="A175" s="160" t="s">
        <v>181</v>
      </c>
      <c r="I175" s="160">
        <v>0</v>
      </c>
      <c r="J175" s="160">
        <v>0</v>
      </c>
    </row>
    <row r="177" spans="1:22" ht="16.5" x14ac:dyDescent="0.25">
      <c r="A177" s="413" t="s">
        <v>2151</v>
      </c>
      <c r="B177" s="413"/>
      <c r="C177" s="413"/>
      <c r="D177" s="413"/>
      <c r="E177" s="413"/>
      <c r="F177" s="413"/>
      <c r="G177" s="413"/>
      <c r="H177" s="413"/>
      <c r="I177" s="413"/>
      <c r="J177" s="413"/>
      <c r="K177" s="413"/>
    </row>
    <row r="178" spans="1:22" ht="57" x14ac:dyDescent="0.2">
      <c r="A178" s="179" t="s">
        <v>1609</v>
      </c>
      <c r="B178" s="178" t="s">
        <v>586</v>
      </c>
      <c r="C178" s="178" t="s">
        <v>528</v>
      </c>
      <c r="D178" s="177" t="s">
        <v>2129</v>
      </c>
      <c r="E178" s="174">
        <v>18</v>
      </c>
      <c r="F178" s="176"/>
      <c r="G178" s="175"/>
      <c r="H178" s="174"/>
      <c r="I178" s="173"/>
      <c r="J178" s="174"/>
      <c r="K178" s="173"/>
      <c r="Q178" s="160">
        <f>[4]Source!X198</f>
        <v>728.73</v>
      </c>
      <c r="R178" s="160">
        <f>[4]Source!X199</f>
        <v>13907.15</v>
      </c>
      <c r="S178" s="160">
        <f>[4]Source!Y198</f>
        <v>490.49</v>
      </c>
      <c r="T178" s="160">
        <f>[4]Source!Y199</f>
        <v>6708.15</v>
      </c>
      <c r="U178" s="160">
        <f>ROUND((175/100)*ROUND([4]Source!R198, 2), 2)</f>
        <v>219.33</v>
      </c>
      <c r="V178" s="160">
        <f>ROUND((157/100)*ROUND([4]Source!R199, 2), 2)</f>
        <v>4594.54</v>
      </c>
    </row>
    <row r="179" spans="1:22" ht="14.25" x14ac:dyDescent="0.2">
      <c r="A179" s="179"/>
      <c r="B179" s="178"/>
      <c r="C179" s="178" t="s">
        <v>197</v>
      </c>
      <c r="D179" s="177"/>
      <c r="E179" s="174"/>
      <c r="F179" s="176">
        <v>33.85</v>
      </c>
      <c r="G179" s="175" t="s">
        <v>1548</v>
      </c>
      <c r="H179" s="174">
        <v>1</v>
      </c>
      <c r="I179" s="173">
        <v>700.7</v>
      </c>
      <c r="J179" s="174">
        <v>23.35</v>
      </c>
      <c r="K179" s="173">
        <v>16361.35</v>
      </c>
    </row>
    <row r="180" spans="1:22" ht="14.25" x14ac:dyDescent="0.2">
      <c r="A180" s="179"/>
      <c r="B180" s="178"/>
      <c r="C180" s="178" t="s">
        <v>184</v>
      </c>
      <c r="D180" s="177"/>
      <c r="E180" s="174"/>
      <c r="F180" s="176">
        <v>18.399999999999999</v>
      </c>
      <c r="G180" s="175" t="s">
        <v>1549</v>
      </c>
      <c r="H180" s="174">
        <v>1</v>
      </c>
      <c r="I180" s="173">
        <v>414</v>
      </c>
      <c r="J180" s="174">
        <v>11.6</v>
      </c>
      <c r="K180" s="173">
        <v>4802.3999999999996</v>
      </c>
    </row>
    <row r="181" spans="1:22" ht="14.25" x14ac:dyDescent="0.2">
      <c r="A181" s="179"/>
      <c r="B181" s="178"/>
      <c r="C181" s="178" t="s">
        <v>189</v>
      </c>
      <c r="D181" s="177"/>
      <c r="E181" s="174"/>
      <c r="F181" s="176">
        <v>5.57</v>
      </c>
      <c r="G181" s="175" t="s">
        <v>1549</v>
      </c>
      <c r="H181" s="174">
        <v>1</v>
      </c>
      <c r="I181" s="180">
        <v>125.33</v>
      </c>
      <c r="J181" s="174">
        <v>23.35</v>
      </c>
      <c r="K181" s="180">
        <v>2926.46</v>
      </c>
    </row>
    <row r="182" spans="1:22" ht="14.25" x14ac:dyDescent="0.2">
      <c r="A182" s="179"/>
      <c r="B182" s="178"/>
      <c r="C182" s="178" t="s">
        <v>205</v>
      </c>
      <c r="D182" s="177"/>
      <c r="E182" s="174"/>
      <c r="F182" s="176">
        <v>117.73</v>
      </c>
      <c r="G182" s="175" t="s">
        <v>195</v>
      </c>
      <c r="H182" s="174">
        <v>1</v>
      </c>
      <c r="I182" s="173">
        <v>2119.14</v>
      </c>
      <c r="J182" s="174">
        <v>5.26</v>
      </c>
      <c r="K182" s="173">
        <v>11146.68</v>
      </c>
    </row>
    <row r="183" spans="1:22" ht="14.25" x14ac:dyDescent="0.2">
      <c r="A183" s="179"/>
      <c r="B183" s="178"/>
      <c r="C183" s="178" t="s">
        <v>194</v>
      </c>
      <c r="D183" s="177" t="s">
        <v>187</v>
      </c>
      <c r="E183" s="174">
        <v>104</v>
      </c>
      <c r="F183" s="176"/>
      <c r="G183" s="175"/>
      <c r="H183" s="174"/>
      <c r="I183" s="173">
        <v>728.73</v>
      </c>
      <c r="J183" s="174">
        <v>85</v>
      </c>
      <c r="K183" s="173">
        <v>13907.15</v>
      </c>
    </row>
    <row r="184" spans="1:22" ht="14.25" x14ac:dyDescent="0.2">
      <c r="A184" s="179"/>
      <c r="B184" s="178"/>
      <c r="C184" s="178" t="s">
        <v>193</v>
      </c>
      <c r="D184" s="177" t="s">
        <v>187</v>
      </c>
      <c r="E184" s="174">
        <v>70</v>
      </c>
      <c r="F184" s="176"/>
      <c r="G184" s="175"/>
      <c r="H184" s="174"/>
      <c r="I184" s="173">
        <v>490.49</v>
      </c>
      <c r="J184" s="174">
        <v>41</v>
      </c>
      <c r="K184" s="173">
        <v>6708.15</v>
      </c>
    </row>
    <row r="185" spans="1:22" ht="14.25" x14ac:dyDescent="0.2">
      <c r="A185" s="179"/>
      <c r="B185" s="178"/>
      <c r="C185" s="178" t="s">
        <v>188</v>
      </c>
      <c r="D185" s="177" t="s">
        <v>187</v>
      </c>
      <c r="E185" s="174">
        <v>175</v>
      </c>
      <c r="F185" s="176"/>
      <c r="G185" s="175"/>
      <c r="H185" s="174"/>
      <c r="I185" s="173">
        <v>219.33</v>
      </c>
      <c r="J185" s="174">
        <v>157</v>
      </c>
      <c r="K185" s="173">
        <v>4594.54</v>
      </c>
    </row>
    <row r="186" spans="1:22" ht="14.25" x14ac:dyDescent="0.2">
      <c r="A186" s="172"/>
      <c r="B186" s="171"/>
      <c r="C186" s="171" t="s">
        <v>192</v>
      </c>
      <c r="D186" s="170" t="s">
        <v>191</v>
      </c>
      <c r="E186" s="167">
        <v>2.99</v>
      </c>
      <c r="F186" s="169"/>
      <c r="G186" s="168" t="s">
        <v>1548</v>
      </c>
      <c r="H186" s="167">
        <v>1</v>
      </c>
      <c r="I186" s="166">
        <v>61.89</v>
      </c>
      <c r="J186" s="167"/>
      <c r="K186" s="166"/>
    </row>
    <row r="187" spans="1:22" ht="15" x14ac:dyDescent="0.25">
      <c r="A187" s="164"/>
      <c r="B187" s="164"/>
      <c r="C187" s="165" t="s">
        <v>183</v>
      </c>
      <c r="D187" s="164"/>
      <c r="E187" s="164"/>
      <c r="F187" s="164"/>
      <c r="G187" s="164"/>
      <c r="H187" s="414">
        <v>4672.3900000000003</v>
      </c>
      <c r="I187" s="414"/>
      <c r="J187" s="414">
        <v>57520.27</v>
      </c>
      <c r="K187" s="414"/>
      <c r="O187" s="163">
        <f>I179+I180+I182+I183+I184+I185</f>
        <v>4672.3900000000003</v>
      </c>
      <c r="P187" s="163">
        <f>K179+K180+K182+K183+K184+K185</f>
        <v>57520.27</v>
      </c>
    </row>
    <row r="189" spans="1:22" ht="52.5" x14ac:dyDescent="0.2">
      <c r="A189" s="179" t="s">
        <v>1617</v>
      </c>
      <c r="B189" s="178" t="s">
        <v>263</v>
      </c>
      <c r="C189" s="178" t="s">
        <v>262</v>
      </c>
      <c r="D189" s="177" t="s">
        <v>1749</v>
      </c>
      <c r="E189" s="174">
        <v>0.09</v>
      </c>
      <c r="F189" s="176"/>
      <c r="G189" s="175"/>
      <c r="H189" s="174"/>
      <c r="I189" s="173"/>
      <c r="J189" s="174"/>
      <c r="K189" s="173"/>
      <c r="Q189" s="160">
        <f>[4]Source!X200</f>
        <v>121.38</v>
      </c>
      <c r="R189" s="160">
        <f>[4]Source!X201</f>
        <v>2267.38</v>
      </c>
      <c r="S189" s="160">
        <f>[4]Source!Y200</f>
        <v>99.96</v>
      </c>
      <c r="T189" s="160">
        <f>[4]Source!Y201</f>
        <v>1367.1</v>
      </c>
      <c r="U189" s="160">
        <f>ROUND((175/100)*ROUND([4]Source!R200, 2), 2)</f>
        <v>0.42</v>
      </c>
      <c r="V189" s="160">
        <f>ROUND((157/100)*ROUND([4]Source!R201, 2), 2)</f>
        <v>8.7899999999999991</v>
      </c>
    </row>
    <row r="190" spans="1:22" x14ac:dyDescent="0.2">
      <c r="C190" s="181" t="s">
        <v>2152</v>
      </c>
    </row>
    <row r="191" spans="1:22" ht="14.25" x14ac:dyDescent="0.2">
      <c r="A191" s="179"/>
      <c r="B191" s="178"/>
      <c r="C191" s="178" t="s">
        <v>197</v>
      </c>
      <c r="D191" s="177"/>
      <c r="E191" s="174"/>
      <c r="F191" s="176">
        <v>1379.7</v>
      </c>
      <c r="G191" s="175" t="s">
        <v>1548</v>
      </c>
      <c r="H191" s="174">
        <v>1</v>
      </c>
      <c r="I191" s="173">
        <v>142.80000000000001</v>
      </c>
      <c r="J191" s="174">
        <v>23.35</v>
      </c>
      <c r="K191" s="173">
        <v>3334.38</v>
      </c>
    </row>
    <row r="192" spans="1:22" ht="14.25" x14ac:dyDescent="0.2">
      <c r="A192" s="179"/>
      <c r="B192" s="178"/>
      <c r="C192" s="178" t="s">
        <v>184</v>
      </c>
      <c r="D192" s="177"/>
      <c r="E192" s="174"/>
      <c r="F192" s="176">
        <v>22.6</v>
      </c>
      <c r="G192" s="175" t="s">
        <v>1549</v>
      </c>
      <c r="H192" s="174">
        <v>1</v>
      </c>
      <c r="I192" s="173">
        <v>2.54</v>
      </c>
      <c r="J192" s="174">
        <v>5.49</v>
      </c>
      <c r="K192" s="173">
        <v>13.94</v>
      </c>
    </row>
    <row r="193" spans="1:22" ht="14.25" x14ac:dyDescent="0.2">
      <c r="A193" s="179"/>
      <c r="B193" s="178"/>
      <c r="C193" s="178" t="s">
        <v>189</v>
      </c>
      <c r="D193" s="177"/>
      <c r="E193" s="174"/>
      <c r="F193" s="176">
        <v>2.09</v>
      </c>
      <c r="G193" s="175" t="s">
        <v>1549</v>
      </c>
      <c r="H193" s="174">
        <v>1</v>
      </c>
      <c r="I193" s="180">
        <v>0.24</v>
      </c>
      <c r="J193" s="174">
        <v>23.35</v>
      </c>
      <c r="K193" s="180">
        <v>5.6</v>
      </c>
    </row>
    <row r="194" spans="1:22" ht="14.25" x14ac:dyDescent="0.2">
      <c r="A194" s="179"/>
      <c r="B194" s="178"/>
      <c r="C194" s="178" t="s">
        <v>205</v>
      </c>
      <c r="D194" s="177"/>
      <c r="E194" s="174"/>
      <c r="F194" s="176">
        <v>1859.87</v>
      </c>
      <c r="G194" s="175" t="s">
        <v>195</v>
      </c>
      <c r="H194" s="174">
        <v>1</v>
      </c>
      <c r="I194" s="173">
        <v>167.39</v>
      </c>
      <c r="J194" s="174">
        <v>3.05</v>
      </c>
      <c r="K194" s="173">
        <v>510.54</v>
      </c>
    </row>
    <row r="195" spans="1:22" ht="57" x14ac:dyDescent="0.2">
      <c r="A195" s="179" t="s">
        <v>1619</v>
      </c>
      <c r="B195" s="178" t="s">
        <v>2131</v>
      </c>
      <c r="C195" s="178" t="s">
        <v>585</v>
      </c>
      <c r="D195" s="177" t="s">
        <v>1594</v>
      </c>
      <c r="E195" s="174">
        <v>9.18</v>
      </c>
      <c r="F195" s="176">
        <v>517.14</v>
      </c>
      <c r="G195" s="182" t="s">
        <v>195</v>
      </c>
      <c r="H195" s="174">
        <v>1</v>
      </c>
      <c r="I195" s="173">
        <v>4747.3500000000004</v>
      </c>
      <c r="J195" s="174">
        <v>7.59</v>
      </c>
      <c r="K195" s="173">
        <v>36032.39</v>
      </c>
      <c r="Q195" s="160">
        <f>[4]Source!X202</f>
        <v>0</v>
      </c>
      <c r="R195" s="160">
        <f>[4]Source!X203</f>
        <v>0</v>
      </c>
      <c r="S195" s="160">
        <f>[4]Source!Y202</f>
        <v>0</v>
      </c>
      <c r="T195" s="160">
        <f>[4]Source!Y203</f>
        <v>0</v>
      </c>
      <c r="U195" s="160">
        <f>ROUND((175/100)*ROUND([4]Source!R202, 2), 2)</f>
        <v>0</v>
      </c>
      <c r="V195" s="160">
        <f>ROUND((157/100)*ROUND([4]Source!R203, 2), 2)</f>
        <v>0</v>
      </c>
    </row>
    <row r="196" spans="1:22" ht="14.25" x14ac:dyDescent="0.2">
      <c r="A196" s="179"/>
      <c r="B196" s="178"/>
      <c r="C196" s="178" t="s">
        <v>194</v>
      </c>
      <c r="D196" s="177" t="s">
        <v>187</v>
      </c>
      <c r="E196" s="174">
        <v>85</v>
      </c>
      <c r="F196" s="176"/>
      <c r="G196" s="175"/>
      <c r="H196" s="174"/>
      <c r="I196" s="173">
        <v>121.38</v>
      </c>
      <c r="J196" s="174">
        <v>68</v>
      </c>
      <c r="K196" s="173">
        <v>2267.38</v>
      </c>
    </row>
    <row r="197" spans="1:22" ht="14.25" x14ac:dyDescent="0.2">
      <c r="A197" s="179"/>
      <c r="B197" s="178"/>
      <c r="C197" s="178" t="s">
        <v>193</v>
      </c>
      <c r="D197" s="177" t="s">
        <v>187</v>
      </c>
      <c r="E197" s="174">
        <v>70</v>
      </c>
      <c r="F197" s="176"/>
      <c r="G197" s="175"/>
      <c r="H197" s="174"/>
      <c r="I197" s="173">
        <v>99.96</v>
      </c>
      <c r="J197" s="174">
        <v>41</v>
      </c>
      <c r="K197" s="173">
        <v>1367.1</v>
      </c>
    </row>
    <row r="198" spans="1:22" ht="14.25" x14ac:dyDescent="0.2">
      <c r="A198" s="179"/>
      <c r="B198" s="178"/>
      <c r="C198" s="178" t="s">
        <v>188</v>
      </c>
      <c r="D198" s="177" t="s">
        <v>187</v>
      </c>
      <c r="E198" s="174">
        <v>175</v>
      </c>
      <c r="F198" s="176"/>
      <c r="G198" s="175"/>
      <c r="H198" s="174"/>
      <c r="I198" s="173">
        <v>0.42</v>
      </c>
      <c r="J198" s="174">
        <v>157</v>
      </c>
      <c r="K198" s="173">
        <v>8.7899999999999991</v>
      </c>
    </row>
    <row r="199" spans="1:22" ht="14.25" x14ac:dyDescent="0.2">
      <c r="A199" s="172"/>
      <c r="B199" s="171"/>
      <c r="C199" s="171" t="s">
        <v>192</v>
      </c>
      <c r="D199" s="170" t="s">
        <v>191</v>
      </c>
      <c r="E199" s="167">
        <v>135</v>
      </c>
      <c r="F199" s="169"/>
      <c r="G199" s="168" t="s">
        <v>1548</v>
      </c>
      <c r="H199" s="167">
        <v>1</v>
      </c>
      <c r="I199" s="166">
        <v>13.97</v>
      </c>
      <c r="J199" s="167"/>
      <c r="K199" s="166"/>
    </row>
    <row r="200" spans="1:22" ht="15" x14ac:dyDescent="0.25">
      <c r="A200" s="164"/>
      <c r="B200" s="164"/>
      <c r="C200" s="165" t="s">
        <v>183</v>
      </c>
      <c r="D200" s="164"/>
      <c r="E200" s="164"/>
      <c r="F200" s="164"/>
      <c r="G200" s="164"/>
      <c r="H200" s="414">
        <v>5281.84</v>
      </c>
      <c r="I200" s="414"/>
      <c r="J200" s="414">
        <v>43534.52</v>
      </c>
      <c r="K200" s="414"/>
      <c r="O200" s="163">
        <f>I191+I192+I194+I196+I197+I198+SUM(I195:I195)</f>
        <v>5281.84</v>
      </c>
      <c r="P200" s="163">
        <f>K191+K192+K194+K196+K197+K198+SUM(K195:K195)</f>
        <v>43534.52</v>
      </c>
    </row>
    <row r="202" spans="1:22" ht="71.25" x14ac:dyDescent="0.2">
      <c r="A202" s="179" t="s">
        <v>1622</v>
      </c>
      <c r="B202" s="178" t="s">
        <v>549</v>
      </c>
      <c r="C202" s="178" t="s">
        <v>548</v>
      </c>
      <c r="D202" s="177" t="s">
        <v>1855</v>
      </c>
      <c r="E202" s="174">
        <v>0.9</v>
      </c>
      <c r="F202" s="176"/>
      <c r="G202" s="175"/>
      <c r="H202" s="174"/>
      <c r="I202" s="173"/>
      <c r="J202" s="174"/>
      <c r="K202" s="173"/>
      <c r="Q202" s="160">
        <f>[4]Source!X204</f>
        <v>405.07</v>
      </c>
      <c r="R202" s="160">
        <f>[4]Source!X205</f>
        <v>7730.4</v>
      </c>
      <c r="S202" s="160">
        <f>[4]Source!Y204</f>
        <v>272.64</v>
      </c>
      <c r="T202" s="160">
        <f>[4]Source!Y205</f>
        <v>3728.78</v>
      </c>
      <c r="U202" s="160">
        <f>ROUND((175/100)*ROUND([4]Source!R204, 2), 2)</f>
        <v>126.35</v>
      </c>
      <c r="V202" s="160">
        <f>ROUND((157/100)*ROUND([4]Source!R205, 2), 2)</f>
        <v>2646.82</v>
      </c>
    </row>
    <row r="203" spans="1:22" x14ac:dyDescent="0.2">
      <c r="C203" s="181" t="s">
        <v>2153</v>
      </c>
    </row>
    <row r="204" spans="1:22" ht="14.25" x14ac:dyDescent="0.2">
      <c r="A204" s="179"/>
      <c r="B204" s="178"/>
      <c r="C204" s="178" t="s">
        <v>197</v>
      </c>
      <c r="D204" s="177"/>
      <c r="E204" s="174"/>
      <c r="F204" s="176">
        <v>376.32</v>
      </c>
      <c r="G204" s="175" t="s">
        <v>1548</v>
      </c>
      <c r="H204" s="174">
        <v>1</v>
      </c>
      <c r="I204" s="173">
        <v>389.49</v>
      </c>
      <c r="J204" s="174">
        <v>23.35</v>
      </c>
      <c r="K204" s="173">
        <v>9094.59</v>
      </c>
    </row>
    <row r="205" spans="1:22" ht="14.25" x14ac:dyDescent="0.2">
      <c r="A205" s="179"/>
      <c r="B205" s="178"/>
      <c r="C205" s="178" t="s">
        <v>184</v>
      </c>
      <c r="D205" s="177"/>
      <c r="E205" s="174"/>
      <c r="F205" s="176">
        <v>403.01</v>
      </c>
      <c r="G205" s="175" t="s">
        <v>1549</v>
      </c>
      <c r="H205" s="174">
        <v>1</v>
      </c>
      <c r="I205" s="173">
        <v>453.39</v>
      </c>
      <c r="J205" s="174">
        <v>8.2200000000000006</v>
      </c>
      <c r="K205" s="173">
        <v>3726.87</v>
      </c>
    </row>
    <row r="206" spans="1:22" ht="14.25" x14ac:dyDescent="0.2">
      <c r="A206" s="179"/>
      <c r="B206" s="178"/>
      <c r="C206" s="178" t="s">
        <v>189</v>
      </c>
      <c r="D206" s="177"/>
      <c r="E206" s="174"/>
      <c r="F206" s="176">
        <v>64.180000000000007</v>
      </c>
      <c r="G206" s="175" t="s">
        <v>1549</v>
      </c>
      <c r="H206" s="174">
        <v>1</v>
      </c>
      <c r="I206" s="180">
        <v>72.2</v>
      </c>
      <c r="J206" s="174">
        <v>23.35</v>
      </c>
      <c r="K206" s="180">
        <v>1685.87</v>
      </c>
    </row>
    <row r="207" spans="1:22" ht="14.25" x14ac:dyDescent="0.2">
      <c r="A207" s="179"/>
      <c r="B207" s="178"/>
      <c r="C207" s="178" t="s">
        <v>205</v>
      </c>
      <c r="D207" s="177"/>
      <c r="E207" s="174"/>
      <c r="F207" s="176">
        <v>10508.86</v>
      </c>
      <c r="G207" s="175" t="s">
        <v>195</v>
      </c>
      <c r="H207" s="174">
        <v>1</v>
      </c>
      <c r="I207" s="173">
        <v>9457.9699999999993</v>
      </c>
      <c r="J207" s="174">
        <v>2.58</v>
      </c>
      <c r="K207" s="173">
        <v>24401.56</v>
      </c>
    </row>
    <row r="208" spans="1:22" ht="57" x14ac:dyDescent="0.2">
      <c r="A208" s="179" t="s">
        <v>1623</v>
      </c>
      <c r="B208" s="178" t="s">
        <v>2133</v>
      </c>
      <c r="C208" s="178" t="s">
        <v>582</v>
      </c>
      <c r="D208" s="177" t="s">
        <v>1557</v>
      </c>
      <c r="E208" s="174">
        <v>100.8</v>
      </c>
      <c r="F208" s="176">
        <v>17.84</v>
      </c>
      <c r="G208" s="182" t="s">
        <v>195</v>
      </c>
      <c r="H208" s="174">
        <v>1</v>
      </c>
      <c r="I208" s="173">
        <v>1798.27</v>
      </c>
      <c r="J208" s="174">
        <v>2.92</v>
      </c>
      <c r="K208" s="173">
        <v>5250.95</v>
      </c>
      <c r="Q208" s="160">
        <f>[4]Source!X206</f>
        <v>0</v>
      </c>
      <c r="R208" s="160">
        <f>[4]Source!X207</f>
        <v>0</v>
      </c>
      <c r="S208" s="160">
        <f>[4]Source!Y206</f>
        <v>0</v>
      </c>
      <c r="T208" s="160">
        <f>[4]Source!Y207</f>
        <v>0</v>
      </c>
      <c r="U208" s="160">
        <f>ROUND((175/100)*ROUND([4]Source!R206, 2), 2)</f>
        <v>0</v>
      </c>
      <c r="V208" s="160">
        <f>ROUND((157/100)*ROUND([4]Source!R207, 2), 2)</f>
        <v>0</v>
      </c>
    </row>
    <row r="209" spans="1:22" ht="14.25" x14ac:dyDescent="0.2">
      <c r="A209" s="179"/>
      <c r="B209" s="178"/>
      <c r="C209" s="178" t="s">
        <v>194</v>
      </c>
      <c r="D209" s="177" t="s">
        <v>187</v>
      </c>
      <c r="E209" s="174">
        <v>104</v>
      </c>
      <c r="F209" s="176"/>
      <c r="G209" s="175"/>
      <c r="H209" s="174"/>
      <c r="I209" s="173">
        <v>405.07</v>
      </c>
      <c r="J209" s="174">
        <v>85</v>
      </c>
      <c r="K209" s="173">
        <v>7730.4</v>
      </c>
    </row>
    <row r="210" spans="1:22" ht="14.25" x14ac:dyDescent="0.2">
      <c r="A210" s="179"/>
      <c r="B210" s="178"/>
      <c r="C210" s="178" t="s">
        <v>193</v>
      </c>
      <c r="D210" s="177" t="s">
        <v>187</v>
      </c>
      <c r="E210" s="174">
        <v>70</v>
      </c>
      <c r="F210" s="176"/>
      <c r="G210" s="175"/>
      <c r="H210" s="174"/>
      <c r="I210" s="173">
        <v>272.64</v>
      </c>
      <c r="J210" s="174">
        <v>41</v>
      </c>
      <c r="K210" s="173">
        <v>3728.78</v>
      </c>
    </row>
    <row r="211" spans="1:22" ht="14.25" x14ac:dyDescent="0.2">
      <c r="A211" s="179"/>
      <c r="B211" s="178"/>
      <c r="C211" s="178" t="s">
        <v>188</v>
      </c>
      <c r="D211" s="177" t="s">
        <v>187</v>
      </c>
      <c r="E211" s="174">
        <v>175</v>
      </c>
      <c r="F211" s="176"/>
      <c r="G211" s="175"/>
      <c r="H211" s="174"/>
      <c r="I211" s="173">
        <v>126.35</v>
      </c>
      <c r="J211" s="174">
        <v>157</v>
      </c>
      <c r="K211" s="173">
        <v>2646.82</v>
      </c>
    </row>
    <row r="212" spans="1:22" ht="14.25" x14ac:dyDescent="0.2">
      <c r="A212" s="172"/>
      <c r="B212" s="171"/>
      <c r="C212" s="171" t="s">
        <v>192</v>
      </c>
      <c r="D212" s="170" t="s">
        <v>191</v>
      </c>
      <c r="E212" s="167">
        <v>32</v>
      </c>
      <c r="F212" s="169"/>
      <c r="G212" s="168" t="s">
        <v>1548</v>
      </c>
      <c r="H212" s="167">
        <v>1</v>
      </c>
      <c r="I212" s="166">
        <v>33.119999999999997</v>
      </c>
      <c r="J212" s="167"/>
      <c r="K212" s="166"/>
    </row>
    <row r="213" spans="1:22" ht="15" x14ac:dyDescent="0.25">
      <c r="A213" s="164"/>
      <c r="B213" s="164"/>
      <c r="C213" s="165" t="s">
        <v>183</v>
      </c>
      <c r="D213" s="164"/>
      <c r="E213" s="164"/>
      <c r="F213" s="164"/>
      <c r="G213" s="164"/>
      <c r="H213" s="414">
        <v>12903.18</v>
      </c>
      <c r="I213" s="414"/>
      <c r="J213" s="414">
        <v>56579.97</v>
      </c>
      <c r="K213" s="414"/>
      <c r="O213" s="163">
        <f>I204+I205+I207+I209+I210+I211+SUM(I208:I208)</f>
        <v>12903.18</v>
      </c>
      <c r="P213" s="163">
        <f>K204+K205+K207+K209+K210+K211+SUM(K208:K208)</f>
        <v>56579.97</v>
      </c>
    </row>
    <row r="215" spans="1:22" ht="71.25" x14ac:dyDescent="0.2">
      <c r="A215" s="179" t="s">
        <v>1625</v>
      </c>
      <c r="B215" s="178" t="s">
        <v>584</v>
      </c>
      <c r="C215" s="178" t="s">
        <v>583</v>
      </c>
      <c r="D215" s="177" t="s">
        <v>1855</v>
      </c>
      <c r="E215" s="174">
        <v>0.9</v>
      </c>
      <c r="F215" s="176"/>
      <c r="G215" s="175"/>
      <c r="H215" s="174"/>
      <c r="I215" s="173"/>
      <c r="J215" s="174"/>
      <c r="K215" s="173"/>
      <c r="Q215" s="160">
        <f>[4]Source!X208</f>
        <v>253.17</v>
      </c>
      <c r="R215" s="160">
        <f>[4]Source!X209</f>
        <v>4831.4799999999996</v>
      </c>
      <c r="S215" s="160">
        <f>[4]Source!Y208</f>
        <v>170.4</v>
      </c>
      <c r="T215" s="160">
        <f>[4]Source!Y209</f>
        <v>2330.48</v>
      </c>
      <c r="U215" s="160">
        <f>ROUND((175/100)*ROUND([4]Source!R208, 2), 2)</f>
        <v>62.14</v>
      </c>
      <c r="V215" s="160">
        <f>ROUND((157/100)*ROUND([4]Source!R209, 2), 2)</f>
        <v>1301.78</v>
      </c>
    </row>
    <row r="216" spans="1:22" x14ac:dyDescent="0.2">
      <c r="C216" s="181" t="s">
        <v>2153</v>
      </c>
    </row>
    <row r="217" spans="1:22" ht="14.25" x14ac:dyDescent="0.2">
      <c r="A217" s="179"/>
      <c r="B217" s="178"/>
      <c r="C217" s="178" t="s">
        <v>197</v>
      </c>
      <c r="D217" s="177"/>
      <c r="E217" s="174"/>
      <c r="F217" s="176">
        <v>235.2</v>
      </c>
      <c r="G217" s="175" t="s">
        <v>1548</v>
      </c>
      <c r="H217" s="174">
        <v>1</v>
      </c>
      <c r="I217" s="173">
        <v>243.43</v>
      </c>
      <c r="J217" s="174">
        <v>23.35</v>
      </c>
      <c r="K217" s="173">
        <v>5684.09</v>
      </c>
    </row>
    <row r="218" spans="1:22" ht="14.25" x14ac:dyDescent="0.2">
      <c r="A218" s="179"/>
      <c r="B218" s="178"/>
      <c r="C218" s="178" t="s">
        <v>184</v>
      </c>
      <c r="D218" s="177"/>
      <c r="E218" s="174"/>
      <c r="F218" s="176">
        <v>214.16</v>
      </c>
      <c r="G218" s="175" t="s">
        <v>1549</v>
      </c>
      <c r="H218" s="174">
        <v>1</v>
      </c>
      <c r="I218" s="173">
        <v>240.93</v>
      </c>
      <c r="J218" s="174">
        <v>8</v>
      </c>
      <c r="K218" s="173">
        <v>1927.44</v>
      </c>
    </row>
    <row r="219" spans="1:22" ht="14.25" x14ac:dyDescent="0.2">
      <c r="A219" s="179"/>
      <c r="B219" s="178"/>
      <c r="C219" s="178" t="s">
        <v>189</v>
      </c>
      <c r="D219" s="177"/>
      <c r="E219" s="174"/>
      <c r="F219" s="176">
        <v>31.56</v>
      </c>
      <c r="G219" s="175" t="s">
        <v>1549</v>
      </c>
      <c r="H219" s="174">
        <v>1</v>
      </c>
      <c r="I219" s="180">
        <v>35.51</v>
      </c>
      <c r="J219" s="174">
        <v>23.35</v>
      </c>
      <c r="K219" s="180">
        <v>829.16</v>
      </c>
    </row>
    <row r="220" spans="1:22" ht="14.25" x14ac:dyDescent="0.2">
      <c r="A220" s="179"/>
      <c r="B220" s="178"/>
      <c r="C220" s="178" t="s">
        <v>205</v>
      </c>
      <c r="D220" s="177"/>
      <c r="E220" s="174"/>
      <c r="F220" s="176">
        <v>4538.59</v>
      </c>
      <c r="G220" s="175" t="s">
        <v>195</v>
      </c>
      <c r="H220" s="174">
        <v>1</v>
      </c>
      <c r="I220" s="173">
        <v>4084.73</v>
      </c>
      <c r="J220" s="174">
        <v>2.44</v>
      </c>
      <c r="K220" s="173">
        <v>9966.74</v>
      </c>
    </row>
    <row r="221" spans="1:22" ht="57" x14ac:dyDescent="0.2">
      <c r="A221" s="179" t="s">
        <v>1627</v>
      </c>
      <c r="B221" s="178" t="s">
        <v>2133</v>
      </c>
      <c r="C221" s="178" t="s">
        <v>582</v>
      </c>
      <c r="D221" s="177" t="s">
        <v>1557</v>
      </c>
      <c r="E221" s="174">
        <v>100.8</v>
      </c>
      <c r="F221" s="176">
        <v>17.84</v>
      </c>
      <c r="G221" s="182" t="s">
        <v>195</v>
      </c>
      <c r="H221" s="174">
        <v>1</v>
      </c>
      <c r="I221" s="173">
        <v>1798.27</v>
      </c>
      <c r="J221" s="174">
        <v>2.92</v>
      </c>
      <c r="K221" s="173">
        <v>5250.95</v>
      </c>
      <c r="Q221" s="160">
        <f>[4]Source!X210</f>
        <v>0</v>
      </c>
      <c r="R221" s="160">
        <f>[4]Source!X211</f>
        <v>0</v>
      </c>
      <c r="S221" s="160">
        <f>[4]Source!Y210</f>
        <v>0</v>
      </c>
      <c r="T221" s="160">
        <f>[4]Source!Y211</f>
        <v>0</v>
      </c>
      <c r="U221" s="160">
        <f>ROUND((175/100)*ROUND([4]Source!R210, 2), 2)</f>
        <v>0</v>
      </c>
      <c r="V221" s="160">
        <f>ROUND((157/100)*ROUND([4]Source!R211, 2), 2)</f>
        <v>0</v>
      </c>
    </row>
    <row r="222" spans="1:22" ht="14.25" x14ac:dyDescent="0.2">
      <c r="A222" s="179"/>
      <c r="B222" s="178"/>
      <c r="C222" s="178" t="s">
        <v>194</v>
      </c>
      <c r="D222" s="177" t="s">
        <v>187</v>
      </c>
      <c r="E222" s="174">
        <v>104</v>
      </c>
      <c r="F222" s="176"/>
      <c r="G222" s="175"/>
      <c r="H222" s="174"/>
      <c r="I222" s="173">
        <v>253.17</v>
      </c>
      <c r="J222" s="174">
        <v>85</v>
      </c>
      <c r="K222" s="173">
        <v>4831.4799999999996</v>
      </c>
    </row>
    <row r="223" spans="1:22" ht="14.25" x14ac:dyDescent="0.2">
      <c r="A223" s="179"/>
      <c r="B223" s="178"/>
      <c r="C223" s="178" t="s">
        <v>193</v>
      </c>
      <c r="D223" s="177" t="s">
        <v>187</v>
      </c>
      <c r="E223" s="174">
        <v>70</v>
      </c>
      <c r="F223" s="176"/>
      <c r="G223" s="175"/>
      <c r="H223" s="174"/>
      <c r="I223" s="173">
        <v>170.4</v>
      </c>
      <c r="J223" s="174">
        <v>41</v>
      </c>
      <c r="K223" s="173">
        <v>2330.48</v>
      </c>
    </row>
    <row r="224" spans="1:22" ht="14.25" x14ac:dyDescent="0.2">
      <c r="A224" s="179"/>
      <c r="B224" s="178"/>
      <c r="C224" s="178" t="s">
        <v>188</v>
      </c>
      <c r="D224" s="177" t="s">
        <v>187</v>
      </c>
      <c r="E224" s="174">
        <v>175</v>
      </c>
      <c r="F224" s="176"/>
      <c r="G224" s="175"/>
      <c r="H224" s="174"/>
      <c r="I224" s="173">
        <v>62.14</v>
      </c>
      <c r="J224" s="174">
        <v>157</v>
      </c>
      <c r="K224" s="173">
        <v>1301.78</v>
      </c>
    </row>
    <row r="225" spans="1:22" ht="14.25" x14ac:dyDescent="0.2">
      <c r="A225" s="172"/>
      <c r="B225" s="171"/>
      <c r="C225" s="171" t="s">
        <v>192</v>
      </c>
      <c r="D225" s="170" t="s">
        <v>191</v>
      </c>
      <c r="E225" s="167">
        <v>20</v>
      </c>
      <c r="F225" s="169"/>
      <c r="G225" s="168" t="s">
        <v>1548</v>
      </c>
      <c r="H225" s="167">
        <v>1</v>
      </c>
      <c r="I225" s="166">
        <v>20.7</v>
      </c>
      <c r="J225" s="167"/>
      <c r="K225" s="166"/>
    </row>
    <row r="226" spans="1:22" ht="15" x14ac:dyDescent="0.25">
      <c r="A226" s="164"/>
      <c r="B226" s="164"/>
      <c r="C226" s="165" t="s">
        <v>183</v>
      </c>
      <c r="D226" s="164"/>
      <c r="E226" s="164"/>
      <c r="F226" s="164"/>
      <c r="G226" s="164"/>
      <c r="H226" s="414">
        <v>6853.07</v>
      </c>
      <c r="I226" s="414"/>
      <c r="J226" s="414">
        <v>31292.959999999999</v>
      </c>
      <c r="K226" s="414"/>
      <c r="O226" s="163">
        <f>I217+I218+I220+I222+I223+I224+SUM(I221:I221)</f>
        <v>6853.07</v>
      </c>
      <c r="P226" s="163">
        <f>K217+K218+K220+K222+K223+K224+SUM(K221:K221)</f>
        <v>31292.959999999999</v>
      </c>
    </row>
    <row r="228" spans="1:22" ht="52.5" x14ac:dyDescent="0.2">
      <c r="A228" s="179" t="s">
        <v>1629</v>
      </c>
      <c r="B228" s="178" t="s">
        <v>581</v>
      </c>
      <c r="C228" s="178" t="s">
        <v>580</v>
      </c>
      <c r="D228" s="177" t="s">
        <v>1749</v>
      </c>
      <c r="E228" s="174">
        <v>0.13500000000000001</v>
      </c>
      <c r="F228" s="176"/>
      <c r="G228" s="175"/>
      <c r="H228" s="174"/>
      <c r="I228" s="173"/>
      <c r="J228" s="174"/>
      <c r="K228" s="173"/>
      <c r="Q228" s="160">
        <f>[4]Source!X212</f>
        <v>585.54</v>
      </c>
      <c r="R228" s="160">
        <f>[4]Source!X213</f>
        <v>10937.87</v>
      </c>
      <c r="S228" s="160">
        <f>[4]Source!Y212</f>
        <v>482.21</v>
      </c>
      <c r="T228" s="160">
        <f>[4]Source!Y213</f>
        <v>6594.9</v>
      </c>
      <c r="U228" s="160">
        <f>ROUND((175/100)*ROUND([4]Source!R212, 2), 2)</f>
        <v>26.25</v>
      </c>
      <c r="V228" s="160">
        <f>ROUND((157/100)*ROUND([4]Source!R213, 2), 2)</f>
        <v>549.89</v>
      </c>
    </row>
    <row r="229" spans="1:22" x14ac:dyDescent="0.2">
      <c r="C229" s="181" t="s">
        <v>2154</v>
      </c>
    </row>
    <row r="230" spans="1:22" ht="14.25" x14ac:dyDescent="0.2">
      <c r="A230" s="179"/>
      <c r="B230" s="178"/>
      <c r="C230" s="178" t="s">
        <v>197</v>
      </c>
      <c r="D230" s="177"/>
      <c r="E230" s="174"/>
      <c r="F230" s="176">
        <v>4437.16</v>
      </c>
      <c r="G230" s="175" t="s">
        <v>1548</v>
      </c>
      <c r="H230" s="174">
        <v>1</v>
      </c>
      <c r="I230" s="173">
        <v>688.87</v>
      </c>
      <c r="J230" s="174">
        <v>23.35</v>
      </c>
      <c r="K230" s="173">
        <v>16085.11</v>
      </c>
    </row>
    <row r="231" spans="1:22" ht="14.25" x14ac:dyDescent="0.2">
      <c r="A231" s="179"/>
      <c r="B231" s="178"/>
      <c r="C231" s="178" t="s">
        <v>184</v>
      </c>
      <c r="D231" s="177"/>
      <c r="E231" s="174"/>
      <c r="F231" s="176">
        <v>951.85</v>
      </c>
      <c r="G231" s="175" t="s">
        <v>1549</v>
      </c>
      <c r="H231" s="174">
        <v>1</v>
      </c>
      <c r="I231" s="173">
        <v>160.62</v>
      </c>
      <c r="J231" s="174">
        <v>7.3</v>
      </c>
      <c r="K231" s="173">
        <v>1172.53</v>
      </c>
    </row>
    <row r="232" spans="1:22" ht="14.25" x14ac:dyDescent="0.2">
      <c r="A232" s="179"/>
      <c r="B232" s="178"/>
      <c r="C232" s="178" t="s">
        <v>189</v>
      </c>
      <c r="D232" s="177"/>
      <c r="E232" s="174"/>
      <c r="F232" s="176">
        <v>88.91</v>
      </c>
      <c r="G232" s="175" t="s">
        <v>1549</v>
      </c>
      <c r="H232" s="174">
        <v>1</v>
      </c>
      <c r="I232" s="180">
        <v>15</v>
      </c>
      <c r="J232" s="174">
        <v>23.35</v>
      </c>
      <c r="K232" s="180">
        <v>350.25</v>
      </c>
    </row>
    <row r="233" spans="1:22" ht="14.25" x14ac:dyDescent="0.2">
      <c r="A233" s="179"/>
      <c r="B233" s="178"/>
      <c r="C233" s="178" t="s">
        <v>205</v>
      </c>
      <c r="D233" s="177"/>
      <c r="E233" s="174"/>
      <c r="F233" s="176">
        <v>4582.6099999999997</v>
      </c>
      <c r="G233" s="175" t="s">
        <v>195</v>
      </c>
      <c r="H233" s="174">
        <v>1</v>
      </c>
      <c r="I233" s="173">
        <v>618.65</v>
      </c>
      <c r="J233" s="174">
        <v>4.47</v>
      </c>
      <c r="K233" s="173">
        <v>2765.37</v>
      </c>
    </row>
    <row r="234" spans="1:22" ht="71.25" x14ac:dyDescent="0.2">
      <c r="A234" s="179" t="s">
        <v>1630</v>
      </c>
      <c r="B234" s="178" t="s">
        <v>2136</v>
      </c>
      <c r="C234" s="178" t="s">
        <v>579</v>
      </c>
      <c r="D234" s="177" t="s">
        <v>1533</v>
      </c>
      <c r="E234" s="174">
        <v>0.85516000000000003</v>
      </c>
      <c r="F234" s="176">
        <v>5752.41</v>
      </c>
      <c r="G234" s="182" t="s">
        <v>195</v>
      </c>
      <c r="H234" s="174">
        <v>1</v>
      </c>
      <c r="I234" s="173">
        <v>4919.2299999999996</v>
      </c>
      <c r="J234" s="174">
        <v>7.9</v>
      </c>
      <c r="K234" s="173">
        <v>38861.919999999998</v>
      </c>
      <c r="Q234" s="160">
        <f>[4]Source!X214</f>
        <v>0</v>
      </c>
      <c r="R234" s="160">
        <f>[4]Source!X215</f>
        <v>0</v>
      </c>
      <c r="S234" s="160">
        <f>[4]Source!Y214</f>
        <v>0</v>
      </c>
      <c r="T234" s="160">
        <f>[4]Source!Y215</f>
        <v>0</v>
      </c>
      <c r="U234" s="160">
        <f>ROUND((175/100)*ROUND([4]Source!R214, 2), 2)</f>
        <v>0</v>
      </c>
      <c r="V234" s="160">
        <f>ROUND((157/100)*ROUND([4]Source!R215, 2), 2)</f>
        <v>0</v>
      </c>
    </row>
    <row r="235" spans="1:22" ht="57" x14ac:dyDescent="0.2">
      <c r="A235" s="179" t="s">
        <v>1631</v>
      </c>
      <c r="B235" s="178" t="s">
        <v>2138</v>
      </c>
      <c r="C235" s="178" t="s">
        <v>554</v>
      </c>
      <c r="D235" s="177" t="s">
        <v>1594</v>
      </c>
      <c r="E235" s="174">
        <v>13.702500000000001</v>
      </c>
      <c r="F235" s="176">
        <v>745.24</v>
      </c>
      <c r="G235" s="182" t="s">
        <v>195</v>
      </c>
      <c r="H235" s="174">
        <v>1</v>
      </c>
      <c r="I235" s="173">
        <v>10211.65</v>
      </c>
      <c r="J235" s="174">
        <v>5.92</v>
      </c>
      <c r="K235" s="173">
        <v>60452.97</v>
      </c>
      <c r="Q235" s="160">
        <f>[4]Source!X216</f>
        <v>0</v>
      </c>
      <c r="R235" s="160">
        <f>[4]Source!X217</f>
        <v>0</v>
      </c>
      <c r="S235" s="160">
        <f>[4]Source!Y216</f>
        <v>0</v>
      </c>
      <c r="T235" s="160">
        <f>[4]Source!Y217</f>
        <v>0</v>
      </c>
      <c r="U235" s="160">
        <f>ROUND((175/100)*ROUND([4]Source!R216, 2), 2)</f>
        <v>0</v>
      </c>
      <c r="V235" s="160">
        <f>ROUND((157/100)*ROUND([4]Source!R217, 2), 2)</f>
        <v>0</v>
      </c>
    </row>
    <row r="236" spans="1:22" ht="71.25" x14ac:dyDescent="0.2">
      <c r="A236" s="179" t="s">
        <v>1632</v>
      </c>
      <c r="B236" s="178" t="s">
        <v>2140</v>
      </c>
      <c r="C236" s="178" t="s">
        <v>578</v>
      </c>
      <c r="D236" s="177" t="s">
        <v>1533</v>
      </c>
      <c r="E236" s="174">
        <v>0.252</v>
      </c>
      <c r="F236" s="176">
        <v>4860.5</v>
      </c>
      <c r="G236" s="182" t="s">
        <v>195</v>
      </c>
      <c r="H236" s="174">
        <v>1</v>
      </c>
      <c r="I236" s="173">
        <v>1224.8499999999999</v>
      </c>
      <c r="J236" s="174">
        <v>6.93</v>
      </c>
      <c r="K236" s="173">
        <v>8488.2099999999991</v>
      </c>
      <c r="Q236" s="160">
        <f>[4]Source!X218</f>
        <v>0</v>
      </c>
      <c r="R236" s="160">
        <f>[4]Source!X219</f>
        <v>0</v>
      </c>
      <c r="S236" s="160">
        <f>[4]Source!Y218</f>
        <v>0</v>
      </c>
      <c r="T236" s="160">
        <f>[4]Source!Y219</f>
        <v>0</v>
      </c>
      <c r="U236" s="160">
        <f>ROUND((175/100)*ROUND([4]Source!R218, 2), 2)</f>
        <v>0</v>
      </c>
      <c r="V236" s="160">
        <f>ROUND((157/100)*ROUND([4]Source!R219, 2), 2)</f>
        <v>0</v>
      </c>
    </row>
    <row r="237" spans="1:22" ht="14.25" x14ac:dyDescent="0.2">
      <c r="A237" s="179"/>
      <c r="B237" s="178"/>
      <c r="C237" s="178" t="s">
        <v>194</v>
      </c>
      <c r="D237" s="177" t="s">
        <v>187</v>
      </c>
      <c r="E237" s="174">
        <v>85</v>
      </c>
      <c r="F237" s="176"/>
      <c r="G237" s="175"/>
      <c r="H237" s="174"/>
      <c r="I237" s="173">
        <v>585.54</v>
      </c>
      <c r="J237" s="174">
        <v>68</v>
      </c>
      <c r="K237" s="173">
        <v>10937.87</v>
      </c>
    </row>
    <row r="238" spans="1:22" ht="14.25" x14ac:dyDescent="0.2">
      <c r="A238" s="179"/>
      <c r="B238" s="178"/>
      <c r="C238" s="178" t="s">
        <v>193</v>
      </c>
      <c r="D238" s="177" t="s">
        <v>187</v>
      </c>
      <c r="E238" s="174">
        <v>70</v>
      </c>
      <c r="F238" s="176"/>
      <c r="G238" s="175"/>
      <c r="H238" s="174"/>
      <c r="I238" s="173">
        <v>482.21</v>
      </c>
      <c r="J238" s="174">
        <v>41</v>
      </c>
      <c r="K238" s="173">
        <v>6594.9</v>
      </c>
    </row>
    <row r="239" spans="1:22" ht="14.25" x14ac:dyDescent="0.2">
      <c r="A239" s="179"/>
      <c r="B239" s="178"/>
      <c r="C239" s="178" t="s">
        <v>188</v>
      </c>
      <c r="D239" s="177" t="s">
        <v>187</v>
      </c>
      <c r="E239" s="174">
        <v>175</v>
      </c>
      <c r="F239" s="176"/>
      <c r="G239" s="175"/>
      <c r="H239" s="174"/>
      <c r="I239" s="173">
        <v>26.25</v>
      </c>
      <c r="J239" s="174">
        <v>157</v>
      </c>
      <c r="K239" s="173">
        <v>549.89</v>
      </c>
    </row>
    <row r="240" spans="1:22" ht="14.25" x14ac:dyDescent="0.2">
      <c r="A240" s="172"/>
      <c r="B240" s="171"/>
      <c r="C240" s="171" t="s">
        <v>192</v>
      </c>
      <c r="D240" s="170" t="s">
        <v>191</v>
      </c>
      <c r="E240" s="167">
        <v>364</v>
      </c>
      <c r="F240" s="169"/>
      <c r="G240" s="168" t="s">
        <v>1548</v>
      </c>
      <c r="H240" s="167">
        <v>1</v>
      </c>
      <c r="I240" s="166">
        <v>56.51</v>
      </c>
      <c r="J240" s="167"/>
      <c r="K240" s="166"/>
    </row>
    <row r="241" spans="1:32" ht="15" x14ac:dyDescent="0.25">
      <c r="A241" s="164"/>
      <c r="B241" s="164"/>
      <c r="C241" s="165" t="s">
        <v>183</v>
      </c>
      <c r="D241" s="164"/>
      <c r="E241" s="164"/>
      <c r="F241" s="164"/>
      <c r="G241" s="164"/>
      <c r="H241" s="414">
        <v>18917.87</v>
      </c>
      <c r="I241" s="414"/>
      <c r="J241" s="414">
        <v>145908.76999999999</v>
      </c>
      <c r="K241" s="414"/>
      <c r="O241" s="163">
        <f>I230+I231+I233+I237+I238+I239+SUM(I234:I236)</f>
        <v>18917.87</v>
      </c>
      <c r="P241" s="163">
        <f>K230+K231+K233+K237+K238+K239+SUM(K234:K236)</f>
        <v>145908.76999999999</v>
      </c>
    </row>
    <row r="244" spans="1:32" ht="30" x14ac:dyDescent="0.25">
      <c r="A244" s="417" t="s">
        <v>2155</v>
      </c>
      <c r="B244" s="417"/>
      <c r="C244" s="417"/>
      <c r="D244" s="417"/>
      <c r="E244" s="417"/>
      <c r="F244" s="417"/>
      <c r="G244" s="417"/>
      <c r="H244" s="415">
        <v>48628.35</v>
      </c>
      <c r="I244" s="416"/>
      <c r="J244" s="415">
        <v>334836.49</v>
      </c>
      <c r="K244" s="416"/>
      <c r="AF244" s="201" t="str">
        <f>CONCATENATE("Итого по разделу: ",IF([4]Source!G227&lt;&gt;"Новый раздел", [4]Source!G227, ""))</f>
        <v>Итого по разделу: Уменьшение уровня пола в подвале на 450 мм в осях «8-11/ В-Г». 023/18КН-КР 4.2 лист 1.1</v>
      </c>
    </row>
    <row r="245" spans="1:32" hidden="1" x14ac:dyDescent="0.2">
      <c r="A245" s="160" t="s">
        <v>182</v>
      </c>
      <c r="I245" s="160">
        <v>0</v>
      </c>
      <c r="J245" s="160">
        <v>0</v>
      </c>
    </row>
    <row r="246" spans="1:32" hidden="1" x14ac:dyDescent="0.2">
      <c r="A246" s="160" t="s">
        <v>181</v>
      </c>
      <c r="I246" s="160">
        <v>0</v>
      </c>
      <c r="J246" s="160">
        <v>0</v>
      </c>
    </row>
    <row r="248" spans="1:32" ht="16.5" x14ac:dyDescent="0.25">
      <c r="A248" s="413" t="s">
        <v>2156</v>
      </c>
      <c r="B248" s="413"/>
      <c r="C248" s="413"/>
      <c r="D248" s="413"/>
      <c r="E248" s="413"/>
      <c r="F248" s="413"/>
      <c r="G248" s="413"/>
      <c r="H248" s="413"/>
      <c r="I248" s="413"/>
      <c r="J248" s="413"/>
      <c r="K248" s="413"/>
    </row>
    <row r="250" spans="1:32" ht="16.5" x14ac:dyDescent="0.25">
      <c r="A250" s="413" t="s">
        <v>2157</v>
      </c>
      <c r="B250" s="413"/>
      <c r="C250" s="413"/>
      <c r="D250" s="413"/>
      <c r="E250" s="413"/>
      <c r="F250" s="413"/>
      <c r="G250" s="413"/>
      <c r="H250" s="413"/>
      <c r="I250" s="413"/>
      <c r="J250" s="413"/>
      <c r="K250" s="413"/>
    </row>
    <row r="251" spans="1:32" ht="57" x14ac:dyDescent="0.2">
      <c r="A251" s="179" t="s">
        <v>1635</v>
      </c>
      <c r="B251" s="178" t="s">
        <v>577</v>
      </c>
      <c r="C251" s="178" t="s">
        <v>576</v>
      </c>
      <c r="D251" s="177" t="s">
        <v>2129</v>
      </c>
      <c r="E251" s="174">
        <v>0.8</v>
      </c>
      <c r="F251" s="176"/>
      <c r="G251" s="175"/>
      <c r="H251" s="174"/>
      <c r="I251" s="173"/>
      <c r="J251" s="174"/>
      <c r="K251" s="173"/>
      <c r="Q251" s="160">
        <f>[4]Source!X265</f>
        <v>35.99</v>
      </c>
      <c r="R251" s="160">
        <f>[4]Source!X266</f>
        <v>686.92</v>
      </c>
      <c r="S251" s="160">
        <f>[4]Source!Y265</f>
        <v>24.23</v>
      </c>
      <c r="T251" s="160">
        <f>[4]Source!Y266</f>
        <v>331.34</v>
      </c>
      <c r="U251" s="160">
        <f>ROUND((175/100)*ROUND([4]Source!R265, 2), 2)</f>
        <v>38.68</v>
      </c>
      <c r="V251" s="160">
        <f>ROUND((157/100)*ROUND([4]Source!R266, 2), 2)</f>
        <v>810.18</v>
      </c>
    </row>
    <row r="252" spans="1:32" x14ac:dyDescent="0.2">
      <c r="C252" s="181" t="s">
        <v>2158</v>
      </c>
    </row>
    <row r="253" spans="1:32" ht="14.25" x14ac:dyDescent="0.2">
      <c r="A253" s="179"/>
      <c r="B253" s="178"/>
      <c r="C253" s="178" t="s">
        <v>197</v>
      </c>
      <c r="D253" s="177"/>
      <c r="E253" s="174"/>
      <c r="F253" s="176">
        <v>37.619999999999997</v>
      </c>
      <c r="G253" s="175" t="s">
        <v>1548</v>
      </c>
      <c r="H253" s="174">
        <v>1</v>
      </c>
      <c r="I253" s="173">
        <v>34.61</v>
      </c>
      <c r="J253" s="174">
        <v>23.35</v>
      </c>
      <c r="K253" s="173">
        <v>808.14</v>
      </c>
    </row>
    <row r="254" spans="1:32" ht="14.25" x14ac:dyDescent="0.2">
      <c r="A254" s="179"/>
      <c r="B254" s="178"/>
      <c r="C254" s="178" t="s">
        <v>184</v>
      </c>
      <c r="D254" s="177"/>
      <c r="E254" s="174"/>
      <c r="F254" s="176">
        <v>72.98</v>
      </c>
      <c r="G254" s="175" t="s">
        <v>1549</v>
      </c>
      <c r="H254" s="174">
        <v>1</v>
      </c>
      <c r="I254" s="173">
        <v>72.98</v>
      </c>
      <c r="J254" s="174">
        <v>11.6</v>
      </c>
      <c r="K254" s="173">
        <v>846.57</v>
      </c>
    </row>
    <row r="255" spans="1:32" ht="14.25" x14ac:dyDescent="0.2">
      <c r="A255" s="179"/>
      <c r="B255" s="178"/>
      <c r="C255" s="178" t="s">
        <v>189</v>
      </c>
      <c r="D255" s="177"/>
      <c r="E255" s="174"/>
      <c r="F255" s="176">
        <v>22.1</v>
      </c>
      <c r="G255" s="175" t="s">
        <v>1549</v>
      </c>
      <c r="H255" s="174">
        <v>1</v>
      </c>
      <c r="I255" s="180">
        <v>22.1</v>
      </c>
      <c r="J255" s="174">
        <v>23.35</v>
      </c>
      <c r="K255" s="180">
        <v>516.04</v>
      </c>
    </row>
    <row r="256" spans="1:32" ht="14.25" x14ac:dyDescent="0.2">
      <c r="A256" s="179"/>
      <c r="B256" s="178"/>
      <c r="C256" s="178" t="s">
        <v>205</v>
      </c>
      <c r="D256" s="177"/>
      <c r="E256" s="174"/>
      <c r="F256" s="176">
        <v>203.1</v>
      </c>
      <c r="G256" s="175" t="s">
        <v>195</v>
      </c>
      <c r="H256" s="174">
        <v>1</v>
      </c>
      <c r="I256" s="173">
        <v>162.47999999999999</v>
      </c>
      <c r="J256" s="174">
        <v>9.82</v>
      </c>
      <c r="K256" s="173">
        <v>1595.55</v>
      </c>
    </row>
    <row r="257" spans="1:22" ht="14.25" x14ac:dyDescent="0.2">
      <c r="A257" s="179"/>
      <c r="B257" s="178"/>
      <c r="C257" s="178" t="s">
        <v>194</v>
      </c>
      <c r="D257" s="177" t="s">
        <v>187</v>
      </c>
      <c r="E257" s="174">
        <v>104</v>
      </c>
      <c r="F257" s="176"/>
      <c r="G257" s="175"/>
      <c r="H257" s="174"/>
      <c r="I257" s="173">
        <v>35.99</v>
      </c>
      <c r="J257" s="174">
        <v>85</v>
      </c>
      <c r="K257" s="173">
        <v>686.92</v>
      </c>
    </row>
    <row r="258" spans="1:22" ht="14.25" x14ac:dyDescent="0.2">
      <c r="A258" s="179"/>
      <c r="B258" s="178"/>
      <c r="C258" s="178" t="s">
        <v>193</v>
      </c>
      <c r="D258" s="177" t="s">
        <v>187</v>
      </c>
      <c r="E258" s="174">
        <v>70</v>
      </c>
      <c r="F258" s="176"/>
      <c r="G258" s="175"/>
      <c r="H258" s="174"/>
      <c r="I258" s="173">
        <v>24.23</v>
      </c>
      <c r="J258" s="174">
        <v>41</v>
      </c>
      <c r="K258" s="173">
        <v>331.34</v>
      </c>
    </row>
    <row r="259" spans="1:22" ht="14.25" x14ac:dyDescent="0.2">
      <c r="A259" s="179"/>
      <c r="B259" s="178"/>
      <c r="C259" s="178" t="s">
        <v>188</v>
      </c>
      <c r="D259" s="177" t="s">
        <v>187</v>
      </c>
      <c r="E259" s="174">
        <v>175</v>
      </c>
      <c r="F259" s="176"/>
      <c r="G259" s="175"/>
      <c r="H259" s="174"/>
      <c r="I259" s="173">
        <v>38.68</v>
      </c>
      <c r="J259" s="174">
        <v>157</v>
      </c>
      <c r="K259" s="173">
        <v>810.18</v>
      </c>
    </row>
    <row r="260" spans="1:22" ht="14.25" x14ac:dyDescent="0.2">
      <c r="A260" s="172"/>
      <c r="B260" s="171"/>
      <c r="C260" s="171" t="s">
        <v>192</v>
      </c>
      <c r="D260" s="170" t="s">
        <v>191</v>
      </c>
      <c r="E260" s="167">
        <v>3.24</v>
      </c>
      <c r="F260" s="169"/>
      <c r="G260" s="168" t="s">
        <v>1548</v>
      </c>
      <c r="H260" s="167">
        <v>1</v>
      </c>
      <c r="I260" s="166">
        <v>2.98</v>
      </c>
      <c r="J260" s="167"/>
      <c r="K260" s="166"/>
    </row>
    <row r="261" spans="1:22" ht="15" x14ac:dyDescent="0.25">
      <c r="A261" s="164"/>
      <c r="B261" s="164"/>
      <c r="C261" s="165" t="s">
        <v>183</v>
      </c>
      <c r="D261" s="164"/>
      <c r="E261" s="164"/>
      <c r="F261" s="164"/>
      <c r="G261" s="164"/>
      <c r="H261" s="414">
        <v>368.97</v>
      </c>
      <c r="I261" s="414"/>
      <c r="J261" s="414">
        <v>5078.7</v>
      </c>
      <c r="K261" s="414"/>
      <c r="O261" s="163">
        <f>I253+I254+I256+I257+I258+I259</f>
        <v>368.97</v>
      </c>
      <c r="P261" s="163">
        <f>K253+K254+K256+K257+K258+K259</f>
        <v>5078.7</v>
      </c>
    </row>
    <row r="263" spans="1:22" ht="52.5" x14ac:dyDescent="0.2">
      <c r="A263" s="179" t="s">
        <v>1645</v>
      </c>
      <c r="B263" s="178" t="s">
        <v>263</v>
      </c>
      <c r="C263" s="178" t="s">
        <v>262</v>
      </c>
      <c r="D263" s="177" t="s">
        <v>1749</v>
      </c>
      <c r="E263" s="174">
        <v>8.0000000000000002E-3</v>
      </c>
      <c r="F263" s="176"/>
      <c r="G263" s="175"/>
      <c r="H263" s="174"/>
      <c r="I263" s="173"/>
      <c r="J263" s="174"/>
      <c r="K263" s="173"/>
      <c r="Q263" s="160">
        <f>[4]Source!X267</f>
        <v>10.79</v>
      </c>
      <c r="R263" s="160">
        <f>[4]Source!X268</f>
        <v>201.49</v>
      </c>
      <c r="S263" s="160">
        <f>[4]Source!Y267</f>
        <v>8.8800000000000008</v>
      </c>
      <c r="T263" s="160">
        <f>[4]Source!Y268</f>
        <v>121.49</v>
      </c>
      <c r="U263" s="160">
        <f>ROUND((175/100)*ROUND([4]Source!R267, 2), 2)</f>
        <v>0.04</v>
      </c>
      <c r="V263" s="160">
        <f>ROUND((157/100)*ROUND([4]Source!R268, 2), 2)</f>
        <v>0.74</v>
      </c>
    </row>
    <row r="264" spans="1:22" x14ac:dyDescent="0.2">
      <c r="C264" s="181" t="s">
        <v>2159</v>
      </c>
    </row>
    <row r="265" spans="1:22" ht="14.25" x14ac:dyDescent="0.2">
      <c r="A265" s="179"/>
      <c r="B265" s="178"/>
      <c r="C265" s="178" t="s">
        <v>197</v>
      </c>
      <c r="D265" s="177"/>
      <c r="E265" s="174"/>
      <c r="F265" s="176">
        <v>1379.7</v>
      </c>
      <c r="G265" s="175" t="s">
        <v>1548</v>
      </c>
      <c r="H265" s="174">
        <v>1</v>
      </c>
      <c r="I265" s="173">
        <v>12.69</v>
      </c>
      <c r="J265" s="174">
        <v>23.35</v>
      </c>
      <c r="K265" s="173">
        <v>296.31</v>
      </c>
    </row>
    <row r="266" spans="1:22" ht="14.25" x14ac:dyDescent="0.2">
      <c r="A266" s="179"/>
      <c r="B266" s="178"/>
      <c r="C266" s="178" t="s">
        <v>184</v>
      </c>
      <c r="D266" s="177"/>
      <c r="E266" s="174"/>
      <c r="F266" s="176">
        <v>22.6</v>
      </c>
      <c r="G266" s="175" t="s">
        <v>1549</v>
      </c>
      <c r="H266" s="174">
        <v>1</v>
      </c>
      <c r="I266" s="173">
        <v>0.23</v>
      </c>
      <c r="J266" s="174">
        <v>5.49</v>
      </c>
      <c r="K266" s="173">
        <v>1.26</v>
      </c>
    </row>
    <row r="267" spans="1:22" ht="14.25" x14ac:dyDescent="0.2">
      <c r="A267" s="179"/>
      <c r="B267" s="178"/>
      <c r="C267" s="178" t="s">
        <v>189</v>
      </c>
      <c r="D267" s="177"/>
      <c r="E267" s="174"/>
      <c r="F267" s="176">
        <v>2.09</v>
      </c>
      <c r="G267" s="175" t="s">
        <v>1549</v>
      </c>
      <c r="H267" s="174">
        <v>1</v>
      </c>
      <c r="I267" s="180">
        <v>0.02</v>
      </c>
      <c r="J267" s="174">
        <v>23.35</v>
      </c>
      <c r="K267" s="180">
        <v>0.47</v>
      </c>
    </row>
    <row r="268" spans="1:22" ht="14.25" x14ac:dyDescent="0.2">
      <c r="A268" s="179"/>
      <c r="B268" s="178"/>
      <c r="C268" s="178" t="s">
        <v>205</v>
      </c>
      <c r="D268" s="177"/>
      <c r="E268" s="174"/>
      <c r="F268" s="176">
        <v>1859.87</v>
      </c>
      <c r="G268" s="175" t="s">
        <v>195</v>
      </c>
      <c r="H268" s="174">
        <v>1</v>
      </c>
      <c r="I268" s="173">
        <v>14.88</v>
      </c>
      <c r="J268" s="174">
        <v>3.05</v>
      </c>
      <c r="K268" s="173">
        <v>45.38</v>
      </c>
    </row>
    <row r="269" spans="1:22" ht="57" x14ac:dyDescent="0.2">
      <c r="A269" s="179" t="s">
        <v>1647</v>
      </c>
      <c r="B269" s="178" t="s">
        <v>2160</v>
      </c>
      <c r="C269" s="178" t="s">
        <v>575</v>
      </c>
      <c r="D269" s="177" t="s">
        <v>1594</v>
      </c>
      <c r="E269" s="174">
        <v>0.81599999999999995</v>
      </c>
      <c r="F269" s="176">
        <v>607.45000000000005</v>
      </c>
      <c r="G269" s="182" t="s">
        <v>195</v>
      </c>
      <c r="H269" s="174">
        <v>1</v>
      </c>
      <c r="I269" s="173">
        <v>495.68</v>
      </c>
      <c r="J269" s="174">
        <v>6.05</v>
      </c>
      <c r="K269" s="173">
        <v>2998.86</v>
      </c>
      <c r="Q269" s="160">
        <f>[4]Source!X269</f>
        <v>0</v>
      </c>
      <c r="R269" s="160">
        <f>[4]Source!X270</f>
        <v>0</v>
      </c>
      <c r="S269" s="160">
        <f>[4]Source!Y269</f>
        <v>0</v>
      </c>
      <c r="T269" s="160">
        <f>[4]Source!Y270</f>
        <v>0</v>
      </c>
      <c r="U269" s="160">
        <f>ROUND((175/100)*ROUND([4]Source!R269, 2), 2)</f>
        <v>0</v>
      </c>
      <c r="V269" s="160">
        <f>ROUND((157/100)*ROUND([4]Source!R270, 2), 2)</f>
        <v>0</v>
      </c>
    </row>
    <row r="270" spans="1:22" ht="14.25" x14ac:dyDescent="0.2">
      <c r="A270" s="179"/>
      <c r="B270" s="178"/>
      <c r="C270" s="178" t="s">
        <v>194</v>
      </c>
      <c r="D270" s="177" t="s">
        <v>187</v>
      </c>
      <c r="E270" s="174">
        <v>85</v>
      </c>
      <c r="F270" s="176"/>
      <c r="G270" s="175"/>
      <c r="H270" s="174"/>
      <c r="I270" s="173">
        <v>10.79</v>
      </c>
      <c r="J270" s="174">
        <v>68</v>
      </c>
      <c r="K270" s="173">
        <v>201.49</v>
      </c>
    </row>
    <row r="271" spans="1:22" ht="14.25" x14ac:dyDescent="0.2">
      <c r="A271" s="179"/>
      <c r="B271" s="178"/>
      <c r="C271" s="178" t="s">
        <v>193</v>
      </c>
      <c r="D271" s="177" t="s">
        <v>187</v>
      </c>
      <c r="E271" s="174">
        <v>70</v>
      </c>
      <c r="F271" s="176"/>
      <c r="G271" s="175"/>
      <c r="H271" s="174"/>
      <c r="I271" s="173">
        <v>8.8800000000000008</v>
      </c>
      <c r="J271" s="174">
        <v>41</v>
      </c>
      <c r="K271" s="173">
        <v>121.49</v>
      </c>
    </row>
    <row r="272" spans="1:22" ht="14.25" x14ac:dyDescent="0.2">
      <c r="A272" s="179"/>
      <c r="B272" s="178"/>
      <c r="C272" s="178" t="s">
        <v>188</v>
      </c>
      <c r="D272" s="177" t="s">
        <v>187</v>
      </c>
      <c r="E272" s="174">
        <v>175</v>
      </c>
      <c r="F272" s="176"/>
      <c r="G272" s="175"/>
      <c r="H272" s="174"/>
      <c r="I272" s="173">
        <v>0.04</v>
      </c>
      <c r="J272" s="174">
        <v>157</v>
      </c>
      <c r="K272" s="173">
        <v>0.74</v>
      </c>
    </row>
    <row r="273" spans="1:22" ht="14.25" x14ac:dyDescent="0.2">
      <c r="A273" s="172"/>
      <c r="B273" s="171"/>
      <c r="C273" s="171" t="s">
        <v>192</v>
      </c>
      <c r="D273" s="170" t="s">
        <v>191</v>
      </c>
      <c r="E273" s="167">
        <v>135</v>
      </c>
      <c r="F273" s="169"/>
      <c r="G273" s="168" t="s">
        <v>1548</v>
      </c>
      <c r="H273" s="167">
        <v>1</v>
      </c>
      <c r="I273" s="166">
        <v>1.24</v>
      </c>
      <c r="J273" s="167"/>
      <c r="K273" s="166"/>
    </row>
    <row r="274" spans="1:22" ht="15" x14ac:dyDescent="0.25">
      <c r="A274" s="164"/>
      <c r="B274" s="164"/>
      <c r="C274" s="165" t="s">
        <v>183</v>
      </c>
      <c r="D274" s="164"/>
      <c r="E274" s="164"/>
      <c r="F274" s="164"/>
      <c r="G274" s="164"/>
      <c r="H274" s="414">
        <v>543.19000000000005</v>
      </c>
      <c r="I274" s="414"/>
      <c r="J274" s="414">
        <v>3665.53</v>
      </c>
      <c r="K274" s="414"/>
      <c r="O274" s="163">
        <f>I265+I266+I268+I270+I271+I272+SUM(I269:I269)</f>
        <v>543.19000000000005</v>
      </c>
      <c r="P274" s="163">
        <f>K265+K266+K268+K270+K271+K272+SUM(K269:K269)</f>
        <v>3665.53</v>
      </c>
    </row>
    <row r="276" spans="1:22" ht="52.5" x14ac:dyDescent="0.2">
      <c r="A276" s="179" t="s">
        <v>1652</v>
      </c>
      <c r="B276" s="178" t="s">
        <v>230</v>
      </c>
      <c r="C276" s="178" t="s">
        <v>229</v>
      </c>
      <c r="D276" s="177" t="s">
        <v>1785</v>
      </c>
      <c r="E276" s="174">
        <v>0.70704</v>
      </c>
      <c r="F276" s="176"/>
      <c r="G276" s="175"/>
      <c r="H276" s="174"/>
      <c r="I276" s="173"/>
      <c r="J276" s="174"/>
      <c r="K276" s="173"/>
      <c r="Q276" s="160">
        <f>[4]Source!X271</f>
        <v>93.08</v>
      </c>
      <c r="R276" s="160">
        <f>[4]Source!X272</f>
        <v>1738.8</v>
      </c>
      <c r="S276" s="160">
        <f>[4]Source!Y271</f>
        <v>76.66</v>
      </c>
      <c r="T276" s="160">
        <f>[4]Source!Y272</f>
        <v>1048.3900000000001</v>
      </c>
      <c r="U276" s="160">
        <f>ROUND((175/100)*ROUND([4]Source!R271, 2), 2)</f>
        <v>8.65</v>
      </c>
      <c r="V276" s="160">
        <f>ROUND((157/100)*ROUND([4]Source!R272, 2), 2)</f>
        <v>181.1</v>
      </c>
    </row>
    <row r="277" spans="1:22" x14ac:dyDescent="0.2">
      <c r="C277" s="181" t="s">
        <v>2161</v>
      </c>
    </row>
    <row r="278" spans="1:22" ht="14.25" x14ac:dyDescent="0.2">
      <c r="A278" s="179"/>
      <c r="B278" s="178"/>
      <c r="C278" s="178" t="s">
        <v>197</v>
      </c>
      <c r="D278" s="177"/>
      <c r="E278" s="174"/>
      <c r="F278" s="176">
        <v>134.68</v>
      </c>
      <c r="G278" s="175" t="s">
        <v>1548</v>
      </c>
      <c r="H278" s="174">
        <v>1</v>
      </c>
      <c r="I278" s="173">
        <v>109.51</v>
      </c>
      <c r="J278" s="174">
        <v>23.35</v>
      </c>
      <c r="K278" s="173">
        <v>2557.06</v>
      </c>
    </row>
    <row r="279" spans="1:22" ht="14.25" x14ac:dyDescent="0.2">
      <c r="A279" s="179"/>
      <c r="B279" s="178"/>
      <c r="C279" s="178" t="s">
        <v>184</v>
      </c>
      <c r="D279" s="177"/>
      <c r="E279" s="174"/>
      <c r="F279" s="176">
        <v>44</v>
      </c>
      <c r="G279" s="175" t="s">
        <v>1549</v>
      </c>
      <c r="H279" s="174">
        <v>1</v>
      </c>
      <c r="I279" s="173">
        <v>38.89</v>
      </c>
      <c r="J279" s="174">
        <v>8.19</v>
      </c>
      <c r="K279" s="173">
        <v>318.51</v>
      </c>
    </row>
    <row r="280" spans="1:22" ht="14.25" x14ac:dyDescent="0.2">
      <c r="A280" s="179"/>
      <c r="B280" s="178"/>
      <c r="C280" s="178" t="s">
        <v>189</v>
      </c>
      <c r="D280" s="177"/>
      <c r="E280" s="174"/>
      <c r="F280" s="176">
        <v>5.59</v>
      </c>
      <c r="G280" s="175" t="s">
        <v>1549</v>
      </c>
      <c r="H280" s="174">
        <v>1</v>
      </c>
      <c r="I280" s="180">
        <v>4.9400000000000004</v>
      </c>
      <c r="J280" s="174">
        <v>23.35</v>
      </c>
      <c r="K280" s="180">
        <v>115.35</v>
      </c>
    </row>
    <row r="281" spans="1:22" ht="14.25" x14ac:dyDescent="0.2">
      <c r="A281" s="179"/>
      <c r="B281" s="178"/>
      <c r="C281" s="178" t="s">
        <v>205</v>
      </c>
      <c r="D281" s="177"/>
      <c r="E281" s="174"/>
      <c r="F281" s="176">
        <v>258.91000000000003</v>
      </c>
      <c r="G281" s="175" t="s">
        <v>195</v>
      </c>
      <c r="H281" s="174">
        <v>1</v>
      </c>
      <c r="I281" s="173">
        <v>183.06</v>
      </c>
      <c r="J281" s="174">
        <v>5.54</v>
      </c>
      <c r="K281" s="173">
        <v>1014.15</v>
      </c>
    </row>
    <row r="282" spans="1:22" ht="71.25" x14ac:dyDescent="0.2">
      <c r="A282" s="179" t="s">
        <v>1655</v>
      </c>
      <c r="B282" s="178" t="s">
        <v>2162</v>
      </c>
      <c r="C282" s="178" t="s">
        <v>574</v>
      </c>
      <c r="D282" s="177" t="s">
        <v>1533</v>
      </c>
      <c r="E282" s="174">
        <v>0.35343999999999998</v>
      </c>
      <c r="F282" s="176">
        <v>5681.92</v>
      </c>
      <c r="G282" s="182" t="s">
        <v>195</v>
      </c>
      <c r="H282" s="174">
        <v>1</v>
      </c>
      <c r="I282" s="173">
        <v>2008.22</v>
      </c>
      <c r="J282" s="174">
        <v>7.62</v>
      </c>
      <c r="K282" s="173">
        <v>15302.64</v>
      </c>
      <c r="Q282" s="160">
        <f>[4]Source!X273</f>
        <v>0</v>
      </c>
      <c r="R282" s="160">
        <f>[4]Source!X274</f>
        <v>0</v>
      </c>
      <c r="S282" s="160">
        <f>[4]Source!Y273</f>
        <v>0</v>
      </c>
      <c r="T282" s="160">
        <f>[4]Source!Y274</f>
        <v>0</v>
      </c>
      <c r="U282" s="160">
        <f>ROUND((175/100)*ROUND([4]Source!R273, 2), 2)</f>
        <v>0</v>
      </c>
      <c r="V282" s="160">
        <f>ROUND((157/100)*ROUND([4]Source!R274, 2), 2)</f>
        <v>0</v>
      </c>
    </row>
    <row r="283" spans="1:22" ht="57" x14ac:dyDescent="0.2">
      <c r="A283" s="179" t="s">
        <v>1656</v>
      </c>
      <c r="B283" s="178" t="s">
        <v>2163</v>
      </c>
      <c r="C283" s="178" t="s">
        <v>573</v>
      </c>
      <c r="D283" s="177" t="s">
        <v>1533</v>
      </c>
      <c r="E283" s="174">
        <v>0.35360000000000003</v>
      </c>
      <c r="F283" s="176">
        <v>6340.75</v>
      </c>
      <c r="G283" s="182" t="s">
        <v>195</v>
      </c>
      <c r="H283" s="174">
        <v>1</v>
      </c>
      <c r="I283" s="173">
        <v>2242.09</v>
      </c>
      <c r="J283" s="174">
        <v>7.02</v>
      </c>
      <c r="K283" s="173">
        <v>15739.47</v>
      </c>
      <c r="Q283" s="160">
        <f>[4]Source!X275</f>
        <v>0</v>
      </c>
      <c r="R283" s="160">
        <f>[4]Source!X276</f>
        <v>0</v>
      </c>
      <c r="S283" s="160">
        <f>[4]Source!Y275</f>
        <v>0</v>
      </c>
      <c r="T283" s="160">
        <f>[4]Source!Y276</f>
        <v>0</v>
      </c>
      <c r="U283" s="160">
        <f>ROUND((175/100)*ROUND([4]Source!R275, 2), 2)</f>
        <v>0</v>
      </c>
      <c r="V283" s="160">
        <f>ROUND((157/100)*ROUND([4]Source!R276, 2), 2)</f>
        <v>0</v>
      </c>
    </row>
    <row r="284" spans="1:22" ht="14.25" x14ac:dyDescent="0.2">
      <c r="A284" s="179"/>
      <c r="B284" s="178"/>
      <c r="C284" s="178" t="s">
        <v>194</v>
      </c>
      <c r="D284" s="177" t="s">
        <v>187</v>
      </c>
      <c r="E284" s="174">
        <v>85</v>
      </c>
      <c r="F284" s="176"/>
      <c r="G284" s="175"/>
      <c r="H284" s="174"/>
      <c r="I284" s="173">
        <v>93.08</v>
      </c>
      <c r="J284" s="174">
        <v>68</v>
      </c>
      <c r="K284" s="173">
        <v>1738.8</v>
      </c>
    </row>
    <row r="285" spans="1:22" ht="14.25" x14ac:dyDescent="0.2">
      <c r="A285" s="179"/>
      <c r="B285" s="178"/>
      <c r="C285" s="178" t="s">
        <v>193</v>
      </c>
      <c r="D285" s="177" t="s">
        <v>187</v>
      </c>
      <c r="E285" s="174">
        <v>70</v>
      </c>
      <c r="F285" s="176"/>
      <c r="G285" s="175"/>
      <c r="H285" s="174"/>
      <c r="I285" s="173">
        <v>76.66</v>
      </c>
      <c r="J285" s="174">
        <v>41</v>
      </c>
      <c r="K285" s="173">
        <v>1048.3900000000001</v>
      </c>
    </row>
    <row r="286" spans="1:22" ht="14.25" x14ac:dyDescent="0.2">
      <c r="A286" s="179"/>
      <c r="B286" s="178"/>
      <c r="C286" s="178" t="s">
        <v>188</v>
      </c>
      <c r="D286" s="177" t="s">
        <v>187</v>
      </c>
      <c r="E286" s="174">
        <v>175</v>
      </c>
      <c r="F286" s="176"/>
      <c r="G286" s="175"/>
      <c r="H286" s="174"/>
      <c r="I286" s="173">
        <v>8.65</v>
      </c>
      <c r="J286" s="174">
        <v>157</v>
      </c>
      <c r="K286" s="173">
        <v>181.1</v>
      </c>
    </row>
    <row r="287" spans="1:22" ht="14.25" x14ac:dyDescent="0.2">
      <c r="A287" s="172"/>
      <c r="B287" s="171"/>
      <c r="C287" s="171" t="s">
        <v>192</v>
      </c>
      <c r="D287" s="170" t="s">
        <v>191</v>
      </c>
      <c r="E287" s="167">
        <v>11.6</v>
      </c>
      <c r="F287" s="169"/>
      <c r="G287" s="168" t="s">
        <v>1548</v>
      </c>
      <c r="H287" s="167">
        <v>1</v>
      </c>
      <c r="I287" s="166">
        <v>9.43</v>
      </c>
      <c r="J287" s="167"/>
      <c r="K287" s="166"/>
    </row>
    <row r="288" spans="1:22" ht="15" x14ac:dyDescent="0.25">
      <c r="A288" s="164"/>
      <c r="B288" s="164"/>
      <c r="C288" s="165" t="s">
        <v>183</v>
      </c>
      <c r="D288" s="164"/>
      <c r="E288" s="164"/>
      <c r="F288" s="164"/>
      <c r="G288" s="164"/>
      <c r="H288" s="414">
        <v>4760.16</v>
      </c>
      <c r="I288" s="414"/>
      <c r="J288" s="414">
        <v>37900.120000000003</v>
      </c>
      <c r="K288" s="414"/>
      <c r="O288" s="163">
        <f>I278+I279+I281+I284+I285+I286+SUM(I282:I283)</f>
        <v>4760.16</v>
      </c>
      <c r="P288" s="163">
        <f>K278+K279+K281+K284+K285+K286+SUM(K282:K283)</f>
        <v>37900.120000000003</v>
      </c>
    </row>
    <row r="290" spans="1:22" ht="52.5" x14ac:dyDescent="0.2">
      <c r="A290" s="179" t="s">
        <v>1665</v>
      </c>
      <c r="B290" s="178" t="s">
        <v>572</v>
      </c>
      <c r="C290" s="178" t="s">
        <v>571</v>
      </c>
      <c r="D290" s="177" t="s">
        <v>1749</v>
      </c>
      <c r="E290" s="174">
        <v>4.4999999999999998E-2</v>
      </c>
      <c r="F290" s="176"/>
      <c r="G290" s="175"/>
      <c r="H290" s="174"/>
      <c r="I290" s="173"/>
      <c r="J290" s="174"/>
      <c r="K290" s="173"/>
      <c r="Q290" s="160">
        <f>[4]Source!X277</f>
        <v>47.7</v>
      </c>
      <c r="R290" s="160">
        <f>[4]Source!X278</f>
        <v>891.07</v>
      </c>
      <c r="S290" s="160">
        <f>[4]Source!Y277</f>
        <v>39.28</v>
      </c>
      <c r="T290" s="160">
        <f>[4]Source!Y278</f>
        <v>537.26</v>
      </c>
      <c r="U290" s="160">
        <f>ROUND((175/100)*ROUND([4]Source!R277, 2), 2)</f>
        <v>2.19</v>
      </c>
      <c r="V290" s="160">
        <f>ROUND((157/100)*ROUND([4]Source!R278, 2), 2)</f>
        <v>45.83</v>
      </c>
    </row>
    <row r="291" spans="1:22" x14ac:dyDescent="0.2">
      <c r="C291" s="181" t="s">
        <v>2164</v>
      </c>
    </row>
    <row r="292" spans="1:22" ht="14.25" x14ac:dyDescent="0.2">
      <c r="A292" s="179"/>
      <c r="B292" s="178"/>
      <c r="C292" s="178" t="s">
        <v>197</v>
      </c>
      <c r="D292" s="177"/>
      <c r="E292" s="174"/>
      <c r="F292" s="176">
        <v>1084.46</v>
      </c>
      <c r="G292" s="175" t="s">
        <v>1548</v>
      </c>
      <c r="H292" s="174">
        <v>1</v>
      </c>
      <c r="I292" s="173">
        <v>56.12</v>
      </c>
      <c r="J292" s="174">
        <v>23.35</v>
      </c>
      <c r="K292" s="173">
        <v>1310.4000000000001</v>
      </c>
    </row>
    <row r="293" spans="1:22" ht="14.25" x14ac:dyDescent="0.2">
      <c r="A293" s="179"/>
      <c r="B293" s="178"/>
      <c r="C293" s="178" t="s">
        <v>184</v>
      </c>
      <c r="D293" s="177"/>
      <c r="E293" s="174"/>
      <c r="F293" s="176">
        <v>164.24</v>
      </c>
      <c r="G293" s="175" t="s">
        <v>1549</v>
      </c>
      <c r="H293" s="174">
        <v>1</v>
      </c>
      <c r="I293" s="173">
        <v>9.24</v>
      </c>
      <c r="J293" s="174">
        <v>8.11</v>
      </c>
      <c r="K293" s="173">
        <v>74.94</v>
      </c>
    </row>
    <row r="294" spans="1:22" ht="14.25" x14ac:dyDescent="0.2">
      <c r="A294" s="179"/>
      <c r="B294" s="178"/>
      <c r="C294" s="178" t="s">
        <v>189</v>
      </c>
      <c r="D294" s="177"/>
      <c r="E294" s="174"/>
      <c r="F294" s="176">
        <v>22.17</v>
      </c>
      <c r="G294" s="175" t="s">
        <v>1549</v>
      </c>
      <c r="H294" s="174">
        <v>1</v>
      </c>
      <c r="I294" s="180">
        <v>1.25</v>
      </c>
      <c r="J294" s="174">
        <v>23.35</v>
      </c>
      <c r="K294" s="180">
        <v>29.19</v>
      </c>
    </row>
    <row r="295" spans="1:22" ht="14.25" x14ac:dyDescent="0.2">
      <c r="A295" s="179"/>
      <c r="B295" s="178"/>
      <c r="C295" s="178" t="s">
        <v>205</v>
      </c>
      <c r="D295" s="177"/>
      <c r="E295" s="174"/>
      <c r="F295" s="176">
        <v>650.19000000000005</v>
      </c>
      <c r="G295" s="175" t="s">
        <v>195</v>
      </c>
      <c r="H295" s="174">
        <v>1</v>
      </c>
      <c r="I295" s="173">
        <v>29.26</v>
      </c>
      <c r="J295" s="174">
        <v>3.57</v>
      </c>
      <c r="K295" s="173">
        <v>104.46</v>
      </c>
    </row>
    <row r="296" spans="1:22" ht="57" x14ac:dyDescent="0.2">
      <c r="A296" s="179" t="s">
        <v>1667</v>
      </c>
      <c r="B296" s="178" t="s">
        <v>2138</v>
      </c>
      <c r="C296" s="178" t="s">
        <v>554</v>
      </c>
      <c r="D296" s="177" t="s">
        <v>1594</v>
      </c>
      <c r="E296" s="174">
        <v>4.5674999999999999</v>
      </c>
      <c r="F296" s="176">
        <v>745.24</v>
      </c>
      <c r="G296" s="182" t="s">
        <v>195</v>
      </c>
      <c r="H296" s="174">
        <v>1</v>
      </c>
      <c r="I296" s="173">
        <v>3403.88</v>
      </c>
      <c r="J296" s="174">
        <v>5.92</v>
      </c>
      <c r="K296" s="173">
        <v>20150.97</v>
      </c>
      <c r="Q296" s="160">
        <f>[4]Source!X279</f>
        <v>0</v>
      </c>
      <c r="R296" s="160">
        <f>[4]Source!X280</f>
        <v>0</v>
      </c>
      <c r="S296" s="160">
        <f>[4]Source!Y279</f>
        <v>0</v>
      </c>
      <c r="T296" s="160">
        <f>[4]Source!Y280</f>
        <v>0</v>
      </c>
      <c r="U296" s="160">
        <f>ROUND((175/100)*ROUND([4]Source!R279, 2), 2)</f>
        <v>0</v>
      </c>
      <c r="V296" s="160">
        <f>ROUND((157/100)*ROUND([4]Source!R280, 2), 2)</f>
        <v>0</v>
      </c>
    </row>
    <row r="297" spans="1:22" ht="14.25" x14ac:dyDescent="0.2">
      <c r="A297" s="179"/>
      <c r="B297" s="178"/>
      <c r="C297" s="178" t="s">
        <v>194</v>
      </c>
      <c r="D297" s="177" t="s">
        <v>187</v>
      </c>
      <c r="E297" s="174">
        <v>85</v>
      </c>
      <c r="F297" s="176"/>
      <c r="G297" s="175"/>
      <c r="H297" s="174"/>
      <c r="I297" s="173">
        <v>47.7</v>
      </c>
      <c r="J297" s="174">
        <v>68</v>
      </c>
      <c r="K297" s="173">
        <v>891.07</v>
      </c>
    </row>
    <row r="298" spans="1:22" ht="14.25" x14ac:dyDescent="0.2">
      <c r="A298" s="179"/>
      <c r="B298" s="178"/>
      <c r="C298" s="178" t="s">
        <v>193</v>
      </c>
      <c r="D298" s="177" t="s">
        <v>187</v>
      </c>
      <c r="E298" s="174">
        <v>70</v>
      </c>
      <c r="F298" s="176"/>
      <c r="G298" s="175"/>
      <c r="H298" s="174"/>
      <c r="I298" s="173">
        <v>39.28</v>
      </c>
      <c r="J298" s="174">
        <v>41</v>
      </c>
      <c r="K298" s="173">
        <v>537.26</v>
      </c>
    </row>
    <row r="299" spans="1:22" ht="14.25" x14ac:dyDescent="0.2">
      <c r="A299" s="179"/>
      <c r="B299" s="178"/>
      <c r="C299" s="178" t="s">
        <v>188</v>
      </c>
      <c r="D299" s="177" t="s">
        <v>187</v>
      </c>
      <c r="E299" s="174">
        <v>175</v>
      </c>
      <c r="F299" s="176"/>
      <c r="G299" s="175"/>
      <c r="H299" s="174"/>
      <c r="I299" s="173">
        <v>2.19</v>
      </c>
      <c r="J299" s="174">
        <v>157</v>
      </c>
      <c r="K299" s="173">
        <v>45.83</v>
      </c>
    </row>
    <row r="300" spans="1:22" ht="14.25" x14ac:dyDescent="0.2">
      <c r="A300" s="172"/>
      <c r="B300" s="171"/>
      <c r="C300" s="171" t="s">
        <v>192</v>
      </c>
      <c r="D300" s="170" t="s">
        <v>191</v>
      </c>
      <c r="E300" s="167">
        <v>97</v>
      </c>
      <c r="F300" s="169"/>
      <c r="G300" s="168" t="s">
        <v>1548</v>
      </c>
      <c r="H300" s="167">
        <v>1</v>
      </c>
      <c r="I300" s="166">
        <v>5.0199999999999996</v>
      </c>
      <c r="J300" s="167"/>
      <c r="K300" s="166"/>
    </row>
    <row r="301" spans="1:22" ht="15" x14ac:dyDescent="0.25">
      <c r="A301" s="164"/>
      <c r="B301" s="164"/>
      <c r="C301" s="165" t="s">
        <v>183</v>
      </c>
      <c r="D301" s="164"/>
      <c r="E301" s="164"/>
      <c r="F301" s="164"/>
      <c r="G301" s="164"/>
      <c r="H301" s="414">
        <v>3587.67</v>
      </c>
      <c r="I301" s="414"/>
      <c r="J301" s="414">
        <v>23114.93</v>
      </c>
      <c r="K301" s="414"/>
      <c r="O301" s="163">
        <f>I292+I293+I295+I297+I298+I299+SUM(I296:I296)</f>
        <v>3587.67</v>
      </c>
      <c r="P301" s="163">
        <f>K292+K293+K295+K297+K298+K299+SUM(K296:K296)</f>
        <v>23114.93</v>
      </c>
    </row>
    <row r="303" spans="1:22" ht="71.25" x14ac:dyDescent="0.2">
      <c r="A303" s="179" t="s">
        <v>1672</v>
      </c>
      <c r="B303" s="178" t="s">
        <v>570</v>
      </c>
      <c r="C303" s="178" t="s">
        <v>569</v>
      </c>
      <c r="D303" s="177" t="s">
        <v>1855</v>
      </c>
      <c r="E303" s="174">
        <v>0.36</v>
      </c>
      <c r="F303" s="176"/>
      <c r="G303" s="175"/>
      <c r="H303" s="174"/>
      <c r="I303" s="173"/>
      <c r="J303" s="174"/>
      <c r="K303" s="173"/>
      <c r="Q303" s="160">
        <f>[4]Source!X281</f>
        <v>102.18</v>
      </c>
      <c r="R303" s="160">
        <f>[4]Source!X282</f>
        <v>1950.02</v>
      </c>
      <c r="S303" s="160">
        <f>[4]Source!Y281</f>
        <v>68.78</v>
      </c>
      <c r="T303" s="160">
        <f>[4]Source!Y282</f>
        <v>940.6</v>
      </c>
      <c r="U303" s="160">
        <f>ROUND((175/100)*ROUND([4]Source!R281, 2), 2)</f>
        <v>25.83</v>
      </c>
      <c r="V303" s="160">
        <f>ROUND((157/100)*ROUND([4]Source!R282, 2), 2)</f>
        <v>541.1</v>
      </c>
    </row>
    <row r="304" spans="1:22" x14ac:dyDescent="0.2">
      <c r="C304" s="181" t="s">
        <v>2165</v>
      </c>
    </row>
    <row r="305" spans="1:32" ht="14.25" x14ac:dyDescent="0.2">
      <c r="A305" s="179"/>
      <c r="B305" s="178"/>
      <c r="C305" s="178" t="s">
        <v>197</v>
      </c>
      <c r="D305" s="177"/>
      <c r="E305" s="174"/>
      <c r="F305" s="176">
        <v>237.31</v>
      </c>
      <c r="G305" s="175" t="s">
        <v>1548</v>
      </c>
      <c r="H305" s="174">
        <v>1</v>
      </c>
      <c r="I305" s="173">
        <v>98.25</v>
      </c>
      <c r="J305" s="174">
        <v>23.35</v>
      </c>
      <c r="K305" s="173">
        <v>2294.14</v>
      </c>
    </row>
    <row r="306" spans="1:32" ht="14.25" x14ac:dyDescent="0.2">
      <c r="A306" s="179"/>
      <c r="B306" s="178"/>
      <c r="C306" s="178" t="s">
        <v>184</v>
      </c>
      <c r="D306" s="177"/>
      <c r="E306" s="174"/>
      <c r="F306" s="176">
        <v>189.59</v>
      </c>
      <c r="G306" s="175" t="s">
        <v>1549</v>
      </c>
      <c r="H306" s="174">
        <v>1</v>
      </c>
      <c r="I306" s="173">
        <v>85.32</v>
      </c>
      <c r="J306" s="174">
        <v>8.4600000000000009</v>
      </c>
      <c r="K306" s="173">
        <v>721.81</v>
      </c>
    </row>
    <row r="307" spans="1:32" ht="14.25" x14ac:dyDescent="0.2">
      <c r="A307" s="179"/>
      <c r="B307" s="178"/>
      <c r="C307" s="178" t="s">
        <v>189</v>
      </c>
      <c r="D307" s="177"/>
      <c r="E307" s="174"/>
      <c r="F307" s="176">
        <v>32.799999999999997</v>
      </c>
      <c r="G307" s="175" t="s">
        <v>1549</v>
      </c>
      <c r="H307" s="174">
        <v>1</v>
      </c>
      <c r="I307" s="180">
        <v>14.76</v>
      </c>
      <c r="J307" s="174">
        <v>23.35</v>
      </c>
      <c r="K307" s="180">
        <v>344.65</v>
      </c>
    </row>
    <row r="308" spans="1:32" ht="14.25" x14ac:dyDescent="0.2">
      <c r="A308" s="179"/>
      <c r="B308" s="178"/>
      <c r="C308" s="178" t="s">
        <v>205</v>
      </c>
      <c r="D308" s="177"/>
      <c r="E308" s="174"/>
      <c r="F308" s="176">
        <v>5970.27</v>
      </c>
      <c r="G308" s="175" t="s">
        <v>195</v>
      </c>
      <c r="H308" s="174">
        <v>1</v>
      </c>
      <c r="I308" s="173">
        <v>2149.3000000000002</v>
      </c>
      <c r="J308" s="174">
        <v>2.69</v>
      </c>
      <c r="K308" s="173">
        <v>5781.62</v>
      </c>
    </row>
    <row r="309" spans="1:32" ht="14.25" x14ac:dyDescent="0.2">
      <c r="A309" s="179"/>
      <c r="B309" s="178"/>
      <c r="C309" s="178" t="s">
        <v>194</v>
      </c>
      <c r="D309" s="177" t="s">
        <v>187</v>
      </c>
      <c r="E309" s="174">
        <v>104</v>
      </c>
      <c r="F309" s="176"/>
      <c r="G309" s="175"/>
      <c r="H309" s="174"/>
      <c r="I309" s="173">
        <v>102.18</v>
      </c>
      <c r="J309" s="174">
        <v>85</v>
      </c>
      <c r="K309" s="173">
        <v>1950.02</v>
      </c>
    </row>
    <row r="310" spans="1:32" ht="14.25" x14ac:dyDescent="0.2">
      <c r="A310" s="179"/>
      <c r="B310" s="178"/>
      <c r="C310" s="178" t="s">
        <v>193</v>
      </c>
      <c r="D310" s="177" t="s">
        <v>187</v>
      </c>
      <c r="E310" s="174">
        <v>70</v>
      </c>
      <c r="F310" s="176"/>
      <c r="G310" s="175"/>
      <c r="H310" s="174"/>
      <c r="I310" s="173">
        <v>68.78</v>
      </c>
      <c r="J310" s="174">
        <v>41</v>
      </c>
      <c r="K310" s="173">
        <v>940.6</v>
      </c>
    </row>
    <row r="311" spans="1:32" ht="14.25" x14ac:dyDescent="0.2">
      <c r="A311" s="179"/>
      <c r="B311" s="178"/>
      <c r="C311" s="178" t="s">
        <v>188</v>
      </c>
      <c r="D311" s="177" t="s">
        <v>187</v>
      </c>
      <c r="E311" s="174">
        <v>175</v>
      </c>
      <c r="F311" s="176"/>
      <c r="G311" s="175"/>
      <c r="H311" s="174"/>
      <c r="I311" s="173">
        <v>25.83</v>
      </c>
      <c r="J311" s="174">
        <v>157</v>
      </c>
      <c r="K311" s="173">
        <v>541.1</v>
      </c>
    </row>
    <row r="312" spans="1:32" ht="14.25" x14ac:dyDescent="0.2">
      <c r="A312" s="172"/>
      <c r="B312" s="171"/>
      <c r="C312" s="171" t="s">
        <v>192</v>
      </c>
      <c r="D312" s="170" t="s">
        <v>191</v>
      </c>
      <c r="E312" s="167">
        <v>19</v>
      </c>
      <c r="F312" s="169"/>
      <c r="G312" s="168" t="s">
        <v>1548</v>
      </c>
      <c r="H312" s="167">
        <v>1</v>
      </c>
      <c r="I312" s="166">
        <v>7.87</v>
      </c>
      <c r="J312" s="167"/>
      <c r="K312" s="166"/>
    </row>
    <row r="313" spans="1:32" ht="15" x14ac:dyDescent="0.25">
      <c r="A313" s="164"/>
      <c r="B313" s="164"/>
      <c r="C313" s="165" t="s">
        <v>183</v>
      </c>
      <c r="D313" s="164"/>
      <c r="E313" s="164"/>
      <c r="F313" s="164"/>
      <c r="G313" s="164"/>
      <c r="H313" s="414">
        <v>2529.66</v>
      </c>
      <c r="I313" s="414"/>
      <c r="J313" s="414">
        <v>12229.29</v>
      </c>
      <c r="K313" s="414"/>
      <c r="O313" s="163">
        <f>I305+I306+I308+I309+I310+I311</f>
        <v>2529.66</v>
      </c>
      <c r="P313" s="163">
        <f>K305+K306+K308+K309+K310+K311</f>
        <v>12229.29</v>
      </c>
    </row>
    <row r="316" spans="1:32" ht="15" x14ac:dyDescent="0.25">
      <c r="A316" s="417" t="s">
        <v>2166</v>
      </c>
      <c r="B316" s="417"/>
      <c r="C316" s="417"/>
      <c r="D316" s="417"/>
      <c r="E316" s="417"/>
      <c r="F316" s="417"/>
      <c r="G316" s="417"/>
      <c r="H316" s="415">
        <v>11789.65</v>
      </c>
      <c r="I316" s="416"/>
      <c r="J316" s="415">
        <v>81988.570000000007</v>
      </c>
      <c r="K316" s="416"/>
      <c r="AF316" s="201" t="str">
        <f>CONCATENATE("Итого по подразделу: ",IF([4]Source!G284&lt;&gt;"Новый подраздел", [4]Source!G284, ""))</f>
        <v>Итого по подразделу: Монолитный железобетонный фундамент ФБ-1./ 023/18КН-КР 4.2 лист 2</v>
      </c>
    </row>
    <row r="317" spans="1:32" hidden="1" x14ac:dyDescent="0.2">
      <c r="A317" s="160" t="s">
        <v>182</v>
      </c>
      <c r="I317" s="160">
        <v>0</v>
      </c>
      <c r="J317" s="160">
        <v>0</v>
      </c>
    </row>
    <row r="318" spans="1:32" hidden="1" x14ac:dyDescent="0.2">
      <c r="A318" s="160" t="s">
        <v>181</v>
      </c>
      <c r="I318" s="160">
        <v>0</v>
      </c>
      <c r="J318" s="160">
        <v>0</v>
      </c>
    </row>
    <row r="320" spans="1:32" ht="16.5" x14ac:dyDescent="0.25">
      <c r="A320" s="413" t="s">
        <v>2167</v>
      </c>
      <c r="B320" s="413"/>
      <c r="C320" s="413"/>
      <c r="D320" s="413"/>
      <c r="E320" s="413"/>
      <c r="F320" s="413"/>
      <c r="G320" s="413"/>
      <c r="H320" s="413"/>
      <c r="I320" s="413"/>
      <c r="J320" s="413"/>
      <c r="K320" s="413"/>
    </row>
    <row r="321" spans="1:22" ht="57" x14ac:dyDescent="0.2">
      <c r="A321" s="179" t="s">
        <v>1685</v>
      </c>
      <c r="B321" s="178" t="s">
        <v>577</v>
      </c>
      <c r="C321" s="178" t="s">
        <v>576</v>
      </c>
      <c r="D321" s="177" t="s">
        <v>2129</v>
      </c>
      <c r="E321" s="174">
        <v>0.4</v>
      </c>
      <c r="F321" s="176"/>
      <c r="G321" s="175"/>
      <c r="H321" s="174"/>
      <c r="I321" s="173"/>
      <c r="J321" s="174"/>
      <c r="K321" s="173"/>
      <c r="Q321" s="160">
        <f>[4]Source!X318</f>
        <v>18</v>
      </c>
      <c r="R321" s="160">
        <f>[4]Source!X319</f>
        <v>343.56</v>
      </c>
      <c r="S321" s="160">
        <f>[4]Source!Y318</f>
        <v>12.12</v>
      </c>
      <c r="T321" s="160">
        <f>[4]Source!Y319</f>
        <v>165.72</v>
      </c>
      <c r="U321" s="160">
        <f>ROUND((175/100)*ROUND([4]Source!R318, 2), 2)</f>
        <v>19.34</v>
      </c>
      <c r="V321" s="160">
        <f>ROUND((157/100)*ROUND([4]Source!R319, 2), 2)</f>
        <v>405.09</v>
      </c>
    </row>
    <row r="322" spans="1:22" x14ac:dyDescent="0.2">
      <c r="C322" s="181" t="s">
        <v>2168</v>
      </c>
    </row>
    <row r="323" spans="1:22" ht="14.25" x14ac:dyDescent="0.2">
      <c r="A323" s="179"/>
      <c r="B323" s="178"/>
      <c r="C323" s="178" t="s">
        <v>197</v>
      </c>
      <c r="D323" s="177"/>
      <c r="E323" s="174"/>
      <c r="F323" s="176">
        <v>37.619999999999997</v>
      </c>
      <c r="G323" s="175" t="s">
        <v>1548</v>
      </c>
      <c r="H323" s="174">
        <v>1</v>
      </c>
      <c r="I323" s="173">
        <v>17.309999999999999</v>
      </c>
      <c r="J323" s="174">
        <v>23.35</v>
      </c>
      <c r="K323" s="173">
        <v>404.19</v>
      </c>
    </row>
    <row r="324" spans="1:22" ht="14.25" x14ac:dyDescent="0.2">
      <c r="A324" s="179"/>
      <c r="B324" s="178"/>
      <c r="C324" s="178" t="s">
        <v>184</v>
      </c>
      <c r="D324" s="177"/>
      <c r="E324" s="174"/>
      <c r="F324" s="176">
        <v>72.98</v>
      </c>
      <c r="G324" s="175" t="s">
        <v>1549</v>
      </c>
      <c r="H324" s="174">
        <v>1</v>
      </c>
      <c r="I324" s="173">
        <v>36.49</v>
      </c>
      <c r="J324" s="174">
        <v>11.6</v>
      </c>
      <c r="K324" s="173">
        <v>423.28</v>
      </c>
    </row>
    <row r="325" spans="1:22" ht="14.25" x14ac:dyDescent="0.2">
      <c r="A325" s="179"/>
      <c r="B325" s="178"/>
      <c r="C325" s="178" t="s">
        <v>189</v>
      </c>
      <c r="D325" s="177"/>
      <c r="E325" s="174"/>
      <c r="F325" s="176">
        <v>22.1</v>
      </c>
      <c r="G325" s="175" t="s">
        <v>1549</v>
      </c>
      <c r="H325" s="174">
        <v>1</v>
      </c>
      <c r="I325" s="180">
        <v>11.05</v>
      </c>
      <c r="J325" s="174">
        <v>23.35</v>
      </c>
      <c r="K325" s="180">
        <v>258.02</v>
      </c>
    </row>
    <row r="326" spans="1:22" ht="14.25" x14ac:dyDescent="0.2">
      <c r="A326" s="179"/>
      <c r="B326" s="178"/>
      <c r="C326" s="178" t="s">
        <v>205</v>
      </c>
      <c r="D326" s="177"/>
      <c r="E326" s="174"/>
      <c r="F326" s="176">
        <v>203.1</v>
      </c>
      <c r="G326" s="175" t="s">
        <v>195</v>
      </c>
      <c r="H326" s="174">
        <v>1</v>
      </c>
      <c r="I326" s="173">
        <v>81.239999999999995</v>
      </c>
      <c r="J326" s="174">
        <v>9.82</v>
      </c>
      <c r="K326" s="173">
        <v>797.78</v>
      </c>
    </row>
    <row r="327" spans="1:22" ht="14.25" x14ac:dyDescent="0.2">
      <c r="A327" s="179"/>
      <c r="B327" s="178"/>
      <c r="C327" s="178" t="s">
        <v>194</v>
      </c>
      <c r="D327" s="177" t="s">
        <v>187</v>
      </c>
      <c r="E327" s="174">
        <v>104</v>
      </c>
      <c r="F327" s="176"/>
      <c r="G327" s="175"/>
      <c r="H327" s="174"/>
      <c r="I327" s="173">
        <v>18</v>
      </c>
      <c r="J327" s="174">
        <v>85</v>
      </c>
      <c r="K327" s="173">
        <v>343.56</v>
      </c>
    </row>
    <row r="328" spans="1:22" ht="14.25" x14ac:dyDescent="0.2">
      <c r="A328" s="179"/>
      <c r="B328" s="178"/>
      <c r="C328" s="178" t="s">
        <v>193</v>
      </c>
      <c r="D328" s="177" t="s">
        <v>187</v>
      </c>
      <c r="E328" s="174">
        <v>70</v>
      </c>
      <c r="F328" s="176"/>
      <c r="G328" s="175"/>
      <c r="H328" s="174"/>
      <c r="I328" s="173">
        <v>12.12</v>
      </c>
      <c r="J328" s="174">
        <v>41</v>
      </c>
      <c r="K328" s="173">
        <v>165.72</v>
      </c>
    </row>
    <row r="329" spans="1:22" ht="14.25" x14ac:dyDescent="0.2">
      <c r="A329" s="179"/>
      <c r="B329" s="178"/>
      <c r="C329" s="178" t="s">
        <v>188</v>
      </c>
      <c r="D329" s="177" t="s">
        <v>187</v>
      </c>
      <c r="E329" s="174">
        <v>175</v>
      </c>
      <c r="F329" s="176"/>
      <c r="G329" s="175"/>
      <c r="H329" s="174"/>
      <c r="I329" s="173">
        <v>19.34</v>
      </c>
      <c r="J329" s="174">
        <v>157</v>
      </c>
      <c r="K329" s="173">
        <v>405.09</v>
      </c>
    </row>
    <row r="330" spans="1:22" ht="14.25" x14ac:dyDescent="0.2">
      <c r="A330" s="172"/>
      <c r="B330" s="171"/>
      <c r="C330" s="171" t="s">
        <v>192</v>
      </c>
      <c r="D330" s="170" t="s">
        <v>191</v>
      </c>
      <c r="E330" s="167">
        <v>3.24</v>
      </c>
      <c r="F330" s="169"/>
      <c r="G330" s="168" t="s">
        <v>1548</v>
      </c>
      <c r="H330" s="167">
        <v>1</v>
      </c>
      <c r="I330" s="166">
        <v>1.49</v>
      </c>
      <c r="J330" s="167"/>
      <c r="K330" s="166"/>
    </row>
    <row r="331" spans="1:22" ht="15" x14ac:dyDescent="0.25">
      <c r="A331" s="164"/>
      <c r="B331" s="164"/>
      <c r="C331" s="165" t="s">
        <v>183</v>
      </c>
      <c r="D331" s="164"/>
      <c r="E331" s="164"/>
      <c r="F331" s="164"/>
      <c r="G331" s="164"/>
      <c r="H331" s="414">
        <v>184.5</v>
      </c>
      <c r="I331" s="414"/>
      <c r="J331" s="414">
        <v>2539.62</v>
      </c>
      <c r="K331" s="414"/>
      <c r="O331" s="163">
        <f>I323+I324+I326+I327+I328+I329</f>
        <v>184.5</v>
      </c>
      <c r="P331" s="163">
        <f>K323+K324+K326+K327+K328+K329</f>
        <v>2539.62</v>
      </c>
    </row>
    <row r="333" spans="1:22" ht="52.5" x14ac:dyDescent="0.2">
      <c r="A333" s="179" t="s">
        <v>1696</v>
      </c>
      <c r="B333" s="178" t="s">
        <v>263</v>
      </c>
      <c r="C333" s="178" t="s">
        <v>262</v>
      </c>
      <c r="D333" s="177" t="s">
        <v>1749</v>
      </c>
      <c r="E333" s="174">
        <v>4.0000000000000001E-3</v>
      </c>
      <c r="F333" s="176"/>
      <c r="G333" s="175"/>
      <c r="H333" s="174"/>
      <c r="I333" s="173"/>
      <c r="J333" s="174"/>
      <c r="K333" s="173"/>
      <c r="Q333" s="160">
        <f>[4]Source!X320</f>
        <v>5.4</v>
      </c>
      <c r="R333" s="160">
        <f>[4]Source!X321</f>
        <v>100.82</v>
      </c>
      <c r="S333" s="160">
        <f>[4]Source!Y320</f>
        <v>4.45</v>
      </c>
      <c r="T333" s="160">
        <f>[4]Source!Y321</f>
        <v>60.79</v>
      </c>
      <c r="U333" s="160">
        <f>ROUND((175/100)*ROUND([4]Source!R320, 2), 2)</f>
        <v>0.02</v>
      </c>
      <c r="V333" s="160">
        <f>ROUND((157/100)*ROUND([4]Source!R321, 2), 2)</f>
        <v>0.36</v>
      </c>
    </row>
    <row r="334" spans="1:22" x14ac:dyDescent="0.2">
      <c r="C334" s="181" t="s">
        <v>2169</v>
      </c>
    </row>
    <row r="335" spans="1:22" ht="14.25" x14ac:dyDescent="0.2">
      <c r="A335" s="179"/>
      <c r="B335" s="178"/>
      <c r="C335" s="178" t="s">
        <v>197</v>
      </c>
      <c r="D335" s="177"/>
      <c r="E335" s="174"/>
      <c r="F335" s="176">
        <v>1379.7</v>
      </c>
      <c r="G335" s="175" t="s">
        <v>1548</v>
      </c>
      <c r="H335" s="174">
        <v>1</v>
      </c>
      <c r="I335" s="173">
        <v>6.35</v>
      </c>
      <c r="J335" s="174">
        <v>23.35</v>
      </c>
      <c r="K335" s="173">
        <v>148.27000000000001</v>
      </c>
    </row>
    <row r="336" spans="1:22" ht="14.25" x14ac:dyDescent="0.2">
      <c r="A336" s="179"/>
      <c r="B336" s="178"/>
      <c r="C336" s="178" t="s">
        <v>184</v>
      </c>
      <c r="D336" s="177"/>
      <c r="E336" s="174"/>
      <c r="F336" s="176">
        <v>22.6</v>
      </c>
      <c r="G336" s="175" t="s">
        <v>1549</v>
      </c>
      <c r="H336" s="174">
        <v>1</v>
      </c>
      <c r="I336" s="173">
        <v>0.11</v>
      </c>
      <c r="J336" s="174">
        <v>5.49</v>
      </c>
      <c r="K336" s="173">
        <v>0.6</v>
      </c>
    </row>
    <row r="337" spans="1:22" ht="14.25" x14ac:dyDescent="0.2">
      <c r="A337" s="179"/>
      <c r="B337" s="178"/>
      <c r="C337" s="178" t="s">
        <v>189</v>
      </c>
      <c r="D337" s="177"/>
      <c r="E337" s="174"/>
      <c r="F337" s="176">
        <v>2.09</v>
      </c>
      <c r="G337" s="175" t="s">
        <v>1549</v>
      </c>
      <c r="H337" s="174">
        <v>1</v>
      </c>
      <c r="I337" s="180">
        <v>0.01</v>
      </c>
      <c r="J337" s="174">
        <v>23.35</v>
      </c>
      <c r="K337" s="180">
        <v>0.23</v>
      </c>
    </row>
    <row r="338" spans="1:22" ht="14.25" x14ac:dyDescent="0.2">
      <c r="A338" s="179"/>
      <c r="B338" s="178"/>
      <c r="C338" s="178" t="s">
        <v>205</v>
      </c>
      <c r="D338" s="177"/>
      <c r="E338" s="174"/>
      <c r="F338" s="176">
        <v>1859.87</v>
      </c>
      <c r="G338" s="175" t="s">
        <v>195</v>
      </c>
      <c r="H338" s="174">
        <v>1</v>
      </c>
      <c r="I338" s="173">
        <v>7.44</v>
      </c>
      <c r="J338" s="174">
        <v>3.05</v>
      </c>
      <c r="K338" s="173">
        <v>22.69</v>
      </c>
    </row>
    <row r="339" spans="1:22" ht="57" x14ac:dyDescent="0.2">
      <c r="A339" s="179" t="s">
        <v>1699</v>
      </c>
      <c r="B339" s="178" t="s">
        <v>2160</v>
      </c>
      <c r="C339" s="178" t="s">
        <v>575</v>
      </c>
      <c r="D339" s="177" t="s">
        <v>1594</v>
      </c>
      <c r="E339" s="174">
        <v>0.40799999999999997</v>
      </c>
      <c r="F339" s="176">
        <v>607.45000000000005</v>
      </c>
      <c r="G339" s="182" t="s">
        <v>195</v>
      </c>
      <c r="H339" s="174">
        <v>1</v>
      </c>
      <c r="I339" s="173">
        <v>247.84</v>
      </c>
      <c r="J339" s="174">
        <v>6.05</v>
      </c>
      <c r="K339" s="173">
        <v>1499.43</v>
      </c>
      <c r="Q339" s="160">
        <f>[4]Source!X322</f>
        <v>0</v>
      </c>
      <c r="R339" s="160">
        <f>[4]Source!X323</f>
        <v>0</v>
      </c>
      <c r="S339" s="160">
        <f>[4]Source!Y322</f>
        <v>0</v>
      </c>
      <c r="T339" s="160">
        <f>[4]Source!Y323</f>
        <v>0</v>
      </c>
      <c r="U339" s="160">
        <f>ROUND((175/100)*ROUND([4]Source!R322, 2), 2)</f>
        <v>0</v>
      </c>
      <c r="V339" s="160">
        <f>ROUND((157/100)*ROUND([4]Source!R323, 2), 2)</f>
        <v>0</v>
      </c>
    </row>
    <row r="340" spans="1:22" ht="14.25" x14ac:dyDescent="0.2">
      <c r="A340" s="179"/>
      <c r="B340" s="178"/>
      <c r="C340" s="178" t="s">
        <v>194</v>
      </c>
      <c r="D340" s="177" t="s">
        <v>187</v>
      </c>
      <c r="E340" s="174">
        <v>85</v>
      </c>
      <c r="F340" s="176"/>
      <c r="G340" s="175"/>
      <c r="H340" s="174"/>
      <c r="I340" s="173">
        <v>5.4</v>
      </c>
      <c r="J340" s="174">
        <v>68</v>
      </c>
      <c r="K340" s="173">
        <v>100.82</v>
      </c>
    </row>
    <row r="341" spans="1:22" ht="14.25" x14ac:dyDescent="0.2">
      <c r="A341" s="179"/>
      <c r="B341" s="178"/>
      <c r="C341" s="178" t="s">
        <v>193</v>
      </c>
      <c r="D341" s="177" t="s">
        <v>187</v>
      </c>
      <c r="E341" s="174">
        <v>70</v>
      </c>
      <c r="F341" s="176"/>
      <c r="G341" s="175"/>
      <c r="H341" s="174"/>
      <c r="I341" s="173">
        <v>4.45</v>
      </c>
      <c r="J341" s="174">
        <v>41</v>
      </c>
      <c r="K341" s="173">
        <v>60.79</v>
      </c>
    </row>
    <row r="342" spans="1:22" ht="14.25" x14ac:dyDescent="0.2">
      <c r="A342" s="179"/>
      <c r="B342" s="178"/>
      <c r="C342" s="178" t="s">
        <v>188</v>
      </c>
      <c r="D342" s="177" t="s">
        <v>187</v>
      </c>
      <c r="E342" s="174">
        <v>175</v>
      </c>
      <c r="F342" s="176"/>
      <c r="G342" s="175"/>
      <c r="H342" s="174"/>
      <c r="I342" s="173">
        <v>0.02</v>
      </c>
      <c r="J342" s="174">
        <v>157</v>
      </c>
      <c r="K342" s="173">
        <v>0.36</v>
      </c>
    </row>
    <row r="343" spans="1:22" ht="14.25" x14ac:dyDescent="0.2">
      <c r="A343" s="172"/>
      <c r="B343" s="171"/>
      <c r="C343" s="171" t="s">
        <v>192</v>
      </c>
      <c r="D343" s="170" t="s">
        <v>191</v>
      </c>
      <c r="E343" s="167">
        <v>135</v>
      </c>
      <c r="F343" s="169"/>
      <c r="G343" s="168" t="s">
        <v>1548</v>
      </c>
      <c r="H343" s="167">
        <v>1</v>
      </c>
      <c r="I343" s="166">
        <v>0.62</v>
      </c>
      <c r="J343" s="167"/>
      <c r="K343" s="166"/>
    </row>
    <row r="344" spans="1:22" ht="15" x14ac:dyDescent="0.25">
      <c r="A344" s="164"/>
      <c r="B344" s="164"/>
      <c r="C344" s="165" t="s">
        <v>183</v>
      </c>
      <c r="D344" s="164"/>
      <c r="E344" s="164"/>
      <c r="F344" s="164"/>
      <c r="G344" s="164"/>
      <c r="H344" s="414">
        <v>271.61</v>
      </c>
      <c r="I344" s="414"/>
      <c r="J344" s="414">
        <v>1832.96</v>
      </c>
      <c r="K344" s="414"/>
      <c r="O344" s="163">
        <f>I335+I336+I338+I340+I341+I342+SUM(I339:I339)</f>
        <v>271.61</v>
      </c>
      <c r="P344" s="163">
        <f>K335+K336+K338+K340+K341+K342+SUM(K339:K339)</f>
        <v>1832.96</v>
      </c>
    </row>
    <row r="346" spans="1:22" ht="52.5" x14ac:dyDescent="0.2">
      <c r="A346" s="179" t="s">
        <v>1705</v>
      </c>
      <c r="B346" s="178" t="s">
        <v>230</v>
      </c>
      <c r="C346" s="178" t="s">
        <v>229</v>
      </c>
      <c r="D346" s="177" t="s">
        <v>1785</v>
      </c>
      <c r="E346" s="174">
        <v>0.2732</v>
      </c>
      <c r="F346" s="176"/>
      <c r="G346" s="175"/>
      <c r="H346" s="174"/>
      <c r="I346" s="173"/>
      <c r="J346" s="174"/>
      <c r="K346" s="173"/>
      <c r="Q346" s="160">
        <f>[4]Source!X324</f>
        <v>35.96</v>
      </c>
      <c r="R346" s="160">
        <f>[4]Source!X325</f>
        <v>671.8</v>
      </c>
      <c r="S346" s="160">
        <f>[4]Source!Y324</f>
        <v>29.62</v>
      </c>
      <c r="T346" s="160">
        <f>[4]Source!Y325</f>
        <v>405.06</v>
      </c>
      <c r="U346" s="160">
        <f>ROUND((175/100)*ROUND([4]Source!R324, 2), 2)</f>
        <v>3.34</v>
      </c>
      <c r="V346" s="160">
        <f>ROUND((157/100)*ROUND([4]Source!R325, 2), 2)</f>
        <v>70.02</v>
      </c>
    </row>
    <row r="347" spans="1:22" x14ac:dyDescent="0.2">
      <c r="C347" s="181" t="s">
        <v>2170</v>
      </c>
    </row>
    <row r="348" spans="1:22" ht="14.25" x14ac:dyDescent="0.2">
      <c r="A348" s="179"/>
      <c r="B348" s="178"/>
      <c r="C348" s="178" t="s">
        <v>197</v>
      </c>
      <c r="D348" s="177"/>
      <c r="E348" s="174"/>
      <c r="F348" s="176">
        <v>134.68</v>
      </c>
      <c r="G348" s="175" t="s">
        <v>1548</v>
      </c>
      <c r="H348" s="174">
        <v>1</v>
      </c>
      <c r="I348" s="173">
        <v>42.31</v>
      </c>
      <c r="J348" s="174">
        <v>23.35</v>
      </c>
      <c r="K348" s="173">
        <v>987.94</v>
      </c>
    </row>
    <row r="349" spans="1:22" ht="14.25" x14ac:dyDescent="0.2">
      <c r="A349" s="179"/>
      <c r="B349" s="178"/>
      <c r="C349" s="178" t="s">
        <v>184</v>
      </c>
      <c r="D349" s="177"/>
      <c r="E349" s="174"/>
      <c r="F349" s="176">
        <v>44</v>
      </c>
      <c r="G349" s="175" t="s">
        <v>1549</v>
      </c>
      <c r="H349" s="174">
        <v>1</v>
      </c>
      <c r="I349" s="173">
        <v>15.03</v>
      </c>
      <c r="J349" s="174">
        <v>8.19</v>
      </c>
      <c r="K349" s="173">
        <v>123.1</v>
      </c>
    </row>
    <row r="350" spans="1:22" ht="14.25" x14ac:dyDescent="0.2">
      <c r="A350" s="179"/>
      <c r="B350" s="178"/>
      <c r="C350" s="178" t="s">
        <v>189</v>
      </c>
      <c r="D350" s="177"/>
      <c r="E350" s="174"/>
      <c r="F350" s="176">
        <v>5.59</v>
      </c>
      <c r="G350" s="175" t="s">
        <v>1549</v>
      </c>
      <c r="H350" s="174">
        <v>1</v>
      </c>
      <c r="I350" s="180">
        <v>1.91</v>
      </c>
      <c r="J350" s="174">
        <v>23.35</v>
      </c>
      <c r="K350" s="180">
        <v>44.6</v>
      </c>
    </row>
    <row r="351" spans="1:22" ht="14.25" x14ac:dyDescent="0.2">
      <c r="A351" s="179"/>
      <c r="B351" s="178"/>
      <c r="C351" s="178" t="s">
        <v>205</v>
      </c>
      <c r="D351" s="177"/>
      <c r="E351" s="174"/>
      <c r="F351" s="176">
        <v>258.91000000000003</v>
      </c>
      <c r="G351" s="175" t="s">
        <v>195</v>
      </c>
      <c r="H351" s="174">
        <v>1</v>
      </c>
      <c r="I351" s="173">
        <v>70.73</v>
      </c>
      <c r="J351" s="174">
        <v>5.54</v>
      </c>
      <c r="K351" s="173">
        <v>391.84</v>
      </c>
    </row>
    <row r="352" spans="1:22" ht="71.25" x14ac:dyDescent="0.2">
      <c r="A352" s="179" t="s">
        <v>1707</v>
      </c>
      <c r="B352" s="178" t="s">
        <v>2162</v>
      </c>
      <c r="C352" s="178" t="s">
        <v>574</v>
      </c>
      <c r="D352" s="177" t="s">
        <v>1533</v>
      </c>
      <c r="E352" s="174">
        <v>0.13639999999999999</v>
      </c>
      <c r="F352" s="176">
        <v>5681.92</v>
      </c>
      <c r="G352" s="182" t="s">
        <v>195</v>
      </c>
      <c r="H352" s="174">
        <v>1</v>
      </c>
      <c r="I352" s="173">
        <v>775.01</v>
      </c>
      <c r="J352" s="174">
        <v>7.62</v>
      </c>
      <c r="K352" s="173">
        <v>5905.58</v>
      </c>
      <c r="Q352" s="160">
        <f>[4]Source!X326</f>
        <v>0</v>
      </c>
      <c r="R352" s="160">
        <f>[4]Source!X327</f>
        <v>0</v>
      </c>
      <c r="S352" s="160">
        <f>[4]Source!Y326</f>
        <v>0</v>
      </c>
      <c r="T352" s="160">
        <f>[4]Source!Y327</f>
        <v>0</v>
      </c>
      <c r="U352" s="160">
        <f>ROUND((175/100)*ROUND([4]Source!R326, 2), 2)</f>
        <v>0</v>
      </c>
      <c r="V352" s="160">
        <f>ROUND((157/100)*ROUND([4]Source!R327, 2), 2)</f>
        <v>0</v>
      </c>
    </row>
    <row r="353" spans="1:22" ht="57" x14ac:dyDescent="0.2">
      <c r="A353" s="179" t="s">
        <v>1708</v>
      </c>
      <c r="B353" s="178" t="s">
        <v>2163</v>
      </c>
      <c r="C353" s="178" t="s">
        <v>573</v>
      </c>
      <c r="D353" s="177" t="s">
        <v>1533</v>
      </c>
      <c r="E353" s="174">
        <v>6.8400000000000002E-2</v>
      </c>
      <c r="F353" s="176">
        <v>6340.75</v>
      </c>
      <c r="G353" s="182" t="s">
        <v>195</v>
      </c>
      <c r="H353" s="174">
        <v>1</v>
      </c>
      <c r="I353" s="173">
        <v>433.71</v>
      </c>
      <c r="J353" s="174">
        <v>7.02</v>
      </c>
      <c r="K353" s="173">
        <v>3044.64</v>
      </c>
      <c r="Q353" s="160">
        <f>[4]Source!X328</f>
        <v>0</v>
      </c>
      <c r="R353" s="160">
        <f>[4]Source!X329</f>
        <v>0</v>
      </c>
      <c r="S353" s="160">
        <f>[4]Source!Y328</f>
        <v>0</v>
      </c>
      <c r="T353" s="160">
        <f>[4]Source!Y329</f>
        <v>0</v>
      </c>
      <c r="U353" s="160">
        <f>ROUND((175/100)*ROUND([4]Source!R328, 2), 2)</f>
        <v>0</v>
      </c>
      <c r="V353" s="160">
        <f>ROUND((157/100)*ROUND([4]Source!R329, 2), 2)</f>
        <v>0</v>
      </c>
    </row>
    <row r="354" spans="1:22" ht="14.25" x14ac:dyDescent="0.2">
      <c r="A354" s="179"/>
      <c r="B354" s="178"/>
      <c r="C354" s="178" t="s">
        <v>194</v>
      </c>
      <c r="D354" s="177" t="s">
        <v>187</v>
      </c>
      <c r="E354" s="174">
        <v>85</v>
      </c>
      <c r="F354" s="176"/>
      <c r="G354" s="175"/>
      <c r="H354" s="174"/>
      <c r="I354" s="173">
        <v>35.96</v>
      </c>
      <c r="J354" s="174">
        <v>68</v>
      </c>
      <c r="K354" s="173">
        <v>671.8</v>
      </c>
    </row>
    <row r="355" spans="1:22" ht="14.25" x14ac:dyDescent="0.2">
      <c r="A355" s="179"/>
      <c r="B355" s="178"/>
      <c r="C355" s="178" t="s">
        <v>193</v>
      </c>
      <c r="D355" s="177" t="s">
        <v>187</v>
      </c>
      <c r="E355" s="174">
        <v>70</v>
      </c>
      <c r="F355" s="176"/>
      <c r="G355" s="175"/>
      <c r="H355" s="174"/>
      <c r="I355" s="173">
        <v>29.62</v>
      </c>
      <c r="J355" s="174">
        <v>41</v>
      </c>
      <c r="K355" s="173">
        <v>405.06</v>
      </c>
    </row>
    <row r="356" spans="1:22" ht="14.25" x14ac:dyDescent="0.2">
      <c r="A356" s="179"/>
      <c r="B356" s="178"/>
      <c r="C356" s="178" t="s">
        <v>188</v>
      </c>
      <c r="D356" s="177" t="s">
        <v>187</v>
      </c>
      <c r="E356" s="174">
        <v>175</v>
      </c>
      <c r="F356" s="176"/>
      <c r="G356" s="175"/>
      <c r="H356" s="174"/>
      <c r="I356" s="173">
        <v>3.34</v>
      </c>
      <c r="J356" s="174">
        <v>157</v>
      </c>
      <c r="K356" s="173">
        <v>70.02</v>
      </c>
    </row>
    <row r="357" spans="1:22" ht="14.25" x14ac:dyDescent="0.2">
      <c r="A357" s="172"/>
      <c r="B357" s="171"/>
      <c r="C357" s="171" t="s">
        <v>192</v>
      </c>
      <c r="D357" s="170" t="s">
        <v>191</v>
      </c>
      <c r="E357" s="167">
        <v>11.6</v>
      </c>
      <c r="F357" s="169"/>
      <c r="G357" s="168" t="s">
        <v>1548</v>
      </c>
      <c r="H357" s="167">
        <v>1</v>
      </c>
      <c r="I357" s="166">
        <v>3.64</v>
      </c>
      <c r="J357" s="167"/>
      <c r="K357" s="166"/>
    </row>
    <row r="358" spans="1:22" ht="15" x14ac:dyDescent="0.25">
      <c r="A358" s="164"/>
      <c r="B358" s="164"/>
      <c r="C358" s="165" t="s">
        <v>183</v>
      </c>
      <c r="D358" s="164"/>
      <c r="E358" s="164"/>
      <c r="F358" s="164"/>
      <c r="G358" s="164"/>
      <c r="H358" s="414">
        <v>1405.71</v>
      </c>
      <c r="I358" s="414"/>
      <c r="J358" s="414">
        <v>11599.98</v>
      </c>
      <c r="K358" s="414"/>
      <c r="O358" s="163">
        <f>I348+I349+I351+I354+I355+I356+SUM(I352:I353)</f>
        <v>1405.71</v>
      </c>
      <c r="P358" s="163">
        <f>K348+K349+K351+K354+K355+K356+SUM(K352:K353)</f>
        <v>11599.98</v>
      </c>
    </row>
    <row r="360" spans="1:22" ht="52.5" x14ac:dyDescent="0.2">
      <c r="A360" s="179" t="s">
        <v>1712</v>
      </c>
      <c r="B360" s="178" t="s">
        <v>572</v>
      </c>
      <c r="C360" s="178" t="s">
        <v>571</v>
      </c>
      <c r="D360" s="177" t="s">
        <v>1749</v>
      </c>
      <c r="E360" s="174">
        <v>0.02</v>
      </c>
      <c r="F360" s="176"/>
      <c r="G360" s="175"/>
      <c r="H360" s="174"/>
      <c r="I360" s="173"/>
      <c r="J360" s="174"/>
      <c r="K360" s="173"/>
      <c r="Q360" s="160">
        <f>[4]Source!X330</f>
        <v>21.2</v>
      </c>
      <c r="R360" s="160">
        <f>[4]Source!X331</f>
        <v>396</v>
      </c>
      <c r="S360" s="160">
        <f>[4]Source!Y330</f>
        <v>17.46</v>
      </c>
      <c r="T360" s="160">
        <f>[4]Source!Y331</f>
        <v>238.76</v>
      </c>
      <c r="U360" s="160">
        <f>ROUND((175/100)*ROUND([4]Source!R330, 2), 2)</f>
        <v>0.96</v>
      </c>
      <c r="V360" s="160">
        <f>ROUND((157/100)*ROUND([4]Source!R331, 2), 2)</f>
        <v>20.16</v>
      </c>
    </row>
    <row r="361" spans="1:22" x14ac:dyDescent="0.2">
      <c r="C361" s="181" t="s">
        <v>2171</v>
      </c>
    </row>
    <row r="362" spans="1:22" ht="14.25" x14ac:dyDescent="0.2">
      <c r="A362" s="179"/>
      <c r="B362" s="178"/>
      <c r="C362" s="178" t="s">
        <v>197</v>
      </c>
      <c r="D362" s="177"/>
      <c r="E362" s="174"/>
      <c r="F362" s="176">
        <v>1084.46</v>
      </c>
      <c r="G362" s="175" t="s">
        <v>1548</v>
      </c>
      <c r="H362" s="174">
        <v>1</v>
      </c>
      <c r="I362" s="173">
        <v>24.94</v>
      </c>
      <c r="J362" s="174">
        <v>23.35</v>
      </c>
      <c r="K362" s="173">
        <v>582.35</v>
      </c>
    </row>
    <row r="363" spans="1:22" ht="14.25" x14ac:dyDescent="0.2">
      <c r="A363" s="179"/>
      <c r="B363" s="178"/>
      <c r="C363" s="178" t="s">
        <v>184</v>
      </c>
      <c r="D363" s="177"/>
      <c r="E363" s="174"/>
      <c r="F363" s="176">
        <v>164.24</v>
      </c>
      <c r="G363" s="175" t="s">
        <v>1549</v>
      </c>
      <c r="H363" s="174">
        <v>1</v>
      </c>
      <c r="I363" s="173">
        <v>4.1100000000000003</v>
      </c>
      <c r="J363" s="174">
        <v>8.11</v>
      </c>
      <c r="K363" s="173">
        <v>33.33</v>
      </c>
    </row>
    <row r="364" spans="1:22" ht="14.25" x14ac:dyDescent="0.2">
      <c r="A364" s="179"/>
      <c r="B364" s="178"/>
      <c r="C364" s="178" t="s">
        <v>189</v>
      </c>
      <c r="D364" s="177"/>
      <c r="E364" s="174"/>
      <c r="F364" s="176">
        <v>22.17</v>
      </c>
      <c r="G364" s="175" t="s">
        <v>1549</v>
      </c>
      <c r="H364" s="174">
        <v>1</v>
      </c>
      <c r="I364" s="180">
        <v>0.55000000000000004</v>
      </c>
      <c r="J364" s="174">
        <v>23.35</v>
      </c>
      <c r="K364" s="180">
        <v>12.84</v>
      </c>
    </row>
    <row r="365" spans="1:22" ht="14.25" x14ac:dyDescent="0.2">
      <c r="A365" s="179"/>
      <c r="B365" s="178"/>
      <c r="C365" s="178" t="s">
        <v>205</v>
      </c>
      <c r="D365" s="177"/>
      <c r="E365" s="174"/>
      <c r="F365" s="176">
        <v>650.19000000000005</v>
      </c>
      <c r="G365" s="175" t="s">
        <v>195</v>
      </c>
      <c r="H365" s="174">
        <v>1</v>
      </c>
      <c r="I365" s="173">
        <v>13</v>
      </c>
      <c r="J365" s="174">
        <v>3.57</v>
      </c>
      <c r="K365" s="173">
        <v>46.41</v>
      </c>
    </row>
    <row r="366" spans="1:22" ht="57" x14ac:dyDescent="0.2">
      <c r="A366" s="179" t="s">
        <v>1715</v>
      </c>
      <c r="B366" s="178" t="s">
        <v>2138</v>
      </c>
      <c r="C366" s="178" t="s">
        <v>554</v>
      </c>
      <c r="D366" s="177" t="s">
        <v>1594</v>
      </c>
      <c r="E366" s="174">
        <v>2.0299999999999998</v>
      </c>
      <c r="F366" s="176">
        <v>745.24</v>
      </c>
      <c r="G366" s="182" t="s">
        <v>195</v>
      </c>
      <c r="H366" s="174">
        <v>1</v>
      </c>
      <c r="I366" s="173">
        <v>1512.84</v>
      </c>
      <c r="J366" s="174">
        <v>5.92</v>
      </c>
      <c r="K366" s="173">
        <v>8956.01</v>
      </c>
      <c r="Q366" s="160">
        <f>[4]Source!X332</f>
        <v>0</v>
      </c>
      <c r="R366" s="160">
        <f>[4]Source!X333</f>
        <v>0</v>
      </c>
      <c r="S366" s="160">
        <f>[4]Source!Y332</f>
        <v>0</v>
      </c>
      <c r="T366" s="160">
        <f>[4]Source!Y333</f>
        <v>0</v>
      </c>
      <c r="U366" s="160">
        <f>ROUND((175/100)*ROUND([4]Source!R332, 2), 2)</f>
        <v>0</v>
      </c>
      <c r="V366" s="160">
        <f>ROUND((157/100)*ROUND([4]Source!R333, 2), 2)</f>
        <v>0</v>
      </c>
    </row>
    <row r="367" spans="1:22" ht="14.25" x14ac:dyDescent="0.2">
      <c r="A367" s="179"/>
      <c r="B367" s="178"/>
      <c r="C367" s="178" t="s">
        <v>194</v>
      </c>
      <c r="D367" s="177" t="s">
        <v>187</v>
      </c>
      <c r="E367" s="174">
        <v>85</v>
      </c>
      <c r="F367" s="176"/>
      <c r="G367" s="175"/>
      <c r="H367" s="174"/>
      <c r="I367" s="173">
        <v>21.2</v>
      </c>
      <c r="J367" s="174">
        <v>68</v>
      </c>
      <c r="K367" s="173">
        <v>396</v>
      </c>
    </row>
    <row r="368" spans="1:22" ht="14.25" x14ac:dyDescent="0.2">
      <c r="A368" s="179"/>
      <c r="B368" s="178"/>
      <c r="C368" s="178" t="s">
        <v>193</v>
      </c>
      <c r="D368" s="177" t="s">
        <v>187</v>
      </c>
      <c r="E368" s="174">
        <v>70</v>
      </c>
      <c r="F368" s="176"/>
      <c r="G368" s="175"/>
      <c r="H368" s="174"/>
      <c r="I368" s="173">
        <v>17.46</v>
      </c>
      <c r="J368" s="174">
        <v>41</v>
      </c>
      <c r="K368" s="173">
        <v>238.76</v>
      </c>
    </row>
    <row r="369" spans="1:22" ht="14.25" x14ac:dyDescent="0.2">
      <c r="A369" s="179"/>
      <c r="B369" s="178"/>
      <c r="C369" s="178" t="s">
        <v>188</v>
      </c>
      <c r="D369" s="177" t="s">
        <v>187</v>
      </c>
      <c r="E369" s="174">
        <v>175</v>
      </c>
      <c r="F369" s="176"/>
      <c r="G369" s="175"/>
      <c r="H369" s="174"/>
      <c r="I369" s="173">
        <v>0.96</v>
      </c>
      <c r="J369" s="174">
        <v>157</v>
      </c>
      <c r="K369" s="173">
        <v>20.16</v>
      </c>
    </row>
    <row r="370" spans="1:22" ht="14.25" x14ac:dyDescent="0.2">
      <c r="A370" s="172"/>
      <c r="B370" s="171"/>
      <c r="C370" s="171" t="s">
        <v>192</v>
      </c>
      <c r="D370" s="170" t="s">
        <v>191</v>
      </c>
      <c r="E370" s="167">
        <v>97</v>
      </c>
      <c r="F370" s="169"/>
      <c r="G370" s="168" t="s">
        <v>1548</v>
      </c>
      <c r="H370" s="167">
        <v>1</v>
      </c>
      <c r="I370" s="166">
        <v>2.23</v>
      </c>
      <c r="J370" s="167"/>
      <c r="K370" s="166"/>
    </row>
    <row r="371" spans="1:22" ht="15" x14ac:dyDescent="0.25">
      <c r="A371" s="164"/>
      <c r="B371" s="164"/>
      <c r="C371" s="165" t="s">
        <v>183</v>
      </c>
      <c r="D371" s="164"/>
      <c r="E371" s="164"/>
      <c r="F371" s="164"/>
      <c r="G371" s="164"/>
      <c r="H371" s="414">
        <v>1594.51</v>
      </c>
      <c r="I371" s="414"/>
      <c r="J371" s="414">
        <v>10273.02</v>
      </c>
      <c r="K371" s="414"/>
      <c r="O371" s="163">
        <f>I362+I363+I365+I367+I368+I369+SUM(I366:I366)</f>
        <v>1594.51</v>
      </c>
      <c r="P371" s="163">
        <f>K362+K363+K365+K367+K368+K369+SUM(K366:K366)</f>
        <v>10273.02</v>
      </c>
    </row>
    <row r="373" spans="1:22" ht="71.25" x14ac:dyDescent="0.2">
      <c r="A373" s="179" t="s">
        <v>1719</v>
      </c>
      <c r="B373" s="178" t="s">
        <v>570</v>
      </c>
      <c r="C373" s="178" t="s">
        <v>569</v>
      </c>
      <c r="D373" s="177" t="s">
        <v>1855</v>
      </c>
      <c r="E373" s="174">
        <v>0.16</v>
      </c>
      <c r="F373" s="176"/>
      <c r="G373" s="175"/>
      <c r="H373" s="174"/>
      <c r="I373" s="173"/>
      <c r="J373" s="174"/>
      <c r="K373" s="173"/>
      <c r="Q373" s="160">
        <f>[4]Source!X334</f>
        <v>45.42</v>
      </c>
      <c r="R373" s="160">
        <f>[4]Source!X335</f>
        <v>866.74</v>
      </c>
      <c r="S373" s="160">
        <f>[4]Source!Y334</f>
        <v>30.57</v>
      </c>
      <c r="T373" s="160">
        <f>[4]Source!Y335</f>
        <v>418.07</v>
      </c>
      <c r="U373" s="160">
        <f>ROUND((175/100)*ROUND([4]Source!R334, 2), 2)</f>
        <v>11.48</v>
      </c>
      <c r="V373" s="160">
        <f>ROUND((157/100)*ROUND([4]Source!R335, 2), 2)</f>
        <v>240.49</v>
      </c>
    </row>
    <row r="374" spans="1:22" x14ac:dyDescent="0.2">
      <c r="C374" s="181" t="s">
        <v>2172</v>
      </c>
    </row>
    <row r="375" spans="1:22" ht="14.25" x14ac:dyDescent="0.2">
      <c r="A375" s="179"/>
      <c r="B375" s="178"/>
      <c r="C375" s="178" t="s">
        <v>197</v>
      </c>
      <c r="D375" s="177"/>
      <c r="E375" s="174"/>
      <c r="F375" s="176">
        <v>237.31</v>
      </c>
      <c r="G375" s="175" t="s">
        <v>1548</v>
      </c>
      <c r="H375" s="174">
        <v>1</v>
      </c>
      <c r="I375" s="173">
        <v>43.67</v>
      </c>
      <c r="J375" s="174">
        <v>23.35</v>
      </c>
      <c r="K375" s="173">
        <v>1019.69</v>
      </c>
    </row>
    <row r="376" spans="1:22" ht="14.25" x14ac:dyDescent="0.2">
      <c r="A376" s="179"/>
      <c r="B376" s="178"/>
      <c r="C376" s="178" t="s">
        <v>184</v>
      </c>
      <c r="D376" s="177"/>
      <c r="E376" s="174"/>
      <c r="F376" s="176">
        <v>189.59</v>
      </c>
      <c r="G376" s="175" t="s">
        <v>1549</v>
      </c>
      <c r="H376" s="174">
        <v>1</v>
      </c>
      <c r="I376" s="173">
        <v>37.92</v>
      </c>
      <c r="J376" s="174">
        <v>8.4600000000000009</v>
      </c>
      <c r="K376" s="173">
        <v>320.8</v>
      </c>
    </row>
    <row r="377" spans="1:22" ht="14.25" x14ac:dyDescent="0.2">
      <c r="A377" s="179"/>
      <c r="B377" s="178"/>
      <c r="C377" s="178" t="s">
        <v>189</v>
      </c>
      <c r="D377" s="177"/>
      <c r="E377" s="174"/>
      <c r="F377" s="176">
        <v>32.799999999999997</v>
      </c>
      <c r="G377" s="175" t="s">
        <v>1549</v>
      </c>
      <c r="H377" s="174">
        <v>1</v>
      </c>
      <c r="I377" s="180">
        <v>6.56</v>
      </c>
      <c r="J377" s="174">
        <v>23.35</v>
      </c>
      <c r="K377" s="180">
        <v>153.18</v>
      </c>
    </row>
    <row r="378" spans="1:22" ht="14.25" x14ac:dyDescent="0.2">
      <c r="A378" s="179"/>
      <c r="B378" s="178"/>
      <c r="C378" s="178" t="s">
        <v>205</v>
      </c>
      <c r="D378" s="177"/>
      <c r="E378" s="174"/>
      <c r="F378" s="176">
        <v>5970.27</v>
      </c>
      <c r="G378" s="175" t="s">
        <v>195</v>
      </c>
      <c r="H378" s="174">
        <v>1</v>
      </c>
      <c r="I378" s="173">
        <v>955.24</v>
      </c>
      <c r="J378" s="174">
        <v>2.69</v>
      </c>
      <c r="K378" s="173">
        <v>2569.6</v>
      </c>
    </row>
    <row r="379" spans="1:22" ht="14.25" x14ac:dyDescent="0.2">
      <c r="A379" s="179"/>
      <c r="B379" s="178"/>
      <c r="C379" s="178" t="s">
        <v>194</v>
      </c>
      <c r="D379" s="177" t="s">
        <v>187</v>
      </c>
      <c r="E379" s="174">
        <v>104</v>
      </c>
      <c r="F379" s="176"/>
      <c r="G379" s="175"/>
      <c r="H379" s="174"/>
      <c r="I379" s="173">
        <v>45.42</v>
      </c>
      <c r="J379" s="174">
        <v>85</v>
      </c>
      <c r="K379" s="173">
        <v>866.74</v>
      </c>
    </row>
    <row r="380" spans="1:22" ht="14.25" x14ac:dyDescent="0.2">
      <c r="A380" s="179"/>
      <c r="B380" s="178"/>
      <c r="C380" s="178" t="s">
        <v>193</v>
      </c>
      <c r="D380" s="177" t="s">
        <v>187</v>
      </c>
      <c r="E380" s="174">
        <v>70</v>
      </c>
      <c r="F380" s="176"/>
      <c r="G380" s="175"/>
      <c r="H380" s="174"/>
      <c r="I380" s="173">
        <v>30.57</v>
      </c>
      <c r="J380" s="174">
        <v>41</v>
      </c>
      <c r="K380" s="173">
        <v>418.07</v>
      </c>
    </row>
    <row r="381" spans="1:22" ht="14.25" x14ac:dyDescent="0.2">
      <c r="A381" s="179"/>
      <c r="B381" s="178"/>
      <c r="C381" s="178" t="s">
        <v>188</v>
      </c>
      <c r="D381" s="177" t="s">
        <v>187</v>
      </c>
      <c r="E381" s="174">
        <v>175</v>
      </c>
      <c r="F381" s="176"/>
      <c r="G381" s="175"/>
      <c r="H381" s="174"/>
      <c r="I381" s="173">
        <v>11.48</v>
      </c>
      <c r="J381" s="174">
        <v>157</v>
      </c>
      <c r="K381" s="173">
        <v>240.49</v>
      </c>
    </row>
    <row r="382" spans="1:22" ht="14.25" x14ac:dyDescent="0.2">
      <c r="A382" s="172"/>
      <c r="B382" s="171"/>
      <c r="C382" s="171" t="s">
        <v>192</v>
      </c>
      <c r="D382" s="170" t="s">
        <v>191</v>
      </c>
      <c r="E382" s="167">
        <v>19</v>
      </c>
      <c r="F382" s="169"/>
      <c r="G382" s="168" t="s">
        <v>1548</v>
      </c>
      <c r="H382" s="167">
        <v>1</v>
      </c>
      <c r="I382" s="166">
        <v>3.5</v>
      </c>
      <c r="J382" s="167"/>
      <c r="K382" s="166"/>
    </row>
    <row r="383" spans="1:22" ht="15" x14ac:dyDescent="0.25">
      <c r="A383" s="164"/>
      <c r="B383" s="164"/>
      <c r="C383" s="165" t="s">
        <v>183</v>
      </c>
      <c r="D383" s="164"/>
      <c r="E383" s="164"/>
      <c r="F383" s="164"/>
      <c r="G383" s="164"/>
      <c r="H383" s="414">
        <v>1124.3</v>
      </c>
      <c r="I383" s="414"/>
      <c r="J383" s="414">
        <v>5435.39</v>
      </c>
      <c r="K383" s="414"/>
      <c r="O383" s="163">
        <f>I375+I376+I378+I379+I380+I381</f>
        <v>1124.3</v>
      </c>
      <c r="P383" s="163">
        <f>K375+K376+K378+K379+K380+K381</f>
        <v>5435.39</v>
      </c>
    </row>
    <row r="386" spans="1:32" ht="15" x14ac:dyDescent="0.25">
      <c r="A386" s="417" t="s">
        <v>2173</v>
      </c>
      <c r="B386" s="417"/>
      <c r="C386" s="417"/>
      <c r="D386" s="417"/>
      <c r="E386" s="417"/>
      <c r="F386" s="417"/>
      <c r="G386" s="417"/>
      <c r="H386" s="415">
        <v>4580.63</v>
      </c>
      <c r="I386" s="416"/>
      <c r="J386" s="415">
        <v>31680.97</v>
      </c>
      <c r="K386" s="416"/>
      <c r="AF386" s="201" t="str">
        <f>CONCATENATE("Итого по подразделу: ",IF([4]Source!G337&lt;&gt;"Новый подраздел", [4]Source!G337, ""))</f>
        <v>Итого по подразделу: Монолитный железобетонный фундамент ФБ-2. 023/18КН-КР 4.2 лист 2</v>
      </c>
    </row>
    <row r="387" spans="1:32" hidden="1" x14ac:dyDescent="0.2">
      <c r="A387" s="160" t="s">
        <v>182</v>
      </c>
      <c r="I387" s="160">
        <v>0</v>
      </c>
      <c r="J387" s="160">
        <v>0</v>
      </c>
    </row>
    <row r="388" spans="1:32" hidden="1" x14ac:dyDescent="0.2">
      <c r="A388" s="160" t="s">
        <v>181</v>
      </c>
      <c r="I388" s="160">
        <v>0</v>
      </c>
      <c r="J388" s="160">
        <v>0</v>
      </c>
    </row>
    <row r="390" spans="1:32" ht="16.5" x14ac:dyDescent="0.25">
      <c r="A390" s="413" t="s">
        <v>2174</v>
      </c>
      <c r="B390" s="413"/>
      <c r="C390" s="413"/>
      <c r="D390" s="413"/>
      <c r="E390" s="413"/>
      <c r="F390" s="413"/>
      <c r="G390" s="413"/>
      <c r="H390" s="413"/>
      <c r="I390" s="413"/>
      <c r="J390" s="413"/>
      <c r="K390" s="413"/>
    </row>
    <row r="391" spans="1:32" ht="57" x14ac:dyDescent="0.2">
      <c r="A391" s="179" t="s">
        <v>1722</v>
      </c>
      <c r="B391" s="178" t="s">
        <v>568</v>
      </c>
      <c r="C391" s="178" t="s">
        <v>567</v>
      </c>
      <c r="D391" s="177" t="s">
        <v>2175</v>
      </c>
      <c r="E391" s="174">
        <v>0.61199999999999999</v>
      </c>
      <c r="F391" s="176"/>
      <c r="G391" s="175"/>
      <c r="H391" s="174"/>
      <c r="I391" s="173"/>
      <c r="J391" s="174"/>
      <c r="K391" s="173"/>
      <c r="Q391" s="160">
        <f>[4]Source!X371</f>
        <v>73.83</v>
      </c>
      <c r="R391" s="160">
        <f>[4]Source!X372</f>
        <v>1379.16</v>
      </c>
      <c r="S391" s="160">
        <f>[4]Source!Y371</f>
        <v>60.8</v>
      </c>
      <c r="T391" s="160">
        <f>[4]Source!Y372</f>
        <v>831.55</v>
      </c>
      <c r="U391" s="160">
        <f>ROUND((175/100)*ROUND([4]Source!R371, 2), 2)</f>
        <v>9.92</v>
      </c>
      <c r="V391" s="160">
        <f>ROUND((157/100)*ROUND([4]Source!R372, 2), 2)</f>
        <v>207.85</v>
      </c>
    </row>
    <row r="392" spans="1:32" ht="14.25" x14ac:dyDescent="0.2">
      <c r="A392" s="179"/>
      <c r="B392" s="178"/>
      <c r="C392" s="178" t="s">
        <v>197</v>
      </c>
      <c r="D392" s="177"/>
      <c r="E392" s="174"/>
      <c r="F392" s="176">
        <v>123.42</v>
      </c>
      <c r="G392" s="175" t="s">
        <v>1548</v>
      </c>
      <c r="H392" s="174">
        <v>1</v>
      </c>
      <c r="I392" s="173">
        <v>86.86</v>
      </c>
      <c r="J392" s="174">
        <v>23.35</v>
      </c>
      <c r="K392" s="173">
        <v>2028.18</v>
      </c>
    </row>
    <row r="393" spans="1:32" ht="14.25" x14ac:dyDescent="0.2">
      <c r="A393" s="179"/>
      <c r="B393" s="178"/>
      <c r="C393" s="178" t="s">
        <v>184</v>
      </c>
      <c r="D393" s="177"/>
      <c r="E393" s="174"/>
      <c r="F393" s="176">
        <v>59.44</v>
      </c>
      <c r="G393" s="175" t="s">
        <v>1549</v>
      </c>
      <c r="H393" s="174">
        <v>1</v>
      </c>
      <c r="I393" s="173">
        <v>45.47</v>
      </c>
      <c r="J393" s="174">
        <v>8.31</v>
      </c>
      <c r="K393" s="173">
        <v>377.86</v>
      </c>
    </row>
    <row r="394" spans="1:32" ht="14.25" x14ac:dyDescent="0.2">
      <c r="A394" s="179"/>
      <c r="B394" s="178"/>
      <c r="C394" s="178" t="s">
        <v>189</v>
      </c>
      <c r="D394" s="177"/>
      <c r="E394" s="174"/>
      <c r="F394" s="176">
        <v>7.41</v>
      </c>
      <c r="G394" s="175" t="s">
        <v>1549</v>
      </c>
      <c r="H394" s="174">
        <v>1</v>
      </c>
      <c r="I394" s="180">
        <v>5.67</v>
      </c>
      <c r="J394" s="174">
        <v>23.35</v>
      </c>
      <c r="K394" s="180">
        <v>132.38999999999999</v>
      </c>
    </row>
    <row r="395" spans="1:32" ht="14.25" x14ac:dyDescent="0.2">
      <c r="A395" s="179"/>
      <c r="B395" s="178"/>
      <c r="C395" s="178" t="s">
        <v>205</v>
      </c>
      <c r="D395" s="177"/>
      <c r="E395" s="174"/>
      <c r="F395" s="176">
        <v>32.549999999999997</v>
      </c>
      <c r="G395" s="175" t="s">
        <v>195</v>
      </c>
      <c r="H395" s="174">
        <v>1</v>
      </c>
      <c r="I395" s="173">
        <v>19.920000000000002</v>
      </c>
      <c r="J395" s="174">
        <v>5.99</v>
      </c>
      <c r="K395" s="173">
        <v>119.32</v>
      </c>
    </row>
    <row r="396" spans="1:32" ht="42.75" x14ac:dyDescent="0.2">
      <c r="A396" s="179" t="s">
        <v>1724</v>
      </c>
      <c r="B396" s="178" t="s">
        <v>2176</v>
      </c>
      <c r="C396" s="178" t="s">
        <v>566</v>
      </c>
      <c r="D396" s="177" t="s">
        <v>1533</v>
      </c>
      <c r="E396" s="174">
        <v>0.61199999999999999</v>
      </c>
      <c r="F396" s="176">
        <v>13723.23</v>
      </c>
      <c r="G396" s="182" t="s">
        <v>195</v>
      </c>
      <c r="H396" s="174">
        <v>1</v>
      </c>
      <c r="I396" s="173">
        <v>8398.6200000000008</v>
      </c>
      <c r="J396" s="174">
        <v>5.35</v>
      </c>
      <c r="K396" s="173">
        <v>44932.62</v>
      </c>
      <c r="Q396" s="160">
        <f>[4]Source!X373</f>
        <v>0</v>
      </c>
      <c r="R396" s="160">
        <f>[4]Source!X374</f>
        <v>0</v>
      </c>
      <c r="S396" s="160">
        <f>[4]Source!Y373</f>
        <v>0</v>
      </c>
      <c r="T396" s="160">
        <f>[4]Source!Y374</f>
        <v>0</v>
      </c>
      <c r="U396" s="160">
        <f>ROUND((175/100)*ROUND([4]Source!R373, 2), 2)</f>
        <v>0</v>
      </c>
      <c r="V396" s="160">
        <f>ROUND((157/100)*ROUND([4]Source!R374, 2), 2)</f>
        <v>0</v>
      </c>
    </row>
    <row r="397" spans="1:32" ht="14.25" x14ac:dyDescent="0.2">
      <c r="A397" s="179"/>
      <c r="B397" s="178"/>
      <c r="C397" s="178" t="s">
        <v>194</v>
      </c>
      <c r="D397" s="177" t="s">
        <v>187</v>
      </c>
      <c r="E397" s="174">
        <v>85</v>
      </c>
      <c r="F397" s="176"/>
      <c r="G397" s="175"/>
      <c r="H397" s="174"/>
      <c r="I397" s="173">
        <v>73.83</v>
      </c>
      <c r="J397" s="174">
        <v>68</v>
      </c>
      <c r="K397" s="173">
        <v>1379.16</v>
      </c>
    </row>
    <row r="398" spans="1:32" ht="14.25" x14ac:dyDescent="0.2">
      <c r="A398" s="179"/>
      <c r="B398" s="178"/>
      <c r="C398" s="178" t="s">
        <v>193</v>
      </c>
      <c r="D398" s="177" t="s">
        <v>187</v>
      </c>
      <c r="E398" s="174">
        <v>70</v>
      </c>
      <c r="F398" s="176"/>
      <c r="G398" s="175"/>
      <c r="H398" s="174"/>
      <c r="I398" s="173">
        <v>60.8</v>
      </c>
      <c r="J398" s="174">
        <v>41</v>
      </c>
      <c r="K398" s="173">
        <v>831.55</v>
      </c>
    </row>
    <row r="399" spans="1:32" ht="14.25" x14ac:dyDescent="0.2">
      <c r="A399" s="179"/>
      <c r="B399" s="178"/>
      <c r="C399" s="178" t="s">
        <v>188</v>
      </c>
      <c r="D399" s="177" t="s">
        <v>187</v>
      </c>
      <c r="E399" s="174">
        <v>175</v>
      </c>
      <c r="F399" s="176"/>
      <c r="G399" s="175"/>
      <c r="H399" s="174"/>
      <c r="I399" s="173">
        <v>9.92</v>
      </c>
      <c r="J399" s="174">
        <v>157</v>
      </c>
      <c r="K399" s="173">
        <v>207.85</v>
      </c>
    </row>
    <row r="400" spans="1:32" ht="14.25" x14ac:dyDescent="0.2">
      <c r="A400" s="172"/>
      <c r="B400" s="171"/>
      <c r="C400" s="171" t="s">
        <v>192</v>
      </c>
      <c r="D400" s="170" t="s">
        <v>191</v>
      </c>
      <c r="E400" s="167">
        <v>9.35</v>
      </c>
      <c r="F400" s="169"/>
      <c r="G400" s="168" t="s">
        <v>1548</v>
      </c>
      <c r="H400" s="167">
        <v>1</v>
      </c>
      <c r="I400" s="166">
        <v>6.58</v>
      </c>
      <c r="J400" s="167"/>
      <c r="K400" s="166"/>
    </row>
    <row r="401" spans="1:22" ht="15" x14ac:dyDescent="0.25">
      <c r="A401" s="164"/>
      <c r="B401" s="164"/>
      <c r="C401" s="165" t="s">
        <v>183</v>
      </c>
      <c r="D401" s="164"/>
      <c r="E401" s="164"/>
      <c r="F401" s="164"/>
      <c r="G401" s="164"/>
      <c r="H401" s="414">
        <v>8695.42</v>
      </c>
      <c r="I401" s="414"/>
      <c r="J401" s="414">
        <v>49876.54</v>
      </c>
      <c r="K401" s="414"/>
      <c r="O401" s="163">
        <f>I392+I393+I395+I397+I398+I399+SUM(I396:I396)</f>
        <v>8695.42</v>
      </c>
      <c r="P401" s="163">
        <f>K392+K393+K395+K397+K398+K399+SUM(K396:K396)</f>
        <v>49876.54</v>
      </c>
    </row>
    <row r="403" spans="1:22" ht="28.5" x14ac:dyDescent="0.2">
      <c r="A403" s="179" t="s">
        <v>1729</v>
      </c>
      <c r="B403" s="178" t="s">
        <v>2177</v>
      </c>
      <c r="C403" s="178" t="s">
        <v>563</v>
      </c>
      <c r="D403" s="177" t="s">
        <v>1785</v>
      </c>
      <c r="E403" s="174">
        <v>2.1833</v>
      </c>
      <c r="F403" s="176"/>
      <c r="G403" s="175"/>
      <c r="H403" s="174"/>
      <c r="I403" s="173"/>
      <c r="J403" s="174"/>
      <c r="K403" s="173"/>
      <c r="Q403" s="160">
        <f>[4]Source!X379</f>
        <v>231.53</v>
      </c>
      <c r="R403" s="160">
        <f>[4]Source!X380</f>
        <v>4325.01</v>
      </c>
      <c r="S403" s="160">
        <f>[4]Source!Y379</f>
        <v>190.67</v>
      </c>
      <c r="T403" s="160">
        <f>[4]Source!Y380</f>
        <v>2607.73</v>
      </c>
      <c r="U403" s="160">
        <f>ROUND((175/100)*ROUND([4]Source!R379, 2), 2)</f>
        <v>178.82</v>
      </c>
      <c r="V403" s="160">
        <f>ROUND((157/100)*ROUND([4]Source!R380, 2), 2)</f>
        <v>3745.86</v>
      </c>
    </row>
    <row r="404" spans="1:22" x14ac:dyDescent="0.2">
      <c r="C404" s="181" t="s">
        <v>2178</v>
      </c>
    </row>
    <row r="405" spans="1:22" ht="14.25" x14ac:dyDescent="0.2">
      <c r="A405" s="179"/>
      <c r="B405" s="178"/>
      <c r="C405" s="178" t="s">
        <v>197</v>
      </c>
      <c r="D405" s="177"/>
      <c r="E405" s="174"/>
      <c r="F405" s="176">
        <v>124.76</v>
      </c>
      <c r="G405" s="175" t="s">
        <v>195</v>
      </c>
      <c r="H405" s="174">
        <v>1</v>
      </c>
      <c r="I405" s="173">
        <v>272.39</v>
      </c>
      <c r="J405" s="174">
        <v>23.35</v>
      </c>
      <c r="K405" s="173">
        <v>6360.31</v>
      </c>
    </row>
    <row r="406" spans="1:22" ht="14.25" x14ac:dyDescent="0.2">
      <c r="A406" s="179"/>
      <c r="B406" s="178"/>
      <c r="C406" s="178" t="s">
        <v>184</v>
      </c>
      <c r="D406" s="177"/>
      <c r="E406" s="174"/>
      <c r="F406" s="176">
        <v>182.59</v>
      </c>
      <c r="G406" s="175" t="s">
        <v>195</v>
      </c>
      <c r="H406" s="174">
        <v>1</v>
      </c>
      <c r="I406" s="173">
        <v>398.65</v>
      </c>
      <c r="J406" s="174">
        <v>9.9600000000000009</v>
      </c>
      <c r="K406" s="173">
        <v>3970.55</v>
      </c>
    </row>
    <row r="407" spans="1:22" ht="14.25" x14ac:dyDescent="0.2">
      <c r="A407" s="179"/>
      <c r="B407" s="178"/>
      <c r="C407" s="178" t="s">
        <v>189</v>
      </c>
      <c r="D407" s="177"/>
      <c r="E407" s="174"/>
      <c r="F407" s="176">
        <v>46.8</v>
      </c>
      <c r="G407" s="175" t="s">
        <v>195</v>
      </c>
      <c r="H407" s="174">
        <v>1</v>
      </c>
      <c r="I407" s="180">
        <v>102.18</v>
      </c>
      <c r="J407" s="174">
        <v>23.35</v>
      </c>
      <c r="K407" s="180">
        <v>2385.9</v>
      </c>
    </row>
    <row r="408" spans="1:22" ht="14.25" x14ac:dyDescent="0.2">
      <c r="A408" s="179"/>
      <c r="B408" s="178"/>
      <c r="C408" s="178" t="s">
        <v>205</v>
      </c>
      <c r="D408" s="177"/>
      <c r="E408" s="174"/>
      <c r="F408" s="176">
        <v>3.64</v>
      </c>
      <c r="G408" s="175" t="s">
        <v>195</v>
      </c>
      <c r="H408" s="174">
        <v>1</v>
      </c>
      <c r="I408" s="173">
        <v>7.95</v>
      </c>
      <c r="J408" s="174">
        <v>5.42</v>
      </c>
      <c r="K408" s="173">
        <v>43.09</v>
      </c>
    </row>
    <row r="409" spans="1:22" ht="42.75" x14ac:dyDescent="0.2">
      <c r="A409" s="179" t="s">
        <v>1730</v>
      </c>
      <c r="B409" s="178" t="s">
        <v>2179</v>
      </c>
      <c r="C409" s="178" t="s">
        <v>565</v>
      </c>
      <c r="D409" s="177" t="s">
        <v>1533</v>
      </c>
      <c r="E409" s="174">
        <v>2.1833</v>
      </c>
      <c r="F409" s="176">
        <v>13876.75</v>
      </c>
      <c r="G409" s="182" t="s">
        <v>195</v>
      </c>
      <c r="H409" s="174">
        <v>1</v>
      </c>
      <c r="I409" s="173">
        <v>30297.11</v>
      </c>
      <c r="J409" s="174">
        <v>5.14</v>
      </c>
      <c r="K409" s="173">
        <v>155727.15</v>
      </c>
      <c r="Q409" s="160">
        <f>[4]Source!X381</f>
        <v>0</v>
      </c>
      <c r="R409" s="160">
        <f>[4]Source!X382</f>
        <v>0</v>
      </c>
      <c r="S409" s="160">
        <f>[4]Source!Y381</f>
        <v>0</v>
      </c>
      <c r="T409" s="160">
        <f>[4]Source!Y382</f>
        <v>0</v>
      </c>
      <c r="U409" s="160">
        <f>ROUND((175/100)*ROUND([4]Source!R381, 2), 2)</f>
        <v>0</v>
      </c>
      <c r="V409" s="160">
        <f>ROUND((157/100)*ROUND([4]Source!R382, 2), 2)</f>
        <v>0</v>
      </c>
    </row>
    <row r="410" spans="1:22" ht="14.25" x14ac:dyDescent="0.2">
      <c r="A410" s="179"/>
      <c r="B410" s="178"/>
      <c r="C410" s="178" t="s">
        <v>194</v>
      </c>
      <c r="D410" s="177" t="s">
        <v>187</v>
      </c>
      <c r="E410" s="174">
        <v>85</v>
      </c>
      <c r="F410" s="176"/>
      <c r="G410" s="175"/>
      <c r="H410" s="174"/>
      <c r="I410" s="173">
        <v>231.53</v>
      </c>
      <c r="J410" s="174">
        <v>68</v>
      </c>
      <c r="K410" s="173">
        <v>4325.01</v>
      </c>
    </row>
    <row r="411" spans="1:22" ht="14.25" x14ac:dyDescent="0.2">
      <c r="A411" s="179"/>
      <c r="B411" s="178"/>
      <c r="C411" s="178" t="s">
        <v>193</v>
      </c>
      <c r="D411" s="177" t="s">
        <v>187</v>
      </c>
      <c r="E411" s="174">
        <v>70</v>
      </c>
      <c r="F411" s="176"/>
      <c r="G411" s="175"/>
      <c r="H411" s="174"/>
      <c r="I411" s="173">
        <v>190.67</v>
      </c>
      <c r="J411" s="174">
        <v>41</v>
      </c>
      <c r="K411" s="173">
        <v>2607.73</v>
      </c>
    </row>
    <row r="412" spans="1:22" ht="14.25" x14ac:dyDescent="0.2">
      <c r="A412" s="179"/>
      <c r="B412" s="178"/>
      <c r="C412" s="178" t="s">
        <v>188</v>
      </c>
      <c r="D412" s="177" t="s">
        <v>187</v>
      </c>
      <c r="E412" s="174">
        <v>175</v>
      </c>
      <c r="F412" s="176"/>
      <c r="G412" s="175"/>
      <c r="H412" s="174"/>
      <c r="I412" s="173">
        <v>178.82</v>
      </c>
      <c r="J412" s="174">
        <v>157</v>
      </c>
      <c r="K412" s="173">
        <v>3745.86</v>
      </c>
    </row>
    <row r="413" spans="1:22" ht="14.25" x14ac:dyDescent="0.2">
      <c r="A413" s="172"/>
      <c r="B413" s="171"/>
      <c r="C413" s="171" t="s">
        <v>192</v>
      </c>
      <c r="D413" s="170" t="s">
        <v>191</v>
      </c>
      <c r="E413" s="167">
        <v>11.66</v>
      </c>
      <c r="F413" s="169"/>
      <c r="G413" s="168" t="s">
        <v>195</v>
      </c>
      <c r="H413" s="167">
        <v>1</v>
      </c>
      <c r="I413" s="166">
        <v>25.46</v>
      </c>
      <c r="J413" s="167"/>
      <c r="K413" s="166"/>
    </row>
    <row r="414" spans="1:22" ht="15" x14ac:dyDescent="0.25">
      <c r="A414" s="164"/>
      <c r="B414" s="164"/>
      <c r="C414" s="165" t="s">
        <v>183</v>
      </c>
      <c r="D414" s="164"/>
      <c r="E414" s="164"/>
      <c r="F414" s="164"/>
      <c r="G414" s="164"/>
      <c r="H414" s="414">
        <v>31577.119999999999</v>
      </c>
      <c r="I414" s="414"/>
      <c r="J414" s="414">
        <v>176779.7</v>
      </c>
      <c r="K414" s="414"/>
      <c r="O414" s="163">
        <f>I405+I406+I408+I410+I411+I412+SUM(I409:I409)</f>
        <v>31577.119999999999</v>
      </c>
      <c r="P414" s="163">
        <f>K405+K406+K408+K410+K411+K412+SUM(K409:K409)</f>
        <v>176779.7</v>
      </c>
    </row>
    <row r="416" spans="1:22" ht="52.5" x14ac:dyDescent="0.2">
      <c r="A416" s="179" t="s">
        <v>1737</v>
      </c>
      <c r="B416" s="178" t="s">
        <v>559</v>
      </c>
      <c r="C416" s="178" t="s">
        <v>564</v>
      </c>
      <c r="D416" s="177" t="s">
        <v>1785</v>
      </c>
      <c r="E416" s="174">
        <v>0.25600000000000001</v>
      </c>
      <c r="F416" s="176"/>
      <c r="G416" s="175"/>
      <c r="H416" s="174"/>
      <c r="I416" s="173"/>
      <c r="J416" s="174"/>
      <c r="K416" s="173"/>
      <c r="Q416" s="160">
        <f>[4]Source!X383</f>
        <v>172.71</v>
      </c>
      <c r="R416" s="160">
        <f>[4]Source!X384</f>
        <v>3226.25</v>
      </c>
      <c r="S416" s="160">
        <f>[4]Source!Y383</f>
        <v>142.22999999999999</v>
      </c>
      <c r="T416" s="160">
        <f>[4]Source!Y384</f>
        <v>1945.24</v>
      </c>
      <c r="U416" s="160">
        <f>ROUND((175/100)*ROUND([4]Source!R383, 2), 2)</f>
        <v>2.96</v>
      </c>
      <c r="V416" s="160">
        <f>ROUND((157/100)*ROUND([4]Source!R384, 2), 2)</f>
        <v>61.95</v>
      </c>
    </row>
    <row r="417" spans="1:22" x14ac:dyDescent="0.2">
      <c r="C417" s="181" t="s">
        <v>2180</v>
      </c>
    </row>
    <row r="418" spans="1:22" ht="14.25" x14ac:dyDescent="0.2">
      <c r="A418" s="179"/>
      <c r="B418" s="178"/>
      <c r="C418" s="178" t="s">
        <v>197</v>
      </c>
      <c r="D418" s="177"/>
      <c r="E418" s="174"/>
      <c r="F418" s="176">
        <v>690.2</v>
      </c>
      <c r="G418" s="175" t="s">
        <v>1548</v>
      </c>
      <c r="H418" s="174">
        <v>1</v>
      </c>
      <c r="I418" s="173">
        <v>203.19</v>
      </c>
      <c r="J418" s="174">
        <v>23.35</v>
      </c>
      <c r="K418" s="173">
        <v>4744.49</v>
      </c>
    </row>
    <row r="419" spans="1:22" ht="14.25" x14ac:dyDescent="0.2">
      <c r="A419" s="179"/>
      <c r="B419" s="178"/>
      <c r="C419" s="178" t="s">
        <v>184</v>
      </c>
      <c r="D419" s="177"/>
      <c r="E419" s="174"/>
      <c r="F419" s="176">
        <v>41.32</v>
      </c>
      <c r="G419" s="175" t="s">
        <v>1549</v>
      </c>
      <c r="H419" s="174">
        <v>1</v>
      </c>
      <c r="I419" s="173">
        <v>13.22</v>
      </c>
      <c r="J419" s="174">
        <v>8.1999999999999993</v>
      </c>
      <c r="K419" s="173">
        <v>108.4</v>
      </c>
    </row>
    <row r="420" spans="1:22" ht="14.25" x14ac:dyDescent="0.2">
      <c r="A420" s="179"/>
      <c r="B420" s="178"/>
      <c r="C420" s="178" t="s">
        <v>189</v>
      </c>
      <c r="D420" s="177"/>
      <c r="E420" s="174"/>
      <c r="F420" s="176">
        <v>5.27</v>
      </c>
      <c r="G420" s="175" t="s">
        <v>1549</v>
      </c>
      <c r="H420" s="174">
        <v>1</v>
      </c>
      <c r="I420" s="180">
        <v>1.69</v>
      </c>
      <c r="J420" s="174">
        <v>23.35</v>
      </c>
      <c r="K420" s="180">
        <v>39.46</v>
      </c>
    </row>
    <row r="421" spans="1:22" ht="57" x14ac:dyDescent="0.2">
      <c r="A421" s="179" t="s">
        <v>2181</v>
      </c>
      <c r="B421" s="178" t="s">
        <v>1571</v>
      </c>
      <c r="C421" s="178" t="s">
        <v>340</v>
      </c>
      <c r="D421" s="177" t="s">
        <v>1533</v>
      </c>
      <c r="E421" s="174">
        <v>0.25600000000000001</v>
      </c>
      <c r="F421" s="176">
        <v>20268.29</v>
      </c>
      <c r="G421" s="182" t="s">
        <v>195</v>
      </c>
      <c r="H421" s="174">
        <v>1</v>
      </c>
      <c r="I421" s="173">
        <v>5188.68</v>
      </c>
      <c r="J421" s="174">
        <v>5.13</v>
      </c>
      <c r="K421" s="173">
        <v>26617.93</v>
      </c>
      <c r="Q421" s="160">
        <f>[4]Source!X385</f>
        <v>0</v>
      </c>
      <c r="R421" s="160">
        <f>[4]Source!X386</f>
        <v>0</v>
      </c>
      <c r="S421" s="160">
        <f>[4]Source!Y385</f>
        <v>0</v>
      </c>
      <c r="T421" s="160">
        <f>[4]Source!Y386</f>
        <v>0</v>
      </c>
      <c r="U421" s="160">
        <f>ROUND((175/100)*ROUND([4]Source!R385, 2), 2)</f>
        <v>0</v>
      </c>
      <c r="V421" s="160">
        <f>ROUND((157/100)*ROUND([4]Source!R386, 2), 2)</f>
        <v>0</v>
      </c>
    </row>
    <row r="422" spans="1:22" ht="14.25" x14ac:dyDescent="0.2">
      <c r="A422" s="179"/>
      <c r="B422" s="178"/>
      <c r="C422" s="178" t="s">
        <v>194</v>
      </c>
      <c r="D422" s="177" t="s">
        <v>187</v>
      </c>
      <c r="E422" s="174">
        <v>85</v>
      </c>
      <c r="F422" s="176"/>
      <c r="G422" s="175"/>
      <c r="H422" s="174"/>
      <c r="I422" s="173">
        <v>172.71</v>
      </c>
      <c r="J422" s="174">
        <v>68</v>
      </c>
      <c r="K422" s="173">
        <v>3226.25</v>
      </c>
    </row>
    <row r="423" spans="1:22" ht="14.25" x14ac:dyDescent="0.2">
      <c r="A423" s="179"/>
      <c r="B423" s="178"/>
      <c r="C423" s="178" t="s">
        <v>193</v>
      </c>
      <c r="D423" s="177" t="s">
        <v>187</v>
      </c>
      <c r="E423" s="174">
        <v>70</v>
      </c>
      <c r="F423" s="176"/>
      <c r="G423" s="175"/>
      <c r="H423" s="174"/>
      <c r="I423" s="173">
        <v>142.22999999999999</v>
      </c>
      <c r="J423" s="174">
        <v>41</v>
      </c>
      <c r="K423" s="173">
        <v>1945.24</v>
      </c>
    </row>
    <row r="424" spans="1:22" ht="14.25" x14ac:dyDescent="0.2">
      <c r="A424" s="179"/>
      <c r="B424" s="178"/>
      <c r="C424" s="178" t="s">
        <v>188</v>
      </c>
      <c r="D424" s="177" t="s">
        <v>187</v>
      </c>
      <c r="E424" s="174">
        <v>175</v>
      </c>
      <c r="F424" s="176"/>
      <c r="G424" s="175"/>
      <c r="H424" s="174"/>
      <c r="I424" s="173">
        <v>2.96</v>
      </c>
      <c r="J424" s="174">
        <v>157</v>
      </c>
      <c r="K424" s="173">
        <v>61.95</v>
      </c>
    </row>
    <row r="425" spans="1:22" ht="14.25" x14ac:dyDescent="0.2">
      <c r="A425" s="172"/>
      <c r="B425" s="171"/>
      <c r="C425" s="171" t="s">
        <v>192</v>
      </c>
      <c r="D425" s="170" t="s">
        <v>191</v>
      </c>
      <c r="E425" s="167">
        <v>58</v>
      </c>
      <c r="F425" s="169"/>
      <c r="G425" s="168" t="s">
        <v>1548</v>
      </c>
      <c r="H425" s="167">
        <v>1</v>
      </c>
      <c r="I425" s="166">
        <v>17.079999999999998</v>
      </c>
      <c r="J425" s="167"/>
      <c r="K425" s="166"/>
    </row>
    <row r="426" spans="1:22" ht="15" x14ac:dyDescent="0.25">
      <c r="A426" s="164"/>
      <c r="B426" s="164"/>
      <c r="C426" s="165" t="s">
        <v>183</v>
      </c>
      <c r="D426" s="164"/>
      <c r="E426" s="164"/>
      <c r="F426" s="164"/>
      <c r="G426" s="164"/>
      <c r="H426" s="414">
        <v>5722.99</v>
      </c>
      <c r="I426" s="414"/>
      <c r="J426" s="414">
        <v>36704.26</v>
      </c>
      <c r="K426" s="414"/>
      <c r="O426" s="163">
        <f>I418+I419+I422+I423+I424+SUM(I421:I421)</f>
        <v>5722.99</v>
      </c>
      <c r="P426" s="163">
        <f>K418+K419+K422+K423+K424+SUM(K421:K421)</f>
        <v>36704.26</v>
      </c>
    </row>
    <row r="428" spans="1:22" ht="28.5" x14ac:dyDescent="0.2">
      <c r="A428" s="179" t="s">
        <v>1740</v>
      </c>
      <c r="B428" s="178" t="s">
        <v>2177</v>
      </c>
      <c r="C428" s="178" t="s">
        <v>563</v>
      </c>
      <c r="D428" s="177" t="s">
        <v>1785</v>
      </c>
      <c r="E428" s="174">
        <v>6.6000000000000003E-2</v>
      </c>
      <c r="F428" s="176"/>
      <c r="G428" s="175"/>
      <c r="H428" s="174"/>
      <c r="I428" s="173"/>
      <c r="J428" s="174"/>
      <c r="K428" s="173"/>
      <c r="Q428" s="160">
        <f>[4]Source!X387</f>
        <v>7</v>
      </c>
      <c r="R428" s="160">
        <f>[4]Source!X388</f>
        <v>130.68</v>
      </c>
      <c r="S428" s="160">
        <f>[4]Source!Y387</f>
        <v>5.76</v>
      </c>
      <c r="T428" s="160">
        <f>[4]Source!Y388</f>
        <v>78.790000000000006</v>
      </c>
      <c r="U428" s="160">
        <f>ROUND((175/100)*ROUND([4]Source!R387, 2), 2)</f>
        <v>5.41</v>
      </c>
      <c r="V428" s="160">
        <f>ROUND((157/100)*ROUND([4]Source!R388, 2), 2)</f>
        <v>113.28</v>
      </c>
    </row>
    <row r="429" spans="1:22" x14ac:dyDescent="0.2">
      <c r="C429" s="181" t="s">
        <v>2182</v>
      </c>
    </row>
    <row r="430" spans="1:22" ht="14.25" x14ac:dyDescent="0.2">
      <c r="A430" s="179"/>
      <c r="B430" s="178"/>
      <c r="C430" s="178" t="s">
        <v>197</v>
      </c>
      <c r="D430" s="177"/>
      <c r="E430" s="174"/>
      <c r="F430" s="176">
        <v>124.76</v>
      </c>
      <c r="G430" s="175" t="s">
        <v>195</v>
      </c>
      <c r="H430" s="174">
        <v>1</v>
      </c>
      <c r="I430" s="173">
        <v>8.23</v>
      </c>
      <c r="J430" s="174">
        <v>23.35</v>
      </c>
      <c r="K430" s="173">
        <v>192.17</v>
      </c>
    </row>
    <row r="431" spans="1:22" ht="14.25" x14ac:dyDescent="0.2">
      <c r="A431" s="179"/>
      <c r="B431" s="178"/>
      <c r="C431" s="178" t="s">
        <v>184</v>
      </c>
      <c r="D431" s="177"/>
      <c r="E431" s="174"/>
      <c r="F431" s="176">
        <v>182.59</v>
      </c>
      <c r="G431" s="175" t="s">
        <v>195</v>
      </c>
      <c r="H431" s="174">
        <v>1</v>
      </c>
      <c r="I431" s="173">
        <v>12.05</v>
      </c>
      <c r="J431" s="174">
        <v>9.9600000000000009</v>
      </c>
      <c r="K431" s="173">
        <v>120.02</v>
      </c>
    </row>
    <row r="432" spans="1:22" ht="14.25" x14ac:dyDescent="0.2">
      <c r="A432" s="179"/>
      <c r="B432" s="178"/>
      <c r="C432" s="178" t="s">
        <v>189</v>
      </c>
      <c r="D432" s="177"/>
      <c r="E432" s="174"/>
      <c r="F432" s="176">
        <v>46.8</v>
      </c>
      <c r="G432" s="175" t="s">
        <v>195</v>
      </c>
      <c r="H432" s="174">
        <v>1</v>
      </c>
      <c r="I432" s="180">
        <v>3.09</v>
      </c>
      <c r="J432" s="174">
        <v>23.35</v>
      </c>
      <c r="K432" s="180">
        <v>72.150000000000006</v>
      </c>
    </row>
    <row r="433" spans="1:32" ht="14.25" x14ac:dyDescent="0.2">
      <c r="A433" s="179"/>
      <c r="B433" s="178"/>
      <c r="C433" s="178" t="s">
        <v>205</v>
      </c>
      <c r="D433" s="177"/>
      <c r="E433" s="174"/>
      <c r="F433" s="176">
        <v>3.64</v>
      </c>
      <c r="G433" s="175" t="s">
        <v>195</v>
      </c>
      <c r="H433" s="174">
        <v>1</v>
      </c>
      <c r="I433" s="173">
        <v>0.24</v>
      </c>
      <c r="J433" s="174">
        <v>5.42</v>
      </c>
      <c r="K433" s="173">
        <v>1.3</v>
      </c>
    </row>
    <row r="434" spans="1:32" ht="57" x14ac:dyDescent="0.2">
      <c r="A434" s="179" t="s">
        <v>1742</v>
      </c>
      <c r="B434" s="178" t="s">
        <v>1571</v>
      </c>
      <c r="C434" s="178" t="s">
        <v>340</v>
      </c>
      <c r="D434" s="177" t="s">
        <v>1533</v>
      </c>
      <c r="E434" s="174">
        <v>1.2E-2</v>
      </c>
      <c r="F434" s="176">
        <v>20268.29</v>
      </c>
      <c r="G434" s="182" t="s">
        <v>195</v>
      </c>
      <c r="H434" s="174">
        <v>1</v>
      </c>
      <c r="I434" s="173">
        <v>243.22</v>
      </c>
      <c r="J434" s="174">
        <v>5.13</v>
      </c>
      <c r="K434" s="173">
        <v>1247.72</v>
      </c>
      <c r="Q434" s="160">
        <f>[4]Source!X389</f>
        <v>0</v>
      </c>
      <c r="R434" s="160">
        <f>[4]Source!X390</f>
        <v>0</v>
      </c>
      <c r="S434" s="160">
        <f>[4]Source!Y389</f>
        <v>0</v>
      </c>
      <c r="T434" s="160">
        <f>[4]Source!Y390</f>
        <v>0</v>
      </c>
      <c r="U434" s="160">
        <f>ROUND((175/100)*ROUND([4]Source!R389, 2), 2)</f>
        <v>0</v>
      </c>
      <c r="V434" s="160">
        <f>ROUND((157/100)*ROUND([4]Source!R390, 2), 2)</f>
        <v>0</v>
      </c>
    </row>
    <row r="435" spans="1:32" ht="57" x14ac:dyDescent="0.2">
      <c r="A435" s="179" t="s">
        <v>2033</v>
      </c>
      <c r="B435" s="178" t="s">
        <v>2183</v>
      </c>
      <c r="C435" s="178" t="s">
        <v>562</v>
      </c>
      <c r="D435" s="177" t="s">
        <v>1533</v>
      </c>
      <c r="E435" s="174">
        <v>5.3999999999999999E-2</v>
      </c>
      <c r="F435" s="176">
        <v>12267.8</v>
      </c>
      <c r="G435" s="182" t="s">
        <v>195</v>
      </c>
      <c r="H435" s="174">
        <v>1</v>
      </c>
      <c r="I435" s="173">
        <v>662.46</v>
      </c>
      <c r="J435" s="174">
        <v>5.15</v>
      </c>
      <c r="K435" s="173">
        <v>3411.67</v>
      </c>
      <c r="Q435" s="160">
        <f>[4]Source!X391</f>
        <v>0</v>
      </c>
      <c r="R435" s="160">
        <f>[4]Source!X392</f>
        <v>0</v>
      </c>
      <c r="S435" s="160">
        <f>[4]Source!Y391</f>
        <v>0</v>
      </c>
      <c r="T435" s="160">
        <f>[4]Source!Y392</f>
        <v>0</v>
      </c>
      <c r="U435" s="160">
        <f>ROUND((175/100)*ROUND([4]Source!R391, 2), 2)</f>
        <v>0</v>
      </c>
      <c r="V435" s="160">
        <f>ROUND((157/100)*ROUND([4]Source!R392, 2), 2)</f>
        <v>0</v>
      </c>
    </row>
    <row r="436" spans="1:32" ht="14.25" x14ac:dyDescent="0.2">
      <c r="A436" s="179"/>
      <c r="B436" s="178"/>
      <c r="C436" s="178" t="s">
        <v>194</v>
      </c>
      <c r="D436" s="177" t="s">
        <v>187</v>
      </c>
      <c r="E436" s="174">
        <v>85</v>
      </c>
      <c r="F436" s="176"/>
      <c r="G436" s="175"/>
      <c r="H436" s="174"/>
      <c r="I436" s="173">
        <v>7</v>
      </c>
      <c r="J436" s="174">
        <v>68</v>
      </c>
      <c r="K436" s="173">
        <v>130.68</v>
      </c>
    </row>
    <row r="437" spans="1:32" ht="14.25" x14ac:dyDescent="0.2">
      <c r="A437" s="179"/>
      <c r="B437" s="178"/>
      <c r="C437" s="178" t="s">
        <v>193</v>
      </c>
      <c r="D437" s="177" t="s">
        <v>187</v>
      </c>
      <c r="E437" s="174">
        <v>70</v>
      </c>
      <c r="F437" s="176"/>
      <c r="G437" s="175"/>
      <c r="H437" s="174"/>
      <c r="I437" s="173">
        <v>5.76</v>
      </c>
      <c r="J437" s="174">
        <v>41</v>
      </c>
      <c r="K437" s="173">
        <v>78.790000000000006</v>
      </c>
    </row>
    <row r="438" spans="1:32" ht="14.25" x14ac:dyDescent="0.2">
      <c r="A438" s="179"/>
      <c r="B438" s="178"/>
      <c r="C438" s="178" t="s">
        <v>188</v>
      </c>
      <c r="D438" s="177" t="s">
        <v>187</v>
      </c>
      <c r="E438" s="174">
        <v>175</v>
      </c>
      <c r="F438" s="176"/>
      <c r="G438" s="175"/>
      <c r="H438" s="174"/>
      <c r="I438" s="173">
        <v>5.41</v>
      </c>
      <c r="J438" s="174">
        <v>157</v>
      </c>
      <c r="K438" s="173">
        <v>113.28</v>
      </c>
    </row>
    <row r="439" spans="1:32" ht="14.25" x14ac:dyDescent="0.2">
      <c r="A439" s="172"/>
      <c r="B439" s="171"/>
      <c r="C439" s="171" t="s">
        <v>192</v>
      </c>
      <c r="D439" s="170" t="s">
        <v>191</v>
      </c>
      <c r="E439" s="167">
        <v>11.66</v>
      </c>
      <c r="F439" s="169"/>
      <c r="G439" s="168" t="s">
        <v>195</v>
      </c>
      <c r="H439" s="167">
        <v>1</v>
      </c>
      <c r="I439" s="166">
        <v>0.77</v>
      </c>
      <c r="J439" s="167"/>
      <c r="K439" s="166"/>
    </row>
    <row r="440" spans="1:32" ht="15" x14ac:dyDescent="0.25">
      <c r="A440" s="164"/>
      <c r="B440" s="164"/>
      <c r="C440" s="165" t="s">
        <v>183</v>
      </c>
      <c r="D440" s="164"/>
      <c r="E440" s="164"/>
      <c r="F440" s="164"/>
      <c r="G440" s="164"/>
      <c r="H440" s="414">
        <v>944.37</v>
      </c>
      <c r="I440" s="414"/>
      <c r="J440" s="414">
        <v>5295.63</v>
      </c>
      <c r="K440" s="414"/>
      <c r="O440" s="163">
        <f>I430+I431+I433+I436+I437+I438+SUM(I434:I435)</f>
        <v>944.37</v>
      </c>
      <c r="P440" s="163">
        <f>K430+K431+K433+K436+K437+K438+SUM(K434:K435)</f>
        <v>5295.63</v>
      </c>
    </row>
    <row r="443" spans="1:32" ht="15" x14ac:dyDescent="0.25">
      <c r="A443" s="417" t="s">
        <v>2184</v>
      </c>
      <c r="B443" s="417"/>
      <c r="C443" s="417"/>
      <c r="D443" s="417"/>
      <c r="E443" s="417"/>
      <c r="F443" s="417"/>
      <c r="G443" s="417"/>
      <c r="H443" s="415">
        <v>46939.9</v>
      </c>
      <c r="I443" s="416"/>
      <c r="J443" s="415">
        <v>268656.13</v>
      </c>
      <c r="K443" s="416"/>
      <c r="AF443" s="201" t="str">
        <f>CONCATENATE("Итого по подразделу: ",IF([4]Source!G400&lt;&gt;"Новый подраздел", [4]Source!G400, ""))</f>
        <v>Итого по подразделу: Устройство перекрытия./ 023/18КН-КР 4.2 лист 2, 2.1</v>
      </c>
    </row>
    <row r="444" spans="1:32" hidden="1" x14ac:dyDescent="0.2">
      <c r="A444" s="160" t="s">
        <v>182</v>
      </c>
      <c r="I444" s="160">
        <v>0</v>
      </c>
      <c r="J444" s="160">
        <v>0</v>
      </c>
    </row>
    <row r="445" spans="1:32" hidden="1" x14ac:dyDescent="0.2">
      <c r="A445" s="160" t="s">
        <v>181</v>
      </c>
      <c r="I445" s="160">
        <v>0</v>
      </c>
      <c r="J445" s="160">
        <v>0</v>
      </c>
    </row>
    <row r="447" spans="1:32" ht="16.5" x14ac:dyDescent="0.25">
      <c r="A447" s="413" t="s">
        <v>2185</v>
      </c>
      <c r="B447" s="413"/>
      <c r="C447" s="413"/>
      <c r="D447" s="413"/>
      <c r="E447" s="413"/>
      <c r="F447" s="413"/>
      <c r="G447" s="413"/>
      <c r="H447" s="413"/>
      <c r="I447" s="413"/>
      <c r="J447" s="413"/>
      <c r="K447" s="413"/>
    </row>
    <row r="448" spans="1:32" ht="28.5" x14ac:dyDescent="0.2">
      <c r="A448" s="179" t="s">
        <v>1744</v>
      </c>
      <c r="B448" s="178" t="s">
        <v>2186</v>
      </c>
      <c r="C448" s="178" t="s">
        <v>561</v>
      </c>
      <c r="D448" s="177" t="s">
        <v>1785</v>
      </c>
      <c r="E448" s="174">
        <v>0.34</v>
      </c>
      <c r="F448" s="176"/>
      <c r="G448" s="175"/>
      <c r="H448" s="174"/>
      <c r="I448" s="173"/>
      <c r="J448" s="174"/>
      <c r="K448" s="173"/>
      <c r="Q448" s="160">
        <f>[4]Source!X434</f>
        <v>68.78</v>
      </c>
      <c r="R448" s="160">
        <f>[4]Source!X435</f>
        <v>1284.8499999999999</v>
      </c>
      <c r="S448" s="160">
        <f>[4]Source!Y434</f>
        <v>56.64</v>
      </c>
      <c r="T448" s="160">
        <f>[4]Source!Y435</f>
        <v>774.69</v>
      </c>
      <c r="U448" s="160">
        <f>ROUND((175/100)*ROUND([4]Source!R434, 2), 2)</f>
        <v>3.13</v>
      </c>
      <c r="V448" s="160">
        <f>ROUND((157/100)*ROUND([4]Source!R435, 2), 2)</f>
        <v>65.63</v>
      </c>
    </row>
    <row r="449" spans="1:22" x14ac:dyDescent="0.2">
      <c r="C449" s="181" t="s">
        <v>2187</v>
      </c>
    </row>
    <row r="450" spans="1:22" ht="14.25" x14ac:dyDescent="0.2">
      <c r="A450" s="179"/>
      <c r="B450" s="178"/>
      <c r="C450" s="178" t="s">
        <v>197</v>
      </c>
      <c r="D450" s="177"/>
      <c r="E450" s="174"/>
      <c r="F450" s="176">
        <v>238</v>
      </c>
      <c r="G450" s="175" t="s">
        <v>195</v>
      </c>
      <c r="H450" s="174">
        <v>1</v>
      </c>
      <c r="I450" s="173">
        <v>80.92</v>
      </c>
      <c r="J450" s="174">
        <v>23.35</v>
      </c>
      <c r="K450" s="173">
        <v>1889.48</v>
      </c>
    </row>
    <row r="451" spans="1:22" ht="14.25" x14ac:dyDescent="0.2">
      <c r="A451" s="179"/>
      <c r="B451" s="178"/>
      <c r="C451" s="178" t="s">
        <v>184</v>
      </c>
      <c r="D451" s="177"/>
      <c r="E451" s="174"/>
      <c r="F451" s="176">
        <v>41.32</v>
      </c>
      <c r="G451" s="175" t="s">
        <v>195</v>
      </c>
      <c r="H451" s="174">
        <v>1</v>
      </c>
      <c r="I451" s="173">
        <v>14.05</v>
      </c>
      <c r="J451" s="174">
        <v>8.1999999999999993</v>
      </c>
      <c r="K451" s="173">
        <v>115.21</v>
      </c>
    </row>
    <row r="452" spans="1:22" ht="14.25" x14ac:dyDescent="0.2">
      <c r="A452" s="179"/>
      <c r="B452" s="178"/>
      <c r="C452" s="178" t="s">
        <v>189</v>
      </c>
      <c r="D452" s="177"/>
      <c r="E452" s="174"/>
      <c r="F452" s="176">
        <v>5.27</v>
      </c>
      <c r="G452" s="175" t="s">
        <v>195</v>
      </c>
      <c r="H452" s="174">
        <v>1</v>
      </c>
      <c r="I452" s="180">
        <v>1.79</v>
      </c>
      <c r="J452" s="174">
        <v>23.35</v>
      </c>
      <c r="K452" s="180">
        <v>41.8</v>
      </c>
    </row>
    <row r="453" spans="1:22" ht="57" x14ac:dyDescent="0.2">
      <c r="A453" s="179" t="s">
        <v>1747</v>
      </c>
      <c r="B453" s="178" t="s">
        <v>1571</v>
      </c>
      <c r="C453" s="178" t="s">
        <v>340</v>
      </c>
      <c r="D453" s="177" t="s">
        <v>1533</v>
      </c>
      <c r="E453" s="174">
        <v>0.34</v>
      </c>
      <c r="F453" s="176">
        <v>20268.29</v>
      </c>
      <c r="G453" s="182" t="s">
        <v>195</v>
      </c>
      <c r="H453" s="174">
        <v>1</v>
      </c>
      <c r="I453" s="173">
        <v>6891.22</v>
      </c>
      <c r="J453" s="174">
        <v>5.13</v>
      </c>
      <c r="K453" s="173">
        <v>35351.96</v>
      </c>
      <c r="Q453" s="160">
        <f>[4]Source!X436</f>
        <v>0</v>
      </c>
      <c r="R453" s="160">
        <f>[4]Source!X437</f>
        <v>0</v>
      </c>
      <c r="S453" s="160">
        <f>[4]Source!Y436</f>
        <v>0</v>
      </c>
      <c r="T453" s="160">
        <f>[4]Source!Y437</f>
        <v>0</v>
      </c>
      <c r="U453" s="160">
        <f>ROUND((175/100)*ROUND([4]Source!R436, 2), 2)</f>
        <v>0</v>
      </c>
      <c r="V453" s="160">
        <f>ROUND((157/100)*ROUND([4]Source!R437, 2), 2)</f>
        <v>0</v>
      </c>
    </row>
    <row r="454" spans="1:22" ht="28.5" x14ac:dyDescent="0.2">
      <c r="A454" s="179" t="s">
        <v>2188</v>
      </c>
      <c r="B454" s="178" t="s">
        <v>2189</v>
      </c>
      <c r="C454" s="178" t="s">
        <v>560</v>
      </c>
      <c r="D454" s="177" t="s">
        <v>1533</v>
      </c>
      <c r="E454" s="174">
        <v>0.02</v>
      </c>
      <c r="F454" s="176">
        <v>30362.36</v>
      </c>
      <c r="G454" s="182" t="s">
        <v>195</v>
      </c>
      <c r="H454" s="174">
        <v>1</v>
      </c>
      <c r="I454" s="173">
        <v>607.25</v>
      </c>
      <c r="J454" s="174">
        <v>4.42</v>
      </c>
      <c r="K454" s="173">
        <v>2684.05</v>
      </c>
      <c r="Q454" s="160">
        <f>[4]Source!X438</f>
        <v>0</v>
      </c>
      <c r="R454" s="160">
        <f>[4]Source!X439</f>
        <v>0</v>
      </c>
      <c r="S454" s="160">
        <f>[4]Source!Y438</f>
        <v>0</v>
      </c>
      <c r="T454" s="160">
        <f>[4]Source!Y439</f>
        <v>0</v>
      </c>
      <c r="U454" s="160">
        <f>ROUND((175/100)*ROUND([4]Source!R438, 2), 2)</f>
        <v>0</v>
      </c>
      <c r="V454" s="160">
        <f>ROUND((157/100)*ROUND([4]Source!R439, 2), 2)</f>
        <v>0</v>
      </c>
    </row>
    <row r="455" spans="1:22" ht="14.25" x14ac:dyDescent="0.2">
      <c r="A455" s="179"/>
      <c r="B455" s="178"/>
      <c r="C455" s="178" t="s">
        <v>194</v>
      </c>
      <c r="D455" s="177" t="s">
        <v>187</v>
      </c>
      <c r="E455" s="174">
        <v>85</v>
      </c>
      <c r="F455" s="176"/>
      <c r="G455" s="175"/>
      <c r="H455" s="174"/>
      <c r="I455" s="173">
        <v>68.78</v>
      </c>
      <c r="J455" s="174">
        <v>68</v>
      </c>
      <c r="K455" s="173">
        <v>1284.8499999999999</v>
      </c>
    </row>
    <row r="456" spans="1:22" ht="14.25" x14ac:dyDescent="0.2">
      <c r="A456" s="179"/>
      <c r="B456" s="178"/>
      <c r="C456" s="178" t="s">
        <v>193</v>
      </c>
      <c r="D456" s="177" t="s">
        <v>187</v>
      </c>
      <c r="E456" s="174">
        <v>70</v>
      </c>
      <c r="F456" s="176"/>
      <c r="G456" s="175"/>
      <c r="H456" s="174"/>
      <c r="I456" s="173">
        <v>56.64</v>
      </c>
      <c r="J456" s="174">
        <v>41</v>
      </c>
      <c r="K456" s="173">
        <v>774.69</v>
      </c>
    </row>
    <row r="457" spans="1:22" ht="14.25" x14ac:dyDescent="0.2">
      <c r="A457" s="179"/>
      <c r="B457" s="178"/>
      <c r="C457" s="178" t="s">
        <v>188</v>
      </c>
      <c r="D457" s="177" t="s">
        <v>187</v>
      </c>
      <c r="E457" s="174">
        <v>175</v>
      </c>
      <c r="F457" s="176"/>
      <c r="G457" s="175"/>
      <c r="H457" s="174"/>
      <c r="I457" s="173">
        <v>3.13</v>
      </c>
      <c r="J457" s="174">
        <v>157</v>
      </c>
      <c r="K457" s="173">
        <v>65.63</v>
      </c>
    </row>
    <row r="458" spans="1:22" ht="14.25" x14ac:dyDescent="0.2">
      <c r="A458" s="172"/>
      <c r="B458" s="171"/>
      <c r="C458" s="171" t="s">
        <v>192</v>
      </c>
      <c r="D458" s="170" t="s">
        <v>191</v>
      </c>
      <c r="E458" s="167">
        <v>20</v>
      </c>
      <c r="F458" s="169"/>
      <c r="G458" s="168" t="s">
        <v>195</v>
      </c>
      <c r="H458" s="167">
        <v>1</v>
      </c>
      <c r="I458" s="166">
        <v>6.8</v>
      </c>
      <c r="J458" s="167"/>
      <c r="K458" s="166"/>
    </row>
    <row r="459" spans="1:22" ht="15" x14ac:dyDescent="0.25">
      <c r="A459" s="164"/>
      <c r="B459" s="164"/>
      <c r="C459" s="165" t="s">
        <v>183</v>
      </c>
      <c r="D459" s="164"/>
      <c r="E459" s="164"/>
      <c r="F459" s="164"/>
      <c r="G459" s="164"/>
      <c r="H459" s="414">
        <v>7721.99</v>
      </c>
      <c r="I459" s="414"/>
      <c r="J459" s="414">
        <v>42165.87</v>
      </c>
      <c r="K459" s="414"/>
      <c r="O459" s="163">
        <f>I450+I451+I455+I456+I457+SUM(I453:I454)</f>
        <v>7721.99</v>
      </c>
      <c r="P459" s="163">
        <f>K450+K451+K455+K456+K457+SUM(K453:K454)</f>
        <v>42165.87</v>
      </c>
    </row>
    <row r="461" spans="1:22" ht="52.5" x14ac:dyDescent="0.2">
      <c r="A461" s="179" t="s">
        <v>2040</v>
      </c>
      <c r="B461" s="178" t="s">
        <v>559</v>
      </c>
      <c r="C461" s="178" t="s">
        <v>558</v>
      </c>
      <c r="D461" s="177" t="s">
        <v>1785</v>
      </c>
      <c r="E461" s="174">
        <v>3.1099999999999999E-2</v>
      </c>
      <c r="F461" s="176"/>
      <c r="G461" s="175"/>
      <c r="H461" s="174"/>
      <c r="I461" s="173"/>
      <c r="J461" s="174"/>
      <c r="K461" s="173"/>
      <c r="Q461" s="160">
        <f>[4]Source!X446</f>
        <v>20.99</v>
      </c>
      <c r="R461" s="160">
        <f>[4]Source!X447</f>
        <v>392.03</v>
      </c>
      <c r="S461" s="160">
        <f>[4]Source!Y446</f>
        <v>17.28</v>
      </c>
      <c r="T461" s="160">
        <f>[4]Source!Y447</f>
        <v>236.37</v>
      </c>
      <c r="U461" s="160">
        <f>ROUND((175/100)*ROUND([4]Source!R446, 2), 2)</f>
        <v>0.35</v>
      </c>
      <c r="V461" s="160">
        <f>ROUND((157/100)*ROUND([4]Source!R447, 2), 2)</f>
        <v>7.33</v>
      </c>
    </row>
    <row r="462" spans="1:22" x14ac:dyDescent="0.2">
      <c r="C462" s="181" t="s">
        <v>2190</v>
      </c>
    </row>
    <row r="463" spans="1:22" ht="14.25" x14ac:dyDescent="0.2">
      <c r="A463" s="179"/>
      <c r="B463" s="178"/>
      <c r="C463" s="178" t="s">
        <v>197</v>
      </c>
      <c r="D463" s="177"/>
      <c r="E463" s="174"/>
      <c r="F463" s="176">
        <v>690.2</v>
      </c>
      <c r="G463" s="175" t="s">
        <v>1548</v>
      </c>
      <c r="H463" s="174">
        <v>1</v>
      </c>
      <c r="I463" s="173">
        <v>24.69</v>
      </c>
      <c r="J463" s="174">
        <v>23.35</v>
      </c>
      <c r="K463" s="173">
        <v>576.51</v>
      </c>
    </row>
    <row r="464" spans="1:22" ht="14.25" x14ac:dyDescent="0.2">
      <c r="A464" s="179"/>
      <c r="B464" s="178"/>
      <c r="C464" s="178" t="s">
        <v>184</v>
      </c>
      <c r="D464" s="177"/>
      <c r="E464" s="174"/>
      <c r="F464" s="176">
        <v>41.32</v>
      </c>
      <c r="G464" s="175" t="s">
        <v>1549</v>
      </c>
      <c r="H464" s="174">
        <v>1</v>
      </c>
      <c r="I464" s="173">
        <v>1.61</v>
      </c>
      <c r="J464" s="174">
        <v>8.1999999999999993</v>
      </c>
      <c r="K464" s="173">
        <v>13.2</v>
      </c>
    </row>
    <row r="465" spans="1:22" ht="14.25" x14ac:dyDescent="0.2">
      <c r="A465" s="179"/>
      <c r="B465" s="178"/>
      <c r="C465" s="178" t="s">
        <v>189</v>
      </c>
      <c r="D465" s="177"/>
      <c r="E465" s="174"/>
      <c r="F465" s="176">
        <v>5.27</v>
      </c>
      <c r="G465" s="175" t="s">
        <v>1549</v>
      </c>
      <c r="H465" s="174">
        <v>1</v>
      </c>
      <c r="I465" s="180">
        <v>0.2</v>
      </c>
      <c r="J465" s="174">
        <v>23.35</v>
      </c>
      <c r="K465" s="180">
        <v>4.67</v>
      </c>
    </row>
    <row r="466" spans="1:22" ht="57" x14ac:dyDescent="0.2">
      <c r="A466" s="179" t="s">
        <v>2043</v>
      </c>
      <c r="B466" s="178" t="s">
        <v>1571</v>
      </c>
      <c r="C466" s="178" t="s">
        <v>340</v>
      </c>
      <c r="D466" s="177" t="s">
        <v>1533</v>
      </c>
      <c r="E466" s="174">
        <v>3.1099999999999999E-2</v>
      </c>
      <c r="F466" s="176">
        <v>20268.29</v>
      </c>
      <c r="G466" s="182" t="s">
        <v>195</v>
      </c>
      <c r="H466" s="174">
        <v>1</v>
      </c>
      <c r="I466" s="173">
        <v>630.34</v>
      </c>
      <c r="J466" s="174">
        <v>5.13</v>
      </c>
      <c r="K466" s="173">
        <v>3233.64</v>
      </c>
      <c r="Q466" s="160">
        <f>[4]Source!X448</f>
        <v>0</v>
      </c>
      <c r="R466" s="160">
        <f>[4]Source!X449</f>
        <v>0</v>
      </c>
      <c r="S466" s="160">
        <f>[4]Source!Y448</f>
        <v>0</v>
      </c>
      <c r="T466" s="160">
        <f>[4]Source!Y449</f>
        <v>0</v>
      </c>
      <c r="U466" s="160">
        <f>ROUND((175/100)*ROUND([4]Source!R448, 2), 2)</f>
        <v>0</v>
      </c>
      <c r="V466" s="160">
        <f>ROUND((157/100)*ROUND([4]Source!R449, 2), 2)</f>
        <v>0</v>
      </c>
    </row>
    <row r="467" spans="1:22" ht="114" x14ac:dyDescent="0.2">
      <c r="A467" s="179" t="s">
        <v>2191</v>
      </c>
      <c r="B467" s="178" t="s">
        <v>2192</v>
      </c>
      <c r="C467" s="178" t="s">
        <v>557</v>
      </c>
      <c r="D467" s="177" t="s">
        <v>1661</v>
      </c>
      <c r="E467" s="174">
        <v>14</v>
      </c>
      <c r="F467" s="176">
        <v>49.66</v>
      </c>
      <c r="G467" s="182" t="s">
        <v>195</v>
      </c>
      <c r="H467" s="174">
        <v>1</v>
      </c>
      <c r="I467" s="173">
        <v>695.24</v>
      </c>
      <c r="J467" s="174">
        <v>5.0599999999999996</v>
      </c>
      <c r="K467" s="173">
        <v>3517.91</v>
      </c>
      <c r="Q467" s="160">
        <f>[4]Source!X450</f>
        <v>0</v>
      </c>
      <c r="R467" s="160">
        <f>[4]Source!X451</f>
        <v>0</v>
      </c>
      <c r="S467" s="160">
        <f>[4]Source!Y450</f>
        <v>0</v>
      </c>
      <c r="T467" s="160">
        <f>[4]Source!Y451</f>
        <v>0</v>
      </c>
      <c r="U467" s="160">
        <f>ROUND((175/100)*ROUND([4]Source!R450, 2), 2)</f>
        <v>0</v>
      </c>
      <c r="V467" s="160">
        <f>ROUND((157/100)*ROUND([4]Source!R451, 2), 2)</f>
        <v>0</v>
      </c>
    </row>
    <row r="468" spans="1:22" ht="14.25" x14ac:dyDescent="0.2">
      <c r="A468" s="179"/>
      <c r="B468" s="178"/>
      <c r="C468" s="178" t="s">
        <v>194</v>
      </c>
      <c r="D468" s="177" t="s">
        <v>187</v>
      </c>
      <c r="E468" s="174">
        <v>85</v>
      </c>
      <c r="F468" s="176"/>
      <c r="G468" s="175"/>
      <c r="H468" s="174"/>
      <c r="I468" s="173">
        <v>20.99</v>
      </c>
      <c r="J468" s="174">
        <v>68</v>
      </c>
      <c r="K468" s="173">
        <v>392.03</v>
      </c>
    </row>
    <row r="469" spans="1:22" ht="14.25" x14ac:dyDescent="0.2">
      <c r="A469" s="179"/>
      <c r="B469" s="178"/>
      <c r="C469" s="178" t="s">
        <v>193</v>
      </c>
      <c r="D469" s="177" t="s">
        <v>187</v>
      </c>
      <c r="E469" s="174">
        <v>70</v>
      </c>
      <c r="F469" s="176"/>
      <c r="G469" s="175"/>
      <c r="H469" s="174"/>
      <c r="I469" s="173">
        <v>17.28</v>
      </c>
      <c r="J469" s="174">
        <v>41</v>
      </c>
      <c r="K469" s="173">
        <v>236.37</v>
      </c>
    </row>
    <row r="470" spans="1:22" ht="14.25" x14ac:dyDescent="0.2">
      <c r="A470" s="179"/>
      <c r="B470" s="178"/>
      <c r="C470" s="178" t="s">
        <v>188</v>
      </c>
      <c r="D470" s="177" t="s">
        <v>187</v>
      </c>
      <c r="E470" s="174">
        <v>175</v>
      </c>
      <c r="F470" s="176"/>
      <c r="G470" s="175"/>
      <c r="H470" s="174"/>
      <c r="I470" s="173">
        <v>0.35</v>
      </c>
      <c r="J470" s="174">
        <v>157</v>
      </c>
      <c r="K470" s="173">
        <v>7.33</v>
      </c>
    </row>
    <row r="471" spans="1:22" ht="14.25" x14ac:dyDescent="0.2">
      <c r="A471" s="172"/>
      <c r="B471" s="171"/>
      <c r="C471" s="171" t="s">
        <v>192</v>
      </c>
      <c r="D471" s="170" t="s">
        <v>191</v>
      </c>
      <c r="E471" s="167">
        <v>58</v>
      </c>
      <c r="F471" s="169"/>
      <c r="G471" s="168" t="s">
        <v>1548</v>
      </c>
      <c r="H471" s="167">
        <v>1</v>
      </c>
      <c r="I471" s="166">
        <v>2.0699999999999998</v>
      </c>
      <c r="J471" s="167"/>
      <c r="K471" s="166"/>
    </row>
    <row r="472" spans="1:22" ht="15" x14ac:dyDescent="0.25">
      <c r="A472" s="164"/>
      <c r="B472" s="164"/>
      <c r="C472" s="165" t="s">
        <v>183</v>
      </c>
      <c r="D472" s="164"/>
      <c r="E472" s="164"/>
      <c r="F472" s="164"/>
      <c r="G472" s="164"/>
      <c r="H472" s="414">
        <v>1390.5</v>
      </c>
      <c r="I472" s="414"/>
      <c r="J472" s="414">
        <v>7976.99</v>
      </c>
      <c r="K472" s="414"/>
      <c r="O472" s="163">
        <f>I463+I464+I468+I469+I470+SUM(I466:I467)</f>
        <v>1390.5</v>
      </c>
      <c r="P472" s="163">
        <f>K463+K464+K468+K469+K470+SUM(K466:K467)</f>
        <v>7976.99</v>
      </c>
    </row>
    <row r="475" spans="1:22" ht="15" x14ac:dyDescent="0.25">
      <c r="A475" s="417" t="s">
        <v>2193</v>
      </c>
      <c r="B475" s="417"/>
      <c r="C475" s="417"/>
      <c r="D475" s="417"/>
      <c r="E475" s="417"/>
      <c r="F475" s="417"/>
      <c r="G475" s="417"/>
      <c r="H475" s="415">
        <v>9112.49</v>
      </c>
      <c r="I475" s="416"/>
      <c r="J475" s="415">
        <v>50142.86</v>
      </c>
      <c r="K475" s="416"/>
    </row>
    <row r="476" spans="1:22" hidden="1" x14ac:dyDescent="0.2">
      <c r="A476" s="160" t="s">
        <v>182</v>
      </c>
      <c r="I476" s="160">
        <v>0</v>
      </c>
      <c r="J476" s="160">
        <v>0</v>
      </c>
    </row>
    <row r="477" spans="1:22" hidden="1" x14ac:dyDescent="0.2">
      <c r="A477" s="160" t="s">
        <v>181</v>
      </c>
      <c r="I477" s="160">
        <v>0</v>
      </c>
      <c r="J477" s="160">
        <v>0</v>
      </c>
    </row>
    <row r="479" spans="1:22" ht="16.5" x14ac:dyDescent="0.25">
      <c r="A479" s="413" t="s">
        <v>2194</v>
      </c>
      <c r="B479" s="413"/>
      <c r="C479" s="413"/>
      <c r="D479" s="413"/>
      <c r="E479" s="413"/>
      <c r="F479" s="413"/>
      <c r="G479" s="413"/>
      <c r="H479" s="413"/>
      <c r="I479" s="413"/>
      <c r="J479" s="413"/>
      <c r="K479" s="413"/>
    </row>
    <row r="480" spans="1:22" ht="71.25" x14ac:dyDescent="0.2">
      <c r="A480" s="179" t="s">
        <v>1748</v>
      </c>
      <c r="B480" s="178" t="s">
        <v>556</v>
      </c>
      <c r="C480" s="178" t="s">
        <v>555</v>
      </c>
      <c r="D480" s="177" t="s">
        <v>1749</v>
      </c>
      <c r="E480" s="174">
        <v>0.122</v>
      </c>
      <c r="F480" s="176"/>
      <c r="G480" s="175"/>
      <c r="H480" s="174"/>
      <c r="I480" s="173"/>
      <c r="J480" s="174"/>
      <c r="K480" s="173"/>
      <c r="Q480" s="160">
        <f>[4]Source!X489</f>
        <v>1403.96</v>
      </c>
      <c r="R480" s="160">
        <f>[4]Source!X490</f>
        <v>26226.01</v>
      </c>
      <c r="S480" s="160">
        <f>[4]Source!Y489</f>
        <v>1156.2</v>
      </c>
      <c r="T480" s="160">
        <f>[4]Source!Y490</f>
        <v>15812.74</v>
      </c>
      <c r="U480" s="160">
        <f>ROUND((175/100)*ROUND([4]Source!R489, 2), 2)</f>
        <v>26.65</v>
      </c>
      <c r="V480" s="160">
        <f>ROUND((157/100)*ROUND([4]Source!R490, 2), 2)</f>
        <v>558.32000000000005</v>
      </c>
    </row>
    <row r="481" spans="1:22" x14ac:dyDescent="0.2">
      <c r="C481" s="181" t="s">
        <v>2195</v>
      </c>
    </row>
    <row r="482" spans="1:22" ht="14.25" x14ac:dyDescent="0.2">
      <c r="A482" s="179"/>
      <c r="B482" s="178"/>
      <c r="C482" s="178" t="s">
        <v>197</v>
      </c>
      <c r="D482" s="177"/>
      <c r="E482" s="174"/>
      <c r="F482" s="176">
        <v>11772.8</v>
      </c>
      <c r="G482" s="175" t="s">
        <v>1548</v>
      </c>
      <c r="H482" s="174">
        <v>1</v>
      </c>
      <c r="I482" s="173">
        <v>1651.72</v>
      </c>
      <c r="J482" s="174">
        <v>23.35</v>
      </c>
      <c r="K482" s="173">
        <v>38567.660000000003</v>
      </c>
    </row>
    <row r="483" spans="1:22" ht="14.25" x14ac:dyDescent="0.2">
      <c r="A483" s="179"/>
      <c r="B483" s="178"/>
      <c r="C483" s="178" t="s">
        <v>184</v>
      </c>
      <c r="D483" s="177"/>
      <c r="E483" s="174"/>
      <c r="F483" s="176">
        <v>1499.88</v>
      </c>
      <c r="G483" s="175" t="s">
        <v>1549</v>
      </c>
      <c r="H483" s="174">
        <v>1</v>
      </c>
      <c r="I483" s="173">
        <v>228.73</v>
      </c>
      <c r="J483" s="174">
        <v>6.52</v>
      </c>
      <c r="K483" s="173">
        <v>1491.32</v>
      </c>
    </row>
    <row r="484" spans="1:22" ht="14.25" x14ac:dyDescent="0.2">
      <c r="A484" s="179"/>
      <c r="B484" s="178"/>
      <c r="C484" s="178" t="s">
        <v>189</v>
      </c>
      <c r="D484" s="177"/>
      <c r="E484" s="174"/>
      <c r="F484" s="176">
        <v>99.85</v>
      </c>
      <c r="G484" s="175" t="s">
        <v>1549</v>
      </c>
      <c r="H484" s="174">
        <v>1</v>
      </c>
      <c r="I484" s="180">
        <v>15.23</v>
      </c>
      <c r="J484" s="174">
        <v>23.35</v>
      </c>
      <c r="K484" s="180">
        <v>355.62</v>
      </c>
    </row>
    <row r="485" spans="1:22" ht="14.25" x14ac:dyDescent="0.2">
      <c r="A485" s="179"/>
      <c r="B485" s="178"/>
      <c r="C485" s="178" t="s">
        <v>205</v>
      </c>
      <c r="D485" s="177"/>
      <c r="E485" s="174"/>
      <c r="F485" s="176">
        <v>22161.75</v>
      </c>
      <c r="G485" s="175" t="s">
        <v>195</v>
      </c>
      <c r="H485" s="174">
        <v>1</v>
      </c>
      <c r="I485" s="173">
        <v>2703.73</v>
      </c>
      <c r="J485" s="174">
        <v>4.29</v>
      </c>
      <c r="K485" s="173">
        <v>11599</v>
      </c>
    </row>
    <row r="486" spans="1:22" ht="57" x14ac:dyDescent="0.2">
      <c r="A486" s="179" t="s">
        <v>1751</v>
      </c>
      <c r="B486" s="178" t="s">
        <v>2138</v>
      </c>
      <c r="C486" s="178" t="s">
        <v>554</v>
      </c>
      <c r="D486" s="177" t="s">
        <v>1594</v>
      </c>
      <c r="E486" s="174">
        <v>12.382999999999999</v>
      </c>
      <c r="F486" s="176">
        <v>745.24</v>
      </c>
      <c r="G486" s="182" t="s">
        <v>195</v>
      </c>
      <c r="H486" s="174">
        <v>1</v>
      </c>
      <c r="I486" s="173">
        <v>9228.31</v>
      </c>
      <c r="J486" s="174">
        <v>5.92</v>
      </c>
      <c r="K486" s="173">
        <v>54631.6</v>
      </c>
      <c r="Q486" s="160">
        <f>[4]Source!X491</f>
        <v>0</v>
      </c>
      <c r="R486" s="160">
        <f>[4]Source!X492</f>
        <v>0</v>
      </c>
      <c r="S486" s="160">
        <f>[4]Source!Y491</f>
        <v>0</v>
      </c>
      <c r="T486" s="160">
        <f>[4]Source!Y492</f>
        <v>0</v>
      </c>
      <c r="U486" s="160">
        <f>ROUND((175/100)*ROUND([4]Source!R491, 2), 2)</f>
        <v>0</v>
      </c>
      <c r="V486" s="160">
        <f>ROUND((157/100)*ROUND([4]Source!R492, 2), 2)</f>
        <v>0</v>
      </c>
    </row>
    <row r="487" spans="1:22" ht="71.25" x14ac:dyDescent="0.2">
      <c r="A487" s="179" t="s">
        <v>2196</v>
      </c>
      <c r="B487" s="178" t="s">
        <v>2197</v>
      </c>
      <c r="C487" s="178" t="s">
        <v>553</v>
      </c>
      <c r="D487" s="177" t="s">
        <v>1533</v>
      </c>
      <c r="E487" s="174">
        <v>0.43190000000000001</v>
      </c>
      <c r="F487" s="176">
        <v>5681.92</v>
      </c>
      <c r="G487" s="182" t="s">
        <v>195</v>
      </c>
      <c r="H487" s="174">
        <v>1</v>
      </c>
      <c r="I487" s="173">
        <v>2454.02</v>
      </c>
      <c r="J487" s="174">
        <v>7.54</v>
      </c>
      <c r="K487" s="173">
        <v>18503.310000000001</v>
      </c>
      <c r="Q487" s="160">
        <f>[4]Source!X493</f>
        <v>0</v>
      </c>
      <c r="R487" s="160">
        <f>[4]Source!X494</f>
        <v>0</v>
      </c>
      <c r="S487" s="160">
        <f>[4]Source!Y493</f>
        <v>0</v>
      </c>
      <c r="T487" s="160">
        <f>[4]Source!Y494</f>
        <v>0</v>
      </c>
      <c r="U487" s="160">
        <f>ROUND((175/100)*ROUND([4]Source!R493, 2), 2)</f>
        <v>0</v>
      </c>
      <c r="V487" s="160">
        <f>ROUND((157/100)*ROUND([4]Source!R494, 2), 2)</f>
        <v>0</v>
      </c>
    </row>
    <row r="488" spans="1:22" ht="57" x14ac:dyDescent="0.2">
      <c r="A488" s="179" t="s">
        <v>2198</v>
      </c>
      <c r="B488" s="178" t="s">
        <v>1788</v>
      </c>
      <c r="C488" s="178" t="s">
        <v>228</v>
      </c>
      <c r="D488" s="177" t="s">
        <v>1533</v>
      </c>
      <c r="E488" s="174">
        <v>0.59899999999999998</v>
      </c>
      <c r="F488" s="176">
        <v>9733.52</v>
      </c>
      <c r="G488" s="182" t="s">
        <v>195</v>
      </c>
      <c r="H488" s="174">
        <v>1</v>
      </c>
      <c r="I488" s="173">
        <v>5830.38</v>
      </c>
      <c r="J488" s="174">
        <v>3.64</v>
      </c>
      <c r="K488" s="173">
        <v>21222.58</v>
      </c>
      <c r="Q488" s="160">
        <f>[4]Source!X495</f>
        <v>0</v>
      </c>
      <c r="R488" s="160">
        <f>[4]Source!X496</f>
        <v>0</v>
      </c>
      <c r="S488" s="160">
        <f>[4]Source!Y495</f>
        <v>0</v>
      </c>
      <c r="T488" s="160">
        <f>[4]Source!Y496</f>
        <v>0</v>
      </c>
      <c r="U488" s="160">
        <f>ROUND((175/100)*ROUND([4]Source!R495, 2), 2)</f>
        <v>0</v>
      </c>
      <c r="V488" s="160">
        <f>ROUND((157/100)*ROUND([4]Source!R496, 2), 2)</f>
        <v>0</v>
      </c>
    </row>
    <row r="489" spans="1:22" ht="14.25" x14ac:dyDescent="0.2">
      <c r="A489" s="179"/>
      <c r="B489" s="178"/>
      <c r="C489" s="178" t="s">
        <v>194</v>
      </c>
      <c r="D489" s="177" t="s">
        <v>187</v>
      </c>
      <c r="E489" s="174">
        <v>85</v>
      </c>
      <c r="F489" s="176"/>
      <c r="G489" s="175"/>
      <c r="H489" s="174"/>
      <c r="I489" s="173">
        <v>1403.96</v>
      </c>
      <c r="J489" s="174">
        <v>68</v>
      </c>
      <c r="K489" s="173">
        <v>26226.01</v>
      </c>
    </row>
    <row r="490" spans="1:22" ht="14.25" x14ac:dyDescent="0.2">
      <c r="A490" s="179"/>
      <c r="B490" s="178"/>
      <c r="C490" s="178" t="s">
        <v>193</v>
      </c>
      <c r="D490" s="177" t="s">
        <v>187</v>
      </c>
      <c r="E490" s="174">
        <v>70</v>
      </c>
      <c r="F490" s="176"/>
      <c r="G490" s="175"/>
      <c r="H490" s="174"/>
      <c r="I490" s="173">
        <v>1156.2</v>
      </c>
      <c r="J490" s="174">
        <v>41</v>
      </c>
      <c r="K490" s="173">
        <v>15812.74</v>
      </c>
    </row>
    <row r="491" spans="1:22" ht="14.25" x14ac:dyDescent="0.2">
      <c r="A491" s="179"/>
      <c r="B491" s="178"/>
      <c r="C491" s="178" t="s">
        <v>188</v>
      </c>
      <c r="D491" s="177" t="s">
        <v>187</v>
      </c>
      <c r="E491" s="174">
        <v>175</v>
      </c>
      <c r="F491" s="176"/>
      <c r="G491" s="175"/>
      <c r="H491" s="174"/>
      <c r="I491" s="173">
        <v>26.65</v>
      </c>
      <c r="J491" s="174">
        <v>157</v>
      </c>
      <c r="K491" s="173">
        <v>558.32000000000005</v>
      </c>
    </row>
    <row r="492" spans="1:22" ht="14.25" x14ac:dyDescent="0.2">
      <c r="A492" s="172"/>
      <c r="B492" s="171"/>
      <c r="C492" s="171" t="s">
        <v>192</v>
      </c>
      <c r="D492" s="170" t="s">
        <v>191</v>
      </c>
      <c r="E492" s="167">
        <v>1040</v>
      </c>
      <c r="F492" s="169"/>
      <c r="G492" s="168" t="s">
        <v>1548</v>
      </c>
      <c r="H492" s="167">
        <v>1</v>
      </c>
      <c r="I492" s="166">
        <v>145.91</v>
      </c>
      <c r="J492" s="167"/>
      <c r="K492" s="166"/>
    </row>
    <row r="493" spans="1:22" ht="15" x14ac:dyDescent="0.25">
      <c r="A493" s="164"/>
      <c r="B493" s="164"/>
      <c r="C493" s="165" t="s">
        <v>183</v>
      </c>
      <c r="D493" s="164"/>
      <c r="E493" s="164"/>
      <c r="F493" s="164"/>
      <c r="G493" s="164"/>
      <c r="H493" s="414">
        <v>24683.7</v>
      </c>
      <c r="I493" s="414"/>
      <c r="J493" s="414">
        <v>188612.54</v>
      </c>
      <c r="K493" s="414"/>
      <c r="O493" s="163">
        <f>I482+I483+I485+I489+I490+I491+SUM(I486:I488)</f>
        <v>24683.7</v>
      </c>
      <c r="P493" s="163">
        <f>K482+K483+K485+K489+K490+K491+SUM(K486:K488)</f>
        <v>188612.54</v>
      </c>
    </row>
    <row r="495" spans="1:22" ht="52.5" x14ac:dyDescent="0.2">
      <c r="A495" s="179" t="s">
        <v>1768</v>
      </c>
      <c r="B495" s="178" t="s">
        <v>519</v>
      </c>
      <c r="C495" s="178" t="s">
        <v>518</v>
      </c>
      <c r="D495" s="177" t="s">
        <v>2141</v>
      </c>
      <c r="E495" s="174">
        <v>2.7</v>
      </c>
      <c r="F495" s="176"/>
      <c r="G495" s="175"/>
      <c r="H495" s="174"/>
      <c r="I495" s="173"/>
      <c r="J495" s="174"/>
      <c r="K495" s="173"/>
      <c r="Q495" s="160">
        <f>[4]Source!X517</f>
        <v>119.06</v>
      </c>
      <c r="R495" s="160">
        <f>[4]Source!X518</f>
        <v>2272.14</v>
      </c>
      <c r="S495" s="160">
        <f>[4]Source!Y517</f>
        <v>80.14</v>
      </c>
      <c r="T495" s="160">
        <f>[4]Source!Y518</f>
        <v>1095.98</v>
      </c>
      <c r="U495" s="160">
        <f>ROUND((175/100)*ROUND([4]Source!R517, 2), 2)</f>
        <v>53.17</v>
      </c>
      <c r="V495" s="160">
        <f>ROUND((157/100)*ROUND([4]Source!R518, 2), 2)</f>
        <v>1113.71</v>
      </c>
    </row>
    <row r="496" spans="1:22" ht="14.25" x14ac:dyDescent="0.2">
      <c r="A496" s="179"/>
      <c r="B496" s="178"/>
      <c r="C496" s="178" t="s">
        <v>197</v>
      </c>
      <c r="D496" s="177"/>
      <c r="E496" s="174"/>
      <c r="F496" s="176">
        <v>36.869999999999997</v>
      </c>
      <c r="G496" s="175" t="s">
        <v>1548</v>
      </c>
      <c r="H496" s="174">
        <v>1</v>
      </c>
      <c r="I496" s="173">
        <v>114.48</v>
      </c>
      <c r="J496" s="174">
        <v>23.35</v>
      </c>
      <c r="K496" s="173">
        <v>2673.11</v>
      </c>
    </row>
    <row r="497" spans="1:22" ht="14.25" x14ac:dyDescent="0.2">
      <c r="A497" s="179"/>
      <c r="B497" s="178"/>
      <c r="C497" s="178" t="s">
        <v>184</v>
      </c>
      <c r="D497" s="177"/>
      <c r="E497" s="174"/>
      <c r="F497" s="176">
        <v>36.61</v>
      </c>
      <c r="G497" s="175" t="s">
        <v>1549</v>
      </c>
      <c r="H497" s="174">
        <v>1</v>
      </c>
      <c r="I497" s="173">
        <v>123.56</v>
      </c>
      <c r="J497" s="174">
        <v>9.77</v>
      </c>
      <c r="K497" s="173">
        <v>1207.18</v>
      </c>
    </row>
    <row r="498" spans="1:22" ht="14.25" x14ac:dyDescent="0.2">
      <c r="A498" s="179"/>
      <c r="B498" s="178"/>
      <c r="C498" s="178" t="s">
        <v>189</v>
      </c>
      <c r="D498" s="177"/>
      <c r="E498" s="174"/>
      <c r="F498" s="176">
        <v>9</v>
      </c>
      <c r="G498" s="175" t="s">
        <v>1549</v>
      </c>
      <c r="H498" s="174">
        <v>1</v>
      </c>
      <c r="I498" s="180">
        <v>30.38</v>
      </c>
      <c r="J498" s="174">
        <v>23.35</v>
      </c>
      <c r="K498" s="180">
        <v>709.37</v>
      </c>
    </row>
    <row r="499" spans="1:22" ht="14.25" x14ac:dyDescent="0.2">
      <c r="A499" s="179"/>
      <c r="B499" s="178"/>
      <c r="C499" s="178" t="s">
        <v>205</v>
      </c>
      <c r="D499" s="177"/>
      <c r="E499" s="174"/>
      <c r="F499" s="176">
        <v>397.67</v>
      </c>
      <c r="G499" s="175" t="s">
        <v>195</v>
      </c>
      <c r="H499" s="174">
        <v>1</v>
      </c>
      <c r="I499" s="173">
        <v>1073.71</v>
      </c>
      <c r="J499" s="174">
        <v>5.53</v>
      </c>
      <c r="K499" s="173">
        <v>5937.62</v>
      </c>
    </row>
    <row r="500" spans="1:22" ht="14.25" x14ac:dyDescent="0.2">
      <c r="A500" s="179"/>
      <c r="B500" s="178"/>
      <c r="C500" s="178" t="s">
        <v>194</v>
      </c>
      <c r="D500" s="177" t="s">
        <v>187</v>
      </c>
      <c r="E500" s="174">
        <v>104</v>
      </c>
      <c r="F500" s="176"/>
      <c r="G500" s="175"/>
      <c r="H500" s="174"/>
      <c r="I500" s="173">
        <v>119.06</v>
      </c>
      <c r="J500" s="174">
        <v>85</v>
      </c>
      <c r="K500" s="173">
        <v>2272.14</v>
      </c>
    </row>
    <row r="501" spans="1:22" ht="14.25" x14ac:dyDescent="0.2">
      <c r="A501" s="179"/>
      <c r="B501" s="178"/>
      <c r="C501" s="178" t="s">
        <v>193</v>
      </c>
      <c r="D501" s="177" t="s">
        <v>187</v>
      </c>
      <c r="E501" s="174">
        <v>70</v>
      </c>
      <c r="F501" s="176"/>
      <c r="G501" s="175"/>
      <c r="H501" s="174"/>
      <c r="I501" s="173">
        <v>80.14</v>
      </c>
      <c r="J501" s="174">
        <v>41</v>
      </c>
      <c r="K501" s="173">
        <v>1095.98</v>
      </c>
    </row>
    <row r="502" spans="1:22" ht="14.25" x14ac:dyDescent="0.2">
      <c r="A502" s="179"/>
      <c r="B502" s="178"/>
      <c r="C502" s="178" t="s">
        <v>188</v>
      </c>
      <c r="D502" s="177" t="s">
        <v>187</v>
      </c>
      <c r="E502" s="174">
        <v>175</v>
      </c>
      <c r="F502" s="176"/>
      <c r="G502" s="175"/>
      <c r="H502" s="174"/>
      <c r="I502" s="173">
        <v>53.17</v>
      </c>
      <c r="J502" s="174">
        <v>157</v>
      </c>
      <c r="K502" s="173">
        <v>1113.71</v>
      </c>
    </row>
    <row r="503" spans="1:22" ht="14.25" x14ac:dyDescent="0.2">
      <c r="A503" s="172"/>
      <c r="B503" s="171"/>
      <c r="C503" s="171" t="s">
        <v>192</v>
      </c>
      <c r="D503" s="170" t="s">
        <v>191</v>
      </c>
      <c r="E503" s="167">
        <v>3.58</v>
      </c>
      <c r="F503" s="169"/>
      <c r="G503" s="168" t="s">
        <v>1548</v>
      </c>
      <c r="H503" s="167">
        <v>1</v>
      </c>
      <c r="I503" s="166">
        <v>11.12</v>
      </c>
      <c r="J503" s="167"/>
      <c r="K503" s="166"/>
    </row>
    <row r="504" spans="1:22" ht="15" x14ac:dyDescent="0.25">
      <c r="A504" s="164"/>
      <c r="B504" s="164"/>
      <c r="C504" s="165" t="s">
        <v>183</v>
      </c>
      <c r="D504" s="164"/>
      <c r="E504" s="164"/>
      <c r="F504" s="164"/>
      <c r="G504" s="164"/>
      <c r="H504" s="414">
        <v>1564.12</v>
      </c>
      <c r="I504" s="414"/>
      <c r="J504" s="414">
        <v>14299.74</v>
      </c>
      <c r="K504" s="414"/>
      <c r="O504" s="163">
        <f>I496+I497+I499+I500+I501+I502</f>
        <v>1564.12</v>
      </c>
      <c r="P504" s="163">
        <f>K496+K497+K499+K500+K501+K502</f>
        <v>14299.74</v>
      </c>
    </row>
    <row r="506" spans="1:22" ht="52.5" x14ac:dyDescent="0.2">
      <c r="A506" s="179" t="s">
        <v>1771</v>
      </c>
      <c r="B506" s="178" t="s">
        <v>552</v>
      </c>
      <c r="C506" s="178" t="s">
        <v>551</v>
      </c>
      <c r="D506" s="177" t="s">
        <v>2199</v>
      </c>
      <c r="E506" s="174">
        <v>2.7</v>
      </c>
      <c r="F506" s="176"/>
      <c r="G506" s="175"/>
      <c r="H506" s="174"/>
      <c r="I506" s="173"/>
      <c r="J506" s="174"/>
      <c r="K506" s="173"/>
      <c r="Q506" s="160">
        <f>[4]Source!X519</f>
        <v>74.02</v>
      </c>
      <c r="R506" s="160">
        <f>[4]Source!X520</f>
        <v>1412.55</v>
      </c>
      <c r="S506" s="160">
        <f>[4]Source!Y519</f>
        <v>49.82</v>
      </c>
      <c r="T506" s="160">
        <f>[4]Source!Y520</f>
        <v>681.35</v>
      </c>
      <c r="U506" s="160">
        <f>ROUND((175/100)*ROUND([4]Source!R519, 2), 2)</f>
        <v>10.17</v>
      </c>
      <c r="V506" s="160">
        <f>ROUND((157/100)*ROUND([4]Source!R520, 2), 2)</f>
        <v>212.99</v>
      </c>
    </row>
    <row r="507" spans="1:22" ht="14.25" x14ac:dyDescent="0.2">
      <c r="A507" s="179"/>
      <c r="B507" s="178"/>
      <c r="C507" s="178" t="s">
        <v>197</v>
      </c>
      <c r="D507" s="177"/>
      <c r="E507" s="174"/>
      <c r="F507" s="176">
        <v>22.92</v>
      </c>
      <c r="G507" s="175" t="s">
        <v>1548</v>
      </c>
      <c r="H507" s="174">
        <v>1</v>
      </c>
      <c r="I507" s="173">
        <v>71.17</v>
      </c>
      <c r="J507" s="174">
        <v>23.35</v>
      </c>
      <c r="K507" s="173">
        <v>1661.82</v>
      </c>
    </row>
    <row r="508" spans="1:22" ht="14.25" x14ac:dyDescent="0.2">
      <c r="A508" s="179"/>
      <c r="B508" s="178"/>
      <c r="C508" s="178" t="s">
        <v>184</v>
      </c>
      <c r="D508" s="177"/>
      <c r="E508" s="174"/>
      <c r="F508" s="176">
        <v>6.88</v>
      </c>
      <c r="G508" s="175" t="s">
        <v>1549</v>
      </c>
      <c r="H508" s="174">
        <v>1</v>
      </c>
      <c r="I508" s="173">
        <v>23.22</v>
      </c>
      <c r="J508" s="174">
        <v>9.69</v>
      </c>
      <c r="K508" s="173">
        <v>225</v>
      </c>
    </row>
    <row r="509" spans="1:22" ht="14.25" x14ac:dyDescent="0.2">
      <c r="A509" s="179"/>
      <c r="B509" s="178"/>
      <c r="C509" s="178" t="s">
        <v>189</v>
      </c>
      <c r="D509" s="177"/>
      <c r="E509" s="174"/>
      <c r="F509" s="176">
        <v>1.72</v>
      </c>
      <c r="G509" s="175" t="s">
        <v>1549</v>
      </c>
      <c r="H509" s="174">
        <v>1</v>
      </c>
      <c r="I509" s="180">
        <v>5.81</v>
      </c>
      <c r="J509" s="174">
        <v>23.35</v>
      </c>
      <c r="K509" s="180">
        <v>135.66</v>
      </c>
    </row>
    <row r="510" spans="1:22" ht="14.25" x14ac:dyDescent="0.2">
      <c r="A510" s="179" t="s">
        <v>1774</v>
      </c>
      <c r="B510" s="178" t="s">
        <v>2200</v>
      </c>
      <c r="C510" s="178" t="s">
        <v>550</v>
      </c>
      <c r="D510" s="177" t="s">
        <v>1594</v>
      </c>
      <c r="E510" s="174">
        <v>1.2150000000000001</v>
      </c>
      <c r="F510" s="176">
        <v>1664.47</v>
      </c>
      <c r="G510" s="182" t="s">
        <v>195</v>
      </c>
      <c r="H510" s="174">
        <v>1</v>
      </c>
      <c r="I510" s="173">
        <v>2022.33</v>
      </c>
      <c r="J510" s="174">
        <v>2.36</v>
      </c>
      <c r="K510" s="173">
        <v>4772.7</v>
      </c>
      <c r="Q510" s="160">
        <f>[4]Source!X521</f>
        <v>0</v>
      </c>
      <c r="R510" s="160">
        <f>[4]Source!X522</f>
        <v>0</v>
      </c>
      <c r="S510" s="160">
        <f>[4]Source!Y521</f>
        <v>0</v>
      </c>
      <c r="T510" s="160">
        <f>[4]Source!Y522</f>
        <v>0</v>
      </c>
      <c r="U510" s="160">
        <f>ROUND((175/100)*ROUND([4]Source!R521, 2), 2)</f>
        <v>0</v>
      </c>
      <c r="V510" s="160">
        <f>ROUND((157/100)*ROUND([4]Source!R522, 2), 2)</f>
        <v>0</v>
      </c>
    </row>
    <row r="511" spans="1:22" ht="14.25" x14ac:dyDescent="0.2">
      <c r="A511" s="179"/>
      <c r="B511" s="178"/>
      <c r="C511" s="178" t="s">
        <v>194</v>
      </c>
      <c r="D511" s="177" t="s">
        <v>187</v>
      </c>
      <c r="E511" s="174">
        <v>104</v>
      </c>
      <c r="F511" s="176"/>
      <c r="G511" s="175"/>
      <c r="H511" s="174"/>
      <c r="I511" s="173">
        <v>74.02</v>
      </c>
      <c r="J511" s="174">
        <v>85</v>
      </c>
      <c r="K511" s="173">
        <v>1412.55</v>
      </c>
    </row>
    <row r="512" spans="1:22" ht="14.25" x14ac:dyDescent="0.2">
      <c r="A512" s="179"/>
      <c r="B512" s="178"/>
      <c r="C512" s="178" t="s">
        <v>193</v>
      </c>
      <c r="D512" s="177" t="s">
        <v>187</v>
      </c>
      <c r="E512" s="174">
        <v>70</v>
      </c>
      <c r="F512" s="176"/>
      <c r="G512" s="175"/>
      <c r="H512" s="174"/>
      <c r="I512" s="173">
        <v>49.82</v>
      </c>
      <c r="J512" s="174">
        <v>41</v>
      </c>
      <c r="K512" s="173">
        <v>681.35</v>
      </c>
    </row>
    <row r="513" spans="1:22" ht="14.25" x14ac:dyDescent="0.2">
      <c r="A513" s="179"/>
      <c r="B513" s="178"/>
      <c r="C513" s="178" t="s">
        <v>188</v>
      </c>
      <c r="D513" s="177" t="s">
        <v>187</v>
      </c>
      <c r="E513" s="174">
        <v>175</v>
      </c>
      <c r="F513" s="176"/>
      <c r="G513" s="175"/>
      <c r="H513" s="174"/>
      <c r="I513" s="173">
        <v>10.17</v>
      </c>
      <c r="J513" s="174">
        <v>157</v>
      </c>
      <c r="K513" s="173">
        <v>212.99</v>
      </c>
    </row>
    <row r="514" spans="1:22" ht="14.25" x14ac:dyDescent="0.2">
      <c r="A514" s="172"/>
      <c r="B514" s="171"/>
      <c r="C514" s="171" t="s">
        <v>192</v>
      </c>
      <c r="D514" s="170" t="s">
        <v>191</v>
      </c>
      <c r="E514" s="167">
        <v>2.0499999999999998</v>
      </c>
      <c r="F514" s="169"/>
      <c r="G514" s="168" t="s">
        <v>1548</v>
      </c>
      <c r="H514" s="167">
        <v>1</v>
      </c>
      <c r="I514" s="166">
        <v>6.37</v>
      </c>
      <c r="J514" s="167"/>
      <c r="K514" s="166"/>
    </row>
    <row r="515" spans="1:22" ht="15" x14ac:dyDescent="0.25">
      <c r="A515" s="164"/>
      <c r="B515" s="164"/>
      <c r="C515" s="165" t="s">
        <v>183</v>
      </c>
      <c r="D515" s="164"/>
      <c r="E515" s="164"/>
      <c r="F515" s="164"/>
      <c r="G515" s="164"/>
      <c r="H515" s="414">
        <v>2250.73</v>
      </c>
      <c r="I515" s="414"/>
      <c r="J515" s="414">
        <v>8966.41</v>
      </c>
      <c r="K515" s="414"/>
      <c r="O515" s="163">
        <f>I507+I508+I511+I512+I513+SUM(I510:I510)</f>
        <v>2250.73</v>
      </c>
      <c r="P515" s="163">
        <f>K507+K508+K511+K512+K513+SUM(K510:K510)</f>
        <v>8966.41</v>
      </c>
    </row>
    <row r="517" spans="1:22" ht="71.25" x14ac:dyDescent="0.2">
      <c r="A517" s="179" t="s">
        <v>1775</v>
      </c>
      <c r="B517" s="178" t="s">
        <v>549</v>
      </c>
      <c r="C517" s="178" t="s">
        <v>548</v>
      </c>
      <c r="D517" s="177" t="s">
        <v>1855</v>
      </c>
      <c r="E517" s="174">
        <v>0.53</v>
      </c>
      <c r="F517" s="176"/>
      <c r="G517" s="175"/>
      <c r="H517" s="174"/>
      <c r="I517" s="173"/>
      <c r="J517" s="174"/>
      <c r="K517" s="173"/>
      <c r="Q517" s="160">
        <f>[4]Source!X523</f>
        <v>238.54</v>
      </c>
      <c r="R517" s="160">
        <f>[4]Source!X524</f>
        <v>4552.42</v>
      </c>
      <c r="S517" s="160">
        <f>[4]Source!Y523</f>
        <v>160.56</v>
      </c>
      <c r="T517" s="160">
        <f>[4]Source!Y524</f>
        <v>2195.87</v>
      </c>
      <c r="U517" s="160">
        <f>ROUND((175/100)*ROUND([4]Source!R523, 2), 2)</f>
        <v>74.41</v>
      </c>
      <c r="V517" s="160">
        <f>ROUND((157/100)*ROUND([4]Source!R524, 2), 2)</f>
        <v>1558.76</v>
      </c>
    </row>
    <row r="518" spans="1:22" x14ac:dyDescent="0.2">
      <c r="C518" s="181" t="s">
        <v>2201</v>
      </c>
    </row>
    <row r="519" spans="1:22" ht="14.25" x14ac:dyDescent="0.2">
      <c r="A519" s="179"/>
      <c r="B519" s="178"/>
      <c r="C519" s="178" t="s">
        <v>197</v>
      </c>
      <c r="D519" s="177"/>
      <c r="E519" s="174"/>
      <c r="F519" s="176">
        <v>376.32</v>
      </c>
      <c r="G519" s="175" t="s">
        <v>1548</v>
      </c>
      <c r="H519" s="174">
        <v>1</v>
      </c>
      <c r="I519" s="173">
        <v>229.37</v>
      </c>
      <c r="J519" s="174">
        <v>23.35</v>
      </c>
      <c r="K519" s="173">
        <v>5355.79</v>
      </c>
    </row>
    <row r="520" spans="1:22" ht="14.25" x14ac:dyDescent="0.2">
      <c r="A520" s="179"/>
      <c r="B520" s="178"/>
      <c r="C520" s="178" t="s">
        <v>184</v>
      </c>
      <c r="D520" s="177"/>
      <c r="E520" s="174"/>
      <c r="F520" s="176">
        <v>403.01</v>
      </c>
      <c r="G520" s="175" t="s">
        <v>1549</v>
      </c>
      <c r="H520" s="174">
        <v>1</v>
      </c>
      <c r="I520" s="173">
        <v>266.99</v>
      </c>
      <c r="J520" s="174">
        <v>8.2200000000000006</v>
      </c>
      <c r="K520" s="173">
        <v>2194.66</v>
      </c>
    </row>
    <row r="521" spans="1:22" ht="14.25" x14ac:dyDescent="0.2">
      <c r="A521" s="179"/>
      <c r="B521" s="178"/>
      <c r="C521" s="178" t="s">
        <v>189</v>
      </c>
      <c r="D521" s="177"/>
      <c r="E521" s="174"/>
      <c r="F521" s="176">
        <v>64.180000000000007</v>
      </c>
      <c r="G521" s="175" t="s">
        <v>1549</v>
      </c>
      <c r="H521" s="174">
        <v>1</v>
      </c>
      <c r="I521" s="180">
        <v>42.52</v>
      </c>
      <c r="J521" s="174">
        <v>23.35</v>
      </c>
      <c r="K521" s="180">
        <v>992.84</v>
      </c>
    </row>
    <row r="522" spans="1:22" ht="14.25" x14ac:dyDescent="0.2">
      <c r="A522" s="179"/>
      <c r="B522" s="178"/>
      <c r="C522" s="178" t="s">
        <v>205</v>
      </c>
      <c r="D522" s="177"/>
      <c r="E522" s="174"/>
      <c r="F522" s="176">
        <v>10508.86</v>
      </c>
      <c r="G522" s="175" t="s">
        <v>195</v>
      </c>
      <c r="H522" s="174">
        <v>1</v>
      </c>
      <c r="I522" s="173">
        <v>5569.7</v>
      </c>
      <c r="J522" s="174">
        <v>2.58</v>
      </c>
      <c r="K522" s="173">
        <v>14369.83</v>
      </c>
    </row>
    <row r="523" spans="1:22" ht="185.25" x14ac:dyDescent="0.2">
      <c r="A523" s="179" t="s">
        <v>1776</v>
      </c>
      <c r="B523" s="178" t="s">
        <v>2202</v>
      </c>
      <c r="C523" s="178" t="s">
        <v>547</v>
      </c>
      <c r="D523" s="177" t="s">
        <v>1557</v>
      </c>
      <c r="E523" s="174">
        <v>59.36</v>
      </c>
      <c r="F523" s="176">
        <v>40.380000000000003</v>
      </c>
      <c r="G523" s="182" t="s">
        <v>195</v>
      </c>
      <c r="H523" s="174">
        <v>1</v>
      </c>
      <c r="I523" s="173">
        <v>2396.96</v>
      </c>
      <c r="J523" s="174">
        <v>4.37</v>
      </c>
      <c r="K523" s="173">
        <v>10474.719999999999</v>
      </c>
      <c r="Q523" s="160">
        <f>[4]Source!X525</f>
        <v>0</v>
      </c>
      <c r="R523" s="160">
        <f>[4]Source!X526</f>
        <v>0</v>
      </c>
      <c r="S523" s="160">
        <f>[4]Source!Y525</f>
        <v>0</v>
      </c>
      <c r="T523" s="160">
        <f>[4]Source!Y526</f>
        <v>0</v>
      </c>
      <c r="U523" s="160">
        <f>ROUND((175/100)*ROUND([4]Source!R525, 2), 2)</f>
        <v>0</v>
      </c>
      <c r="V523" s="160">
        <f>ROUND((157/100)*ROUND([4]Source!R526, 2), 2)</f>
        <v>0</v>
      </c>
    </row>
    <row r="524" spans="1:22" ht="14.25" x14ac:dyDescent="0.2">
      <c r="A524" s="179"/>
      <c r="B524" s="178"/>
      <c r="C524" s="178" t="s">
        <v>194</v>
      </c>
      <c r="D524" s="177" t="s">
        <v>187</v>
      </c>
      <c r="E524" s="174">
        <v>104</v>
      </c>
      <c r="F524" s="176"/>
      <c r="G524" s="175"/>
      <c r="H524" s="174"/>
      <c r="I524" s="173">
        <v>238.54</v>
      </c>
      <c r="J524" s="174">
        <v>85</v>
      </c>
      <c r="K524" s="173">
        <v>4552.42</v>
      </c>
    </row>
    <row r="525" spans="1:22" ht="14.25" x14ac:dyDescent="0.2">
      <c r="A525" s="179"/>
      <c r="B525" s="178"/>
      <c r="C525" s="178" t="s">
        <v>193</v>
      </c>
      <c r="D525" s="177" t="s">
        <v>187</v>
      </c>
      <c r="E525" s="174">
        <v>70</v>
      </c>
      <c r="F525" s="176"/>
      <c r="G525" s="175"/>
      <c r="H525" s="174"/>
      <c r="I525" s="173">
        <v>160.56</v>
      </c>
      <c r="J525" s="174">
        <v>41</v>
      </c>
      <c r="K525" s="173">
        <v>2195.87</v>
      </c>
    </row>
    <row r="526" spans="1:22" ht="14.25" x14ac:dyDescent="0.2">
      <c r="A526" s="179"/>
      <c r="B526" s="178"/>
      <c r="C526" s="178" t="s">
        <v>188</v>
      </c>
      <c r="D526" s="177" t="s">
        <v>187</v>
      </c>
      <c r="E526" s="174">
        <v>175</v>
      </c>
      <c r="F526" s="176"/>
      <c r="G526" s="175"/>
      <c r="H526" s="174"/>
      <c r="I526" s="173">
        <v>74.41</v>
      </c>
      <c r="J526" s="174">
        <v>157</v>
      </c>
      <c r="K526" s="173">
        <v>1558.76</v>
      </c>
    </row>
    <row r="527" spans="1:22" ht="14.25" x14ac:dyDescent="0.2">
      <c r="A527" s="172"/>
      <c r="B527" s="171"/>
      <c r="C527" s="171" t="s">
        <v>192</v>
      </c>
      <c r="D527" s="170" t="s">
        <v>191</v>
      </c>
      <c r="E527" s="167">
        <v>32</v>
      </c>
      <c r="F527" s="169"/>
      <c r="G527" s="168" t="s">
        <v>1548</v>
      </c>
      <c r="H527" s="167">
        <v>1</v>
      </c>
      <c r="I527" s="166">
        <v>19.5</v>
      </c>
      <c r="J527" s="167"/>
      <c r="K527" s="166"/>
    </row>
    <row r="528" spans="1:22" ht="15" x14ac:dyDescent="0.25">
      <c r="A528" s="164"/>
      <c r="B528" s="164"/>
      <c r="C528" s="165" t="s">
        <v>183</v>
      </c>
      <c r="D528" s="164"/>
      <c r="E528" s="164"/>
      <c r="F528" s="164"/>
      <c r="G528" s="164"/>
      <c r="H528" s="414">
        <v>8936.5300000000007</v>
      </c>
      <c r="I528" s="414"/>
      <c r="J528" s="414">
        <v>40702.050000000003</v>
      </c>
      <c r="K528" s="414"/>
      <c r="O528" s="163">
        <f>I519+I520+I522+I524+I525+I526+SUM(I523:I523)</f>
        <v>8936.5300000000007</v>
      </c>
      <c r="P528" s="163">
        <f>K519+K520+K522+K524+K525+K526+SUM(K523:K523)</f>
        <v>40702.050000000003</v>
      </c>
    </row>
    <row r="531" spans="1:32" ht="15" x14ac:dyDescent="0.25">
      <c r="A531" s="417" t="s">
        <v>2203</v>
      </c>
      <c r="B531" s="417"/>
      <c r="C531" s="417"/>
      <c r="D531" s="417"/>
      <c r="E531" s="417"/>
      <c r="F531" s="417"/>
      <c r="G531" s="417"/>
      <c r="H531" s="415">
        <v>37435.08</v>
      </c>
      <c r="I531" s="416"/>
      <c r="J531" s="415">
        <v>252580.74</v>
      </c>
      <c r="K531" s="416"/>
      <c r="AF531" s="201" t="str">
        <f>CONCATENATE("Итого по подразделу: ",IF([4]Source!G530&lt;&gt;"Новый подраздел", [4]Source!G530, ""))</f>
        <v>Итого по подразделу: Монтаж перектытия в осях "11-14/В-Г". 023/18КН-КР 4.2 лист 2.3</v>
      </c>
    </row>
    <row r="532" spans="1:32" hidden="1" x14ac:dyDescent="0.2">
      <c r="A532" s="160" t="s">
        <v>182</v>
      </c>
      <c r="I532" s="160">
        <v>0</v>
      </c>
      <c r="J532" s="160">
        <v>0</v>
      </c>
    </row>
    <row r="533" spans="1:32" hidden="1" x14ac:dyDescent="0.2">
      <c r="A533" s="160" t="s">
        <v>181</v>
      </c>
      <c r="I533" s="160">
        <v>0</v>
      </c>
      <c r="J533" s="160">
        <v>0</v>
      </c>
    </row>
    <row r="535" spans="1:32" ht="15" x14ac:dyDescent="0.25">
      <c r="A535" s="417" t="s">
        <v>2204</v>
      </c>
      <c r="B535" s="417"/>
      <c r="C535" s="417"/>
      <c r="D535" s="417"/>
      <c r="E535" s="417"/>
      <c r="F535" s="417"/>
      <c r="G535" s="417"/>
      <c r="H535" s="415">
        <v>109857.75</v>
      </c>
      <c r="I535" s="416"/>
      <c r="J535" s="415">
        <v>685049.27</v>
      </c>
      <c r="K535" s="416"/>
      <c r="AF535" s="201" t="str">
        <f>CONCATENATE("Итого по разделу: ",IF([4]Source!G560&lt;&gt;"Новый раздел", [4]Source!G560, ""))</f>
        <v>Итого по разделу: Устройство перекрытия в осях "11-14/В-Г". 023/18КН-КР 4.2 лист 2</v>
      </c>
    </row>
    <row r="536" spans="1:32" hidden="1" x14ac:dyDescent="0.2">
      <c r="A536" s="160" t="s">
        <v>182</v>
      </c>
      <c r="I536" s="160">
        <v>0</v>
      </c>
      <c r="J536" s="160">
        <v>0</v>
      </c>
    </row>
    <row r="537" spans="1:32" hidden="1" x14ac:dyDescent="0.2">
      <c r="A537" s="160" t="s">
        <v>181</v>
      </c>
      <c r="I537" s="160">
        <v>0</v>
      </c>
      <c r="J537" s="160">
        <v>0</v>
      </c>
    </row>
    <row r="539" spans="1:32" ht="16.5" x14ac:dyDescent="0.25">
      <c r="A539" s="413" t="s">
        <v>2205</v>
      </c>
      <c r="B539" s="413"/>
      <c r="C539" s="413"/>
      <c r="D539" s="413"/>
      <c r="E539" s="413"/>
      <c r="F539" s="413"/>
      <c r="G539" s="413"/>
      <c r="H539" s="413"/>
      <c r="I539" s="413"/>
      <c r="J539" s="413"/>
      <c r="K539" s="413"/>
    </row>
    <row r="540" spans="1:32" ht="57" x14ac:dyDescent="0.2">
      <c r="A540" s="179" t="s">
        <v>1778</v>
      </c>
      <c r="B540" s="178" t="s">
        <v>542</v>
      </c>
      <c r="C540" s="178" t="s">
        <v>541</v>
      </c>
      <c r="D540" s="177" t="s">
        <v>2175</v>
      </c>
      <c r="E540" s="174">
        <v>2.5095999999999998</v>
      </c>
      <c r="F540" s="176"/>
      <c r="G540" s="175"/>
      <c r="H540" s="174"/>
      <c r="I540" s="173"/>
      <c r="J540" s="174"/>
      <c r="K540" s="173"/>
      <c r="Q540" s="160">
        <f>[4]Source!X594</f>
        <v>1280.69</v>
      </c>
      <c r="R540" s="160">
        <f>[4]Source!X595</f>
        <v>23923.22</v>
      </c>
      <c r="S540" s="160">
        <f>[4]Source!Y594</f>
        <v>1054.68</v>
      </c>
      <c r="T540" s="160">
        <f>[4]Source!Y595</f>
        <v>14424.3</v>
      </c>
      <c r="U540" s="160">
        <f>ROUND((175/100)*ROUND([4]Source!R594, 2), 2)</f>
        <v>48.58</v>
      </c>
      <c r="V540" s="160">
        <f>ROUND((157/100)*ROUND([4]Source!R595, 2), 2)</f>
        <v>1017.67</v>
      </c>
    </row>
    <row r="541" spans="1:32" x14ac:dyDescent="0.2">
      <c r="C541" s="181" t="s">
        <v>2206</v>
      </c>
    </row>
    <row r="542" spans="1:32" ht="14.25" x14ac:dyDescent="0.2">
      <c r="A542" s="179"/>
      <c r="B542" s="178"/>
      <c r="C542" s="178" t="s">
        <v>197</v>
      </c>
      <c r="D542" s="177"/>
      <c r="E542" s="174"/>
      <c r="F542" s="176">
        <v>522.05999999999995</v>
      </c>
      <c r="G542" s="175" t="s">
        <v>1548</v>
      </c>
      <c r="H542" s="174">
        <v>1</v>
      </c>
      <c r="I542" s="173">
        <v>1506.69</v>
      </c>
      <c r="J542" s="174">
        <v>23.35</v>
      </c>
      <c r="K542" s="173">
        <v>35181.21</v>
      </c>
    </row>
    <row r="543" spans="1:32" ht="14.25" x14ac:dyDescent="0.2">
      <c r="A543" s="179"/>
      <c r="B543" s="178"/>
      <c r="C543" s="178" t="s">
        <v>184</v>
      </c>
      <c r="D543" s="177"/>
      <c r="E543" s="174"/>
      <c r="F543" s="176">
        <v>37.450000000000003</v>
      </c>
      <c r="G543" s="175" t="s">
        <v>1549</v>
      </c>
      <c r="H543" s="174">
        <v>1</v>
      </c>
      <c r="I543" s="173">
        <v>117.48</v>
      </c>
      <c r="J543" s="174">
        <v>9.6</v>
      </c>
      <c r="K543" s="173">
        <v>1127.81</v>
      </c>
    </row>
    <row r="544" spans="1:32" ht="14.25" x14ac:dyDescent="0.2">
      <c r="A544" s="179"/>
      <c r="B544" s="178"/>
      <c r="C544" s="178" t="s">
        <v>189</v>
      </c>
      <c r="D544" s="177"/>
      <c r="E544" s="174"/>
      <c r="F544" s="176">
        <v>8.85</v>
      </c>
      <c r="G544" s="175" t="s">
        <v>1549</v>
      </c>
      <c r="H544" s="174">
        <v>1</v>
      </c>
      <c r="I544" s="180">
        <v>27.76</v>
      </c>
      <c r="J544" s="174">
        <v>23.35</v>
      </c>
      <c r="K544" s="180">
        <v>648.20000000000005</v>
      </c>
    </row>
    <row r="545" spans="1:22" ht="14.25" x14ac:dyDescent="0.2">
      <c r="A545" s="179"/>
      <c r="B545" s="178"/>
      <c r="C545" s="178" t="s">
        <v>205</v>
      </c>
      <c r="D545" s="177"/>
      <c r="E545" s="174"/>
      <c r="F545" s="176">
        <v>42.01</v>
      </c>
      <c r="G545" s="175" t="s">
        <v>195</v>
      </c>
      <c r="H545" s="174">
        <v>1</v>
      </c>
      <c r="I545" s="173">
        <v>105.43</v>
      </c>
      <c r="J545" s="174">
        <v>5.41</v>
      </c>
      <c r="K545" s="173">
        <v>570.38</v>
      </c>
    </row>
    <row r="546" spans="1:22" ht="57" x14ac:dyDescent="0.2">
      <c r="A546" s="179" t="s">
        <v>1779</v>
      </c>
      <c r="B546" s="178" t="s">
        <v>2207</v>
      </c>
      <c r="C546" s="178" t="s">
        <v>546</v>
      </c>
      <c r="D546" s="177" t="s">
        <v>1533</v>
      </c>
      <c r="E546" s="174">
        <v>0.49399999999999999</v>
      </c>
      <c r="F546" s="176">
        <v>10799.36</v>
      </c>
      <c r="G546" s="182" t="s">
        <v>195</v>
      </c>
      <c r="H546" s="174">
        <v>1</v>
      </c>
      <c r="I546" s="173">
        <v>5334.88</v>
      </c>
      <c r="J546" s="174">
        <v>3.52</v>
      </c>
      <c r="K546" s="173">
        <v>18778.78</v>
      </c>
      <c r="Q546" s="160">
        <f>[4]Source!X596</f>
        <v>0</v>
      </c>
      <c r="R546" s="160">
        <f>[4]Source!X597</f>
        <v>0</v>
      </c>
      <c r="S546" s="160">
        <f>[4]Source!Y596</f>
        <v>0</v>
      </c>
      <c r="T546" s="160">
        <f>[4]Source!Y597</f>
        <v>0</v>
      </c>
      <c r="U546" s="160">
        <f>ROUND((175/100)*ROUND([4]Source!R596, 2), 2)</f>
        <v>0</v>
      </c>
      <c r="V546" s="160">
        <f>ROUND((157/100)*ROUND([4]Source!R597, 2), 2)</f>
        <v>0</v>
      </c>
    </row>
    <row r="547" spans="1:22" ht="57" x14ac:dyDescent="0.2">
      <c r="A547" s="179" t="s">
        <v>2208</v>
      </c>
      <c r="B547" s="178" t="s">
        <v>2209</v>
      </c>
      <c r="C547" s="178" t="s">
        <v>545</v>
      </c>
      <c r="D547" s="177" t="s">
        <v>1533</v>
      </c>
      <c r="E547" s="174">
        <v>0.29239999999999999</v>
      </c>
      <c r="F547" s="176">
        <v>11816.67</v>
      </c>
      <c r="G547" s="182" t="s">
        <v>195</v>
      </c>
      <c r="H547" s="174">
        <v>1</v>
      </c>
      <c r="I547" s="173">
        <v>3455.19</v>
      </c>
      <c r="J547" s="174">
        <v>2.9</v>
      </c>
      <c r="K547" s="173">
        <v>10020.049999999999</v>
      </c>
      <c r="Q547" s="160">
        <f>[4]Source!X598</f>
        <v>0</v>
      </c>
      <c r="R547" s="160">
        <f>[4]Source!X599</f>
        <v>0</v>
      </c>
      <c r="S547" s="160">
        <f>[4]Source!Y598</f>
        <v>0</v>
      </c>
      <c r="T547" s="160">
        <f>[4]Source!Y599</f>
        <v>0</v>
      </c>
      <c r="U547" s="160">
        <f>ROUND((175/100)*ROUND([4]Source!R598, 2), 2)</f>
        <v>0</v>
      </c>
      <c r="V547" s="160">
        <f>ROUND((157/100)*ROUND([4]Source!R599, 2), 2)</f>
        <v>0</v>
      </c>
    </row>
    <row r="548" spans="1:22" ht="57" x14ac:dyDescent="0.2">
      <c r="A548" s="179" t="s">
        <v>2210</v>
      </c>
      <c r="B548" s="178" t="s">
        <v>2211</v>
      </c>
      <c r="C548" s="178" t="s">
        <v>544</v>
      </c>
      <c r="D548" s="177" t="s">
        <v>1533</v>
      </c>
      <c r="E548" s="174">
        <v>1.8200000000000001E-2</v>
      </c>
      <c r="F548" s="176">
        <v>12459.74</v>
      </c>
      <c r="G548" s="182" t="s">
        <v>195</v>
      </c>
      <c r="H548" s="174">
        <v>1</v>
      </c>
      <c r="I548" s="173">
        <v>226.77</v>
      </c>
      <c r="J548" s="174">
        <v>3.31</v>
      </c>
      <c r="K548" s="173">
        <v>750.61</v>
      </c>
      <c r="Q548" s="160">
        <f>[4]Source!X600</f>
        <v>0</v>
      </c>
      <c r="R548" s="160">
        <f>[4]Source!X601</f>
        <v>0</v>
      </c>
      <c r="S548" s="160">
        <f>[4]Source!Y600</f>
        <v>0</v>
      </c>
      <c r="T548" s="160">
        <f>[4]Source!Y601</f>
        <v>0</v>
      </c>
      <c r="U548" s="160">
        <f>ROUND((175/100)*ROUND([4]Source!R600, 2), 2)</f>
        <v>0</v>
      </c>
      <c r="V548" s="160">
        <f>ROUND((157/100)*ROUND([4]Source!R601, 2), 2)</f>
        <v>0</v>
      </c>
    </row>
    <row r="549" spans="1:22" ht="57" x14ac:dyDescent="0.2">
      <c r="A549" s="179" t="s">
        <v>2212</v>
      </c>
      <c r="B549" s="178" t="s">
        <v>2213</v>
      </c>
      <c r="C549" s="178" t="s">
        <v>543</v>
      </c>
      <c r="D549" s="177" t="s">
        <v>1533</v>
      </c>
      <c r="E549" s="174">
        <v>1.7050000000000001</v>
      </c>
      <c r="F549" s="176">
        <v>11355</v>
      </c>
      <c r="G549" s="182" t="s">
        <v>195</v>
      </c>
      <c r="H549" s="174">
        <v>1</v>
      </c>
      <c r="I549" s="173">
        <v>19360.28</v>
      </c>
      <c r="J549" s="174">
        <v>3.02</v>
      </c>
      <c r="K549" s="173">
        <v>58468.05</v>
      </c>
      <c r="Q549" s="160">
        <f>[4]Source!X602</f>
        <v>0</v>
      </c>
      <c r="R549" s="160">
        <f>[4]Source!X603</f>
        <v>0</v>
      </c>
      <c r="S549" s="160">
        <f>[4]Source!Y602</f>
        <v>0</v>
      </c>
      <c r="T549" s="160">
        <f>[4]Source!Y603</f>
        <v>0</v>
      </c>
      <c r="U549" s="160">
        <f>ROUND((175/100)*ROUND([4]Source!R602, 2), 2)</f>
        <v>0</v>
      </c>
      <c r="V549" s="160">
        <f>ROUND((157/100)*ROUND([4]Source!R603, 2), 2)</f>
        <v>0</v>
      </c>
    </row>
    <row r="550" spans="1:22" ht="14.25" x14ac:dyDescent="0.2">
      <c r="A550" s="179"/>
      <c r="B550" s="178"/>
      <c r="C550" s="178" t="s">
        <v>194</v>
      </c>
      <c r="D550" s="177" t="s">
        <v>187</v>
      </c>
      <c r="E550" s="174">
        <v>85</v>
      </c>
      <c r="F550" s="176"/>
      <c r="G550" s="175"/>
      <c r="H550" s="174"/>
      <c r="I550" s="173">
        <v>1280.69</v>
      </c>
      <c r="J550" s="174">
        <v>68</v>
      </c>
      <c r="K550" s="173">
        <v>23923.22</v>
      </c>
    </row>
    <row r="551" spans="1:22" ht="14.25" x14ac:dyDescent="0.2">
      <c r="A551" s="179"/>
      <c r="B551" s="178"/>
      <c r="C551" s="178" t="s">
        <v>193</v>
      </c>
      <c r="D551" s="177" t="s">
        <v>187</v>
      </c>
      <c r="E551" s="174">
        <v>70</v>
      </c>
      <c r="F551" s="176"/>
      <c r="G551" s="175"/>
      <c r="H551" s="174"/>
      <c r="I551" s="173">
        <v>1054.68</v>
      </c>
      <c r="J551" s="174">
        <v>41</v>
      </c>
      <c r="K551" s="173">
        <v>14424.3</v>
      </c>
    </row>
    <row r="552" spans="1:22" ht="14.25" x14ac:dyDescent="0.2">
      <c r="A552" s="179"/>
      <c r="B552" s="178"/>
      <c r="C552" s="178" t="s">
        <v>188</v>
      </c>
      <c r="D552" s="177" t="s">
        <v>187</v>
      </c>
      <c r="E552" s="174">
        <v>175</v>
      </c>
      <c r="F552" s="176"/>
      <c r="G552" s="175"/>
      <c r="H552" s="174"/>
      <c r="I552" s="173">
        <v>48.58</v>
      </c>
      <c r="J552" s="174">
        <v>157</v>
      </c>
      <c r="K552" s="173">
        <v>1017.67</v>
      </c>
    </row>
    <row r="553" spans="1:22" ht="14.25" x14ac:dyDescent="0.2">
      <c r="A553" s="172"/>
      <c r="B553" s="171"/>
      <c r="C553" s="171" t="s">
        <v>192</v>
      </c>
      <c r="D553" s="170" t="s">
        <v>191</v>
      </c>
      <c r="E553" s="167">
        <v>39.549999999999997</v>
      </c>
      <c r="F553" s="169"/>
      <c r="G553" s="168" t="s">
        <v>1548</v>
      </c>
      <c r="H553" s="167">
        <v>1</v>
      </c>
      <c r="I553" s="166">
        <v>114.14</v>
      </c>
      <c r="J553" s="167"/>
      <c r="K553" s="166"/>
    </row>
    <row r="554" spans="1:22" ht="15" x14ac:dyDescent="0.25">
      <c r="A554" s="164"/>
      <c r="B554" s="164"/>
      <c r="C554" s="165" t="s">
        <v>183</v>
      </c>
      <c r="D554" s="164"/>
      <c r="E554" s="164"/>
      <c r="F554" s="164"/>
      <c r="G554" s="164"/>
      <c r="H554" s="414">
        <v>32490.67</v>
      </c>
      <c r="I554" s="414"/>
      <c r="J554" s="414">
        <v>164262.07999999999</v>
      </c>
      <c r="K554" s="414"/>
      <c r="O554" s="163">
        <f>I542+I543+I545+I550+I551+I552+SUM(I546:I549)</f>
        <v>32490.67</v>
      </c>
      <c r="P554" s="163">
        <f>K542+K543+K545+K550+K551+K552+SUM(K546:K549)</f>
        <v>164262.07999999999</v>
      </c>
    </row>
    <row r="556" spans="1:22" ht="57" x14ac:dyDescent="0.2">
      <c r="A556" s="179" t="s">
        <v>1780</v>
      </c>
      <c r="B556" s="178" t="s">
        <v>542</v>
      </c>
      <c r="C556" s="178" t="s">
        <v>541</v>
      </c>
      <c r="D556" s="177" t="s">
        <v>2175</v>
      </c>
      <c r="E556" s="174">
        <v>0.4</v>
      </c>
      <c r="F556" s="176"/>
      <c r="G556" s="175"/>
      <c r="H556" s="174"/>
      <c r="I556" s="173"/>
      <c r="J556" s="174"/>
      <c r="K556" s="173"/>
      <c r="Q556" s="160">
        <f>[4]Source!X604</f>
        <v>204.13</v>
      </c>
      <c r="R556" s="160">
        <f>[4]Source!X605</f>
        <v>3813.1</v>
      </c>
      <c r="S556" s="160">
        <f>[4]Source!Y604</f>
        <v>168.11</v>
      </c>
      <c r="T556" s="160">
        <f>[4]Source!Y605</f>
        <v>2299.08</v>
      </c>
      <c r="U556" s="160">
        <f>ROUND((175/100)*ROUND([4]Source!R604, 2), 2)</f>
        <v>7.75</v>
      </c>
      <c r="V556" s="160">
        <f>ROUND((157/100)*ROUND([4]Source!R605, 2), 2)</f>
        <v>162.4</v>
      </c>
    </row>
    <row r="557" spans="1:22" ht="14.25" x14ac:dyDescent="0.2">
      <c r="A557" s="179"/>
      <c r="B557" s="178"/>
      <c r="C557" s="178" t="s">
        <v>197</v>
      </c>
      <c r="D557" s="177"/>
      <c r="E557" s="174"/>
      <c r="F557" s="176">
        <v>522.05999999999995</v>
      </c>
      <c r="G557" s="175" t="s">
        <v>1548</v>
      </c>
      <c r="H557" s="174">
        <v>1</v>
      </c>
      <c r="I557" s="173">
        <v>240.15</v>
      </c>
      <c r="J557" s="174">
        <v>23.35</v>
      </c>
      <c r="K557" s="173">
        <v>5607.5</v>
      </c>
    </row>
    <row r="558" spans="1:22" ht="14.25" x14ac:dyDescent="0.2">
      <c r="A558" s="179"/>
      <c r="B558" s="178"/>
      <c r="C558" s="178" t="s">
        <v>184</v>
      </c>
      <c r="D558" s="177"/>
      <c r="E558" s="174"/>
      <c r="F558" s="176">
        <v>37.450000000000003</v>
      </c>
      <c r="G558" s="175" t="s">
        <v>1549</v>
      </c>
      <c r="H558" s="174">
        <v>1</v>
      </c>
      <c r="I558" s="173">
        <v>18.73</v>
      </c>
      <c r="J558" s="174">
        <v>9.6</v>
      </c>
      <c r="K558" s="173">
        <v>179.81</v>
      </c>
    </row>
    <row r="559" spans="1:22" ht="14.25" x14ac:dyDescent="0.2">
      <c r="A559" s="179"/>
      <c r="B559" s="178"/>
      <c r="C559" s="178" t="s">
        <v>189</v>
      </c>
      <c r="D559" s="177"/>
      <c r="E559" s="174"/>
      <c r="F559" s="176">
        <v>8.85</v>
      </c>
      <c r="G559" s="175" t="s">
        <v>1549</v>
      </c>
      <c r="H559" s="174">
        <v>1</v>
      </c>
      <c r="I559" s="180">
        <v>4.43</v>
      </c>
      <c r="J559" s="174">
        <v>23.35</v>
      </c>
      <c r="K559" s="180">
        <v>103.44</v>
      </c>
    </row>
    <row r="560" spans="1:22" ht="14.25" x14ac:dyDescent="0.2">
      <c r="A560" s="179"/>
      <c r="B560" s="178"/>
      <c r="C560" s="178" t="s">
        <v>205</v>
      </c>
      <c r="D560" s="177"/>
      <c r="E560" s="174"/>
      <c r="F560" s="176">
        <v>42.01</v>
      </c>
      <c r="G560" s="175" t="s">
        <v>195</v>
      </c>
      <c r="H560" s="174">
        <v>1</v>
      </c>
      <c r="I560" s="173">
        <v>16.8</v>
      </c>
      <c r="J560" s="174">
        <v>5.41</v>
      </c>
      <c r="K560" s="173">
        <v>90.89</v>
      </c>
    </row>
    <row r="561" spans="1:22" ht="57" x14ac:dyDescent="0.2">
      <c r="A561" s="179" t="s">
        <v>1783</v>
      </c>
      <c r="B561" s="178" t="s">
        <v>2214</v>
      </c>
      <c r="C561" s="178" t="s">
        <v>540</v>
      </c>
      <c r="D561" s="177" t="s">
        <v>1533</v>
      </c>
      <c r="E561" s="174">
        <v>0.4</v>
      </c>
      <c r="F561" s="176">
        <v>8344.7099999999991</v>
      </c>
      <c r="G561" s="182" t="s">
        <v>195</v>
      </c>
      <c r="H561" s="174">
        <v>1</v>
      </c>
      <c r="I561" s="173">
        <v>3337.88</v>
      </c>
      <c r="J561" s="174">
        <v>4.51</v>
      </c>
      <c r="K561" s="173">
        <v>15053.84</v>
      </c>
      <c r="Q561" s="160">
        <f>[4]Source!X606</f>
        <v>0</v>
      </c>
      <c r="R561" s="160">
        <f>[4]Source!X607</f>
        <v>0</v>
      </c>
      <c r="S561" s="160">
        <f>[4]Source!Y606</f>
        <v>0</v>
      </c>
      <c r="T561" s="160">
        <f>[4]Source!Y607</f>
        <v>0</v>
      </c>
      <c r="U561" s="160">
        <f>ROUND((175/100)*ROUND([4]Source!R606, 2), 2)</f>
        <v>0</v>
      </c>
      <c r="V561" s="160">
        <f>ROUND((157/100)*ROUND([4]Source!R607, 2), 2)</f>
        <v>0</v>
      </c>
    </row>
    <row r="562" spans="1:22" ht="14.25" x14ac:dyDescent="0.2">
      <c r="A562" s="179"/>
      <c r="B562" s="178"/>
      <c r="C562" s="178" t="s">
        <v>194</v>
      </c>
      <c r="D562" s="177" t="s">
        <v>187</v>
      </c>
      <c r="E562" s="174">
        <v>85</v>
      </c>
      <c r="F562" s="176"/>
      <c r="G562" s="175"/>
      <c r="H562" s="174"/>
      <c r="I562" s="173">
        <v>204.13</v>
      </c>
      <c r="J562" s="174">
        <v>68</v>
      </c>
      <c r="K562" s="173">
        <v>3813.1</v>
      </c>
    </row>
    <row r="563" spans="1:22" ht="14.25" x14ac:dyDescent="0.2">
      <c r="A563" s="179"/>
      <c r="B563" s="178"/>
      <c r="C563" s="178" t="s">
        <v>193</v>
      </c>
      <c r="D563" s="177" t="s">
        <v>187</v>
      </c>
      <c r="E563" s="174">
        <v>70</v>
      </c>
      <c r="F563" s="176"/>
      <c r="G563" s="175"/>
      <c r="H563" s="174"/>
      <c r="I563" s="173">
        <v>168.11</v>
      </c>
      <c r="J563" s="174">
        <v>41</v>
      </c>
      <c r="K563" s="173">
        <v>2299.08</v>
      </c>
    </row>
    <row r="564" spans="1:22" ht="14.25" x14ac:dyDescent="0.2">
      <c r="A564" s="179"/>
      <c r="B564" s="178"/>
      <c r="C564" s="178" t="s">
        <v>188</v>
      </c>
      <c r="D564" s="177" t="s">
        <v>187</v>
      </c>
      <c r="E564" s="174">
        <v>175</v>
      </c>
      <c r="F564" s="176"/>
      <c r="G564" s="175"/>
      <c r="H564" s="174"/>
      <c r="I564" s="173">
        <v>7.75</v>
      </c>
      <c r="J564" s="174">
        <v>157</v>
      </c>
      <c r="K564" s="173">
        <v>162.4</v>
      </c>
    </row>
    <row r="565" spans="1:22" ht="14.25" x14ac:dyDescent="0.2">
      <c r="A565" s="172"/>
      <c r="B565" s="171"/>
      <c r="C565" s="171" t="s">
        <v>192</v>
      </c>
      <c r="D565" s="170" t="s">
        <v>191</v>
      </c>
      <c r="E565" s="167">
        <v>39.549999999999997</v>
      </c>
      <c r="F565" s="169"/>
      <c r="G565" s="168" t="s">
        <v>1548</v>
      </c>
      <c r="H565" s="167">
        <v>1</v>
      </c>
      <c r="I565" s="166">
        <v>18.190000000000001</v>
      </c>
      <c r="J565" s="167"/>
      <c r="K565" s="166"/>
    </row>
    <row r="566" spans="1:22" ht="15" x14ac:dyDescent="0.25">
      <c r="A566" s="164"/>
      <c r="B566" s="164"/>
      <c r="C566" s="165" t="s">
        <v>183</v>
      </c>
      <c r="D566" s="164"/>
      <c r="E566" s="164"/>
      <c r="F566" s="164"/>
      <c r="G566" s="164"/>
      <c r="H566" s="414">
        <v>3993.55</v>
      </c>
      <c r="I566" s="414"/>
      <c r="J566" s="414">
        <v>27206.62</v>
      </c>
      <c r="K566" s="414"/>
      <c r="O566" s="163">
        <f>I557+I558+I560+I562+I563+I564+SUM(I561:I561)</f>
        <v>3993.55</v>
      </c>
      <c r="P566" s="163">
        <f>K557+K558+K560+K562+K563+K564+SUM(K561:K561)</f>
        <v>27206.62</v>
      </c>
    </row>
    <row r="568" spans="1:22" ht="42.75" x14ac:dyDescent="0.2">
      <c r="A568" s="179" t="s">
        <v>1784</v>
      </c>
      <c r="B568" s="178" t="s">
        <v>539</v>
      </c>
      <c r="C568" s="178" t="s">
        <v>538</v>
      </c>
      <c r="D568" s="177" t="s">
        <v>2175</v>
      </c>
      <c r="E568" s="174">
        <v>1.4601</v>
      </c>
      <c r="F568" s="176"/>
      <c r="G568" s="175"/>
      <c r="H568" s="174"/>
      <c r="I568" s="173"/>
      <c r="J568" s="174"/>
      <c r="K568" s="173"/>
      <c r="Q568" s="160">
        <f>[4]Source!X608</f>
        <v>676.35</v>
      </c>
      <c r="R568" s="160">
        <f>[4]Source!X609</f>
        <v>12634.13</v>
      </c>
      <c r="S568" s="160">
        <f>[4]Source!Y608</f>
        <v>556.99</v>
      </c>
      <c r="T568" s="160">
        <f>[4]Source!Y609</f>
        <v>7617.64</v>
      </c>
      <c r="U568" s="160">
        <f>ROUND((175/100)*ROUND([4]Source!R608, 2), 2)</f>
        <v>431.45</v>
      </c>
      <c r="V568" s="160">
        <f>ROUND((157/100)*ROUND([4]Source!R609, 2), 2)</f>
        <v>5058.2700000000004</v>
      </c>
    </row>
    <row r="569" spans="1:22" x14ac:dyDescent="0.2">
      <c r="C569" s="181" t="s">
        <v>2215</v>
      </c>
    </row>
    <row r="570" spans="1:22" ht="14.25" x14ac:dyDescent="0.2">
      <c r="A570" s="179"/>
      <c r="B570" s="178"/>
      <c r="C570" s="178" t="s">
        <v>197</v>
      </c>
      <c r="D570" s="177"/>
      <c r="E570" s="174"/>
      <c r="F570" s="176">
        <v>473.88</v>
      </c>
      <c r="G570" s="175" t="s">
        <v>1548</v>
      </c>
      <c r="H570" s="174">
        <v>1</v>
      </c>
      <c r="I570" s="173">
        <v>795.7</v>
      </c>
      <c r="J570" s="174">
        <v>23.35</v>
      </c>
      <c r="K570" s="173">
        <v>18579.599999999999</v>
      </c>
    </row>
    <row r="571" spans="1:22" ht="14.25" x14ac:dyDescent="0.2">
      <c r="A571" s="179"/>
      <c r="B571" s="178"/>
      <c r="C571" s="178" t="s">
        <v>184</v>
      </c>
      <c r="D571" s="177"/>
      <c r="E571" s="174"/>
      <c r="F571" s="176">
        <v>569.51</v>
      </c>
      <c r="G571" s="175" t="s">
        <v>1549</v>
      </c>
      <c r="H571" s="174">
        <v>1</v>
      </c>
      <c r="I571" s="173">
        <v>1039.43</v>
      </c>
      <c r="J571" s="174">
        <v>7.77</v>
      </c>
      <c r="K571" s="173">
        <v>12005.66</v>
      </c>
    </row>
    <row r="572" spans="1:22" ht="14.25" x14ac:dyDescent="0.2">
      <c r="A572" s="179"/>
      <c r="B572" s="178"/>
      <c r="C572" s="178" t="s">
        <v>189</v>
      </c>
      <c r="D572" s="177"/>
      <c r="E572" s="174"/>
      <c r="F572" s="176">
        <v>135.08000000000001</v>
      </c>
      <c r="G572" s="175" t="s">
        <v>1549</v>
      </c>
      <c r="H572" s="174">
        <v>1</v>
      </c>
      <c r="I572" s="180">
        <v>246.54</v>
      </c>
      <c r="J572" s="174">
        <v>23.35</v>
      </c>
      <c r="K572" s="180">
        <v>3221.83</v>
      </c>
    </row>
    <row r="573" spans="1:22" ht="14.25" x14ac:dyDescent="0.2">
      <c r="A573" s="179"/>
      <c r="B573" s="178"/>
      <c r="C573" s="178" t="s">
        <v>205</v>
      </c>
      <c r="D573" s="177"/>
      <c r="E573" s="174"/>
      <c r="F573" s="176">
        <v>80.900000000000006</v>
      </c>
      <c r="G573" s="175" t="s">
        <v>195</v>
      </c>
      <c r="H573" s="174">
        <v>1</v>
      </c>
      <c r="I573" s="173">
        <v>118.12</v>
      </c>
      <c r="J573" s="174">
        <v>7.52</v>
      </c>
      <c r="K573" s="173">
        <v>888.26</v>
      </c>
    </row>
    <row r="574" spans="1:22" ht="85.5" x14ac:dyDescent="0.2">
      <c r="A574" s="179" t="s">
        <v>1787</v>
      </c>
      <c r="B574" s="178" t="s">
        <v>2216</v>
      </c>
      <c r="C574" s="178" t="s">
        <v>537</v>
      </c>
      <c r="D574" s="177" t="s">
        <v>1533</v>
      </c>
      <c r="E574" s="174">
        <v>1.4550000000000001</v>
      </c>
      <c r="F574" s="176">
        <v>17021.419999999998</v>
      </c>
      <c r="G574" s="182" t="s">
        <v>195</v>
      </c>
      <c r="H574" s="174">
        <v>1</v>
      </c>
      <c r="I574" s="173">
        <v>24766.17</v>
      </c>
      <c r="J574" s="174">
        <v>5.14</v>
      </c>
      <c r="K574" s="173">
        <v>127298.11</v>
      </c>
      <c r="Q574" s="160">
        <f>[4]Source!X610</f>
        <v>0</v>
      </c>
      <c r="R574" s="160">
        <f>[4]Source!X611</f>
        <v>0</v>
      </c>
      <c r="S574" s="160">
        <f>[4]Source!Y610</f>
        <v>0</v>
      </c>
      <c r="T574" s="160">
        <f>[4]Source!Y611</f>
        <v>0</v>
      </c>
      <c r="U574" s="160">
        <f>ROUND((175/100)*ROUND([4]Source!R610, 2), 2)</f>
        <v>0</v>
      </c>
      <c r="V574" s="160">
        <f>ROUND((157/100)*ROUND([4]Source!R611, 2), 2)</f>
        <v>0</v>
      </c>
    </row>
    <row r="575" spans="1:22" ht="42.75" x14ac:dyDescent="0.2">
      <c r="A575" s="179" t="s">
        <v>2217</v>
      </c>
      <c r="B575" s="178" t="s">
        <v>2218</v>
      </c>
      <c r="C575" s="178" t="s">
        <v>536</v>
      </c>
      <c r="D575" s="177" t="s">
        <v>1533</v>
      </c>
      <c r="E575" s="174">
        <v>5.1000000000000004E-3</v>
      </c>
      <c r="F575" s="176">
        <v>7133</v>
      </c>
      <c r="G575" s="182" t="s">
        <v>195</v>
      </c>
      <c r="H575" s="174">
        <v>1</v>
      </c>
      <c r="I575" s="173">
        <v>36.380000000000003</v>
      </c>
      <c r="J575" s="174">
        <v>6.03</v>
      </c>
      <c r="K575" s="173">
        <v>219.37</v>
      </c>
      <c r="Q575" s="160">
        <f>[4]Source!X612</f>
        <v>0</v>
      </c>
      <c r="R575" s="160">
        <f>[4]Source!X613</f>
        <v>0</v>
      </c>
      <c r="S575" s="160">
        <f>[4]Source!Y612</f>
        <v>0</v>
      </c>
      <c r="T575" s="160">
        <f>[4]Source!Y613</f>
        <v>0</v>
      </c>
      <c r="U575" s="160">
        <f>ROUND((175/100)*ROUND([4]Source!R612, 2), 2)</f>
        <v>0</v>
      </c>
      <c r="V575" s="160">
        <f>ROUND((157/100)*ROUND([4]Source!R613, 2), 2)</f>
        <v>0</v>
      </c>
    </row>
    <row r="576" spans="1:22" ht="14.25" x14ac:dyDescent="0.2">
      <c r="A576" s="179"/>
      <c r="B576" s="178"/>
      <c r="C576" s="178" t="s">
        <v>194</v>
      </c>
      <c r="D576" s="177" t="s">
        <v>187</v>
      </c>
      <c r="E576" s="174">
        <v>85</v>
      </c>
      <c r="F576" s="176"/>
      <c r="G576" s="175"/>
      <c r="H576" s="174"/>
      <c r="I576" s="173">
        <v>676.35</v>
      </c>
      <c r="J576" s="174">
        <v>68</v>
      </c>
      <c r="K576" s="173">
        <v>12634.13</v>
      </c>
    </row>
    <row r="577" spans="1:22" ht="14.25" x14ac:dyDescent="0.2">
      <c r="A577" s="179"/>
      <c r="B577" s="178"/>
      <c r="C577" s="178" t="s">
        <v>193</v>
      </c>
      <c r="D577" s="177" t="s">
        <v>187</v>
      </c>
      <c r="E577" s="174">
        <v>70</v>
      </c>
      <c r="F577" s="176"/>
      <c r="G577" s="175"/>
      <c r="H577" s="174"/>
      <c r="I577" s="173">
        <v>556.99</v>
      </c>
      <c r="J577" s="174">
        <v>41</v>
      </c>
      <c r="K577" s="173">
        <v>7617.64</v>
      </c>
    </row>
    <row r="578" spans="1:22" ht="14.25" x14ac:dyDescent="0.2">
      <c r="A578" s="179"/>
      <c r="B578" s="178"/>
      <c r="C578" s="178" t="s">
        <v>188</v>
      </c>
      <c r="D578" s="177" t="s">
        <v>187</v>
      </c>
      <c r="E578" s="174">
        <v>175</v>
      </c>
      <c r="F578" s="176"/>
      <c r="G578" s="175"/>
      <c r="H578" s="174"/>
      <c r="I578" s="173">
        <v>431.45</v>
      </c>
      <c r="J578" s="174">
        <v>157</v>
      </c>
      <c r="K578" s="173">
        <v>5058.2700000000004</v>
      </c>
    </row>
    <row r="579" spans="1:22" ht="14.25" x14ac:dyDescent="0.2">
      <c r="A579" s="172"/>
      <c r="B579" s="171"/>
      <c r="C579" s="171" t="s">
        <v>192</v>
      </c>
      <c r="D579" s="170" t="s">
        <v>191</v>
      </c>
      <c r="E579" s="167">
        <v>35.9</v>
      </c>
      <c r="F579" s="169"/>
      <c r="G579" s="168" t="s">
        <v>1548</v>
      </c>
      <c r="H579" s="167">
        <v>1</v>
      </c>
      <c r="I579" s="166">
        <v>60.28</v>
      </c>
      <c r="J579" s="167"/>
      <c r="K579" s="166"/>
    </row>
    <row r="580" spans="1:22" ht="15" x14ac:dyDescent="0.25">
      <c r="A580" s="164"/>
      <c r="B580" s="164"/>
      <c r="C580" s="165" t="s">
        <v>183</v>
      </c>
      <c r="D580" s="164"/>
      <c r="E580" s="164"/>
      <c r="F580" s="164"/>
      <c r="G580" s="164"/>
      <c r="H580" s="414">
        <v>28420.59</v>
      </c>
      <c r="I580" s="414"/>
      <c r="J580" s="414">
        <v>184301.04</v>
      </c>
      <c r="K580" s="414"/>
      <c r="O580" s="163">
        <f>I570+I571+I573+I576+I577+I578+SUM(I574:I575)</f>
        <v>28420.59</v>
      </c>
      <c r="P580" s="163">
        <f>K570+K571+K573+K576+K577+K578+SUM(K574:K575)</f>
        <v>184301.04</v>
      </c>
    </row>
    <row r="583" spans="1:22" ht="15" x14ac:dyDescent="0.25">
      <c r="A583" s="417" t="s">
        <v>2219</v>
      </c>
      <c r="B583" s="417"/>
      <c r="C583" s="417"/>
      <c r="D583" s="417"/>
      <c r="E583" s="417"/>
      <c r="F583" s="417"/>
      <c r="G583" s="417"/>
      <c r="H583" s="415">
        <v>64904.81</v>
      </c>
      <c r="I583" s="416"/>
      <c r="J583" s="415">
        <v>375769.74</v>
      </c>
      <c r="K583" s="416"/>
    </row>
    <row r="584" spans="1:22" hidden="1" x14ac:dyDescent="0.2">
      <c r="A584" s="160" t="s">
        <v>182</v>
      </c>
      <c r="I584" s="160">
        <v>0</v>
      </c>
      <c r="J584" s="160">
        <v>0</v>
      </c>
    </row>
    <row r="585" spans="1:22" hidden="1" x14ac:dyDescent="0.2">
      <c r="A585" s="160" t="s">
        <v>181</v>
      </c>
      <c r="I585" s="160">
        <v>0</v>
      </c>
      <c r="J585" s="160">
        <v>0</v>
      </c>
    </row>
    <row r="587" spans="1:22" ht="16.5" x14ac:dyDescent="0.25">
      <c r="A587" s="413" t="s">
        <v>2220</v>
      </c>
      <c r="B587" s="413"/>
      <c r="C587" s="413"/>
      <c r="D587" s="413"/>
      <c r="E587" s="413"/>
      <c r="F587" s="413"/>
      <c r="G587" s="413"/>
      <c r="H587" s="413"/>
      <c r="I587" s="413"/>
      <c r="J587" s="413"/>
      <c r="K587" s="413"/>
    </row>
    <row r="588" spans="1:22" ht="42.75" x14ac:dyDescent="0.2">
      <c r="A588" s="179" t="s">
        <v>1789</v>
      </c>
      <c r="B588" s="178" t="s">
        <v>2221</v>
      </c>
      <c r="C588" s="178" t="s">
        <v>535</v>
      </c>
      <c r="D588" s="177" t="s">
        <v>1540</v>
      </c>
      <c r="E588" s="174">
        <v>6.23</v>
      </c>
      <c r="F588" s="176"/>
      <c r="G588" s="175"/>
      <c r="H588" s="174"/>
      <c r="I588" s="173"/>
      <c r="J588" s="174"/>
      <c r="K588" s="173"/>
      <c r="Q588" s="160">
        <f>[4]Source!X649</f>
        <v>37423.22</v>
      </c>
      <c r="R588" s="160">
        <f>[4]Source!X650</f>
        <v>700986.3</v>
      </c>
      <c r="S588" s="160">
        <f>[4]Source!Y649</f>
        <v>28787.09</v>
      </c>
      <c r="T588" s="160">
        <f>[4]Source!Y650</f>
        <v>393704.64</v>
      </c>
      <c r="U588" s="160">
        <f>ROUND((175/100)*ROUND([4]Source!R649, 2), 2)</f>
        <v>19.62</v>
      </c>
      <c r="V588" s="160">
        <f>ROUND((157/100)*ROUND([4]Source!R650, 2), 2)</f>
        <v>410.95</v>
      </c>
    </row>
    <row r="589" spans="1:22" x14ac:dyDescent="0.2">
      <c r="C589" s="181" t="s">
        <v>2222</v>
      </c>
    </row>
    <row r="590" spans="1:22" ht="14.25" x14ac:dyDescent="0.2">
      <c r="A590" s="179"/>
      <c r="B590" s="178"/>
      <c r="C590" s="178" t="s">
        <v>197</v>
      </c>
      <c r="D590" s="177"/>
      <c r="E590" s="174"/>
      <c r="F590" s="176">
        <v>6601.03</v>
      </c>
      <c r="G590" s="175" t="s">
        <v>195</v>
      </c>
      <c r="H590" s="174">
        <v>1</v>
      </c>
      <c r="I590" s="173">
        <v>41124.42</v>
      </c>
      <c r="J590" s="174">
        <v>23.35</v>
      </c>
      <c r="K590" s="173">
        <v>960255.21</v>
      </c>
    </row>
    <row r="591" spans="1:22" ht="14.25" x14ac:dyDescent="0.2">
      <c r="A591" s="179"/>
      <c r="B591" s="178"/>
      <c r="C591" s="178" t="s">
        <v>184</v>
      </c>
      <c r="D591" s="177"/>
      <c r="E591" s="174"/>
      <c r="F591" s="176">
        <v>31.8</v>
      </c>
      <c r="G591" s="175" t="s">
        <v>195</v>
      </c>
      <c r="H591" s="174">
        <v>1</v>
      </c>
      <c r="I591" s="173">
        <v>198.11</v>
      </c>
      <c r="J591" s="174">
        <v>3.77</v>
      </c>
      <c r="K591" s="173">
        <v>746.87</v>
      </c>
    </row>
    <row r="592" spans="1:22" ht="14.25" x14ac:dyDescent="0.2">
      <c r="A592" s="179"/>
      <c r="B592" s="178"/>
      <c r="C592" s="178" t="s">
        <v>189</v>
      </c>
      <c r="D592" s="177"/>
      <c r="E592" s="174"/>
      <c r="F592" s="176">
        <v>1.8</v>
      </c>
      <c r="G592" s="175" t="s">
        <v>195</v>
      </c>
      <c r="H592" s="174">
        <v>1</v>
      </c>
      <c r="I592" s="180">
        <v>11.21</v>
      </c>
      <c r="J592" s="174">
        <v>23.35</v>
      </c>
      <c r="K592" s="180">
        <v>261.75</v>
      </c>
    </row>
    <row r="593" spans="1:22" ht="14.25" x14ac:dyDescent="0.2">
      <c r="A593" s="179"/>
      <c r="B593" s="178"/>
      <c r="C593" s="178" t="s">
        <v>205</v>
      </c>
      <c r="D593" s="177"/>
      <c r="E593" s="174"/>
      <c r="F593" s="176">
        <v>1050.57</v>
      </c>
      <c r="G593" s="175" t="s">
        <v>195</v>
      </c>
      <c r="H593" s="174">
        <v>1</v>
      </c>
      <c r="I593" s="173">
        <v>6545.05</v>
      </c>
      <c r="J593" s="174">
        <v>3.06</v>
      </c>
      <c r="K593" s="173">
        <v>20027.849999999999</v>
      </c>
    </row>
    <row r="594" spans="1:22" ht="42.75" x14ac:dyDescent="0.2">
      <c r="A594" s="179" t="s">
        <v>1790</v>
      </c>
      <c r="B594" s="178" t="s">
        <v>2223</v>
      </c>
      <c r="C594" s="178" t="s">
        <v>532</v>
      </c>
      <c r="D594" s="177" t="s">
        <v>1584</v>
      </c>
      <c r="E594" s="174">
        <v>21182</v>
      </c>
      <c r="F594" s="176">
        <v>36.770000000000003</v>
      </c>
      <c r="G594" s="182" t="s">
        <v>195</v>
      </c>
      <c r="H594" s="174">
        <v>1</v>
      </c>
      <c r="I594" s="173">
        <v>778862.14</v>
      </c>
      <c r="J594" s="174">
        <v>1.51</v>
      </c>
      <c r="K594" s="173">
        <v>1176081.83</v>
      </c>
      <c r="Q594" s="160">
        <f>[4]Source!X651</f>
        <v>0</v>
      </c>
      <c r="R594" s="160">
        <f>[4]Source!X652</f>
        <v>0</v>
      </c>
      <c r="S594" s="160">
        <f>[4]Source!Y651</f>
        <v>0</v>
      </c>
      <c r="T594" s="160">
        <f>[4]Source!Y652</f>
        <v>0</v>
      </c>
      <c r="U594" s="160">
        <f>ROUND((175/100)*ROUND([4]Source!R651, 2), 2)</f>
        <v>0</v>
      </c>
      <c r="V594" s="160">
        <f>ROUND((157/100)*ROUND([4]Source!R652, 2), 2)</f>
        <v>0</v>
      </c>
    </row>
    <row r="595" spans="1:22" ht="14.25" x14ac:dyDescent="0.2">
      <c r="A595" s="179"/>
      <c r="B595" s="178"/>
      <c r="C595" s="178" t="s">
        <v>194</v>
      </c>
      <c r="D595" s="177" t="s">
        <v>187</v>
      </c>
      <c r="E595" s="174">
        <v>91</v>
      </c>
      <c r="F595" s="176"/>
      <c r="G595" s="175"/>
      <c r="H595" s="174"/>
      <c r="I595" s="173">
        <v>37423.22</v>
      </c>
      <c r="J595" s="174">
        <v>73</v>
      </c>
      <c r="K595" s="173">
        <v>700986.3</v>
      </c>
    </row>
    <row r="596" spans="1:22" ht="14.25" x14ac:dyDescent="0.2">
      <c r="A596" s="179"/>
      <c r="B596" s="178"/>
      <c r="C596" s="178" t="s">
        <v>193</v>
      </c>
      <c r="D596" s="177" t="s">
        <v>187</v>
      </c>
      <c r="E596" s="174">
        <v>70</v>
      </c>
      <c r="F596" s="176"/>
      <c r="G596" s="175"/>
      <c r="H596" s="174"/>
      <c r="I596" s="173">
        <v>28787.09</v>
      </c>
      <c r="J596" s="174">
        <v>41</v>
      </c>
      <c r="K596" s="173">
        <v>393704.64</v>
      </c>
    </row>
    <row r="597" spans="1:22" ht="14.25" x14ac:dyDescent="0.2">
      <c r="A597" s="179"/>
      <c r="B597" s="178"/>
      <c r="C597" s="178" t="s">
        <v>188</v>
      </c>
      <c r="D597" s="177" t="s">
        <v>187</v>
      </c>
      <c r="E597" s="174">
        <v>175</v>
      </c>
      <c r="F597" s="176"/>
      <c r="G597" s="175"/>
      <c r="H597" s="174"/>
      <c r="I597" s="173">
        <v>19.62</v>
      </c>
      <c r="J597" s="174">
        <v>157</v>
      </c>
      <c r="K597" s="173">
        <v>410.95</v>
      </c>
    </row>
    <row r="598" spans="1:22" ht="14.25" x14ac:dyDescent="0.2">
      <c r="A598" s="172"/>
      <c r="B598" s="171"/>
      <c r="C598" s="171" t="s">
        <v>192</v>
      </c>
      <c r="D598" s="170" t="s">
        <v>191</v>
      </c>
      <c r="E598" s="167">
        <v>645.5</v>
      </c>
      <c r="F598" s="169"/>
      <c r="G598" s="168" t="s">
        <v>195</v>
      </c>
      <c r="H598" s="167">
        <v>1</v>
      </c>
      <c r="I598" s="166">
        <v>4021.47</v>
      </c>
      <c r="J598" s="167"/>
      <c r="K598" s="166"/>
    </row>
    <row r="599" spans="1:22" ht="15" x14ac:dyDescent="0.25">
      <c r="A599" s="164"/>
      <c r="B599" s="164"/>
      <c r="C599" s="165" t="s">
        <v>183</v>
      </c>
      <c r="D599" s="164"/>
      <c r="E599" s="164"/>
      <c r="F599" s="164"/>
      <c r="G599" s="164"/>
      <c r="H599" s="414">
        <v>892959.65</v>
      </c>
      <c r="I599" s="414"/>
      <c r="J599" s="414">
        <v>3252213.65</v>
      </c>
      <c r="K599" s="414"/>
      <c r="O599" s="163">
        <f>I590+I591+I593+I595+I596+I597+SUM(I594:I594)</f>
        <v>892959.65</v>
      </c>
      <c r="P599" s="163">
        <f>K590+K591+K593+K595+K596+K597+SUM(K594:K594)</f>
        <v>3252213.65</v>
      </c>
    </row>
    <row r="601" spans="1:22" ht="28.5" x14ac:dyDescent="0.2">
      <c r="A601" s="179" t="s">
        <v>1795</v>
      </c>
      <c r="B601" s="178" t="s">
        <v>2224</v>
      </c>
      <c r="C601" s="178" t="s">
        <v>534</v>
      </c>
      <c r="D601" s="177" t="s">
        <v>1686</v>
      </c>
      <c r="E601" s="174">
        <v>2.09</v>
      </c>
      <c r="F601" s="176"/>
      <c r="G601" s="175"/>
      <c r="H601" s="174"/>
      <c r="I601" s="173"/>
      <c r="J601" s="174"/>
      <c r="K601" s="173"/>
      <c r="Q601" s="160">
        <f>[4]Source!X653</f>
        <v>3692.52</v>
      </c>
      <c r="R601" s="160">
        <f>[4]Source!X654</f>
        <v>69165.7</v>
      </c>
      <c r="S601" s="160">
        <f>[4]Source!Y653</f>
        <v>2840.4</v>
      </c>
      <c r="T601" s="160">
        <f>[4]Source!Y654</f>
        <v>38846.49</v>
      </c>
      <c r="U601" s="160">
        <f>ROUND((175/100)*ROUND([4]Source!R653, 2), 2)</f>
        <v>9.8699999999999992</v>
      </c>
      <c r="V601" s="160">
        <f>ROUND((157/100)*ROUND([4]Source!R654, 2), 2)</f>
        <v>206.75</v>
      </c>
    </row>
    <row r="602" spans="1:22" x14ac:dyDescent="0.2">
      <c r="C602" s="181" t="s">
        <v>2225</v>
      </c>
    </row>
    <row r="603" spans="1:22" ht="14.25" x14ac:dyDescent="0.2">
      <c r="A603" s="179"/>
      <c r="B603" s="178"/>
      <c r="C603" s="178" t="s">
        <v>197</v>
      </c>
      <c r="D603" s="177"/>
      <c r="E603" s="174"/>
      <c r="F603" s="176">
        <v>1941.49</v>
      </c>
      <c r="G603" s="175" t="s">
        <v>195</v>
      </c>
      <c r="H603" s="174">
        <v>1</v>
      </c>
      <c r="I603" s="173">
        <v>4057.71</v>
      </c>
      <c r="J603" s="174">
        <v>23.35</v>
      </c>
      <c r="K603" s="173">
        <v>94747.53</v>
      </c>
    </row>
    <row r="604" spans="1:22" ht="14.25" x14ac:dyDescent="0.2">
      <c r="A604" s="179"/>
      <c r="B604" s="178"/>
      <c r="C604" s="178" t="s">
        <v>184</v>
      </c>
      <c r="D604" s="177"/>
      <c r="E604" s="174"/>
      <c r="F604" s="176">
        <v>47.7</v>
      </c>
      <c r="G604" s="175" t="s">
        <v>195</v>
      </c>
      <c r="H604" s="174">
        <v>1</v>
      </c>
      <c r="I604" s="173">
        <v>99.69</v>
      </c>
      <c r="J604" s="174">
        <v>3.77</v>
      </c>
      <c r="K604" s="173">
        <v>375.83</v>
      </c>
    </row>
    <row r="605" spans="1:22" ht="14.25" x14ac:dyDescent="0.2">
      <c r="A605" s="179"/>
      <c r="B605" s="178"/>
      <c r="C605" s="178" t="s">
        <v>189</v>
      </c>
      <c r="D605" s="177"/>
      <c r="E605" s="174"/>
      <c r="F605" s="176">
        <v>2.7</v>
      </c>
      <c r="G605" s="175" t="s">
        <v>195</v>
      </c>
      <c r="H605" s="174">
        <v>1</v>
      </c>
      <c r="I605" s="180">
        <v>5.64</v>
      </c>
      <c r="J605" s="174">
        <v>23.35</v>
      </c>
      <c r="K605" s="180">
        <v>131.69</v>
      </c>
    </row>
    <row r="606" spans="1:22" ht="14.25" x14ac:dyDescent="0.2">
      <c r="A606" s="179"/>
      <c r="B606" s="178"/>
      <c r="C606" s="178" t="s">
        <v>205</v>
      </c>
      <c r="D606" s="177"/>
      <c r="E606" s="174"/>
      <c r="F606" s="176">
        <v>377.39</v>
      </c>
      <c r="G606" s="175" t="s">
        <v>195</v>
      </c>
      <c r="H606" s="174">
        <v>1</v>
      </c>
      <c r="I606" s="173">
        <v>788.75</v>
      </c>
      <c r="J606" s="174">
        <v>3.08</v>
      </c>
      <c r="K606" s="173">
        <v>2429.35</v>
      </c>
    </row>
    <row r="607" spans="1:22" ht="42.75" x14ac:dyDescent="0.2">
      <c r="A607" s="179" t="s">
        <v>1797</v>
      </c>
      <c r="B607" s="178" t="s">
        <v>2223</v>
      </c>
      <c r="C607" s="178" t="s">
        <v>532</v>
      </c>
      <c r="D607" s="177" t="s">
        <v>1584</v>
      </c>
      <c r="E607" s="174">
        <v>209</v>
      </c>
      <c r="F607" s="176">
        <v>36.770000000000003</v>
      </c>
      <c r="G607" s="182" t="s">
        <v>195</v>
      </c>
      <c r="H607" s="174">
        <v>1</v>
      </c>
      <c r="I607" s="173">
        <v>7684.93</v>
      </c>
      <c r="J607" s="174">
        <v>1.51</v>
      </c>
      <c r="K607" s="173">
        <v>11604.24</v>
      </c>
      <c r="Q607" s="160">
        <f>[4]Source!X655</f>
        <v>0</v>
      </c>
      <c r="R607" s="160">
        <f>[4]Source!X656</f>
        <v>0</v>
      </c>
      <c r="S607" s="160">
        <f>[4]Source!Y655</f>
        <v>0</v>
      </c>
      <c r="T607" s="160">
        <f>[4]Source!Y656</f>
        <v>0</v>
      </c>
      <c r="U607" s="160">
        <f>ROUND((175/100)*ROUND([4]Source!R655, 2), 2)</f>
        <v>0</v>
      </c>
      <c r="V607" s="160">
        <f>ROUND((157/100)*ROUND([4]Source!R656, 2), 2)</f>
        <v>0</v>
      </c>
    </row>
    <row r="608" spans="1:22" ht="14.25" x14ac:dyDescent="0.2">
      <c r="A608" s="179"/>
      <c r="B608" s="178"/>
      <c r="C608" s="178" t="s">
        <v>194</v>
      </c>
      <c r="D608" s="177" t="s">
        <v>187</v>
      </c>
      <c r="E608" s="174">
        <v>91</v>
      </c>
      <c r="F608" s="176"/>
      <c r="G608" s="175"/>
      <c r="H608" s="174"/>
      <c r="I608" s="173">
        <v>3692.52</v>
      </c>
      <c r="J608" s="174">
        <v>73</v>
      </c>
      <c r="K608" s="173">
        <v>69165.7</v>
      </c>
    </row>
    <row r="609" spans="1:22" ht="14.25" x14ac:dyDescent="0.2">
      <c r="A609" s="179"/>
      <c r="B609" s="178"/>
      <c r="C609" s="178" t="s">
        <v>193</v>
      </c>
      <c r="D609" s="177" t="s">
        <v>187</v>
      </c>
      <c r="E609" s="174">
        <v>70</v>
      </c>
      <c r="F609" s="176"/>
      <c r="G609" s="175"/>
      <c r="H609" s="174"/>
      <c r="I609" s="173">
        <v>2840.4</v>
      </c>
      <c r="J609" s="174">
        <v>41</v>
      </c>
      <c r="K609" s="173">
        <v>38846.49</v>
      </c>
    </row>
    <row r="610" spans="1:22" ht="14.25" x14ac:dyDescent="0.2">
      <c r="A610" s="179"/>
      <c r="B610" s="178"/>
      <c r="C610" s="178" t="s">
        <v>188</v>
      </c>
      <c r="D610" s="177" t="s">
        <v>187</v>
      </c>
      <c r="E610" s="174">
        <v>175</v>
      </c>
      <c r="F610" s="176"/>
      <c r="G610" s="175"/>
      <c r="H610" s="174"/>
      <c r="I610" s="173">
        <v>9.8699999999999992</v>
      </c>
      <c r="J610" s="174">
        <v>157</v>
      </c>
      <c r="K610" s="173">
        <v>206.75</v>
      </c>
    </row>
    <row r="611" spans="1:22" ht="14.25" x14ac:dyDescent="0.2">
      <c r="A611" s="172"/>
      <c r="B611" s="171"/>
      <c r="C611" s="171" t="s">
        <v>192</v>
      </c>
      <c r="D611" s="170" t="s">
        <v>191</v>
      </c>
      <c r="E611" s="167">
        <v>186.3</v>
      </c>
      <c r="F611" s="169"/>
      <c r="G611" s="168" t="s">
        <v>195</v>
      </c>
      <c r="H611" s="167">
        <v>1</v>
      </c>
      <c r="I611" s="166">
        <v>389.37</v>
      </c>
      <c r="J611" s="167"/>
      <c r="K611" s="166"/>
    </row>
    <row r="612" spans="1:22" ht="15" x14ac:dyDescent="0.25">
      <c r="A612" s="164"/>
      <c r="B612" s="164"/>
      <c r="C612" s="165" t="s">
        <v>183</v>
      </c>
      <c r="D612" s="164"/>
      <c r="E612" s="164"/>
      <c r="F612" s="164"/>
      <c r="G612" s="164"/>
      <c r="H612" s="414">
        <v>19173.87</v>
      </c>
      <c r="I612" s="414"/>
      <c r="J612" s="414">
        <v>217375.89</v>
      </c>
      <c r="K612" s="414"/>
      <c r="O612" s="163">
        <f>I603+I604+I606+I608+I609+I610+SUM(I607:I607)</f>
        <v>19173.87</v>
      </c>
      <c r="P612" s="163">
        <f>K603+K604+K606+K608+K609+K610+SUM(K607:K607)</f>
        <v>217375.89</v>
      </c>
    </row>
    <row r="614" spans="1:22" ht="28.5" x14ac:dyDescent="0.2">
      <c r="A614" s="179" t="s">
        <v>1798</v>
      </c>
      <c r="B614" s="178" t="s">
        <v>2221</v>
      </c>
      <c r="C614" s="178" t="s">
        <v>533</v>
      </c>
      <c r="D614" s="177" t="s">
        <v>1540</v>
      </c>
      <c r="E614" s="174">
        <v>3.073</v>
      </c>
      <c r="F614" s="176"/>
      <c r="G614" s="175"/>
      <c r="H614" s="174"/>
      <c r="I614" s="173"/>
      <c r="J614" s="174"/>
      <c r="K614" s="173"/>
      <c r="Q614" s="160">
        <f>[4]Source!X657</f>
        <v>18459.32</v>
      </c>
      <c r="R614" s="160">
        <f>[4]Source!X658</f>
        <v>345767.46</v>
      </c>
      <c r="S614" s="160">
        <f>[4]Source!Y657</f>
        <v>14199.48</v>
      </c>
      <c r="T614" s="160">
        <f>[4]Source!Y658</f>
        <v>194198.16</v>
      </c>
      <c r="U614" s="160">
        <f>ROUND((175/100)*ROUND([4]Source!R657, 2), 2)</f>
        <v>9.68</v>
      </c>
      <c r="V614" s="160">
        <f>ROUND((157/100)*ROUND([4]Source!R658, 2), 2)</f>
        <v>202.73</v>
      </c>
    </row>
    <row r="615" spans="1:22" x14ac:dyDescent="0.2">
      <c r="C615" s="181" t="s">
        <v>2226</v>
      </c>
    </row>
    <row r="616" spans="1:22" ht="14.25" x14ac:dyDescent="0.2">
      <c r="A616" s="179"/>
      <c r="B616" s="178"/>
      <c r="C616" s="178" t="s">
        <v>197</v>
      </c>
      <c r="D616" s="177"/>
      <c r="E616" s="174"/>
      <c r="F616" s="176">
        <v>6601.03</v>
      </c>
      <c r="G616" s="175" t="s">
        <v>195</v>
      </c>
      <c r="H616" s="174">
        <v>1</v>
      </c>
      <c r="I616" s="173">
        <v>20284.97</v>
      </c>
      <c r="J616" s="174">
        <v>23.35</v>
      </c>
      <c r="K616" s="173">
        <v>473654.05</v>
      </c>
    </row>
    <row r="617" spans="1:22" ht="14.25" x14ac:dyDescent="0.2">
      <c r="A617" s="179"/>
      <c r="B617" s="178"/>
      <c r="C617" s="178" t="s">
        <v>184</v>
      </c>
      <c r="D617" s="177"/>
      <c r="E617" s="174"/>
      <c r="F617" s="176">
        <v>31.8</v>
      </c>
      <c r="G617" s="175" t="s">
        <v>195</v>
      </c>
      <c r="H617" s="174">
        <v>1</v>
      </c>
      <c r="I617" s="173">
        <v>97.72</v>
      </c>
      <c r="J617" s="174">
        <v>3.77</v>
      </c>
      <c r="K617" s="173">
        <v>368.4</v>
      </c>
    </row>
    <row r="618" spans="1:22" ht="14.25" x14ac:dyDescent="0.2">
      <c r="A618" s="179"/>
      <c r="B618" s="178"/>
      <c r="C618" s="178" t="s">
        <v>189</v>
      </c>
      <c r="D618" s="177"/>
      <c r="E618" s="174"/>
      <c r="F618" s="176">
        <v>1.8</v>
      </c>
      <c r="G618" s="175" t="s">
        <v>195</v>
      </c>
      <c r="H618" s="174">
        <v>1</v>
      </c>
      <c r="I618" s="180">
        <v>5.53</v>
      </c>
      <c r="J618" s="174">
        <v>23.35</v>
      </c>
      <c r="K618" s="180">
        <v>129.13</v>
      </c>
    </row>
    <row r="619" spans="1:22" ht="14.25" x14ac:dyDescent="0.2">
      <c r="A619" s="179"/>
      <c r="B619" s="178"/>
      <c r="C619" s="178" t="s">
        <v>205</v>
      </c>
      <c r="D619" s="177"/>
      <c r="E619" s="174"/>
      <c r="F619" s="176">
        <v>1050.57</v>
      </c>
      <c r="G619" s="175" t="s">
        <v>195</v>
      </c>
      <c r="H619" s="174">
        <v>1</v>
      </c>
      <c r="I619" s="173">
        <v>3228.4</v>
      </c>
      <c r="J619" s="174">
        <v>3.06</v>
      </c>
      <c r="K619" s="173">
        <v>9878.9</v>
      </c>
    </row>
    <row r="620" spans="1:22" ht="42.75" x14ac:dyDescent="0.2">
      <c r="A620" s="179" t="s">
        <v>1801</v>
      </c>
      <c r="B620" s="178" t="s">
        <v>2223</v>
      </c>
      <c r="C620" s="178" t="s">
        <v>532</v>
      </c>
      <c r="D620" s="177" t="s">
        <v>1584</v>
      </c>
      <c r="E620" s="174">
        <v>982.5</v>
      </c>
      <c r="F620" s="176">
        <v>36.770000000000003</v>
      </c>
      <c r="G620" s="182" t="s">
        <v>195</v>
      </c>
      <c r="H620" s="174">
        <v>1</v>
      </c>
      <c r="I620" s="173">
        <v>36126.53</v>
      </c>
      <c r="J620" s="174">
        <v>1.51</v>
      </c>
      <c r="K620" s="173">
        <v>54551.06</v>
      </c>
      <c r="Q620" s="160">
        <f>[4]Source!X659</f>
        <v>0</v>
      </c>
      <c r="R620" s="160">
        <f>[4]Source!X660</f>
        <v>0</v>
      </c>
      <c r="S620" s="160">
        <f>[4]Source!Y659</f>
        <v>0</v>
      </c>
      <c r="T620" s="160">
        <f>[4]Source!Y660</f>
        <v>0</v>
      </c>
      <c r="U620" s="160">
        <f>ROUND((175/100)*ROUND([4]Source!R659, 2), 2)</f>
        <v>0</v>
      </c>
      <c r="V620" s="160">
        <f>ROUND((157/100)*ROUND([4]Source!R660, 2), 2)</f>
        <v>0</v>
      </c>
    </row>
    <row r="621" spans="1:22" ht="14.25" x14ac:dyDescent="0.2">
      <c r="A621" s="179"/>
      <c r="B621" s="178"/>
      <c r="C621" s="178" t="s">
        <v>194</v>
      </c>
      <c r="D621" s="177" t="s">
        <v>187</v>
      </c>
      <c r="E621" s="174">
        <v>91</v>
      </c>
      <c r="F621" s="176"/>
      <c r="G621" s="175"/>
      <c r="H621" s="174"/>
      <c r="I621" s="173">
        <v>18459.32</v>
      </c>
      <c r="J621" s="174">
        <v>73</v>
      </c>
      <c r="K621" s="173">
        <v>345767.46</v>
      </c>
    </row>
    <row r="622" spans="1:22" ht="14.25" x14ac:dyDescent="0.2">
      <c r="A622" s="179"/>
      <c r="B622" s="178"/>
      <c r="C622" s="178" t="s">
        <v>193</v>
      </c>
      <c r="D622" s="177" t="s">
        <v>187</v>
      </c>
      <c r="E622" s="174">
        <v>70</v>
      </c>
      <c r="F622" s="176"/>
      <c r="G622" s="175"/>
      <c r="H622" s="174"/>
      <c r="I622" s="173">
        <v>14199.48</v>
      </c>
      <c r="J622" s="174">
        <v>41</v>
      </c>
      <c r="K622" s="173">
        <v>194198.16</v>
      </c>
    </row>
    <row r="623" spans="1:22" ht="14.25" x14ac:dyDescent="0.2">
      <c r="A623" s="179"/>
      <c r="B623" s="178"/>
      <c r="C623" s="178" t="s">
        <v>188</v>
      </c>
      <c r="D623" s="177" t="s">
        <v>187</v>
      </c>
      <c r="E623" s="174">
        <v>175</v>
      </c>
      <c r="F623" s="176"/>
      <c r="G623" s="175"/>
      <c r="H623" s="174"/>
      <c r="I623" s="173">
        <v>9.68</v>
      </c>
      <c r="J623" s="174">
        <v>157</v>
      </c>
      <c r="K623" s="173">
        <v>202.73</v>
      </c>
    </row>
    <row r="624" spans="1:22" ht="14.25" x14ac:dyDescent="0.2">
      <c r="A624" s="172"/>
      <c r="B624" s="171"/>
      <c r="C624" s="171" t="s">
        <v>192</v>
      </c>
      <c r="D624" s="170" t="s">
        <v>191</v>
      </c>
      <c r="E624" s="167">
        <v>645.5</v>
      </c>
      <c r="F624" s="169"/>
      <c r="G624" s="168" t="s">
        <v>195</v>
      </c>
      <c r="H624" s="167">
        <v>1</v>
      </c>
      <c r="I624" s="166">
        <v>1983.62</v>
      </c>
      <c r="J624" s="167"/>
      <c r="K624" s="166"/>
    </row>
    <row r="625" spans="1:32" ht="15" x14ac:dyDescent="0.25">
      <c r="A625" s="164"/>
      <c r="B625" s="164"/>
      <c r="C625" s="165" t="s">
        <v>183</v>
      </c>
      <c r="D625" s="164"/>
      <c r="E625" s="164"/>
      <c r="F625" s="164"/>
      <c r="G625" s="164"/>
      <c r="H625" s="414">
        <v>92406.1</v>
      </c>
      <c r="I625" s="414"/>
      <c r="J625" s="414">
        <v>1078620.76</v>
      </c>
      <c r="K625" s="414"/>
      <c r="O625" s="163">
        <f>I616+I617+I619+I621+I622+I623+SUM(I620:I620)</f>
        <v>92406.1</v>
      </c>
      <c r="P625" s="163">
        <f>K616+K617+K619+K621+K622+K623+SUM(K620:K620)</f>
        <v>1078620.76</v>
      </c>
    </row>
    <row r="628" spans="1:32" ht="15" x14ac:dyDescent="0.25">
      <c r="A628" s="417" t="s">
        <v>2227</v>
      </c>
      <c r="B628" s="417"/>
      <c r="C628" s="417"/>
      <c r="D628" s="417"/>
      <c r="E628" s="417"/>
      <c r="F628" s="417"/>
      <c r="G628" s="417"/>
      <c r="H628" s="415">
        <v>1004539.62</v>
      </c>
      <c r="I628" s="416"/>
      <c r="J628" s="415">
        <v>4548210.3</v>
      </c>
      <c r="K628" s="416"/>
      <c r="AF628" s="201" t="str">
        <f>CONCATENATE("Итого по разделу: ",IF([4]Source!G662&lt;&gt;"Новый раздел", [4]Source!G662, ""))</f>
        <v>Итого по разделу: Гидроизоляция подвала здания. 023/18КН-КР 4.2 лист 4</v>
      </c>
    </row>
    <row r="629" spans="1:32" hidden="1" x14ac:dyDescent="0.2">
      <c r="A629" s="160" t="s">
        <v>182</v>
      </c>
      <c r="I629" s="160">
        <v>0</v>
      </c>
      <c r="J629" s="160">
        <v>0</v>
      </c>
    </row>
    <row r="630" spans="1:32" hidden="1" x14ac:dyDescent="0.2">
      <c r="A630" s="160" t="s">
        <v>181</v>
      </c>
      <c r="I630" s="160">
        <v>0</v>
      </c>
      <c r="J630" s="160">
        <v>0</v>
      </c>
    </row>
    <row r="632" spans="1:32" ht="16.5" x14ac:dyDescent="0.25">
      <c r="A632" s="413" t="s">
        <v>2228</v>
      </c>
      <c r="B632" s="413"/>
      <c r="C632" s="413"/>
      <c r="D632" s="413"/>
      <c r="E632" s="413"/>
      <c r="F632" s="413"/>
      <c r="G632" s="413"/>
      <c r="H632" s="413"/>
      <c r="I632" s="413"/>
      <c r="J632" s="413"/>
      <c r="K632" s="413"/>
    </row>
    <row r="633" spans="1:32" ht="42.75" x14ac:dyDescent="0.2">
      <c r="A633" s="179" t="s">
        <v>1802</v>
      </c>
      <c r="B633" s="178" t="s">
        <v>2229</v>
      </c>
      <c r="C633" s="178" t="s">
        <v>531</v>
      </c>
      <c r="D633" s="177" t="s">
        <v>2230</v>
      </c>
      <c r="E633" s="174">
        <v>7.3999999999999996E-2</v>
      </c>
      <c r="F633" s="176"/>
      <c r="G633" s="175"/>
      <c r="H633" s="174"/>
      <c r="I633" s="173"/>
      <c r="J633" s="174"/>
      <c r="K633" s="173"/>
      <c r="Q633" s="160">
        <f>[4]Source!X696</f>
        <v>99.93</v>
      </c>
      <c r="R633" s="160">
        <f>[4]Source!X697</f>
        <v>1983.32</v>
      </c>
      <c r="S633" s="160">
        <f>[4]Source!Y696</f>
        <v>68.7</v>
      </c>
      <c r="T633" s="160">
        <f>[4]Source!Y697</f>
        <v>1195.83</v>
      </c>
      <c r="U633" s="160">
        <f>ROUND((175/100)*ROUND([4]Source!R696, 2), 2)</f>
        <v>95.22</v>
      </c>
      <c r="V633" s="160">
        <f>ROUND((157/100)*ROUND([4]Source!R697, 2), 2)</f>
        <v>1994.64</v>
      </c>
    </row>
    <row r="634" spans="1:32" x14ac:dyDescent="0.2">
      <c r="C634" s="181" t="s">
        <v>2231</v>
      </c>
    </row>
    <row r="635" spans="1:32" ht="14.25" x14ac:dyDescent="0.2">
      <c r="A635" s="179"/>
      <c r="B635" s="178"/>
      <c r="C635" s="178" t="s">
        <v>197</v>
      </c>
      <c r="D635" s="177"/>
      <c r="E635" s="174"/>
      <c r="F635" s="176">
        <v>1687.95</v>
      </c>
      <c r="G635" s="175" t="s">
        <v>195</v>
      </c>
      <c r="H635" s="174">
        <v>1</v>
      </c>
      <c r="I635" s="173">
        <v>124.91</v>
      </c>
      <c r="J635" s="174">
        <v>23.35</v>
      </c>
      <c r="K635" s="173">
        <v>2916.65</v>
      </c>
    </row>
    <row r="636" spans="1:32" ht="14.25" x14ac:dyDescent="0.2">
      <c r="A636" s="179"/>
      <c r="B636" s="178"/>
      <c r="C636" s="178" t="s">
        <v>184</v>
      </c>
      <c r="D636" s="177"/>
      <c r="E636" s="174"/>
      <c r="F636" s="176">
        <v>2713.55</v>
      </c>
      <c r="G636" s="175" t="s">
        <v>195</v>
      </c>
      <c r="H636" s="174">
        <v>1</v>
      </c>
      <c r="I636" s="173">
        <v>200.8</v>
      </c>
      <c r="J636" s="174">
        <v>10.76</v>
      </c>
      <c r="K636" s="173">
        <v>2160.61</v>
      </c>
    </row>
    <row r="637" spans="1:32" ht="14.25" x14ac:dyDescent="0.2">
      <c r="A637" s="179"/>
      <c r="B637" s="178"/>
      <c r="C637" s="178" t="s">
        <v>189</v>
      </c>
      <c r="D637" s="177"/>
      <c r="E637" s="174"/>
      <c r="F637" s="176">
        <v>735.23</v>
      </c>
      <c r="G637" s="175" t="s">
        <v>195</v>
      </c>
      <c r="H637" s="174">
        <v>1</v>
      </c>
      <c r="I637" s="180">
        <v>54.41</v>
      </c>
      <c r="J637" s="174">
        <v>23.35</v>
      </c>
      <c r="K637" s="180">
        <v>1270.47</v>
      </c>
    </row>
    <row r="638" spans="1:32" ht="28.5" x14ac:dyDescent="0.2">
      <c r="A638" s="179" t="s">
        <v>1803</v>
      </c>
      <c r="B638" s="178" t="s">
        <v>1532</v>
      </c>
      <c r="C638" s="178" t="s">
        <v>351</v>
      </c>
      <c r="D638" s="177" t="s">
        <v>1533</v>
      </c>
      <c r="E638" s="174">
        <v>-13.32</v>
      </c>
      <c r="F638" s="176">
        <v>0</v>
      </c>
      <c r="G638" s="182" t="s">
        <v>195</v>
      </c>
      <c r="H638" s="174">
        <v>1</v>
      </c>
      <c r="I638" s="173">
        <v>0</v>
      </c>
      <c r="J638" s="174">
        <v>5.36</v>
      </c>
      <c r="K638" s="173">
        <v>0</v>
      </c>
      <c r="Q638" s="160">
        <f>[4]Source!X698</f>
        <v>0</v>
      </c>
      <c r="R638" s="160">
        <f>[4]Source!X699</f>
        <v>0</v>
      </c>
      <c r="S638" s="160">
        <f>[4]Source!Y698</f>
        <v>0</v>
      </c>
      <c r="T638" s="160">
        <f>[4]Source!Y699</f>
        <v>0</v>
      </c>
      <c r="U638" s="160">
        <f>ROUND((175/100)*ROUND([4]Source!R698, 2), 2)</f>
        <v>0</v>
      </c>
      <c r="V638" s="160">
        <f>ROUND((157/100)*ROUND([4]Source!R699, 2), 2)</f>
        <v>0</v>
      </c>
    </row>
    <row r="639" spans="1:32" ht="14.25" x14ac:dyDescent="0.2">
      <c r="A639" s="179"/>
      <c r="B639" s="178"/>
      <c r="C639" s="178" t="s">
        <v>194</v>
      </c>
      <c r="D639" s="177" t="s">
        <v>187</v>
      </c>
      <c r="E639" s="174">
        <v>80</v>
      </c>
      <c r="F639" s="176"/>
      <c r="G639" s="175"/>
      <c r="H639" s="174"/>
      <c r="I639" s="173">
        <v>99.93</v>
      </c>
      <c r="J639" s="174">
        <v>68</v>
      </c>
      <c r="K639" s="173">
        <v>1983.32</v>
      </c>
    </row>
    <row r="640" spans="1:32" ht="14.25" x14ac:dyDescent="0.2">
      <c r="A640" s="179"/>
      <c r="B640" s="178"/>
      <c r="C640" s="178" t="s">
        <v>193</v>
      </c>
      <c r="D640" s="177" t="s">
        <v>187</v>
      </c>
      <c r="E640" s="174">
        <v>55</v>
      </c>
      <c r="F640" s="176"/>
      <c r="G640" s="175"/>
      <c r="H640" s="174"/>
      <c r="I640" s="173">
        <v>68.7</v>
      </c>
      <c r="J640" s="174">
        <v>41</v>
      </c>
      <c r="K640" s="173">
        <v>1195.83</v>
      </c>
    </row>
    <row r="641" spans="1:22" ht="14.25" x14ac:dyDescent="0.2">
      <c r="A641" s="179"/>
      <c r="B641" s="178"/>
      <c r="C641" s="178" t="s">
        <v>188</v>
      </c>
      <c r="D641" s="177" t="s">
        <v>187</v>
      </c>
      <c r="E641" s="174">
        <v>175</v>
      </c>
      <c r="F641" s="176"/>
      <c r="G641" s="175"/>
      <c r="H641" s="174"/>
      <c r="I641" s="173">
        <v>95.22</v>
      </c>
      <c r="J641" s="174">
        <v>157</v>
      </c>
      <c r="K641" s="173">
        <v>1994.64</v>
      </c>
    </row>
    <row r="642" spans="1:22" ht="14.25" x14ac:dyDescent="0.2">
      <c r="A642" s="172"/>
      <c r="B642" s="171"/>
      <c r="C642" s="171" t="s">
        <v>192</v>
      </c>
      <c r="D642" s="170" t="s">
        <v>191</v>
      </c>
      <c r="E642" s="167">
        <v>155</v>
      </c>
      <c r="F642" s="169"/>
      <c r="G642" s="168" t="s">
        <v>195</v>
      </c>
      <c r="H642" s="167">
        <v>1</v>
      </c>
      <c r="I642" s="166">
        <v>11.47</v>
      </c>
      <c r="J642" s="167"/>
      <c r="K642" s="166"/>
    </row>
    <row r="643" spans="1:22" ht="15" x14ac:dyDescent="0.25">
      <c r="A643" s="164"/>
      <c r="B643" s="164"/>
      <c r="C643" s="165" t="s">
        <v>183</v>
      </c>
      <c r="D643" s="164"/>
      <c r="E643" s="164"/>
      <c r="F643" s="164"/>
      <c r="G643" s="164"/>
      <c r="H643" s="414">
        <v>589.55999999999995</v>
      </c>
      <c r="I643" s="414"/>
      <c r="J643" s="414">
        <v>10251.049999999999</v>
      </c>
      <c r="K643" s="414"/>
      <c r="O643" s="163">
        <f>I635+I636+I639+I640+I641+SUM(I638:I638)</f>
        <v>589.55999999999995</v>
      </c>
      <c r="P643" s="163">
        <f>K635+K636+K639+K640+K641+SUM(K638:K638)</f>
        <v>10251.049999999999</v>
      </c>
    </row>
    <row r="645" spans="1:22" ht="42.75" x14ac:dyDescent="0.2">
      <c r="A645" s="179" t="s">
        <v>1804</v>
      </c>
      <c r="B645" s="178" t="s">
        <v>2232</v>
      </c>
      <c r="C645" s="178" t="s">
        <v>530</v>
      </c>
      <c r="D645" s="177" t="s">
        <v>2230</v>
      </c>
      <c r="E645" s="174">
        <v>0.185</v>
      </c>
      <c r="F645" s="176"/>
      <c r="G645" s="175"/>
      <c r="H645" s="174"/>
      <c r="I645" s="173"/>
      <c r="J645" s="174"/>
      <c r="K645" s="173"/>
      <c r="Q645" s="160">
        <f>[4]Source!X700</f>
        <v>92.46</v>
      </c>
      <c r="R645" s="160">
        <f>[4]Source!X701</f>
        <v>1835.02</v>
      </c>
      <c r="S645" s="160">
        <f>[4]Source!Y700</f>
        <v>63.56</v>
      </c>
      <c r="T645" s="160">
        <f>[4]Source!Y701</f>
        <v>1106.4100000000001</v>
      </c>
      <c r="U645" s="160">
        <f>ROUND((175/100)*ROUND([4]Source!R700, 2), 2)</f>
        <v>90.95</v>
      </c>
      <c r="V645" s="160">
        <f>ROUND((157/100)*ROUND([4]Source!R701, 2), 2)</f>
        <v>1905.2</v>
      </c>
    </row>
    <row r="646" spans="1:22" x14ac:dyDescent="0.2">
      <c r="C646" s="181" t="s">
        <v>2233</v>
      </c>
    </row>
    <row r="647" spans="1:22" ht="14.25" x14ac:dyDescent="0.2">
      <c r="A647" s="179"/>
      <c r="B647" s="178"/>
      <c r="C647" s="178" t="s">
        <v>197</v>
      </c>
      <c r="D647" s="177"/>
      <c r="E647" s="174"/>
      <c r="F647" s="176">
        <v>624.69000000000005</v>
      </c>
      <c r="G647" s="175" t="s">
        <v>195</v>
      </c>
      <c r="H647" s="174">
        <v>1</v>
      </c>
      <c r="I647" s="173">
        <v>115.57</v>
      </c>
      <c r="J647" s="174">
        <v>23.35</v>
      </c>
      <c r="K647" s="173">
        <v>2698.56</v>
      </c>
    </row>
    <row r="648" spans="1:22" ht="14.25" x14ac:dyDescent="0.2">
      <c r="A648" s="179"/>
      <c r="B648" s="178"/>
      <c r="C648" s="178" t="s">
        <v>184</v>
      </c>
      <c r="D648" s="177"/>
      <c r="E648" s="174"/>
      <c r="F648" s="176">
        <v>1574.15</v>
      </c>
      <c r="G648" s="175" t="s">
        <v>195</v>
      </c>
      <c r="H648" s="174">
        <v>1</v>
      </c>
      <c r="I648" s="173">
        <v>291.22000000000003</v>
      </c>
      <c r="J648" s="174">
        <v>9.5399999999999991</v>
      </c>
      <c r="K648" s="173">
        <v>2778.24</v>
      </c>
    </row>
    <row r="649" spans="1:22" ht="14.25" x14ac:dyDescent="0.2">
      <c r="A649" s="179"/>
      <c r="B649" s="178"/>
      <c r="C649" s="178" t="s">
        <v>189</v>
      </c>
      <c r="D649" s="177"/>
      <c r="E649" s="174"/>
      <c r="F649" s="176">
        <v>280.92</v>
      </c>
      <c r="G649" s="175" t="s">
        <v>195</v>
      </c>
      <c r="H649" s="174">
        <v>1</v>
      </c>
      <c r="I649" s="180">
        <v>51.97</v>
      </c>
      <c r="J649" s="174">
        <v>23.35</v>
      </c>
      <c r="K649" s="180">
        <v>1213.5</v>
      </c>
    </row>
    <row r="650" spans="1:22" ht="28.5" x14ac:dyDescent="0.2">
      <c r="A650" s="179" t="s">
        <v>1805</v>
      </c>
      <c r="B650" s="178" t="s">
        <v>1532</v>
      </c>
      <c r="C650" s="178" t="s">
        <v>351</v>
      </c>
      <c r="D650" s="177" t="s">
        <v>1533</v>
      </c>
      <c r="E650" s="174">
        <v>-33.299999999999997</v>
      </c>
      <c r="F650" s="176">
        <v>0</v>
      </c>
      <c r="G650" s="182" t="s">
        <v>195</v>
      </c>
      <c r="H650" s="174">
        <v>1</v>
      </c>
      <c r="I650" s="173">
        <v>0</v>
      </c>
      <c r="J650" s="174">
        <v>5.36</v>
      </c>
      <c r="K650" s="173">
        <v>0</v>
      </c>
      <c r="Q650" s="160">
        <f>[4]Source!X702</f>
        <v>0</v>
      </c>
      <c r="R650" s="160">
        <f>[4]Source!X703</f>
        <v>0</v>
      </c>
      <c r="S650" s="160">
        <f>[4]Source!Y702</f>
        <v>0</v>
      </c>
      <c r="T650" s="160">
        <f>[4]Source!Y703</f>
        <v>0</v>
      </c>
      <c r="U650" s="160">
        <f>ROUND((175/100)*ROUND([4]Source!R702, 2), 2)</f>
        <v>0</v>
      </c>
      <c r="V650" s="160">
        <f>ROUND((157/100)*ROUND([4]Source!R703, 2), 2)</f>
        <v>0</v>
      </c>
    </row>
    <row r="651" spans="1:22" ht="14.25" x14ac:dyDescent="0.2">
      <c r="A651" s="179"/>
      <c r="B651" s="178"/>
      <c r="C651" s="178" t="s">
        <v>194</v>
      </c>
      <c r="D651" s="177" t="s">
        <v>187</v>
      </c>
      <c r="E651" s="174">
        <v>80</v>
      </c>
      <c r="F651" s="176"/>
      <c r="G651" s="175"/>
      <c r="H651" s="174"/>
      <c r="I651" s="173">
        <v>92.46</v>
      </c>
      <c r="J651" s="174">
        <v>68</v>
      </c>
      <c r="K651" s="173">
        <v>1835.02</v>
      </c>
    </row>
    <row r="652" spans="1:22" ht="14.25" x14ac:dyDescent="0.2">
      <c r="A652" s="179"/>
      <c r="B652" s="178"/>
      <c r="C652" s="178" t="s">
        <v>193</v>
      </c>
      <c r="D652" s="177" t="s">
        <v>187</v>
      </c>
      <c r="E652" s="174">
        <v>55</v>
      </c>
      <c r="F652" s="176"/>
      <c r="G652" s="175"/>
      <c r="H652" s="174"/>
      <c r="I652" s="173">
        <v>63.56</v>
      </c>
      <c r="J652" s="174">
        <v>41</v>
      </c>
      <c r="K652" s="173">
        <v>1106.4100000000001</v>
      </c>
    </row>
    <row r="653" spans="1:22" ht="14.25" x14ac:dyDescent="0.2">
      <c r="A653" s="179"/>
      <c r="B653" s="178"/>
      <c r="C653" s="178" t="s">
        <v>188</v>
      </c>
      <c r="D653" s="177" t="s">
        <v>187</v>
      </c>
      <c r="E653" s="174">
        <v>175</v>
      </c>
      <c r="F653" s="176"/>
      <c r="G653" s="175"/>
      <c r="H653" s="174"/>
      <c r="I653" s="173">
        <v>90.95</v>
      </c>
      <c r="J653" s="174">
        <v>157</v>
      </c>
      <c r="K653" s="173">
        <v>1905.2</v>
      </c>
    </row>
    <row r="654" spans="1:22" ht="14.25" x14ac:dyDescent="0.2">
      <c r="A654" s="172"/>
      <c r="B654" s="171"/>
      <c r="C654" s="171" t="s">
        <v>192</v>
      </c>
      <c r="D654" s="170" t="s">
        <v>191</v>
      </c>
      <c r="E654" s="167">
        <v>49.5</v>
      </c>
      <c r="F654" s="169"/>
      <c r="G654" s="168" t="s">
        <v>195</v>
      </c>
      <c r="H654" s="167">
        <v>1</v>
      </c>
      <c r="I654" s="166">
        <v>9.16</v>
      </c>
      <c r="J654" s="167"/>
      <c r="K654" s="166"/>
    </row>
    <row r="655" spans="1:22" ht="15" x14ac:dyDescent="0.25">
      <c r="A655" s="164"/>
      <c r="B655" s="164"/>
      <c r="C655" s="165" t="s">
        <v>183</v>
      </c>
      <c r="D655" s="164"/>
      <c r="E655" s="164"/>
      <c r="F655" s="164"/>
      <c r="G655" s="164"/>
      <c r="H655" s="414">
        <v>653.76</v>
      </c>
      <c r="I655" s="414"/>
      <c r="J655" s="414">
        <v>10323.43</v>
      </c>
      <c r="K655" s="414"/>
      <c r="O655" s="163">
        <f>I647+I648+I651+I652+I653+SUM(I650:I650)</f>
        <v>653.76</v>
      </c>
      <c r="P655" s="163">
        <f>K647+K648+K651+K652+K653+SUM(K650:K650)</f>
        <v>10323.43</v>
      </c>
    </row>
    <row r="657" spans="1:22" ht="65.25" x14ac:dyDescent="0.2">
      <c r="A657" s="179" t="s">
        <v>1806</v>
      </c>
      <c r="B657" s="178" t="s">
        <v>529</v>
      </c>
      <c r="C657" s="178" t="s">
        <v>528</v>
      </c>
      <c r="D657" s="177" t="s">
        <v>2129</v>
      </c>
      <c r="E657" s="174">
        <v>37</v>
      </c>
      <c r="F657" s="176"/>
      <c r="G657" s="175"/>
      <c r="H657" s="174"/>
      <c r="I657" s="173"/>
      <c r="J657" s="174"/>
      <c r="K657" s="173"/>
      <c r="Q657" s="160">
        <f>[4]Source!X704</f>
        <v>1497.93</v>
      </c>
      <c r="R657" s="160">
        <f>[4]Source!X705</f>
        <v>28586.75</v>
      </c>
      <c r="S657" s="160">
        <f>[4]Source!Y704</f>
        <v>1008.22</v>
      </c>
      <c r="T657" s="160">
        <f>[4]Source!Y705</f>
        <v>13788.9</v>
      </c>
      <c r="U657" s="160">
        <f>ROUND((175/100)*ROUND([4]Source!R704, 2), 2)</f>
        <v>450.82</v>
      </c>
      <c r="V657" s="160">
        <f>ROUND((157/100)*ROUND([4]Source!R705, 2), 2)</f>
        <v>9443.85</v>
      </c>
    </row>
    <row r="658" spans="1:22" x14ac:dyDescent="0.2">
      <c r="C658" s="181" t="s">
        <v>2234</v>
      </c>
    </row>
    <row r="659" spans="1:22" ht="14.25" x14ac:dyDescent="0.2">
      <c r="A659" s="179"/>
      <c r="B659" s="178"/>
      <c r="C659" s="178" t="s">
        <v>197</v>
      </c>
      <c r="D659" s="177"/>
      <c r="E659" s="174"/>
      <c r="F659" s="176">
        <v>33.85</v>
      </c>
      <c r="G659" s="175" t="s">
        <v>1548</v>
      </c>
      <c r="H659" s="174">
        <v>1</v>
      </c>
      <c r="I659" s="173">
        <v>1440.32</v>
      </c>
      <c r="J659" s="174">
        <v>23.35</v>
      </c>
      <c r="K659" s="173">
        <v>33631.47</v>
      </c>
    </row>
    <row r="660" spans="1:22" ht="14.25" x14ac:dyDescent="0.2">
      <c r="A660" s="179"/>
      <c r="B660" s="178"/>
      <c r="C660" s="178" t="s">
        <v>184</v>
      </c>
      <c r="D660" s="177"/>
      <c r="E660" s="174"/>
      <c r="F660" s="176">
        <v>18.399999999999999</v>
      </c>
      <c r="G660" s="175" t="s">
        <v>1549</v>
      </c>
      <c r="H660" s="174">
        <v>1</v>
      </c>
      <c r="I660" s="173">
        <v>851</v>
      </c>
      <c r="J660" s="174">
        <v>11.6</v>
      </c>
      <c r="K660" s="173">
        <v>9871.6</v>
      </c>
    </row>
    <row r="661" spans="1:22" ht="14.25" x14ac:dyDescent="0.2">
      <c r="A661" s="179"/>
      <c r="B661" s="178"/>
      <c r="C661" s="178" t="s">
        <v>189</v>
      </c>
      <c r="D661" s="177"/>
      <c r="E661" s="174"/>
      <c r="F661" s="176">
        <v>5.57</v>
      </c>
      <c r="G661" s="175" t="s">
        <v>1549</v>
      </c>
      <c r="H661" s="174">
        <v>1</v>
      </c>
      <c r="I661" s="180">
        <v>257.61</v>
      </c>
      <c r="J661" s="174">
        <v>23.35</v>
      </c>
      <c r="K661" s="180">
        <v>6015.19</v>
      </c>
    </row>
    <row r="662" spans="1:22" ht="14.25" x14ac:dyDescent="0.2">
      <c r="A662" s="179"/>
      <c r="B662" s="178"/>
      <c r="C662" s="178" t="s">
        <v>205</v>
      </c>
      <c r="D662" s="177"/>
      <c r="E662" s="174"/>
      <c r="F662" s="176">
        <v>117.73</v>
      </c>
      <c r="G662" s="175" t="s">
        <v>195</v>
      </c>
      <c r="H662" s="174">
        <v>1</v>
      </c>
      <c r="I662" s="173">
        <v>4356.01</v>
      </c>
      <c r="J662" s="174">
        <v>5.26</v>
      </c>
      <c r="K662" s="173">
        <v>22912.61</v>
      </c>
    </row>
    <row r="663" spans="1:22" ht="14.25" x14ac:dyDescent="0.2">
      <c r="A663" s="179"/>
      <c r="B663" s="178"/>
      <c r="C663" s="178" t="s">
        <v>194</v>
      </c>
      <c r="D663" s="177" t="s">
        <v>187</v>
      </c>
      <c r="E663" s="174">
        <v>104</v>
      </c>
      <c r="F663" s="176"/>
      <c r="G663" s="175"/>
      <c r="H663" s="174"/>
      <c r="I663" s="173">
        <v>1497.93</v>
      </c>
      <c r="J663" s="174">
        <v>85</v>
      </c>
      <c r="K663" s="173">
        <v>28586.75</v>
      </c>
    </row>
    <row r="664" spans="1:22" ht="14.25" x14ac:dyDescent="0.2">
      <c r="A664" s="179"/>
      <c r="B664" s="178"/>
      <c r="C664" s="178" t="s">
        <v>193</v>
      </c>
      <c r="D664" s="177" t="s">
        <v>187</v>
      </c>
      <c r="E664" s="174">
        <v>70</v>
      </c>
      <c r="F664" s="176"/>
      <c r="G664" s="175"/>
      <c r="H664" s="174"/>
      <c r="I664" s="173">
        <v>1008.22</v>
      </c>
      <c r="J664" s="174">
        <v>41</v>
      </c>
      <c r="K664" s="173">
        <v>13788.9</v>
      </c>
    </row>
    <row r="665" spans="1:22" ht="14.25" x14ac:dyDescent="0.2">
      <c r="A665" s="179"/>
      <c r="B665" s="178"/>
      <c r="C665" s="178" t="s">
        <v>188</v>
      </c>
      <c r="D665" s="177" t="s">
        <v>187</v>
      </c>
      <c r="E665" s="174">
        <v>175</v>
      </c>
      <c r="F665" s="176"/>
      <c r="G665" s="175"/>
      <c r="H665" s="174"/>
      <c r="I665" s="173">
        <v>450.82</v>
      </c>
      <c r="J665" s="174">
        <v>157</v>
      </c>
      <c r="K665" s="173">
        <v>9443.85</v>
      </c>
    </row>
    <row r="666" spans="1:22" ht="14.25" x14ac:dyDescent="0.2">
      <c r="A666" s="172"/>
      <c r="B666" s="171"/>
      <c r="C666" s="171" t="s">
        <v>192</v>
      </c>
      <c r="D666" s="170" t="s">
        <v>191</v>
      </c>
      <c r="E666" s="167">
        <v>2.99</v>
      </c>
      <c r="F666" s="169"/>
      <c r="G666" s="168" t="s">
        <v>1548</v>
      </c>
      <c r="H666" s="167">
        <v>1</v>
      </c>
      <c r="I666" s="166">
        <v>127.22</v>
      </c>
      <c r="J666" s="167"/>
      <c r="K666" s="166"/>
    </row>
    <row r="667" spans="1:22" ht="15" x14ac:dyDescent="0.25">
      <c r="A667" s="164"/>
      <c r="B667" s="164"/>
      <c r="C667" s="165" t="s">
        <v>183</v>
      </c>
      <c r="D667" s="164"/>
      <c r="E667" s="164"/>
      <c r="F667" s="164"/>
      <c r="G667" s="164"/>
      <c r="H667" s="414">
        <v>9604.2999999999993</v>
      </c>
      <c r="I667" s="414"/>
      <c r="J667" s="414">
        <v>118235.18</v>
      </c>
      <c r="K667" s="414"/>
      <c r="O667" s="163">
        <f>I659+I660+I662+I663+I664+I665</f>
        <v>9604.2999999999993</v>
      </c>
      <c r="P667" s="163">
        <f>K659+K660+K662+K663+K664+K665</f>
        <v>118235.18</v>
      </c>
    </row>
    <row r="669" spans="1:22" ht="39.75" x14ac:dyDescent="0.2">
      <c r="A669" s="179" t="s">
        <v>1809</v>
      </c>
      <c r="B669" s="178" t="s">
        <v>527</v>
      </c>
      <c r="C669" s="178" t="s">
        <v>262</v>
      </c>
      <c r="D669" s="177" t="s">
        <v>1749</v>
      </c>
      <c r="E669" s="174">
        <v>0.185</v>
      </c>
      <c r="F669" s="176"/>
      <c r="G669" s="175"/>
      <c r="H669" s="174"/>
      <c r="I669" s="173"/>
      <c r="J669" s="174"/>
      <c r="K669" s="173"/>
      <c r="Q669" s="160">
        <f>[4]Source!X706</f>
        <v>249.5</v>
      </c>
      <c r="R669" s="160">
        <f>[4]Source!X707</f>
        <v>4660.67</v>
      </c>
      <c r="S669" s="160">
        <f>[4]Source!Y706</f>
        <v>205.47</v>
      </c>
      <c r="T669" s="160">
        <f>[4]Source!Y707</f>
        <v>2810.11</v>
      </c>
      <c r="U669" s="160">
        <f>ROUND((175/100)*ROUND([4]Source!R706, 2), 2)</f>
        <v>0.84</v>
      </c>
      <c r="V669" s="160">
        <f>ROUND((157/100)*ROUND([4]Source!R707, 2), 2)</f>
        <v>17.600000000000001</v>
      </c>
    </row>
    <row r="670" spans="1:22" x14ac:dyDescent="0.2">
      <c r="C670" s="181" t="s">
        <v>2233</v>
      </c>
    </row>
    <row r="671" spans="1:22" ht="14.25" x14ac:dyDescent="0.2">
      <c r="A671" s="179"/>
      <c r="B671" s="178"/>
      <c r="C671" s="178" t="s">
        <v>197</v>
      </c>
      <c r="D671" s="177"/>
      <c r="E671" s="174"/>
      <c r="F671" s="176">
        <v>1379.7</v>
      </c>
      <c r="G671" s="175" t="s">
        <v>1548</v>
      </c>
      <c r="H671" s="174">
        <v>1</v>
      </c>
      <c r="I671" s="173">
        <v>293.52999999999997</v>
      </c>
      <c r="J671" s="174">
        <v>23.35</v>
      </c>
      <c r="K671" s="173">
        <v>6853.93</v>
      </c>
    </row>
    <row r="672" spans="1:22" ht="14.25" x14ac:dyDescent="0.2">
      <c r="A672" s="179"/>
      <c r="B672" s="178"/>
      <c r="C672" s="178" t="s">
        <v>184</v>
      </c>
      <c r="D672" s="177"/>
      <c r="E672" s="174"/>
      <c r="F672" s="176">
        <v>22.6</v>
      </c>
      <c r="G672" s="175" t="s">
        <v>1549</v>
      </c>
      <c r="H672" s="174">
        <v>1</v>
      </c>
      <c r="I672" s="173">
        <v>5.23</v>
      </c>
      <c r="J672" s="174">
        <v>5.49</v>
      </c>
      <c r="K672" s="173">
        <v>28.71</v>
      </c>
    </row>
    <row r="673" spans="1:22" ht="14.25" x14ac:dyDescent="0.2">
      <c r="A673" s="179"/>
      <c r="B673" s="178"/>
      <c r="C673" s="178" t="s">
        <v>189</v>
      </c>
      <c r="D673" s="177"/>
      <c r="E673" s="174"/>
      <c r="F673" s="176">
        <v>2.09</v>
      </c>
      <c r="G673" s="175" t="s">
        <v>1549</v>
      </c>
      <c r="H673" s="174">
        <v>1</v>
      </c>
      <c r="I673" s="180">
        <v>0.48</v>
      </c>
      <c r="J673" s="174">
        <v>23.35</v>
      </c>
      <c r="K673" s="180">
        <v>11.21</v>
      </c>
    </row>
    <row r="674" spans="1:22" ht="14.25" x14ac:dyDescent="0.2">
      <c r="A674" s="179"/>
      <c r="B674" s="178"/>
      <c r="C674" s="178" t="s">
        <v>205</v>
      </c>
      <c r="D674" s="177"/>
      <c r="E674" s="174"/>
      <c r="F674" s="176">
        <v>1859.87</v>
      </c>
      <c r="G674" s="175" t="s">
        <v>195</v>
      </c>
      <c r="H674" s="174">
        <v>1</v>
      </c>
      <c r="I674" s="173">
        <v>344.08</v>
      </c>
      <c r="J674" s="174">
        <v>3.05</v>
      </c>
      <c r="K674" s="173">
        <v>1049.44</v>
      </c>
    </row>
    <row r="675" spans="1:22" ht="57" x14ac:dyDescent="0.2">
      <c r="A675" s="179" t="s">
        <v>1810</v>
      </c>
      <c r="B675" s="178" t="s">
        <v>2235</v>
      </c>
      <c r="C675" s="178" t="s">
        <v>526</v>
      </c>
      <c r="D675" s="177" t="s">
        <v>1594</v>
      </c>
      <c r="E675" s="174">
        <v>18.87</v>
      </c>
      <c r="F675" s="176">
        <v>614.04999999999995</v>
      </c>
      <c r="G675" s="182" t="s">
        <v>195</v>
      </c>
      <c r="H675" s="174">
        <v>1</v>
      </c>
      <c r="I675" s="173">
        <v>11587.12</v>
      </c>
      <c r="J675" s="174">
        <v>6.19</v>
      </c>
      <c r="K675" s="173">
        <v>71724.27</v>
      </c>
      <c r="Q675" s="160">
        <f>[4]Source!X708</f>
        <v>0</v>
      </c>
      <c r="R675" s="160">
        <f>[4]Source!X709</f>
        <v>0</v>
      </c>
      <c r="S675" s="160">
        <f>[4]Source!Y708</f>
        <v>0</v>
      </c>
      <c r="T675" s="160">
        <f>[4]Source!Y709</f>
        <v>0</v>
      </c>
      <c r="U675" s="160">
        <f>ROUND((175/100)*ROUND([4]Source!R708, 2), 2)</f>
        <v>0</v>
      </c>
      <c r="V675" s="160">
        <f>ROUND((157/100)*ROUND([4]Source!R709, 2), 2)</f>
        <v>0</v>
      </c>
    </row>
    <row r="676" spans="1:22" ht="14.25" x14ac:dyDescent="0.2">
      <c r="A676" s="179"/>
      <c r="B676" s="178"/>
      <c r="C676" s="178" t="s">
        <v>194</v>
      </c>
      <c r="D676" s="177" t="s">
        <v>187</v>
      </c>
      <c r="E676" s="174">
        <v>85</v>
      </c>
      <c r="F676" s="176"/>
      <c r="G676" s="175"/>
      <c r="H676" s="174"/>
      <c r="I676" s="173">
        <v>249.5</v>
      </c>
      <c r="J676" s="174">
        <v>68</v>
      </c>
      <c r="K676" s="173">
        <v>4660.67</v>
      </c>
    </row>
    <row r="677" spans="1:22" ht="14.25" x14ac:dyDescent="0.2">
      <c r="A677" s="179"/>
      <c r="B677" s="178"/>
      <c r="C677" s="178" t="s">
        <v>193</v>
      </c>
      <c r="D677" s="177" t="s">
        <v>187</v>
      </c>
      <c r="E677" s="174">
        <v>70</v>
      </c>
      <c r="F677" s="176"/>
      <c r="G677" s="175"/>
      <c r="H677" s="174"/>
      <c r="I677" s="173">
        <v>205.47</v>
      </c>
      <c r="J677" s="174">
        <v>41</v>
      </c>
      <c r="K677" s="173">
        <v>2810.11</v>
      </c>
    </row>
    <row r="678" spans="1:22" ht="14.25" x14ac:dyDescent="0.2">
      <c r="A678" s="179"/>
      <c r="B678" s="178"/>
      <c r="C678" s="178" t="s">
        <v>188</v>
      </c>
      <c r="D678" s="177" t="s">
        <v>187</v>
      </c>
      <c r="E678" s="174">
        <v>175</v>
      </c>
      <c r="F678" s="176"/>
      <c r="G678" s="175"/>
      <c r="H678" s="174"/>
      <c r="I678" s="173">
        <v>0.84</v>
      </c>
      <c r="J678" s="174">
        <v>157</v>
      </c>
      <c r="K678" s="173">
        <v>17.600000000000001</v>
      </c>
    </row>
    <row r="679" spans="1:22" ht="14.25" x14ac:dyDescent="0.2">
      <c r="A679" s="172"/>
      <c r="B679" s="171"/>
      <c r="C679" s="171" t="s">
        <v>192</v>
      </c>
      <c r="D679" s="170" t="s">
        <v>191</v>
      </c>
      <c r="E679" s="167">
        <v>135</v>
      </c>
      <c r="F679" s="169"/>
      <c r="G679" s="168" t="s">
        <v>1548</v>
      </c>
      <c r="H679" s="167">
        <v>1</v>
      </c>
      <c r="I679" s="166">
        <v>28.72</v>
      </c>
      <c r="J679" s="167"/>
      <c r="K679" s="166"/>
    </row>
    <row r="680" spans="1:22" ht="15" x14ac:dyDescent="0.25">
      <c r="A680" s="164"/>
      <c r="B680" s="164"/>
      <c r="C680" s="165" t="s">
        <v>183</v>
      </c>
      <c r="D680" s="164"/>
      <c r="E680" s="164"/>
      <c r="F680" s="164"/>
      <c r="G680" s="164"/>
      <c r="H680" s="414">
        <v>12685.77</v>
      </c>
      <c r="I680" s="414"/>
      <c r="J680" s="414">
        <v>87144.73</v>
      </c>
      <c r="K680" s="414"/>
      <c r="O680" s="163">
        <f>I671+I672+I674+I676+I677+I678+SUM(I675:I675)</f>
        <v>12685.77</v>
      </c>
      <c r="P680" s="163">
        <f>K671+K672+K674+K676+K677+K678+SUM(K675:K675)</f>
        <v>87144.73</v>
      </c>
    </row>
    <row r="682" spans="1:22" ht="42.75" x14ac:dyDescent="0.2">
      <c r="A682" s="179" t="s">
        <v>1814</v>
      </c>
      <c r="B682" s="178" t="s">
        <v>2236</v>
      </c>
      <c r="C682" s="178" t="s">
        <v>525</v>
      </c>
      <c r="D682" s="177" t="s">
        <v>1540</v>
      </c>
      <c r="E682" s="174">
        <v>1.85</v>
      </c>
      <c r="F682" s="176"/>
      <c r="G682" s="175"/>
      <c r="H682" s="174"/>
      <c r="I682" s="173"/>
      <c r="J682" s="174"/>
      <c r="K682" s="173"/>
      <c r="Q682" s="160">
        <f>[4]Source!X710</f>
        <v>422.8</v>
      </c>
      <c r="R682" s="160">
        <f>[4]Source!X711</f>
        <v>7897.9</v>
      </c>
      <c r="S682" s="160">
        <f>[4]Source!Y710</f>
        <v>238.58</v>
      </c>
      <c r="T682" s="160">
        <f>[4]Source!Y711</f>
        <v>2891.2</v>
      </c>
      <c r="U682" s="160">
        <f>ROUND((175/100)*ROUND([4]Source!R710, 2), 2)</f>
        <v>143.13</v>
      </c>
      <c r="V682" s="160">
        <f>ROUND((157/100)*ROUND([4]Source!R711, 2), 2)</f>
        <v>2998.39</v>
      </c>
    </row>
    <row r="683" spans="1:22" x14ac:dyDescent="0.2">
      <c r="C683" s="181" t="s">
        <v>2237</v>
      </c>
    </row>
    <row r="684" spans="1:22" ht="14.25" x14ac:dyDescent="0.2">
      <c r="A684" s="179"/>
      <c r="B684" s="178"/>
      <c r="C684" s="178" t="s">
        <v>197</v>
      </c>
      <c r="D684" s="177"/>
      <c r="E684" s="174"/>
      <c r="F684" s="176">
        <v>141.94999999999999</v>
      </c>
      <c r="G684" s="175" t="s">
        <v>1548</v>
      </c>
      <c r="H684" s="174">
        <v>1</v>
      </c>
      <c r="I684" s="173">
        <v>302</v>
      </c>
      <c r="J684" s="174">
        <v>23.35</v>
      </c>
      <c r="K684" s="173">
        <v>7051.7</v>
      </c>
    </row>
    <row r="685" spans="1:22" ht="14.25" x14ac:dyDescent="0.2">
      <c r="A685" s="179"/>
      <c r="B685" s="178"/>
      <c r="C685" s="178" t="s">
        <v>184</v>
      </c>
      <c r="D685" s="177"/>
      <c r="E685" s="174"/>
      <c r="F685" s="176">
        <v>123.28</v>
      </c>
      <c r="G685" s="175" t="s">
        <v>2076</v>
      </c>
      <c r="H685" s="174">
        <v>1</v>
      </c>
      <c r="I685" s="173">
        <v>285.08999999999997</v>
      </c>
      <c r="J685" s="174">
        <v>10.5</v>
      </c>
      <c r="K685" s="173">
        <v>2993.45</v>
      </c>
    </row>
    <row r="686" spans="1:22" ht="14.25" x14ac:dyDescent="0.2">
      <c r="A686" s="179"/>
      <c r="B686" s="178"/>
      <c r="C686" s="178" t="s">
        <v>189</v>
      </c>
      <c r="D686" s="177"/>
      <c r="E686" s="174"/>
      <c r="F686" s="176">
        <v>35.369999999999997</v>
      </c>
      <c r="G686" s="175" t="s">
        <v>2076</v>
      </c>
      <c r="H686" s="174">
        <v>1</v>
      </c>
      <c r="I686" s="180">
        <v>81.790000000000006</v>
      </c>
      <c r="J686" s="174">
        <v>23.35</v>
      </c>
      <c r="K686" s="180">
        <v>1909.8</v>
      </c>
    </row>
    <row r="687" spans="1:22" ht="14.25" x14ac:dyDescent="0.2">
      <c r="A687" s="179"/>
      <c r="B687" s="178"/>
      <c r="C687" s="178" t="s">
        <v>205</v>
      </c>
      <c r="D687" s="177"/>
      <c r="E687" s="174"/>
      <c r="F687" s="176">
        <v>14.5</v>
      </c>
      <c r="G687" s="175" t="s">
        <v>195</v>
      </c>
      <c r="H687" s="174">
        <v>1</v>
      </c>
      <c r="I687" s="173">
        <v>26.83</v>
      </c>
      <c r="J687" s="174">
        <v>5.42</v>
      </c>
      <c r="K687" s="173">
        <v>145.41999999999999</v>
      </c>
    </row>
    <row r="688" spans="1:22" ht="42.75" x14ac:dyDescent="0.2">
      <c r="A688" s="179" t="s">
        <v>1816</v>
      </c>
      <c r="B688" s="178" t="s">
        <v>2238</v>
      </c>
      <c r="C688" s="178" t="s">
        <v>524</v>
      </c>
      <c r="D688" s="177" t="s">
        <v>1533</v>
      </c>
      <c r="E688" s="174">
        <v>17.686</v>
      </c>
      <c r="F688" s="176">
        <v>317.29000000000002</v>
      </c>
      <c r="G688" s="182" t="s">
        <v>195</v>
      </c>
      <c r="H688" s="174">
        <v>1</v>
      </c>
      <c r="I688" s="173">
        <v>5611.59</v>
      </c>
      <c r="J688" s="174">
        <v>8.2799999999999994</v>
      </c>
      <c r="K688" s="173">
        <v>46463.97</v>
      </c>
      <c r="Q688" s="160">
        <f>[4]Source!X712</f>
        <v>0</v>
      </c>
      <c r="R688" s="160">
        <f>[4]Source!X713</f>
        <v>0</v>
      </c>
      <c r="S688" s="160">
        <f>[4]Source!Y712</f>
        <v>0</v>
      </c>
      <c r="T688" s="160">
        <f>[4]Source!Y713</f>
        <v>0</v>
      </c>
      <c r="U688" s="160">
        <f>ROUND((175/100)*ROUND([4]Source!R712, 2), 2)</f>
        <v>0</v>
      </c>
      <c r="V688" s="160">
        <f>ROUND((157/100)*ROUND([4]Source!R713, 2), 2)</f>
        <v>0</v>
      </c>
    </row>
    <row r="689" spans="1:22" ht="14.25" x14ac:dyDescent="0.2">
      <c r="A689" s="179"/>
      <c r="B689" s="178"/>
      <c r="C689" s="178" t="s">
        <v>194</v>
      </c>
      <c r="D689" s="177" t="s">
        <v>187</v>
      </c>
      <c r="E689" s="174">
        <v>140</v>
      </c>
      <c r="F689" s="176"/>
      <c r="G689" s="175"/>
      <c r="H689" s="174"/>
      <c r="I689" s="173">
        <v>422.8</v>
      </c>
      <c r="J689" s="174">
        <v>112</v>
      </c>
      <c r="K689" s="173">
        <v>7897.9</v>
      </c>
    </row>
    <row r="690" spans="1:22" ht="14.25" x14ac:dyDescent="0.2">
      <c r="A690" s="179"/>
      <c r="B690" s="178"/>
      <c r="C690" s="178" t="s">
        <v>193</v>
      </c>
      <c r="D690" s="177" t="s">
        <v>187</v>
      </c>
      <c r="E690" s="174">
        <v>79</v>
      </c>
      <c r="F690" s="176"/>
      <c r="G690" s="175"/>
      <c r="H690" s="174"/>
      <c r="I690" s="173">
        <v>238.58</v>
      </c>
      <c r="J690" s="174">
        <v>41</v>
      </c>
      <c r="K690" s="173">
        <v>2891.2</v>
      </c>
    </row>
    <row r="691" spans="1:22" ht="14.25" x14ac:dyDescent="0.2">
      <c r="A691" s="179"/>
      <c r="B691" s="178"/>
      <c r="C691" s="178" t="s">
        <v>188</v>
      </c>
      <c r="D691" s="177" t="s">
        <v>187</v>
      </c>
      <c r="E691" s="174">
        <v>175</v>
      </c>
      <c r="F691" s="176"/>
      <c r="G691" s="175"/>
      <c r="H691" s="174"/>
      <c r="I691" s="173">
        <v>143.13</v>
      </c>
      <c r="J691" s="174">
        <v>157</v>
      </c>
      <c r="K691" s="173">
        <v>2998.39</v>
      </c>
    </row>
    <row r="692" spans="1:22" ht="14.25" x14ac:dyDescent="0.2">
      <c r="A692" s="172"/>
      <c r="B692" s="171"/>
      <c r="C692" s="171" t="s">
        <v>192</v>
      </c>
      <c r="D692" s="170" t="s">
        <v>191</v>
      </c>
      <c r="E692" s="167">
        <v>11.8</v>
      </c>
      <c r="F692" s="169"/>
      <c r="G692" s="168" t="s">
        <v>1548</v>
      </c>
      <c r="H692" s="167">
        <v>1</v>
      </c>
      <c r="I692" s="166">
        <v>25.1</v>
      </c>
      <c r="J692" s="167"/>
      <c r="K692" s="166"/>
    </row>
    <row r="693" spans="1:22" ht="15" x14ac:dyDescent="0.25">
      <c r="A693" s="164"/>
      <c r="B693" s="164"/>
      <c r="C693" s="165" t="s">
        <v>183</v>
      </c>
      <c r="D693" s="164"/>
      <c r="E693" s="164"/>
      <c r="F693" s="164"/>
      <c r="G693" s="164"/>
      <c r="H693" s="414">
        <v>7030.02</v>
      </c>
      <c r="I693" s="414"/>
      <c r="J693" s="414">
        <v>70442.03</v>
      </c>
      <c r="K693" s="414"/>
      <c r="O693" s="163">
        <f>I684+I685+I687+I689+I690+I691+SUM(I688:I688)</f>
        <v>7030.02</v>
      </c>
      <c r="P693" s="163">
        <f>K684+K685+K687+K689+K690+K691+SUM(K688:K688)</f>
        <v>70442.03</v>
      </c>
    </row>
    <row r="695" spans="1:22" ht="42.75" x14ac:dyDescent="0.2">
      <c r="A695" s="179" t="s">
        <v>1817</v>
      </c>
      <c r="B695" s="178" t="s">
        <v>2239</v>
      </c>
      <c r="C695" s="178" t="s">
        <v>523</v>
      </c>
      <c r="D695" s="177" t="s">
        <v>1697</v>
      </c>
      <c r="E695" s="174">
        <v>5.6</v>
      </c>
      <c r="F695" s="176"/>
      <c r="G695" s="175"/>
      <c r="H695" s="174"/>
      <c r="I695" s="173"/>
      <c r="J695" s="174"/>
      <c r="K695" s="173"/>
      <c r="Q695" s="160">
        <f>[4]Source!X714</f>
        <v>305.58999999999997</v>
      </c>
      <c r="R695" s="160">
        <f>[4]Source!X715</f>
        <v>4116.63</v>
      </c>
      <c r="S695" s="160">
        <f>[4]Source!Y714</f>
        <v>164.55</v>
      </c>
      <c r="T695" s="160">
        <f>[4]Source!Y715</f>
        <v>1875.35</v>
      </c>
      <c r="U695" s="160">
        <f>ROUND((175/100)*ROUND([4]Source!R714, 2), 2)</f>
        <v>4.5199999999999996</v>
      </c>
      <c r="V695" s="160">
        <f>ROUND((157/100)*ROUND([4]Source!R715, 2), 2)</f>
        <v>94.58</v>
      </c>
    </row>
    <row r="696" spans="1:22" x14ac:dyDescent="0.2">
      <c r="C696" s="181" t="s">
        <v>2240</v>
      </c>
    </row>
    <row r="697" spans="1:22" ht="14.25" x14ac:dyDescent="0.2">
      <c r="A697" s="179"/>
      <c r="B697" s="178"/>
      <c r="C697" s="178" t="s">
        <v>197</v>
      </c>
      <c r="D697" s="177"/>
      <c r="E697" s="174"/>
      <c r="F697" s="176">
        <v>34.979999999999997</v>
      </c>
      <c r="G697" s="175" t="s">
        <v>195</v>
      </c>
      <c r="H697" s="174">
        <v>1</v>
      </c>
      <c r="I697" s="173">
        <v>195.89</v>
      </c>
      <c r="J697" s="174">
        <v>23.35</v>
      </c>
      <c r="K697" s="173">
        <v>4574.03</v>
      </c>
    </row>
    <row r="698" spans="1:22" ht="14.25" x14ac:dyDescent="0.2">
      <c r="A698" s="179"/>
      <c r="B698" s="178"/>
      <c r="C698" s="178" t="s">
        <v>184</v>
      </c>
      <c r="D698" s="177"/>
      <c r="E698" s="174"/>
      <c r="F698" s="176">
        <v>2.82</v>
      </c>
      <c r="G698" s="175" t="s">
        <v>195</v>
      </c>
      <c r="H698" s="174">
        <v>1</v>
      </c>
      <c r="I698" s="173">
        <v>15.79</v>
      </c>
      <c r="J698" s="174">
        <v>8.74</v>
      </c>
      <c r="K698" s="173">
        <v>138</v>
      </c>
    </row>
    <row r="699" spans="1:22" ht="14.25" x14ac:dyDescent="0.2">
      <c r="A699" s="179"/>
      <c r="B699" s="178"/>
      <c r="C699" s="178" t="s">
        <v>189</v>
      </c>
      <c r="D699" s="177"/>
      <c r="E699" s="174"/>
      <c r="F699" s="176">
        <v>0.46</v>
      </c>
      <c r="G699" s="175" t="s">
        <v>195</v>
      </c>
      <c r="H699" s="174">
        <v>1</v>
      </c>
      <c r="I699" s="180">
        <v>2.58</v>
      </c>
      <c r="J699" s="174">
        <v>23.35</v>
      </c>
      <c r="K699" s="180">
        <v>60.24</v>
      </c>
    </row>
    <row r="700" spans="1:22" ht="71.25" x14ac:dyDescent="0.2">
      <c r="A700" s="179" t="s">
        <v>1818</v>
      </c>
      <c r="B700" s="178" t="s">
        <v>2241</v>
      </c>
      <c r="C700" s="178" t="s">
        <v>522</v>
      </c>
      <c r="D700" s="177" t="s">
        <v>1594</v>
      </c>
      <c r="E700" s="174">
        <v>0.64</v>
      </c>
      <c r="F700" s="176">
        <v>647.83000000000004</v>
      </c>
      <c r="G700" s="182" t="s">
        <v>195</v>
      </c>
      <c r="H700" s="174">
        <v>1</v>
      </c>
      <c r="I700" s="173">
        <v>414.61</v>
      </c>
      <c r="J700" s="174">
        <v>5.94</v>
      </c>
      <c r="K700" s="173">
        <v>2462.7800000000002</v>
      </c>
      <c r="Q700" s="160">
        <f>[4]Source!X716</f>
        <v>0</v>
      </c>
      <c r="R700" s="160">
        <f>[4]Source!X717</f>
        <v>0</v>
      </c>
      <c r="S700" s="160">
        <f>[4]Source!Y716</f>
        <v>0</v>
      </c>
      <c r="T700" s="160">
        <f>[4]Source!Y717</f>
        <v>0</v>
      </c>
      <c r="U700" s="160">
        <f>ROUND((175/100)*ROUND([4]Source!R716, 2), 2)</f>
        <v>0</v>
      </c>
      <c r="V700" s="160">
        <f>ROUND((157/100)*ROUND([4]Source!R717, 2), 2)</f>
        <v>0</v>
      </c>
    </row>
    <row r="701" spans="1:22" ht="57" x14ac:dyDescent="0.2">
      <c r="A701" s="179" t="s">
        <v>2080</v>
      </c>
      <c r="B701" s="178" t="s">
        <v>2242</v>
      </c>
      <c r="C701" s="178" t="s">
        <v>521</v>
      </c>
      <c r="D701" s="177" t="s">
        <v>1552</v>
      </c>
      <c r="E701" s="174">
        <v>28.56</v>
      </c>
      <c r="F701" s="176">
        <v>35.340000000000003</v>
      </c>
      <c r="G701" s="182" t="s">
        <v>195</v>
      </c>
      <c r="H701" s="174">
        <v>1</v>
      </c>
      <c r="I701" s="173">
        <v>1009.31</v>
      </c>
      <c r="J701" s="174">
        <v>6.09</v>
      </c>
      <c r="K701" s="173">
        <v>6146.7</v>
      </c>
      <c r="Q701" s="160">
        <f>[4]Source!X718</f>
        <v>0</v>
      </c>
      <c r="R701" s="160">
        <f>[4]Source!X719</f>
        <v>0</v>
      </c>
      <c r="S701" s="160">
        <f>[4]Source!Y718</f>
        <v>0</v>
      </c>
      <c r="T701" s="160">
        <f>[4]Source!Y719</f>
        <v>0</v>
      </c>
      <c r="U701" s="160">
        <f>ROUND((175/100)*ROUND([4]Source!R718, 2), 2)</f>
        <v>0</v>
      </c>
      <c r="V701" s="160">
        <f>ROUND((157/100)*ROUND([4]Source!R719, 2), 2)</f>
        <v>0</v>
      </c>
    </row>
    <row r="702" spans="1:22" ht="14.25" x14ac:dyDescent="0.2">
      <c r="A702" s="179"/>
      <c r="B702" s="178"/>
      <c r="C702" s="178" t="s">
        <v>194</v>
      </c>
      <c r="D702" s="177" t="s">
        <v>187</v>
      </c>
      <c r="E702" s="174">
        <v>156</v>
      </c>
      <c r="F702" s="176"/>
      <c r="G702" s="175"/>
      <c r="H702" s="174"/>
      <c r="I702" s="173">
        <v>305.58999999999997</v>
      </c>
      <c r="J702" s="174">
        <v>90</v>
      </c>
      <c r="K702" s="173">
        <v>4116.63</v>
      </c>
    </row>
    <row r="703" spans="1:22" ht="14.25" x14ac:dyDescent="0.2">
      <c r="A703" s="179"/>
      <c r="B703" s="178"/>
      <c r="C703" s="178" t="s">
        <v>193</v>
      </c>
      <c r="D703" s="177" t="s">
        <v>187</v>
      </c>
      <c r="E703" s="174">
        <v>84</v>
      </c>
      <c r="F703" s="176"/>
      <c r="G703" s="175"/>
      <c r="H703" s="174"/>
      <c r="I703" s="173">
        <v>164.55</v>
      </c>
      <c r="J703" s="174">
        <v>41</v>
      </c>
      <c r="K703" s="173">
        <v>1875.35</v>
      </c>
    </row>
    <row r="704" spans="1:22" ht="14.25" x14ac:dyDescent="0.2">
      <c r="A704" s="179"/>
      <c r="B704" s="178"/>
      <c r="C704" s="178" t="s">
        <v>188</v>
      </c>
      <c r="D704" s="177" t="s">
        <v>187</v>
      </c>
      <c r="E704" s="174">
        <v>175</v>
      </c>
      <c r="F704" s="176"/>
      <c r="G704" s="175"/>
      <c r="H704" s="174"/>
      <c r="I704" s="173">
        <v>4.5199999999999996</v>
      </c>
      <c r="J704" s="174">
        <v>157</v>
      </c>
      <c r="K704" s="173">
        <v>94.58</v>
      </c>
    </row>
    <row r="705" spans="1:22" ht="14.25" x14ac:dyDescent="0.2">
      <c r="A705" s="172"/>
      <c r="B705" s="171"/>
      <c r="C705" s="171" t="s">
        <v>192</v>
      </c>
      <c r="D705" s="170" t="s">
        <v>191</v>
      </c>
      <c r="E705" s="167">
        <v>3.31</v>
      </c>
      <c r="F705" s="169"/>
      <c r="G705" s="168" t="s">
        <v>195</v>
      </c>
      <c r="H705" s="167">
        <v>1</v>
      </c>
      <c r="I705" s="166">
        <v>18.54</v>
      </c>
      <c r="J705" s="167"/>
      <c r="K705" s="166"/>
    </row>
    <row r="706" spans="1:22" ht="15" x14ac:dyDescent="0.25">
      <c r="A706" s="164"/>
      <c r="B706" s="164"/>
      <c r="C706" s="165" t="s">
        <v>183</v>
      </c>
      <c r="D706" s="164"/>
      <c r="E706" s="164"/>
      <c r="F706" s="164"/>
      <c r="G706" s="164"/>
      <c r="H706" s="414">
        <v>2110.2600000000002</v>
      </c>
      <c r="I706" s="414"/>
      <c r="J706" s="414">
        <v>19408.07</v>
      </c>
      <c r="K706" s="414"/>
      <c r="O706" s="163">
        <f>I697+I698+I702+I703+I704+SUM(I700:I701)</f>
        <v>2110.2600000000002</v>
      </c>
      <c r="P706" s="163">
        <f>K697+K698+K702+K703+K704+SUM(K700:K701)</f>
        <v>19408.07</v>
      </c>
    </row>
    <row r="709" spans="1:22" ht="15" x14ac:dyDescent="0.25">
      <c r="A709" s="417" t="s">
        <v>2243</v>
      </c>
      <c r="B709" s="417"/>
      <c r="C709" s="417"/>
      <c r="D709" s="417"/>
      <c r="E709" s="417"/>
      <c r="F709" s="417"/>
      <c r="G709" s="417"/>
      <c r="H709" s="415">
        <v>32673.67</v>
      </c>
      <c r="I709" s="416"/>
      <c r="J709" s="415">
        <v>315804.49</v>
      </c>
      <c r="K709" s="416"/>
    </row>
    <row r="710" spans="1:22" hidden="1" x14ac:dyDescent="0.2">
      <c r="A710" s="160" t="s">
        <v>182</v>
      </c>
      <c r="I710" s="160">
        <v>0</v>
      </c>
      <c r="J710" s="160">
        <v>0</v>
      </c>
    </row>
    <row r="711" spans="1:22" hidden="1" x14ac:dyDescent="0.2">
      <c r="A711" s="160" t="s">
        <v>181</v>
      </c>
      <c r="I711" s="160">
        <v>0</v>
      </c>
      <c r="J711" s="160">
        <v>0</v>
      </c>
    </row>
    <row r="713" spans="1:22" ht="16.5" x14ac:dyDescent="0.25">
      <c r="A713" s="413" t="s">
        <v>2244</v>
      </c>
      <c r="B713" s="413"/>
      <c r="C713" s="413"/>
      <c r="D713" s="413"/>
      <c r="E713" s="413"/>
      <c r="F713" s="413"/>
      <c r="G713" s="413"/>
      <c r="H713" s="413"/>
      <c r="I713" s="413"/>
      <c r="J713" s="413"/>
      <c r="K713" s="413"/>
    </row>
    <row r="714" spans="1:22" ht="42.75" x14ac:dyDescent="0.2">
      <c r="A714" s="179" t="s">
        <v>1819</v>
      </c>
      <c r="B714" s="178" t="s">
        <v>2245</v>
      </c>
      <c r="C714" s="178" t="s">
        <v>520</v>
      </c>
      <c r="D714" s="177" t="s">
        <v>1540</v>
      </c>
      <c r="E714" s="174">
        <v>3.375</v>
      </c>
      <c r="F714" s="176"/>
      <c r="G714" s="175"/>
      <c r="H714" s="174"/>
      <c r="I714" s="173"/>
      <c r="J714" s="174"/>
      <c r="K714" s="173"/>
      <c r="Q714" s="160">
        <f>[4]Source!X755</f>
        <v>1251.6600000000001</v>
      </c>
      <c r="R714" s="160">
        <f>[4]Source!X756</f>
        <v>24842.400000000001</v>
      </c>
      <c r="S714" s="160">
        <f>[4]Source!Y755</f>
        <v>860.52</v>
      </c>
      <c r="T714" s="160">
        <f>[4]Source!Y756</f>
        <v>14978.51</v>
      </c>
      <c r="U714" s="160">
        <f>ROUND((175/100)*ROUND([4]Source!R755, 2), 2)</f>
        <v>0</v>
      </c>
      <c r="V714" s="160">
        <f>ROUND((157/100)*ROUND([4]Source!R756, 2), 2)</f>
        <v>0</v>
      </c>
    </row>
    <row r="715" spans="1:22" x14ac:dyDescent="0.2">
      <c r="C715" s="181" t="s">
        <v>2246</v>
      </c>
    </row>
    <row r="716" spans="1:22" ht="14.25" x14ac:dyDescent="0.2">
      <c r="A716" s="179"/>
      <c r="B716" s="178"/>
      <c r="C716" s="178" t="s">
        <v>197</v>
      </c>
      <c r="D716" s="177"/>
      <c r="E716" s="174"/>
      <c r="F716" s="176">
        <v>463.58</v>
      </c>
      <c r="G716" s="175" t="s">
        <v>195</v>
      </c>
      <c r="H716" s="174">
        <v>1</v>
      </c>
      <c r="I716" s="173">
        <v>1564.58</v>
      </c>
      <c r="J716" s="174">
        <v>23.35</v>
      </c>
      <c r="K716" s="173">
        <v>36532.94</v>
      </c>
    </row>
    <row r="717" spans="1:22" ht="28.5" x14ac:dyDescent="0.2">
      <c r="A717" s="179" t="s">
        <v>1820</v>
      </c>
      <c r="B717" s="178" t="s">
        <v>1532</v>
      </c>
      <c r="C717" s="178" t="s">
        <v>351</v>
      </c>
      <c r="D717" s="177" t="s">
        <v>1533</v>
      </c>
      <c r="E717" s="174">
        <v>-39.217500000000001</v>
      </c>
      <c r="F717" s="176">
        <v>0</v>
      </c>
      <c r="G717" s="182" t="s">
        <v>195</v>
      </c>
      <c r="H717" s="174">
        <v>1</v>
      </c>
      <c r="I717" s="173">
        <v>0</v>
      </c>
      <c r="J717" s="174">
        <v>5.36</v>
      </c>
      <c r="K717" s="173">
        <v>0</v>
      </c>
      <c r="Q717" s="160">
        <f>[4]Source!X757</f>
        <v>0</v>
      </c>
      <c r="R717" s="160">
        <f>[4]Source!X758</f>
        <v>0</v>
      </c>
      <c r="S717" s="160">
        <f>[4]Source!Y757</f>
        <v>0</v>
      </c>
      <c r="T717" s="160">
        <f>[4]Source!Y758</f>
        <v>0</v>
      </c>
      <c r="U717" s="160">
        <f>ROUND((175/100)*ROUND([4]Source!R757, 2), 2)</f>
        <v>0</v>
      </c>
      <c r="V717" s="160">
        <f>ROUND((157/100)*ROUND([4]Source!R758, 2), 2)</f>
        <v>0</v>
      </c>
    </row>
    <row r="718" spans="1:22" ht="14.25" x14ac:dyDescent="0.2">
      <c r="A718" s="179"/>
      <c r="B718" s="178"/>
      <c r="C718" s="178" t="s">
        <v>194</v>
      </c>
      <c r="D718" s="177" t="s">
        <v>187</v>
      </c>
      <c r="E718" s="174">
        <v>80</v>
      </c>
      <c r="F718" s="176"/>
      <c r="G718" s="175"/>
      <c r="H718" s="174"/>
      <c r="I718" s="173">
        <v>1251.6600000000001</v>
      </c>
      <c r="J718" s="174">
        <v>68</v>
      </c>
      <c r="K718" s="173">
        <v>24842.400000000001</v>
      </c>
    </row>
    <row r="719" spans="1:22" ht="14.25" x14ac:dyDescent="0.2">
      <c r="A719" s="179"/>
      <c r="B719" s="178"/>
      <c r="C719" s="178" t="s">
        <v>193</v>
      </c>
      <c r="D719" s="177" t="s">
        <v>187</v>
      </c>
      <c r="E719" s="174">
        <v>55</v>
      </c>
      <c r="F719" s="176"/>
      <c r="G719" s="175"/>
      <c r="H719" s="174"/>
      <c r="I719" s="173">
        <v>860.52</v>
      </c>
      <c r="J719" s="174">
        <v>41</v>
      </c>
      <c r="K719" s="173">
        <v>14978.51</v>
      </c>
    </row>
    <row r="720" spans="1:22" ht="14.25" x14ac:dyDescent="0.2">
      <c r="A720" s="172"/>
      <c r="B720" s="171"/>
      <c r="C720" s="171" t="s">
        <v>192</v>
      </c>
      <c r="D720" s="170" t="s">
        <v>191</v>
      </c>
      <c r="E720" s="167">
        <v>45.36</v>
      </c>
      <c r="F720" s="169"/>
      <c r="G720" s="168" t="s">
        <v>195</v>
      </c>
      <c r="H720" s="167">
        <v>1</v>
      </c>
      <c r="I720" s="166">
        <v>153.09</v>
      </c>
      <c r="J720" s="167"/>
      <c r="K720" s="166"/>
    </row>
    <row r="721" spans="1:22" ht="15" x14ac:dyDescent="0.25">
      <c r="A721" s="164"/>
      <c r="B721" s="164"/>
      <c r="C721" s="165" t="s">
        <v>183</v>
      </c>
      <c r="D721" s="164"/>
      <c r="E721" s="164"/>
      <c r="F721" s="164"/>
      <c r="G721" s="164"/>
      <c r="H721" s="414">
        <v>3676.76</v>
      </c>
      <c r="I721" s="414"/>
      <c r="J721" s="414">
        <v>76353.850000000006</v>
      </c>
      <c r="K721" s="414"/>
      <c r="O721" s="163">
        <f>I716+I718+I719+SUM(I717:I717)</f>
        <v>3676.76</v>
      </c>
      <c r="P721" s="163">
        <f>K716+K718+K719+SUM(K717:K717)</f>
        <v>76353.850000000006</v>
      </c>
    </row>
    <row r="723" spans="1:22" ht="28.5" x14ac:dyDescent="0.2">
      <c r="A723" s="179" t="s">
        <v>1821</v>
      </c>
      <c r="B723" s="178" t="s">
        <v>2247</v>
      </c>
      <c r="C723" s="178" t="s">
        <v>229</v>
      </c>
      <c r="D723" s="177" t="s">
        <v>1785</v>
      </c>
      <c r="E723" s="174">
        <v>6.3559999999999999</v>
      </c>
      <c r="F723" s="176"/>
      <c r="G723" s="175"/>
      <c r="H723" s="174"/>
      <c r="I723" s="173"/>
      <c r="J723" s="174"/>
      <c r="K723" s="173"/>
      <c r="Q723" s="160">
        <f>[4]Source!X759</f>
        <v>727.63</v>
      </c>
      <c r="R723" s="160">
        <f>[4]Source!X760</f>
        <v>13592.04</v>
      </c>
      <c r="S723" s="160">
        <f>[4]Source!Y759</f>
        <v>599.22</v>
      </c>
      <c r="T723" s="160">
        <f>[4]Source!Y760</f>
        <v>8195.2000000000007</v>
      </c>
      <c r="U723" s="160">
        <f>ROUND((175/100)*ROUND([4]Source!R759, 2), 2)</f>
        <v>62.18</v>
      </c>
      <c r="V723" s="160">
        <f>ROUND((157/100)*ROUND([4]Source!R760, 2), 2)</f>
        <v>1302.52</v>
      </c>
    </row>
    <row r="724" spans="1:22" ht="14.25" x14ac:dyDescent="0.2">
      <c r="A724" s="179"/>
      <c r="B724" s="178"/>
      <c r="C724" s="178" t="s">
        <v>197</v>
      </c>
      <c r="D724" s="177"/>
      <c r="E724" s="174"/>
      <c r="F724" s="176">
        <v>134.68</v>
      </c>
      <c r="G724" s="175" t="s">
        <v>195</v>
      </c>
      <c r="H724" s="174">
        <v>1</v>
      </c>
      <c r="I724" s="173">
        <v>856.03</v>
      </c>
      <c r="J724" s="174">
        <v>23.35</v>
      </c>
      <c r="K724" s="173">
        <v>19988.3</v>
      </c>
    </row>
    <row r="725" spans="1:22" ht="14.25" x14ac:dyDescent="0.2">
      <c r="A725" s="179"/>
      <c r="B725" s="178"/>
      <c r="C725" s="178" t="s">
        <v>184</v>
      </c>
      <c r="D725" s="177"/>
      <c r="E725" s="174"/>
      <c r="F725" s="176">
        <v>44</v>
      </c>
      <c r="G725" s="175" t="s">
        <v>195</v>
      </c>
      <c r="H725" s="174">
        <v>1</v>
      </c>
      <c r="I725" s="173">
        <v>279.66000000000003</v>
      </c>
      <c r="J725" s="174">
        <v>8.19</v>
      </c>
      <c r="K725" s="173">
        <v>2290.42</v>
      </c>
    </row>
    <row r="726" spans="1:22" ht="14.25" x14ac:dyDescent="0.2">
      <c r="A726" s="179"/>
      <c r="B726" s="178"/>
      <c r="C726" s="178" t="s">
        <v>189</v>
      </c>
      <c r="D726" s="177"/>
      <c r="E726" s="174"/>
      <c r="F726" s="176">
        <v>5.59</v>
      </c>
      <c r="G726" s="175" t="s">
        <v>195</v>
      </c>
      <c r="H726" s="174">
        <v>1</v>
      </c>
      <c r="I726" s="180">
        <v>35.53</v>
      </c>
      <c r="J726" s="174">
        <v>23.35</v>
      </c>
      <c r="K726" s="180">
        <v>829.63</v>
      </c>
    </row>
    <row r="727" spans="1:22" ht="14.25" x14ac:dyDescent="0.2">
      <c r="A727" s="179"/>
      <c r="B727" s="178"/>
      <c r="C727" s="178" t="s">
        <v>205</v>
      </c>
      <c r="D727" s="177"/>
      <c r="E727" s="174"/>
      <c r="F727" s="176">
        <v>258.91000000000003</v>
      </c>
      <c r="G727" s="175" t="s">
        <v>195</v>
      </c>
      <c r="H727" s="174">
        <v>1</v>
      </c>
      <c r="I727" s="173">
        <v>1645.63</v>
      </c>
      <c r="J727" s="174">
        <v>5.54</v>
      </c>
      <c r="K727" s="173">
        <v>9116.7900000000009</v>
      </c>
    </row>
    <row r="728" spans="1:22" ht="57" x14ac:dyDescent="0.2">
      <c r="A728" s="179" t="s">
        <v>1822</v>
      </c>
      <c r="B728" s="178" t="s">
        <v>1788</v>
      </c>
      <c r="C728" s="178" t="s">
        <v>228</v>
      </c>
      <c r="D728" s="177" t="s">
        <v>1533</v>
      </c>
      <c r="E728" s="174">
        <v>6.3559999999999999</v>
      </c>
      <c r="F728" s="176">
        <v>9733.52</v>
      </c>
      <c r="G728" s="182" t="s">
        <v>195</v>
      </c>
      <c r="H728" s="174">
        <v>1</v>
      </c>
      <c r="I728" s="173">
        <v>61866.25</v>
      </c>
      <c r="J728" s="174">
        <v>3.64</v>
      </c>
      <c r="K728" s="173">
        <v>225193.15</v>
      </c>
      <c r="Q728" s="160">
        <f>[4]Source!X761</f>
        <v>0</v>
      </c>
      <c r="R728" s="160">
        <f>[4]Source!X762</f>
        <v>0</v>
      </c>
      <c r="S728" s="160">
        <f>[4]Source!Y761</f>
        <v>0</v>
      </c>
      <c r="T728" s="160">
        <f>[4]Source!Y762</f>
        <v>0</v>
      </c>
      <c r="U728" s="160">
        <f>ROUND((175/100)*ROUND([4]Source!R761, 2), 2)</f>
        <v>0</v>
      </c>
      <c r="V728" s="160">
        <f>ROUND((157/100)*ROUND([4]Source!R762, 2), 2)</f>
        <v>0</v>
      </c>
    </row>
    <row r="729" spans="1:22" ht="14.25" x14ac:dyDescent="0.2">
      <c r="A729" s="179"/>
      <c r="B729" s="178"/>
      <c r="C729" s="178" t="s">
        <v>194</v>
      </c>
      <c r="D729" s="177" t="s">
        <v>187</v>
      </c>
      <c r="E729" s="174">
        <v>85</v>
      </c>
      <c r="F729" s="176"/>
      <c r="G729" s="175"/>
      <c r="H729" s="174"/>
      <c r="I729" s="173">
        <v>727.63</v>
      </c>
      <c r="J729" s="174">
        <v>68</v>
      </c>
      <c r="K729" s="173">
        <v>13592.04</v>
      </c>
    </row>
    <row r="730" spans="1:22" ht="14.25" x14ac:dyDescent="0.2">
      <c r="A730" s="179"/>
      <c r="B730" s="178"/>
      <c r="C730" s="178" t="s">
        <v>193</v>
      </c>
      <c r="D730" s="177" t="s">
        <v>187</v>
      </c>
      <c r="E730" s="174">
        <v>70</v>
      </c>
      <c r="F730" s="176"/>
      <c r="G730" s="175"/>
      <c r="H730" s="174"/>
      <c r="I730" s="173">
        <v>599.22</v>
      </c>
      <c r="J730" s="174">
        <v>41</v>
      </c>
      <c r="K730" s="173">
        <v>8195.2000000000007</v>
      </c>
    </row>
    <row r="731" spans="1:22" ht="14.25" x14ac:dyDescent="0.2">
      <c r="A731" s="179"/>
      <c r="B731" s="178"/>
      <c r="C731" s="178" t="s">
        <v>188</v>
      </c>
      <c r="D731" s="177" t="s">
        <v>187</v>
      </c>
      <c r="E731" s="174">
        <v>175</v>
      </c>
      <c r="F731" s="176"/>
      <c r="G731" s="175"/>
      <c r="H731" s="174"/>
      <c r="I731" s="173">
        <v>62.18</v>
      </c>
      <c r="J731" s="174">
        <v>157</v>
      </c>
      <c r="K731" s="173">
        <v>1302.52</v>
      </c>
    </row>
    <row r="732" spans="1:22" ht="14.25" x14ac:dyDescent="0.2">
      <c r="A732" s="172"/>
      <c r="B732" s="171"/>
      <c r="C732" s="171" t="s">
        <v>192</v>
      </c>
      <c r="D732" s="170" t="s">
        <v>191</v>
      </c>
      <c r="E732" s="167">
        <v>11.6</v>
      </c>
      <c r="F732" s="169"/>
      <c r="G732" s="168" t="s">
        <v>195</v>
      </c>
      <c r="H732" s="167">
        <v>1</v>
      </c>
      <c r="I732" s="166">
        <v>73.73</v>
      </c>
      <c r="J732" s="167"/>
      <c r="K732" s="166"/>
    </row>
    <row r="733" spans="1:22" ht="15" x14ac:dyDescent="0.25">
      <c r="A733" s="164"/>
      <c r="B733" s="164"/>
      <c r="C733" s="165" t="s">
        <v>183</v>
      </c>
      <c r="D733" s="164"/>
      <c r="E733" s="164"/>
      <c r="F733" s="164"/>
      <c r="G733" s="164"/>
      <c r="H733" s="414">
        <v>66036.600000000006</v>
      </c>
      <c r="I733" s="414"/>
      <c r="J733" s="414">
        <v>279678.42</v>
      </c>
      <c r="K733" s="414"/>
      <c r="O733" s="163">
        <f>I724+I725+I727+I729+I730+I731+SUM(I728:I728)</f>
        <v>66036.600000000006</v>
      </c>
      <c r="P733" s="163">
        <f>K724+K725+K727+K729+K730+K731+SUM(K728:K728)</f>
        <v>279678.42</v>
      </c>
    </row>
    <row r="735" spans="1:22" ht="52.5" x14ac:dyDescent="0.2">
      <c r="A735" s="179" t="s">
        <v>1823</v>
      </c>
      <c r="B735" s="178" t="s">
        <v>237</v>
      </c>
      <c r="C735" s="178" t="s">
        <v>236</v>
      </c>
      <c r="D735" s="177" t="s">
        <v>1741</v>
      </c>
      <c r="E735" s="174">
        <v>11.25</v>
      </c>
      <c r="F735" s="176"/>
      <c r="G735" s="175"/>
      <c r="H735" s="174"/>
      <c r="I735" s="173"/>
      <c r="J735" s="174"/>
      <c r="K735" s="173"/>
      <c r="Q735" s="160">
        <f>[4]Source!X763</f>
        <v>3267.82</v>
      </c>
      <c r="R735" s="160">
        <f>[4]Source!X764</f>
        <v>62363.43</v>
      </c>
      <c r="S735" s="160">
        <f>[4]Source!Y763</f>
        <v>2199.4899999999998</v>
      </c>
      <c r="T735" s="160">
        <f>[4]Source!Y764</f>
        <v>30081.18</v>
      </c>
      <c r="U735" s="160">
        <f>ROUND((175/100)*ROUND([4]Source!R763, 2), 2)</f>
        <v>7.63</v>
      </c>
      <c r="V735" s="160">
        <f>ROUND((157/100)*ROUND([4]Source!R764, 2), 2)</f>
        <v>159.84</v>
      </c>
    </row>
    <row r="736" spans="1:22" x14ac:dyDescent="0.2">
      <c r="C736" s="181" t="s">
        <v>2248</v>
      </c>
    </row>
    <row r="737" spans="1:22" ht="14.25" x14ac:dyDescent="0.2">
      <c r="A737" s="179"/>
      <c r="B737" s="178"/>
      <c r="C737" s="178" t="s">
        <v>197</v>
      </c>
      <c r="D737" s="177"/>
      <c r="E737" s="174"/>
      <c r="F737" s="176">
        <v>242.87</v>
      </c>
      <c r="G737" s="175" t="s">
        <v>1548</v>
      </c>
      <c r="H737" s="174">
        <v>1</v>
      </c>
      <c r="I737" s="173">
        <v>3142.13</v>
      </c>
      <c r="J737" s="174">
        <v>23.35</v>
      </c>
      <c r="K737" s="173">
        <v>73368.740000000005</v>
      </c>
    </row>
    <row r="738" spans="1:22" ht="14.25" x14ac:dyDescent="0.2">
      <c r="A738" s="179"/>
      <c r="B738" s="178"/>
      <c r="C738" s="178" t="s">
        <v>184</v>
      </c>
      <c r="D738" s="177"/>
      <c r="E738" s="174"/>
      <c r="F738" s="176">
        <v>12.59</v>
      </c>
      <c r="G738" s="175" t="s">
        <v>1549</v>
      </c>
      <c r="H738" s="174">
        <v>1</v>
      </c>
      <c r="I738" s="173">
        <v>177.05</v>
      </c>
      <c r="J738" s="174">
        <v>1.58</v>
      </c>
      <c r="K738" s="173">
        <v>279.74</v>
      </c>
    </row>
    <row r="739" spans="1:22" ht="14.25" x14ac:dyDescent="0.2">
      <c r="A739" s="179"/>
      <c r="B739" s="178"/>
      <c r="C739" s="178" t="s">
        <v>189</v>
      </c>
      <c r="D739" s="177"/>
      <c r="E739" s="174"/>
      <c r="F739" s="176">
        <v>0.31</v>
      </c>
      <c r="G739" s="175" t="s">
        <v>1549</v>
      </c>
      <c r="H739" s="174">
        <v>1</v>
      </c>
      <c r="I739" s="180">
        <v>4.3600000000000003</v>
      </c>
      <c r="J739" s="174">
        <v>23.35</v>
      </c>
      <c r="K739" s="180">
        <v>101.81</v>
      </c>
    </row>
    <row r="740" spans="1:22" ht="14.25" x14ac:dyDescent="0.2">
      <c r="A740" s="179"/>
      <c r="B740" s="178"/>
      <c r="C740" s="178" t="s">
        <v>205</v>
      </c>
      <c r="D740" s="177"/>
      <c r="E740" s="174"/>
      <c r="F740" s="176">
        <v>24.75</v>
      </c>
      <c r="G740" s="175" t="s">
        <v>195</v>
      </c>
      <c r="H740" s="174">
        <v>1</v>
      </c>
      <c r="I740" s="173">
        <v>278.44</v>
      </c>
      <c r="J740" s="174">
        <v>4.7699999999999996</v>
      </c>
      <c r="K740" s="173">
        <v>1328.16</v>
      </c>
    </row>
    <row r="741" spans="1:22" ht="14.25" x14ac:dyDescent="0.2">
      <c r="A741" s="179" t="s">
        <v>1824</v>
      </c>
      <c r="B741" s="178" t="s">
        <v>1755</v>
      </c>
      <c r="C741" s="178" t="s">
        <v>232</v>
      </c>
      <c r="D741" s="177" t="s">
        <v>1594</v>
      </c>
      <c r="E741" s="174">
        <v>22.95</v>
      </c>
      <c r="F741" s="176">
        <v>478.96</v>
      </c>
      <c r="G741" s="182" t="s">
        <v>195</v>
      </c>
      <c r="H741" s="174">
        <v>1</v>
      </c>
      <c r="I741" s="173">
        <v>10992.13</v>
      </c>
      <c r="J741" s="174">
        <v>6.89</v>
      </c>
      <c r="K741" s="173">
        <v>75735.78</v>
      </c>
      <c r="Q741" s="160">
        <f>[4]Source!X765</f>
        <v>0</v>
      </c>
      <c r="R741" s="160">
        <f>[4]Source!X766</f>
        <v>0</v>
      </c>
      <c r="S741" s="160">
        <f>[4]Source!Y765</f>
        <v>0</v>
      </c>
      <c r="T741" s="160">
        <f>[4]Source!Y766</f>
        <v>0</v>
      </c>
      <c r="U741" s="160">
        <f>ROUND((175/100)*ROUND([4]Source!R765, 2), 2)</f>
        <v>0</v>
      </c>
      <c r="V741" s="160">
        <f>ROUND((157/100)*ROUND([4]Source!R766, 2), 2)</f>
        <v>0</v>
      </c>
    </row>
    <row r="742" spans="1:22" ht="14.25" x14ac:dyDescent="0.2">
      <c r="A742" s="179"/>
      <c r="B742" s="178"/>
      <c r="C742" s="178" t="s">
        <v>194</v>
      </c>
      <c r="D742" s="177" t="s">
        <v>187</v>
      </c>
      <c r="E742" s="174">
        <v>104</v>
      </c>
      <c r="F742" s="176"/>
      <c r="G742" s="175"/>
      <c r="H742" s="174"/>
      <c r="I742" s="173">
        <v>3267.82</v>
      </c>
      <c r="J742" s="174">
        <v>85</v>
      </c>
      <c r="K742" s="173">
        <v>62363.43</v>
      </c>
    </row>
    <row r="743" spans="1:22" ht="14.25" x14ac:dyDescent="0.2">
      <c r="A743" s="179"/>
      <c r="B743" s="178"/>
      <c r="C743" s="178" t="s">
        <v>193</v>
      </c>
      <c r="D743" s="177" t="s">
        <v>187</v>
      </c>
      <c r="E743" s="174">
        <v>70</v>
      </c>
      <c r="F743" s="176"/>
      <c r="G743" s="175"/>
      <c r="H743" s="174"/>
      <c r="I743" s="173">
        <v>2199.4899999999998</v>
      </c>
      <c r="J743" s="174">
        <v>41</v>
      </c>
      <c r="K743" s="173">
        <v>30081.18</v>
      </c>
    </row>
    <row r="744" spans="1:22" ht="14.25" x14ac:dyDescent="0.2">
      <c r="A744" s="179"/>
      <c r="B744" s="178"/>
      <c r="C744" s="178" t="s">
        <v>188</v>
      </c>
      <c r="D744" s="177" t="s">
        <v>187</v>
      </c>
      <c r="E744" s="174">
        <v>175</v>
      </c>
      <c r="F744" s="176"/>
      <c r="G744" s="175"/>
      <c r="H744" s="174"/>
      <c r="I744" s="173">
        <v>7.63</v>
      </c>
      <c r="J744" s="174">
        <v>157</v>
      </c>
      <c r="K744" s="173">
        <v>159.84</v>
      </c>
    </row>
    <row r="745" spans="1:22" ht="14.25" x14ac:dyDescent="0.2">
      <c r="A745" s="172"/>
      <c r="B745" s="171"/>
      <c r="C745" s="171" t="s">
        <v>192</v>
      </c>
      <c r="D745" s="170" t="s">
        <v>191</v>
      </c>
      <c r="E745" s="167">
        <v>23.33</v>
      </c>
      <c r="F745" s="169"/>
      <c r="G745" s="168" t="s">
        <v>1548</v>
      </c>
      <c r="H745" s="167">
        <v>1</v>
      </c>
      <c r="I745" s="166">
        <v>301.83</v>
      </c>
      <c r="J745" s="167"/>
      <c r="K745" s="166"/>
    </row>
    <row r="746" spans="1:22" ht="15" x14ac:dyDescent="0.25">
      <c r="A746" s="164"/>
      <c r="B746" s="164"/>
      <c r="C746" s="165" t="s">
        <v>183</v>
      </c>
      <c r="D746" s="164"/>
      <c r="E746" s="164"/>
      <c r="F746" s="164"/>
      <c r="G746" s="164"/>
      <c r="H746" s="414">
        <v>20064.689999999999</v>
      </c>
      <c r="I746" s="414"/>
      <c r="J746" s="414">
        <v>243316.87</v>
      </c>
      <c r="K746" s="414"/>
      <c r="O746" s="163">
        <f>I737+I738+I740+I742+I743+I744+SUM(I741:I741)</f>
        <v>20064.689999999999</v>
      </c>
      <c r="P746" s="163">
        <f>K737+K738+K740+K742+K743+K744+SUM(K741:K741)</f>
        <v>243316.87</v>
      </c>
    </row>
    <row r="748" spans="1:22" ht="52.5" x14ac:dyDescent="0.2">
      <c r="A748" s="179" t="s">
        <v>1825</v>
      </c>
      <c r="B748" s="178" t="s">
        <v>235</v>
      </c>
      <c r="C748" s="178" t="s">
        <v>234</v>
      </c>
      <c r="D748" s="177" t="s">
        <v>1741</v>
      </c>
      <c r="E748" s="174">
        <v>11.25</v>
      </c>
      <c r="F748" s="176"/>
      <c r="G748" s="175"/>
      <c r="H748" s="174"/>
      <c r="I748" s="173"/>
      <c r="J748" s="174"/>
      <c r="K748" s="173"/>
      <c r="Q748" s="160">
        <f>[4]Source!X767</f>
        <v>363.28</v>
      </c>
      <c r="R748" s="160">
        <f>[4]Source!X768</f>
        <v>6932.93</v>
      </c>
      <c r="S748" s="160">
        <f>[4]Source!Y767</f>
        <v>244.52</v>
      </c>
      <c r="T748" s="160">
        <f>[4]Source!Y768</f>
        <v>3344.12</v>
      </c>
      <c r="U748" s="160">
        <f>ROUND((175/100)*ROUND([4]Source!R767, 2), 2)</f>
        <v>11.81</v>
      </c>
      <c r="V748" s="160">
        <f>ROUND((157/100)*ROUND([4]Source!R768, 2), 2)</f>
        <v>247.45</v>
      </c>
    </row>
    <row r="749" spans="1:22" x14ac:dyDescent="0.2">
      <c r="C749" s="181" t="s">
        <v>2248</v>
      </c>
    </row>
    <row r="750" spans="1:22" ht="14.25" x14ac:dyDescent="0.2">
      <c r="A750" s="179"/>
      <c r="B750" s="178"/>
      <c r="C750" s="178" t="s">
        <v>197</v>
      </c>
      <c r="D750" s="177"/>
      <c r="E750" s="174"/>
      <c r="F750" s="176">
        <v>4.5</v>
      </c>
      <c r="G750" s="175" t="s">
        <v>1781</v>
      </c>
      <c r="H750" s="174">
        <v>1</v>
      </c>
      <c r="I750" s="173">
        <v>349.31</v>
      </c>
      <c r="J750" s="174">
        <v>23.35</v>
      </c>
      <c r="K750" s="173">
        <v>8156.39</v>
      </c>
    </row>
    <row r="751" spans="1:22" ht="14.25" x14ac:dyDescent="0.2">
      <c r="A751" s="179"/>
      <c r="B751" s="178"/>
      <c r="C751" s="178" t="s">
        <v>184</v>
      </c>
      <c r="D751" s="177"/>
      <c r="E751" s="174"/>
      <c r="F751" s="176">
        <v>3.22</v>
      </c>
      <c r="G751" s="175" t="s">
        <v>1782</v>
      </c>
      <c r="H751" s="174">
        <v>1</v>
      </c>
      <c r="I751" s="173">
        <v>271.69</v>
      </c>
      <c r="J751" s="174">
        <v>1.58</v>
      </c>
      <c r="K751" s="173">
        <v>429.27</v>
      </c>
    </row>
    <row r="752" spans="1:22" ht="14.25" x14ac:dyDescent="0.2">
      <c r="A752" s="179"/>
      <c r="B752" s="178"/>
      <c r="C752" s="178" t="s">
        <v>189</v>
      </c>
      <c r="D752" s="177"/>
      <c r="E752" s="174"/>
      <c r="F752" s="176">
        <v>0.08</v>
      </c>
      <c r="G752" s="175" t="s">
        <v>1782</v>
      </c>
      <c r="H752" s="174">
        <v>1</v>
      </c>
      <c r="I752" s="180">
        <v>6.75</v>
      </c>
      <c r="J752" s="174">
        <v>23.35</v>
      </c>
      <c r="K752" s="180">
        <v>157.61000000000001</v>
      </c>
    </row>
    <row r="753" spans="1:22" ht="52.5" x14ac:dyDescent="0.2">
      <c r="A753" s="179" t="s">
        <v>1827</v>
      </c>
      <c r="B753" s="178" t="s">
        <v>233</v>
      </c>
      <c r="C753" s="178" t="s">
        <v>232</v>
      </c>
      <c r="D753" s="177" t="s">
        <v>1594</v>
      </c>
      <c r="E753" s="174">
        <v>34.424999999999997</v>
      </c>
      <c r="F753" s="176">
        <v>478.96</v>
      </c>
      <c r="G753" s="182" t="s">
        <v>248</v>
      </c>
      <c r="H753" s="174">
        <v>1</v>
      </c>
      <c r="I753" s="173">
        <v>16488.2</v>
      </c>
      <c r="J753" s="174">
        <v>6.89</v>
      </c>
      <c r="K753" s="173">
        <v>113603.7</v>
      </c>
      <c r="Q753" s="160">
        <f>[4]Source!X769</f>
        <v>0</v>
      </c>
      <c r="R753" s="160">
        <f>[4]Source!X770</f>
        <v>0</v>
      </c>
      <c r="S753" s="160">
        <f>[4]Source!Y769</f>
        <v>0</v>
      </c>
      <c r="T753" s="160">
        <f>[4]Source!Y770</f>
        <v>0</v>
      </c>
      <c r="U753" s="160">
        <f>ROUND((175/100)*ROUND([4]Source!R769, 2), 2)</f>
        <v>0</v>
      </c>
      <c r="V753" s="160">
        <f>ROUND((157/100)*ROUND([4]Source!R770, 2), 2)</f>
        <v>0</v>
      </c>
    </row>
    <row r="754" spans="1:22" ht="14.25" x14ac:dyDescent="0.2">
      <c r="A754" s="179"/>
      <c r="B754" s="178"/>
      <c r="C754" s="178" t="s">
        <v>194</v>
      </c>
      <c r="D754" s="177" t="s">
        <v>187</v>
      </c>
      <c r="E754" s="174">
        <v>104</v>
      </c>
      <c r="F754" s="176"/>
      <c r="G754" s="175"/>
      <c r="H754" s="174"/>
      <c r="I754" s="173">
        <v>363.28</v>
      </c>
      <c r="J754" s="174">
        <v>85</v>
      </c>
      <c r="K754" s="173">
        <v>6932.93</v>
      </c>
    </row>
    <row r="755" spans="1:22" ht="14.25" x14ac:dyDescent="0.2">
      <c r="A755" s="179"/>
      <c r="B755" s="178"/>
      <c r="C755" s="178" t="s">
        <v>193</v>
      </c>
      <c r="D755" s="177" t="s">
        <v>187</v>
      </c>
      <c r="E755" s="174">
        <v>70</v>
      </c>
      <c r="F755" s="176"/>
      <c r="G755" s="175"/>
      <c r="H755" s="174"/>
      <c r="I755" s="173">
        <v>244.52</v>
      </c>
      <c r="J755" s="174">
        <v>41</v>
      </c>
      <c r="K755" s="173">
        <v>3344.12</v>
      </c>
    </row>
    <row r="756" spans="1:22" ht="14.25" x14ac:dyDescent="0.2">
      <c r="A756" s="179"/>
      <c r="B756" s="178"/>
      <c r="C756" s="178" t="s">
        <v>188</v>
      </c>
      <c r="D756" s="177" t="s">
        <v>187</v>
      </c>
      <c r="E756" s="174">
        <v>175</v>
      </c>
      <c r="F756" s="176"/>
      <c r="G756" s="175"/>
      <c r="H756" s="174"/>
      <c r="I756" s="173">
        <v>11.81</v>
      </c>
      <c r="J756" s="174">
        <v>157</v>
      </c>
      <c r="K756" s="173">
        <v>247.45</v>
      </c>
    </row>
    <row r="757" spans="1:22" ht="14.25" x14ac:dyDescent="0.2">
      <c r="A757" s="172"/>
      <c r="B757" s="171"/>
      <c r="C757" s="171" t="s">
        <v>192</v>
      </c>
      <c r="D757" s="170" t="s">
        <v>191</v>
      </c>
      <c r="E757" s="167">
        <v>0.44</v>
      </c>
      <c r="F757" s="169"/>
      <c r="G757" s="168" t="s">
        <v>1781</v>
      </c>
      <c r="H757" s="167">
        <v>1</v>
      </c>
      <c r="I757" s="166">
        <v>34.159999999999997</v>
      </c>
      <c r="J757" s="167"/>
      <c r="K757" s="166"/>
    </row>
    <row r="758" spans="1:22" ht="15" x14ac:dyDescent="0.25">
      <c r="A758" s="164"/>
      <c r="B758" s="164"/>
      <c r="C758" s="165" t="s">
        <v>183</v>
      </c>
      <c r="D758" s="164"/>
      <c r="E758" s="164"/>
      <c r="F758" s="164"/>
      <c r="G758" s="164"/>
      <c r="H758" s="414">
        <v>17728.810000000001</v>
      </c>
      <c r="I758" s="414"/>
      <c r="J758" s="414">
        <v>132713.85999999999</v>
      </c>
      <c r="K758" s="414"/>
      <c r="O758" s="163">
        <f>I750+I751+I754+I755+I756+SUM(I753:I753)</f>
        <v>17728.810000000001</v>
      </c>
      <c r="P758" s="163">
        <f>K750+K751+K754+K755+K756+SUM(K753:K753)</f>
        <v>132713.85999999999</v>
      </c>
    </row>
    <row r="760" spans="1:22" ht="52.5" x14ac:dyDescent="0.2">
      <c r="A760" s="179" t="s">
        <v>1828</v>
      </c>
      <c r="B760" s="178" t="s">
        <v>237</v>
      </c>
      <c r="C760" s="178" t="s">
        <v>236</v>
      </c>
      <c r="D760" s="177" t="s">
        <v>1741</v>
      </c>
      <c r="E760" s="174">
        <v>11.25</v>
      </c>
      <c r="F760" s="176"/>
      <c r="G760" s="175"/>
      <c r="H760" s="174"/>
      <c r="I760" s="173"/>
      <c r="J760" s="174"/>
      <c r="K760" s="173"/>
      <c r="Q760" s="160">
        <f>[4]Source!X771</f>
        <v>3267.82</v>
      </c>
      <c r="R760" s="160">
        <f>[4]Source!X772</f>
        <v>62363.43</v>
      </c>
      <c r="S760" s="160">
        <f>[4]Source!Y771</f>
        <v>2199.4899999999998</v>
      </c>
      <c r="T760" s="160">
        <f>[4]Source!Y772</f>
        <v>30081.18</v>
      </c>
      <c r="U760" s="160">
        <f>ROUND((175/100)*ROUND([4]Source!R771, 2), 2)</f>
        <v>7.63</v>
      </c>
      <c r="V760" s="160">
        <f>ROUND((157/100)*ROUND([4]Source!R772, 2), 2)</f>
        <v>159.84</v>
      </c>
    </row>
    <row r="761" spans="1:22" x14ac:dyDescent="0.2">
      <c r="C761" s="181" t="s">
        <v>2248</v>
      </c>
    </row>
    <row r="762" spans="1:22" ht="14.25" x14ac:dyDescent="0.2">
      <c r="A762" s="179"/>
      <c r="B762" s="178"/>
      <c r="C762" s="178" t="s">
        <v>197</v>
      </c>
      <c r="D762" s="177"/>
      <c r="E762" s="174"/>
      <c r="F762" s="176">
        <v>242.87</v>
      </c>
      <c r="G762" s="175" t="s">
        <v>1548</v>
      </c>
      <c r="H762" s="174">
        <v>1</v>
      </c>
      <c r="I762" s="173">
        <v>3142.13</v>
      </c>
      <c r="J762" s="174">
        <v>23.35</v>
      </c>
      <c r="K762" s="173">
        <v>73368.740000000005</v>
      </c>
    </row>
    <row r="763" spans="1:22" ht="14.25" x14ac:dyDescent="0.2">
      <c r="A763" s="179"/>
      <c r="B763" s="178"/>
      <c r="C763" s="178" t="s">
        <v>184</v>
      </c>
      <c r="D763" s="177"/>
      <c r="E763" s="174"/>
      <c r="F763" s="176">
        <v>12.59</v>
      </c>
      <c r="G763" s="175" t="s">
        <v>1549</v>
      </c>
      <c r="H763" s="174">
        <v>1</v>
      </c>
      <c r="I763" s="173">
        <v>177.05</v>
      </c>
      <c r="J763" s="174">
        <v>1.58</v>
      </c>
      <c r="K763" s="173">
        <v>279.74</v>
      </c>
    </row>
    <row r="764" spans="1:22" ht="14.25" x14ac:dyDescent="0.2">
      <c r="A764" s="179"/>
      <c r="B764" s="178"/>
      <c r="C764" s="178" t="s">
        <v>189</v>
      </c>
      <c r="D764" s="177"/>
      <c r="E764" s="174"/>
      <c r="F764" s="176">
        <v>0.31</v>
      </c>
      <c r="G764" s="175" t="s">
        <v>1549</v>
      </c>
      <c r="H764" s="174">
        <v>1</v>
      </c>
      <c r="I764" s="180">
        <v>4.3600000000000003</v>
      </c>
      <c r="J764" s="174">
        <v>23.35</v>
      </c>
      <c r="K764" s="180">
        <v>101.81</v>
      </c>
    </row>
    <row r="765" spans="1:22" ht="14.25" x14ac:dyDescent="0.2">
      <c r="A765" s="179"/>
      <c r="B765" s="178"/>
      <c r="C765" s="178" t="s">
        <v>205</v>
      </c>
      <c r="D765" s="177"/>
      <c r="E765" s="174"/>
      <c r="F765" s="176">
        <v>24.75</v>
      </c>
      <c r="G765" s="175" t="s">
        <v>195</v>
      </c>
      <c r="H765" s="174">
        <v>1</v>
      </c>
      <c r="I765" s="173">
        <v>278.44</v>
      </c>
      <c r="J765" s="174">
        <v>4.7699999999999996</v>
      </c>
      <c r="K765" s="173">
        <v>1328.16</v>
      </c>
    </row>
    <row r="766" spans="1:22" ht="14.25" x14ac:dyDescent="0.2">
      <c r="A766" s="179" t="s">
        <v>1829</v>
      </c>
      <c r="B766" s="178" t="s">
        <v>1642</v>
      </c>
      <c r="C766" s="178" t="s">
        <v>271</v>
      </c>
      <c r="D766" s="177" t="s">
        <v>1594</v>
      </c>
      <c r="E766" s="174">
        <v>22.95</v>
      </c>
      <c r="F766" s="176">
        <v>540.41999999999996</v>
      </c>
      <c r="G766" s="182" t="s">
        <v>195</v>
      </c>
      <c r="H766" s="174">
        <v>1</v>
      </c>
      <c r="I766" s="173">
        <v>12402.64</v>
      </c>
      <c r="J766" s="174">
        <v>5.86</v>
      </c>
      <c r="K766" s="173">
        <v>72679.47</v>
      </c>
      <c r="Q766" s="160">
        <f>[4]Source!X773</f>
        <v>0</v>
      </c>
      <c r="R766" s="160">
        <f>[4]Source!X774</f>
        <v>0</v>
      </c>
      <c r="S766" s="160">
        <f>[4]Source!Y773</f>
        <v>0</v>
      </c>
      <c r="T766" s="160">
        <f>[4]Source!Y774</f>
        <v>0</v>
      </c>
      <c r="U766" s="160">
        <f>ROUND((175/100)*ROUND([4]Source!R773, 2), 2)</f>
        <v>0</v>
      </c>
      <c r="V766" s="160">
        <f>ROUND((157/100)*ROUND([4]Source!R774, 2), 2)</f>
        <v>0</v>
      </c>
    </row>
    <row r="767" spans="1:22" ht="14.25" x14ac:dyDescent="0.2">
      <c r="A767" s="179"/>
      <c r="B767" s="178"/>
      <c r="C767" s="178" t="s">
        <v>194</v>
      </c>
      <c r="D767" s="177" t="s">
        <v>187</v>
      </c>
      <c r="E767" s="174">
        <v>104</v>
      </c>
      <c r="F767" s="176"/>
      <c r="G767" s="175"/>
      <c r="H767" s="174"/>
      <c r="I767" s="173">
        <v>3267.82</v>
      </c>
      <c r="J767" s="174">
        <v>85</v>
      </c>
      <c r="K767" s="173">
        <v>62363.43</v>
      </c>
    </row>
    <row r="768" spans="1:22" ht="14.25" x14ac:dyDescent="0.2">
      <c r="A768" s="179"/>
      <c r="B768" s="178"/>
      <c r="C768" s="178" t="s">
        <v>193</v>
      </c>
      <c r="D768" s="177" t="s">
        <v>187</v>
      </c>
      <c r="E768" s="174">
        <v>70</v>
      </c>
      <c r="F768" s="176"/>
      <c r="G768" s="175"/>
      <c r="H768" s="174"/>
      <c r="I768" s="173">
        <v>2199.4899999999998</v>
      </c>
      <c r="J768" s="174">
        <v>41</v>
      </c>
      <c r="K768" s="173">
        <v>30081.18</v>
      </c>
    </row>
    <row r="769" spans="1:22" ht="14.25" x14ac:dyDescent="0.2">
      <c r="A769" s="179"/>
      <c r="B769" s="178"/>
      <c r="C769" s="178" t="s">
        <v>188</v>
      </c>
      <c r="D769" s="177" t="s">
        <v>187</v>
      </c>
      <c r="E769" s="174">
        <v>175</v>
      </c>
      <c r="F769" s="176"/>
      <c r="G769" s="175"/>
      <c r="H769" s="174"/>
      <c r="I769" s="173">
        <v>7.63</v>
      </c>
      <c r="J769" s="174">
        <v>157</v>
      </c>
      <c r="K769" s="173">
        <v>159.84</v>
      </c>
    </row>
    <row r="770" spans="1:22" ht="14.25" x14ac:dyDescent="0.2">
      <c r="A770" s="172"/>
      <c r="B770" s="171"/>
      <c r="C770" s="171" t="s">
        <v>192</v>
      </c>
      <c r="D770" s="170" t="s">
        <v>191</v>
      </c>
      <c r="E770" s="167">
        <v>23.33</v>
      </c>
      <c r="F770" s="169"/>
      <c r="G770" s="168" t="s">
        <v>1548</v>
      </c>
      <c r="H770" s="167">
        <v>1</v>
      </c>
      <c r="I770" s="166">
        <v>301.83</v>
      </c>
      <c r="J770" s="167"/>
      <c r="K770" s="166"/>
    </row>
    <row r="771" spans="1:22" ht="15" x14ac:dyDescent="0.25">
      <c r="A771" s="164"/>
      <c r="B771" s="164"/>
      <c r="C771" s="165" t="s">
        <v>183</v>
      </c>
      <c r="D771" s="164"/>
      <c r="E771" s="164"/>
      <c r="F771" s="164"/>
      <c r="G771" s="164"/>
      <c r="H771" s="414">
        <v>21475.200000000001</v>
      </c>
      <c r="I771" s="414"/>
      <c r="J771" s="414">
        <v>240260.56</v>
      </c>
      <c r="K771" s="414"/>
      <c r="O771" s="163">
        <f>I762+I763+I765+I767+I768+I769+SUM(I766:I766)</f>
        <v>21475.200000000001</v>
      </c>
      <c r="P771" s="163">
        <f>K762+K763+K765+K767+K768+K769+SUM(K766:K766)</f>
        <v>240260.56</v>
      </c>
    </row>
    <row r="773" spans="1:22" ht="52.5" x14ac:dyDescent="0.2">
      <c r="A773" s="179" t="s">
        <v>1835</v>
      </c>
      <c r="B773" s="178" t="s">
        <v>519</v>
      </c>
      <c r="C773" s="178" t="s">
        <v>518</v>
      </c>
      <c r="D773" s="177" t="s">
        <v>2141</v>
      </c>
      <c r="E773" s="174">
        <v>112.5</v>
      </c>
      <c r="F773" s="176"/>
      <c r="G773" s="175"/>
      <c r="H773" s="174"/>
      <c r="I773" s="173"/>
      <c r="J773" s="174"/>
      <c r="K773" s="173"/>
      <c r="Q773" s="160">
        <f>[4]Source!X775</f>
        <v>4960.8599999999997</v>
      </c>
      <c r="R773" s="160">
        <f>[4]Source!X776</f>
        <v>94673.77</v>
      </c>
      <c r="S773" s="160">
        <f>[4]Source!Y775</f>
        <v>3339.04</v>
      </c>
      <c r="T773" s="160">
        <f>[4]Source!Y776</f>
        <v>45666.17</v>
      </c>
      <c r="U773" s="160">
        <f>ROUND((175/100)*ROUND([4]Source!R775, 2), 2)</f>
        <v>2214.85</v>
      </c>
      <c r="V773" s="160">
        <f>ROUND((157/100)*ROUND([4]Source!R776, 2), 2)</f>
        <v>46397.36</v>
      </c>
    </row>
    <row r="774" spans="1:22" ht="14.25" x14ac:dyDescent="0.2">
      <c r="A774" s="179"/>
      <c r="B774" s="178"/>
      <c r="C774" s="178" t="s">
        <v>197</v>
      </c>
      <c r="D774" s="177"/>
      <c r="E774" s="174"/>
      <c r="F774" s="176">
        <v>36.869999999999997</v>
      </c>
      <c r="G774" s="175" t="s">
        <v>1548</v>
      </c>
      <c r="H774" s="174">
        <v>1</v>
      </c>
      <c r="I774" s="173">
        <v>4770.0600000000004</v>
      </c>
      <c r="J774" s="174">
        <v>23.35</v>
      </c>
      <c r="K774" s="173">
        <v>111380.9</v>
      </c>
    </row>
    <row r="775" spans="1:22" ht="14.25" x14ac:dyDescent="0.2">
      <c r="A775" s="179"/>
      <c r="B775" s="178"/>
      <c r="C775" s="178" t="s">
        <v>184</v>
      </c>
      <c r="D775" s="177"/>
      <c r="E775" s="174"/>
      <c r="F775" s="176">
        <v>36.61</v>
      </c>
      <c r="G775" s="175" t="s">
        <v>1549</v>
      </c>
      <c r="H775" s="174">
        <v>1</v>
      </c>
      <c r="I775" s="173">
        <v>5148.28</v>
      </c>
      <c r="J775" s="174">
        <v>9.77</v>
      </c>
      <c r="K775" s="173">
        <v>50298.7</v>
      </c>
    </row>
    <row r="776" spans="1:22" ht="14.25" x14ac:dyDescent="0.2">
      <c r="A776" s="179"/>
      <c r="B776" s="178"/>
      <c r="C776" s="178" t="s">
        <v>189</v>
      </c>
      <c r="D776" s="177"/>
      <c r="E776" s="174"/>
      <c r="F776" s="176">
        <v>9</v>
      </c>
      <c r="G776" s="175" t="s">
        <v>1549</v>
      </c>
      <c r="H776" s="174">
        <v>1</v>
      </c>
      <c r="I776" s="180">
        <v>1265.6300000000001</v>
      </c>
      <c r="J776" s="174">
        <v>23.35</v>
      </c>
      <c r="K776" s="180">
        <v>29552.46</v>
      </c>
    </row>
    <row r="777" spans="1:22" ht="14.25" x14ac:dyDescent="0.2">
      <c r="A777" s="179"/>
      <c r="B777" s="178"/>
      <c r="C777" s="178" t="s">
        <v>205</v>
      </c>
      <c r="D777" s="177"/>
      <c r="E777" s="174"/>
      <c r="F777" s="176">
        <v>397.67</v>
      </c>
      <c r="G777" s="175" t="s">
        <v>195</v>
      </c>
      <c r="H777" s="174">
        <v>1</v>
      </c>
      <c r="I777" s="173">
        <v>44737.88</v>
      </c>
      <c r="J777" s="174">
        <v>5.53</v>
      </c>
      <c r="K777" s="173">
        <v>247400.48</v>
      </c>
    </row>
    <row r="778" spans="1:22" ht="14.25" x14ac:dyDescent="0.2">
      <c r="A778" s="179"/>
      <c r="B778" s="178"/>
      <c r="C778" s="178" t="s">
        <v>194</v>
      </c>
      <c r="D778" s="177" t="s">
        <v>187</v>
      </c>
      <c r="E778" s="174">
        <v>104</v>
      </c>
      <c r="F778" s="176"/>
      <c r="G778" s="175"/>
      <c r="H778" s="174"/>
      <c r="I778" s="173">
        <v>4960.8599999999997</v>
      </c>
      <c r="J778" s="174">
        <v>85</v>
      </c>
      <c r="K778" s="173">
        <v>94673.77</v>
      </c>
    </row>
    <row r="779" spans="1:22" ht="14.25" x14ac:dyDescent="0.2">
      <c r="A779" s="179"/>
      <c r="B779" s="178"/>
      <c r="C779" s="178" t="s">
        <v>193</v>
      </c>
      <c r="D779" s="177" t="s">
        <v>187</v>
      </c>
      <c r="E779" s="174">
        <v>70</v>
      </c>
      <c r="F779" s="176"/>
      <c r="G779" s="175"/>
      <c r="H779" s="174"/>
      <c r="I779" s="173">
        <v>3339.04</v>
      </c>
      <c r="J779" s="174">
        <v>41</v>
      </c>
      <c r="K779" s="173">
        <v>45666.17</v>
      </c>
    </row>
    <row r="780" spans="1:22" ht="14.25" x14ac:dyDescent="0.2">
      <c r="A780" s="179"/>
      <c r="B780" s="178"/>
      <c r="C780" s="178" t="s">
        <v>188</v>
      </c>
      <c r="D780" s="177" t="s">
        <v>187</v>
      </c>
      <c r="E780" s="174">
        <v>175</v>
      </c>
      <c r="F780" s="176"/>
      <c r="G780" s="175"/>
      <c r="H780" s="174"/>
      <c r="I780" s="173">
        <v>2214.85</v>
      </c>
      <c r="J780" s="174">
        <v>157</v>
      </c>
      <c r="K780" s="173">
        <v>46397.36</v>
      </c>
    </row>
    <row r="781" spans="1:22" ht="14.25" x14ac:dyDescent="0.2">
      <c r="A781" s="172"/>
      <c r="B781" s="171"/>
      <c r="C781" s="171" t="s">
        <v>192</v>
      </c>
      <c r="D781" s="170" t="s">
        <v>191</v>
      </c>
      <c r="E781" s="167">
        <v>3.58</v>
      </c>
      <c r="F781" s="169"/>
      <c r="G781" s="168" t="s">
        <v>1548</v>
      </c>
      <c r="H781" s="167">
        <v>1</v>
      </c>
      <c r="I781" s="166">
        <v>463.16</v>
      </c>
      <c r="J781" s="167"/>
      <c r="K781" s="166"/>
    </row>
    <row r="782" spans="1:22" ht="15" x14ac:dyDescent="0.25">
      <c r="A782" s="164"/>
      <c r="B782" s="164"/>
      <c r="C782" s="165" t="s">
        <v>183</v>
      </c>
      <c r="D782" s="164"/>
      <c r="E782" s="164"/>
      <c r="F782" s="164"/>
      <c r="G782" s="164"/>
      <c r="H782" s="414">
        <v>65170.97</v>
      </c>
      <c r="I782" s="414"/>
      <c r="J782" s="414">
        <v>595817.38</v>
      </c>
      <c r="K782" s="414"/>
      <c r="O782" s="163">
        <f>I774+I775+I777+I778+I779+I780</f>
        <v>65170.97</v>
      </c>
      <c r="P782" s="163">
        <f>K774+K775+K777+K778+K779+K780</f>
        <v>595817.38</v>
      </c>
    </row>
    <row r="784" spans="1:22" ht="42.75" x14ac:dyDescent="0.2">
      <c r="A784" s="179" t="s">
        <v>1838</v>
      </c>
      <c r="B784" s="178" t="s">
        <v>517</v>
      </c>
      <c r="C784" s="178" t="s">
        <v>239</v>
      </c>
      <c r="D784" s="177" t="s">
        <v>1540</v>
      </c>
      <c r="E784" s="174">
        <v>11.25</v>
      </c>
      <c r="F784" s="176"/>
      <c r="G784" s="175"/>
      <c r="H784" s="174"/>
      <c r="I784" s="173"/>
      <c r="J784" s="174"/>
      <c r="K784" s="173"/>
      <c r="Q784" s="160">
        <f>[4]Source!X777</f>
        <v>518.41999999999996</v>
      </c>
      <c r="R784" s="160">
        <f>[4]Source!X778</f>
        <v>9893.58</v>
      </c>
      <c r="S784" s="160">
        <f>[4]Source!Y777</f>
        <v>348.94</v>
      </c>
      <c r="T784" s="160">
        <f>[4]Source!Y778</f>
        <v>4772.2</v>
      </c>
      <c r="U784" s="160">
        <f>ROUND((175/100)*ROUND([4]Source!R777, 2), 2)</f>
        <v>4.43</v>
      </c>
      <c r="V784" s="160">
        <f>ROUND((157/100)*ROUND([4]Source!R778, 2), 2)</f>
        <v>92.76</v>
      </c>
    </row>
    <row r="785" spans="1:22" x14ac:dyDescent="0.2">
      <c r="C785" s="181" t="s">
        <v>2248</v>
      </c>
    </row>
    <row r="786" spans="1:22" ht="14.25" x14ac:dyDescent="0.2">
      <c r="A786" s="179"/>
      <c r="B786" s="178"/>
      <c r="C786" s="178" t="s">
        <v>197</v>
      </c>
      <c r="D786" s="177"/>
      <c r="E786" s="174"/>
      <c r="F786" s="176">
        <v>38.53</v>
      </c>
      <c r="G786" s="175" t="s">
        <v>1548</v>
      </c>
      <c r="H786" s="174">
        <v>1</v>
      </c>
      <c r="I786" s="173">
        <v>498.48</v>
      </c>
      <c r="J786" s="174">
        <v>23.35</v>
      </c>
      <c r="K786" s="173">
        <v>11639.51</v>
      </c>
    </row>
    <row r="787" spans="1:22" ht="14.25" x14ac:dyDescent="0.2">
      <c r="A787" s="179"/>
      <c r="B787" s="178"/>
      <c r="C787" s="178" t="s">
        <v>184</v>
      </c>
      <c r="D787" s="177"/>
      <c r="E787" s="174"/>
      <c r="F787" s="176">
        <v>0.92</v>
      </c>
      <c r="G787" s="175" t="s">
        <v>1549</v>
      </c>
      <c r="H787" s="174">
        <v>1</v>
      </c>
      <c r="I787" s="173">
        <v>12.94</v>
      </c>
      <c r="J787" s="174">
        <v>8.8699999999999992</v>
      </c>
      <c r="K787" s="173">
        <v>114.78</v>
      </c>
    </row>
    <row r="788" spans="1:22" ht="14.25" x14ac:dyDescent="0.2">
      <c r="A788" s="179"/>
      <c r="B788" s="178"/>
      <c r="C788" s="178" t="s">
        <v>189</v>
      </c>
      <c r="D788" s="177"/>
      <c r="E788" s="174"/>
      <c r="F788" s="176">
        <v>0.18</v>
      </c>
      <c r="G788" s="175" t="s">
        <v>1549</v>
      </c>
      <c r="H788" s="174">
        <v>1</v>
      </c>
      <c r="I788" s="180">
        <v>2.5299999999999998</v>
      </c>
      <c r="J788" s="174">
        <v>23.35</v>
      </c>
      <c r="K788" s="180">
        <v>59.08</v>
      </c>
    </row>
    <row r="789" spans="1:22" ht="28.5" x14ac:dyDescent="0.2">
      <c r="A789" s="179" t="s">
        <v>1839</v>
      </c>
      <c r="B789" s="178" t="s">
        <v>2249</v>
      </c>
      <c r="C789" s="178" t="s">
        <v>516</v>
      </c>
      <c r="D789" s="177" t="s">
        <v>1557</v>
      </c>
      <c r="E789" s="174">
        <v>1377</v>
      </c>
      <c r="F789" s="176">
        <v>4.2</v>
      </c>
      <c r="G789" s="182" t="s">
        <v>195</v>
      </c>
      <c r="H789" s="174">
        <v>1</v>
      </c>
      <c r="I789" s="173">
        <v>5783.4</v>
      </c>
      <c r="J789" s="174">
        <v>6.94</v>
      </c>
      <c r="K789" s="173">
        <v>40136.800000000003</v>
      </c>
      <c r="Q789" s="160">
        <f>[4]Source!X779</f>
        <v>0</v>
      </c>
      <c r="R789" s="160">
        <f>[4]Source!X780</f>
        <v>0</v>
      </c>
      <c r="S789" s="160">
        <f>[4]Source!Y779</f>
        <v>0</v>
      </c>
      <c r="T789" s="160">
        <f>[4]Source!Y780</f>
        <v>0</v>
      </c>
      <c r="U789" s="160">
        <f>ROUND((175/100)*ROUND([4]Source!R779, 2), 2)</f>
        <v>0</v>
      </c>
      <c r="V789" s="160">
        <f>ROUND((157/100)*ROUND([4]Source!R780, 2), 2)</f>
        <v>0</v>
      </c>
    </row>
    <row r="790" spans="1:22" ht="14.25" x14ac:dyDescent="0.2">
      <c r="A790" s="179"/>
      <c r="B790" s="178"/>
      <c r="C790" s="178" t="s">
        <v>194</v>
      </c>
      <c r="D790" s="177" t="s">
        <v>187</v>
      </c>
      <c r="E790" s="174">
        <v>104</v>
      </c>
      <c r="F790" s="176"/>
      <c r="G790" s="175"/>
      <c r="H790" s="174"/>
      <c r="I790" s="173">
        <v>518.41999999999996</v>
      </c>
      <c r="J790" s="174">
        <v>85</v>
      </c>
      <c r="K790" s="173">
        <v>9893.58</v>
      </c>
    </row>
    <row r="791" spans="1:22" ht="14.25" x14ac:dyDescent="0.2">
      <c r="A791" s="179"/>
      <c r="B791" s="178"/>
      <c r="C791" s="178" t="s">
        <v>193</v>
      </c>
      <c r="D791" s="177" t="s">
        <v>187</v>
      </c>
      <c r="E791" s="174">
        <v>70</v>
      </c>
      <c r="F791" s="176"/>
      <c r="G791" s="175"/>
      <c r="H791" s="174"/>
      <c r="I791" s="173">
        <v>348.94</v>
      </c>
      <c r="J791" s="174">
        <v>41</v>
      </c>
      <c r="K791" s="173">
        <v>4772.2</v>
      </c>
    </row>
    <row r="792" spans="1:22" ht="14.25" x14ac:dyDescent="0.2">
      <c r="A792" s="179"/>
      <c r="B792" s="178"/>
      <c r="C792" s="178" t="s">
        <v>188</v>
      </c>
      <c r="D792" s="177" t="s">
        <v>187</v>
      </c>
      <c r="E792" s="174">
        <v>175</v>
      </c>
      <c r="F792" s="176"/>
      <c r="G792" s="175"/>
      <c r="H792" s="174"/>
      <c r="I792" s="173">
        <v>4.43</v>
      </c>
      <c r="J792" s="174">
        <v>157</v>
      </c>
      <c r="K792" s="173">
        <v>92.76</v>
      </c>
    </row>
    <row r="793" spans="1:22" ht="14.25" x14ac:dyDescent="0.2">
      <c r="A793" s="172"/>
      <c r="B793" s="171"/>
      <c r="C793" s="171" t="s">
        <v>192</v>
      </c>
      <c r="D793" s="170" t="s">
        <v>191</v>
      </c>
      <c r="E793" s="167">
        <v>3.45</v>
      </c>
      <c r="F793" s="169"/>
      <c r="G793" s="168" t="s">
        <v>1548</v>
      </c>
      <c r="H793" s="167">
        <v>1</v>
      </c>
      <c r="I793" s="166">
        <v>44.63</v>
      </c>
      <c r="J793" s="167"/>
      <c r="K793" s="166"/>
    </row>
    <row r="794" spans="1:22" ht="15" x14ac:dyDescent="0.25">
      <c r="A794" s="164"/>
      <c r="B794" s="164"/>
      <c r="C794" s="165" t="s">
        <v>183</v>
      </c>
      <c r="D794" s="164"/>
      <c r="E794" s="164"/>
      <c r="F794" s="164"/>
      <c r="G794" s="164"/>
      <c r="H794" s="414">
        <v>7166.61</v>
      </c>
      <c r="I794" s="414"/>
      <c r="J794" s="414">
        <v>66649.63</v>
      </c>
      <c r="K794" s="414"/>
      <c r="O794" s="163">
        <f>I786+I787+I790+I791+I792+SUM(I789:I789)</f>
        <v>7166.61</v>
      </c>
      <c r="P794" s="163">
        <f>K786+K787+K790+K791+K792+SUM(K789:K789)</f>
        <v>66649.63</v>
      </c>
    </row>
    <row r="796" spans="1:22" ht="52.5" x14ac:dyDescent="0.2">
      <c r="A796" s="179" t="s">
        <v>1840</v>
      </c>
      <c r="B796" s="178" t="s">
        <v>515</v>
      </c>
      <c r="C796" s="178" t="s">
        <v>514</v>
      </c>
      <c r="D796" s="177" t="s">
        <v>2141</v>
      </c>
      <c r="E796" s="174">
        <v>168.75</v>
      </c>
      <c r="F796" s="176"/>
      <c r="G796" s="175"/>
      <c r="H796" s="174"/>
      <c r="I796" s="173"/>
      <c r="J796" s="174"/>
      <c r="K796" s="173"/>
      <c r="Q796" s="160">
        <f>[4]Source!X781</f>
        <v>23914.75</v>
      </c>
      <c r="R796" s="160">
        <f>[4]Source!X782</f>
        <v>447954.72</v>
      </c>
      <c r="S796" s="160">
        <f>[4]Source!Y781</f>
        <v>18395.96</v>
      </c>
      <c r="T796" s="160">
        <f>[4]Source!Y782</f>
        <v>251591.01</v>
      </c>
      <c r="U796" s="160">
        <f>ROUND((175/100)*ROUND([4]Source!R781, 2), 2)</f>
        <v>2975.28</v>
      </c>
      <c r="V796" s="160">
        <f>ROUND((157/100)*ROUND([4]Source!R782, 2), 2)</f>
        <v>62327.02</v>
      </c>
    </row>
    <row r="797" spans="1:22" x14ac:dyDescent="0.2">
      <c r="C797" s="181" t="s">
        <v>2250</v>
      </c>
    </row>
    <row r="798" spans="1:22" ht="14.25" x14ac:dyDescent="0.2">
      <c r="A798" s="179"/>
      <c r="B798" s="178"/>
      <c r="C798" s="178" t="s">
        <v>197</v>
      </c>
      <c r="D798" s="177"/>
      <c r="E798" s="174"/>
      <c r="F798" s="176">
        <v>135.41999999999999</v>
      </c>
      <c r="G798" s="175" t="s">
        <v>1548</v>
      </c>
      <c r="H798" s="174">
        <v>1</v>
      </c>
      <c r="I798" s="173">
        <v>26279.94</v>
      </c>
      <c r="J798" s="174">
        <v>23.35</v>
      </c>
      <c r="K798" s="173">
        <v>613636.6</v>
      </c>
    </row>
    <row r="799" spans="1:22" ht="14.25" x14ac:dyDescent="0.2">
      <c r="A799" s="179"/>
      <c r="B799" s="178"/>
      <c r="C799" s="178" t="s">
        <v>184</v>
      </c>
      <c r="D799" s="177"/>
      <c r="E799" s="174"/>
      <c r="F799" s="176">
        <v>45.42</v>
      </c>
      <c r="G799" s="175" t="s">
        <v>1549</v>
      </c>
      <c r="H799" s="174">
        <v>1</v>
      </c>
      <c r="I799" s="173">
        <v>9580.7800000000007</v>
      </c>
      <c r="J799" s="174">
        <v>8.74</v>
      </c>
      <c r="K799" s="173">
        <v>83736.02</v>
      </c>
    </row>
    <row r="800" spans="1:22" ht="14.25" x14ac:dyDescent="0.2">
      <c r="A800" s="179"/>
      <c r="B800" s="178"/>
      <c r="C800" s="178" t="s">
        <v>189</v>
      </c>
      <c r="D800" s="177"/>
      <c r="E800" s="174"/>
      <c r="F800" s="176">
        <v>8.06</v>
      </c>
      <c r="G800" s="175" t="s">
        <v>1549</v>
      </c>
      <c r="H800" s="174">
        <v>1</v>
      </c>
      <c r="I800" s="180">
        <v>1700.16</v>
      </c>
      <c r="J800" s="174">
        <v>23.35</v>
      </c>
      <c r="K800" s="180">
        <v>39698.74</v>
      </c>
    </row>
    <row r="801" spans="1:22" ht="85.5" x14ac:dyDescent="0.2">
      <c r="A801" s="179" t="s">
        <v>1841</v>
      </c>
      <c r="B801" s="178" t="s">
        <v>2251</v>
      </c>
      <c r="C801" s="178" t="s">
        <v>513</v>
      </c>
      <c r="D801" s="177" t="s">
        <v>1594</v>
      </c>
      <c r="E801" s="174">
        <v>112.5</v>
      </c>
      <c r="F801" s="176">
        <v>2203.0100000000002</v>
      </c>
      <c r="G801" s="182" t="s">
        <v>195</v>
      </c>
      <c r="H801" s="174">
        <v>1</v>
      </c>
      <c r="I801" s="173">
        <v>247838.63</v>
      </c>
      <c r="J801" s="174">
        <v>4.2699999999999996</v>
      </c>
      <c r="K801" s="173">
        <v>1058270.95</v>
      </c>
      <c r="Q801" s="160">
        <f>[4]Source!X783</f>
        <v>0</v>
      </c>
      <c r="R801" s="160">
        <f>[4]Source!X784</f>
        <v>0</v>
      </c>
      <c r="S801" s="160">
        <f>[4]Source!Y783</f>
        <v>0</v>
      </c>
      <c r="T801" s="160">
        <f>[4]Source!Y784</f>
        <v>0</v>
      </c>
      <c r="U801" s="160">
        <f>ROUND((175/100)*ROUND([4]Source!R783, 2), 2)</f>
        <v>0</v>
      </c>
      <c r="V801" s="160">
        <f>ROUND((157/100)*ROUND([4]Source!R784, 2), 2)</f>
        <v>0</v>
      </c>
    </row>
    <row r="802" spans="1:22" ht="85.5" x14ac:dyDescent="0.2">
      <c r="A802" s="179" t="s">
        <v>2252</v>
      </c>
      <c r="B802" s="178" t="s">
        <v>2253</v>
      </c>
      <c r="C802" s="178" t="s">
        <v>512</v>
      </c>
      <c r="D802" s="177" t="s">
        <v>1594</v>
      </c>
      <c r="E802" s="174">
        <v>56.25</v>
      </c>
      <c r="F802" s="176">
        <v>1247.1500000000001</v>
      </c>
      <c r="G802" s="182" t="s">
        <v>195</v>
      </c>
      <c r="H802" s="174">
        <v>1</v>
      </c>
      <c r="I802" s="173">
        <v>70152.19</v>
      </c>
      <c r="J802" s="174">
        <v>4.38</v>
      </c>
      <c r="K802" s="173">
        <v>307266.59000000003</v>
      </c>
      <c r="Q802" s="160">
        <f>[4]Source!X785</f>
        <v>0</v>
      </c>
      <c r="R802" s="160">
        <f>[4]Source!X786</f>
        <v>0</v>
      </c>
      <c r="S802" s="160">
        <f>[4]Source!Y785</f>
        <v>0</v>
      </c>
      <c r="T802" s="160">
        <f>[4]Source!Y786</f>
        <v>0</v>
      </c>
      <c r="U802" s="160">
        <f>ROUND((175/100)*ROUND([4]Source!R785, 2), 2)</f>
        <v>0</v>
      </c>
      <c r="V802" s="160">
        <f>ROUND((157/100)*ROUND([4]Source!R786, 2), 2)</f>
        <v>0</v>
      </c>
    </row>
    <row r="803" spans="1:22" ht="14.25" x14ac:dyDescent="0.2">
      <c r="A803" s="179"/>
      <c r="B803" s="178"/>
      <c r="C803" s="178" t="s">
        <v>194</v>
      </c>
      <c r="D803" s="177" t="s">
        <v>187</v>
      </c>
      <c r="E803" s="174">
        <v>91</v>
      </c>
      <c r="F803" s="176"/>
      <c r="G803" s="175"/>
      <c r="H803" s="174"/>
      <c r="I803" s="173">
        <v>23914.75</v>
      </c>
      <c r="J803" s="174">
        <v>73</v>
      </c>
      <c r="K803" s="173">
        <v>447954.72</v>
      </c>
    </row>
    <row r="804" spans="1:22" ht="14.25" x14ac:dyDescent="0.2">
      <c r="A804" s="179"/>
      <c r="B804" s="178"/>
      <c r="C804" s="178" t="s">
        <v>193</v>
      </c>
      <c r="D804" s="177" t="s">
        <v>187</v>
      </c>
      <c r="E804" s="174">
        <v>70</v>
      </c>
      <c r="F804" s="176"/>
      <c r="G804" s="175"/>
      <c r="H804" s="174"/>
      <c r="I804" s="173">
        <v>18395.96</v>
      </c>
      <c r="J804" s="174">
        <v>41</v>
      </c>
      <c r="K804" s="173">
        <v>251591.01</v>
      </c>
    </row>
    <row r="805" spans="1:22" ht="14.25" x14ac:dyDescent="0.2">
      <c r="A805" s="179"/>
      <c r="B805" s="178"/>
      <c r="C805" s="178" t="s">
        <v>188</v>
      </c>
      <c r="D805" s="177" t="s">
        <v>187</v>
      </c>
      <c r="E805" s="174">
        <v>175</v>
      </c>
      <c r="F805" s="176"/>
      <c r="G805" s="175"/>
      <c r="H805" s="174"/>
      <c r="I805" s="173">
        <v>2975.28</v>
      </c>
      <c r="J805" s="174">
        <v>157</v>
      </c>
      <c r="K805" s="173">
        <v>62327.02</v>
      </c>
    </row>
    <row r="806" spans="1:22" ht="14.25" x14ac:dyDescent="0.2">
      <c r="A806" s="172"/>
      <c r="B806" s="171"/>
      <c r="C806" s="171" t="s">
        <v>192</v>
      </c>
      <c r="D806" s="170" t="s">
        <v>191</v>
      </c>
      <c r="E806" s="167">
        <v>10.58</v>
      </c>
      <c r="F806" s="169"/>
      <c r="G806" s="168" t="s">
        <v>1548</v>
      </c>
      <c r="H806" s="167">
        <v>1</v>
      </c>
      <c r="I806" s="166">
        <v>2053.1799999999998</v>
      </c>
      <c r="J806" s="167"/>
      <c r="K806" s="166"/>
    </row>
    <row r="807" spans="1:22" ht="15" x14ac:dyDescent="0.25">
      <c r="A807" s="164"/>
      <c r="B807" s="164"/>
      <c r="C807" s="165" t="s">
        <v>183</v>
      </c>
      <c r="D807" s="164"/>
      <c r="E807" s="164"/>
      <c r="F807" s="164"/>
      <c r="G807" s="164"/>
      <c r="H807" s="414">
        <v>399137.53</v>
      </c>
      <c r="I807" s="414"/>
      <c r="J807" s="414">
        <v>2824782.91</v>
      </c>
      <c r="K807" s="414"/>
      <c r="O807" s="163">
        <f>I798+I799+I803+I804+I805+SUM(I801:I802)</f>
        <v>399137.53</v>
      </c>
      <c r="P807" s="163">
        <f>K798+K799+K803+K804+K805+SUM(K801:K802)</f>
        <v>2824782.91</v>
      </c>
    </row>
    <row r="809" spans="1:22" ht="52.5" x14ac:dyDescent="0.2">
      <c r="A809" s="179" t="s">
        <v>1842</v>
      </c>
      <c r="B809" s="178" t="s">
        <v>511</v>
      </c>
      <c r="C809" s="178" t="s">
        <v>510</v>
      </c>
      <c r="D809" s="177" t="s">
        <v>1686</v>
      </c>
      <c r="E809" s="174">
        <v>1.7</v>
      </c>
      <c r="F809" s="176"/>
      <c r="G809" s="175"/>
      <c r="H809" s="174"/>
      <c r="I809" s="173"/>
      <c r="J809" s="174"/>
      <c r="K809" s="173"/>
      <c r="Q809" s="160">
        <f>[4]Source!X787</f>
        <v>78.739999999999995</v>
      </c>
      <c r="R809" s="160">
        <f>[4]Source!X788</f>
        <v>1488.37</v>
      </c>
      <c r="S809" s="160">
        <f>[4]Source!Y787</f>
        <v>52.49</v>
      </c>
      <c r="T809" s="160">
        <f>[4]Source!Y788</f>
        <v>717.92</v>
      </c>
      <c r="U809" s="160">
        <f>ROUND((175/100)*ROUND([4]Source!R787, 2), 2)</f>
        <v>9.82</v>
      </c>
      <c r="V809" s="160">
        <f>ROUND((157/100)*ROUND([4]Source!R788, 2), 2)</f>
        <v>205.65</v>
      </c>
    </row>
    <row r="810" spans="1:22" x14ac:dyDescent="0.2">
      <c r="C810" s="181" t="s">
        <v>2254</v>
      </c>
    </row>
    <row r="811" spans="1:22" ht="14.25" x14ac:dyDescent="0.2">
      <c r="A811" s="179"/>
      <c r="B811" s="178"/>
      <c r="C811" s="178" t="s">
        <v>197</v>
      </c>
      <c r="D811" s="177"/>
      <c r="E811" s="174"/>
      <c r="F811" s="176">
        <v>38.36</v>
      </c>
      <c r="G811" s="175" t="s">
        <v>1548</v>
      </c>
      <c r="H811" s="174">
        <v>1</v>
      </c>
      <c r="I811" s="173">
        <v>74.989999999999995</v>
      </c>
      <c r="J811" s="174">
        <v>23.35</v>
      </c>
      <c r="K811" s="173">
        <v>1751.02</v>
      </c>
    </row>
    <row r="812" spans="1:22" ht="14.25" x14ac:dyDescent="0.2">
      <c r="A812" s="179"/>
      <c r="B812" s="178"/>
      <c r="C812" s="178" t="s">
        <v>184</v>
      </c>
      <c r="D812" s="177"/>
      <c r="E812" s="174"/>
      <c r="F812" s="176">
        <v>11.17</v>
      </c>
      <c r="G812" s="175" t="s">
        <v>1549</v>
      </c>
      <c r="H812" s="174">
        <v>1</v>
      </c>
      <c r="I812" s="173">
        <v>23.74</v>
      </c>
      <c r="J812" s="174">
        <v>9.6</v>
      </c>
      <c r="K812" s="173">
        <v>227.9</v>
      </c>
    </row>
    <row r="813" spans="1:22" ht="14.25" x14ac:dyDescent="0.2">
      <c r="A813" s="179"/>
      <c r="B813" s="178"/>
      <c r="C813" s="178" t="s">
        <v>189</v>
      </c>
      <c r="D813" s="177"/>
      <c r="E813" s="174"/>
      <c r="F813" s="176">
        <v>2.64</v>
      </c>
      <c r="G813" s="175" t="s">
        <v>1549</v>
      </c>
      <c r="H813" s="174">
        <v>1</v>
      </c>
      <c r="I813" s="180">
        <v>5.61</v>
      </c>
      <c r="J813" s="174">
        <v>23.35</v>
      </c>
      <c r="K813" s="180">
        <v>130.99</v>
      </c>
    </row>
    <row r="814" spans="1:22" ht="14.25" x14ac:dyDescent="0.2">
      <c r="A814" s="179"/>
      <c r="B814" s="178"/>
      <c r="C814" s="178" t="s">
        <v>205</v>
      </c>
      <c r="D814" s="177"/>
      <c r="E814" s="174"/>
      <c r="F814" s="176">
        <v>1.54</v>
      </c>
      <c r="G814" s="175" t="s">
        <v>195</v>
      </c>
      <c r="H814" s="174">
        <v>1</v>
      </c>
      <c r="I814" s="173">
        <v>2.62</v>
      </c>
      <c r="J814" s="174">
        <v>5.42</v>
      </c>
      <c r="K814" s="173">
        <v>14.2</v>
      </c>
    </row>
    <row r="815" spans="1:22" ht="28.5" x14ac:dyDescent="0.2">
      <c r="A815" s="179" t="s">
        <v>1843</v>
      </c>
      <c r="B815" s="178" t="s">
        <v>2255</v>
      </c>
      <c r="C815" s="178" t="s">
        <v>509</v>
      </c>
      <c r="D815" s="177" t="s">
        <v>1594</v>
      </c>
      <c r="E815" s="174">
        <v>2.5499999999999998</v>
      </c>
      <c r="F815" s="176">
        <v>1828.56</v>
      </c>
      <c r="G815" s="182" t="s">
        <v>195</v>
      </c>
      <c r="H815" s="174">
        <v>1</v>
      </c>
      <c r="I815" s="173">
        <v>4662.83</v>
      </c>
      <c r="J815" s="174">
        <v>2.65</v>
      </c>
      <c r="K815" s="173">
        <v>12356.5</v>
      </c>
      <c r="Q815" s="160">
        <f>[4]Source!X789</f>
        <v>0</v>
      </c>
      <c r="R815" s="160">
        <f>[4]Source!X790</f>
        <v>0</v>
      </c>
      <c r="S815" s="160">
        <f>[4]Source!Y789</f>
        <v>0</v>
      </c>
      <c r="T815" s="160">
        <f>[4]Source!Y790</f>
        <v>0</v>
      </c>
      <c r="U815" s="160">
        <f>ROUND((175/100)*ROUND([4]Source!R789, 2), 2)</f>
        <v>0</v>
      </c>
      <c r="V815" s="160">
        <f>ROUND((157/100)*ROUND([4]Source!R790, 2), 2)</f>
        <v>0</v>
      </c>
    </row>
    <row r="816" spans="1:22" ht="14.25" x14ac:dyDescent="0.2">
      <c r="A816" s="179"/>
      <c r="B816" s="178"/>
      <c r="C816" s="178" t="s">
        <v>194</v>
      </c>
      <c r="D816" s="177" t="s">
        <v>187</v>
      </c>
      <c r="E816" s="174">
        <v>105</v>
      </c>
      <c r="F816" s="176"/>
      <c r="G816" s="175"/>
      <c r="H816" s="174"/>
      <c r="I816" s="173">
        <v>78.739999999999995</v>
      </c>
      <c r="J816" s="174">
        <v>85</v>
      </c>
      <c r="K816" s="173">
        <v>1488.37</v>
      </c>
    </row>
    <row r="817" spans="1:22" ht="14.25" x14ac:dyDescent="0.2">
      <c r="A817" s="179"/>
      <c r="B817" s="178"/>
      <c r="C817" s="178" t="s">
        <v>193</v>
      </c>
      <c r="D817" s="177" t="s">
        <v>187</v>
      </c>
      <c r="E817" s="174">
        <v>70</v>
      </c>
      <c r="F817" s="176"/>
      <c r="G817" s="175"/>
      <c r="H817" s="174"/>
      <c r="I817" s="173">
        <v>52.49</v>
      </c>
      <c r="J817" s="174">
        <v>41</v>
      </c>
      <c r="K817" s="173">
        <v>717.92</v>
      </c>
    </row>
    <row r="818" spans="1:22" ht="14.25" x14ac:dyDescent="0.2">
      <c r="A818" s="179"/>
      <c r="B818" s="178"/>
      <c r="C818" s="178" t="s">
        <v>188</v>
      </c>
      <c r="D818" s="177" t="s">
        <v>187</v>
      </c>
      <c r="E818" s="174">
        <v>175</v>
      </c>
      <c r="F818" s="176"/>
      <c r="G818" s="175"/>
      <c r="H818" s="174"/>
      <c r="I818" s="173">
        <v>9.82</v>
      </c>
      <c r="J818" s="174">
        <v>157</v>
      </c>
      <c r="K818" s="173">
        <v>205.65</v>
      </c>
    </row>
    <row r="819" spans="1:22" ht="14.25" x14ac:dyDescent="0.2">
      <c r="A819" s="172"/>
      <c r="B819" s="171"/>
      <c r="C819" s="171" t="s">
        <v>192</v>
      </c>
      <c r="D819" s="170" t="s">
        <v>191</v>
      </c>
      <c r="E819" s="167">
        <v>3.49</v>
      </c>
      <c r="F819" s="169"/>
      <c r="G819" s="168" t="s">
        <v>1548</v>
      </c>
      <c r="H819" s="167">
        <v>1</v>
      </c>
      <c r="I819" s="166">
        <v>6.82</v>
      </c>
      <c r="J819" s="167"/>
      <c r="K819" s="166"/>
    </row>
    <row r="820" spans="1:22" ht="15" x14ac:dyDescent="0.25">
      <c r="A820" s="164"/>
      <c r="B820" s="164"/>
      <c r="C820" s="165" t="s">
        <v>183</v>
      </c>
      <c r="D820" s="164"/>
      <c r="E820" s="164"/>
      <c r="F820" s="164"/>
      <c r="G820" s="164"/>
      <c r="H820" s="414">
        <v>4905.2299999999996</v>
      </c>
      <c r="I820" s="414"/>
      <c r="J820" s="414">
        <v>16761.560000000001</v>
      </c>
      <c r="K820" s="414"/>
      <c r="O820" s="163">
        <f>I811+I812+I814+I816+I817+I818+SUM(I815:I815)</f>
        <v>4905.2299999999996</v>
      </c>
      <c r="P820" s="163">
        <f>K811+K812+K814+K816+K817+K818+SUM(K815:K815)</f>
        <v>16761.560000000001</v>
      </c>
    </row>
    <row r="822" spans="1:22" ht="42.75" x14ac:dyDescent="0.2">
      <c r="A822" s="179" t="s">
        <v>1844</v>
      </c>
      <c r="B822" s="178" t="s">
        <v>2256</v>
      </c>
      <c r="C822" s="178" t="s">
        <v>508</v>
      </c>
      <c r="D822" s="177" t="s">
        <v>2257</v>
      </c>
      <c r="E822" s="174">
        <v>187.5</v>
      </c>
      <c r="F822" s="176"/>
      <c r="G822" s="175"/>
      <c r="H822" s="174"/>
      <c r="I822" s="173"/>
      <c r="J822" s="174"/>
      <c r="K822" s="173"/>
      <c r="Q822" s="160">
        <f>[4]Source!X791</f>
        <v>555</v>
      </c>
      <c r="R822" s="160">
        <f>[4]Source!X792</f>
        <v>10496.99</v>
      </c>
      <c r="S822" s="160">
        <f>[4]Source!Y791</f>
        <v>355.2</v>
      </c>
      <c r="T822" s="160">
        <f>[4]Source!Y792</f>
        <v>5313.29</v>
      </c>
      <c r="U822" s="160">
        <f>ROUND((175/100)*ROUND([4]Source!R791, 2), 2)</f>
        <v>0</v>
      </c>
      <c r="V822" s="160">
        <f>ROUND((157/100)*ROUND([4]Source!R792, 2), 2)</f>
        <v>0</v>
      </c>
    </row>
    <row r="823" spans="1:22" ht="14.25" x14ac:dyDescent="0.2">
      <c r="A823" s="179"/>
      <c r="B823" s="178"/>
      <c r="C823" s="178" t="s">
        <v>197</v>
      </c>
      <c r="D823" s="177"/>
      <c r="E823" s="174"/>
      <c r="F823" s="176">
        <v>2.96</v>
      </c>
      <c r="G823" s="175" t="s">
        <v>195</v>
      </c>
      <c r="H823" s="174">
        <v>1</v>
      </c>
      <c r="I823" s="173">
        <v>555</v>
      </c>
      <c r="J823" s="174">
        <v>23.35</v>
      </c>
      <c r="K823" s="173">
        <v>12959.25</v>
      </c>
    </row>
    <row r="824" spans="1:22" ht="14.25" x14ac:dyDescent="0.2">
      <c r="A824" s="179"/>
      <c r="B824" s="178"/>
      <c r="C824" s="178" t="s">
        <v>205</v>
      </c>
      <c r="D824" s="177"/>
      <c r="E824" s="174"/>
      <c r="F824" s="176">
        <v>12.07</v>
      </c>
      <c r="G824" s="175" t="s">
        <v>195</v>
      </c>
      <c r="H824" s="174">
        <v>1</v>
      </c>
      <c r="I824" s="173">
        <v>2263.13</v>
      </c>
      <c r="J824" s="174">
        <v>4.1900000000000004</v>
      </c>
      <c r="K824" s="173">
        <v>9482.51</v>
      </c>
    </row>
    <row r="825" spans="1:22" ht="14.25" x14ac:dyDescent="0.2">
      <c r="A825" s="179"/>
      <c r="B825" s="178"/>
      <c r="C825" s="178" t="s">
        <v>194</v>
      </c>
      <c r="D825" s="177" t="s">
        <v>187</v>
      </c>
      <c r="E825" s="174">
        <v>100</v>
      </c>
      <c r="F825" s="176"/>
      <c r="G825" s="175"/>
      <c r="H825" s="174"/>
      <c r="I825" s="173">
        <v>555</v>
      </c>
      <c r="J825" s="174">
        <v>81</v>
      </c>
      <c r="K825" s="173">
        <v>10496.99</v>
      </c>
    </row>
    <row r="826" spans="1:22" ht="14.25" x14ac:dyDescent="0.2">
      <c r="A826" s="179"/>
      <c r="B826" s="178"/>
      <c r="C826" s="178" t="s">
        <v>193</v>
      </c>
      <c r="D826" s="177" t="s">
        <v>187</v>
      </c>
      <c r="E826" s="174">
        <v>64</v>
      </c>
      <c r="F826" s="176"/>
      <c r="G826" s="175"/>
      <c r="H826" s="174"/>
      <c r="I826" s="173">
        <v>355.2</v>
      </c>
      <c r="J826" s="174">
        <v>41</v>
      </c>
      <c r="K826" s="173">
        <v>5313.29</v>
      </c>
    </row>
    <row r="827" spans="1:22" ht="14.25" x14ac:dyDescent="0.2">
      <c r="A827" s="172"/>
      <c r="B827" s="171"/>
      <c r="C827" s="171" t="s">
        <v>192</v>
      </c>
      <c r="D827" s="170" t="s">
        <v>191</v>
      </c>
      <c r="E827" s="167">
        <v>0.28000000000000003</v>
      </c>
      <c r="F827" s="169"/>
      <c r="G827" s="168" t="s">
        <v>195</v>
      </c>
      <c r="H827" s="167">
        <v>1</v>
      </c>
      <c r="I827" s="166">
        <v>52.5</v>
      </c>
      <c r="J827" s="167"/>
      <c r="K827" s="166"/>
    </row>
    <row r="828" spans="1:22" ht="15" x14ac:dyDescent="0.25">
      <c r="A828" s="164"/>
      <c r="B828" s="164"/>
      <c r="C828" s="165" t="s">
        <v>183</v>
      </c>
      <c r="D828" s="164"/>
      <c r="E828" s="164"/>
      <c r="F828" s="164"/>
      <c r="G828" s="164"/>
      <c r="H828" s="414">
        <v>3728.33</v>
      </c>
      <c r="I828" s="414"/>
      <c r="J828" s="414">
        <v>38252.04</v>
      </c>
      <c r="K828" s="414"/>
      <c r="O828" s="163">
        <f>I823+I824+I825+I826</f>
        <v>3728.33</v>
      </c>
      <c r="P828" s="163">
        <f>K823+K824+K825+K826</f>
        <v>38252.04</v>
      </c>
    </row>
    <row r="831" spans="1:22" ht="16.5" x14ac:dyDescent="0.25">
      <c r="A831" s="413" t="s">
        <v>2258</v>
      </c>
      <c r="B831" s="413"/>
      <c r="C831" s="413"/>
      <c r="D831" s="413"/>
      <c r="E831" s="413"/>
      <c r="F831" s="413"/>
      <c r="G831" s="413"/>
      <c r="H831" s="413"/>
      <c r="I831" s="413"/>
      <c r="J831" s="413"/>
      <c r="K831" s="413"/>
    </row>
    <row r="832" spans="1:22" ht="52.5" x14ac:dyDescent="0.2">
      <c r="A832" s="179" t="s">
        <v>1846</v>
      </c>
      <c r="B832" s="178" t="s">
        <v>507</v>
      </c>
      <c r="C832" s="178" t="s">
        <v>506</v>
      </c>
      <c r="D832" s="177" t="s">
        <v>1785</v>
      </c>
      <c r="E832" s="174">
        <v>4.7200000000000002E-3</v>
      </c>
      <c r="F832" s="176"/>
      <c r="G832" s="175"/>
      <c r="H832" s="174"/>
      <c r="I832" s="173"/>
      <c r="J832" s="174"/>
      <c r="K832" s="173"/>
      <c r="Q832" s="160">
        <f>[4]Source!X798</f>
        <v>10.87</v>
      </c>
      <c r="R832" s="160">
        <f>[4]Source!X799</f>
        <v>203.08</v>
      </c>
      <c r="S832" s="160">
        <f>[4]Source!Y798</f>
        <v>8.9499999999999993</v>
      </c>
      <c r="T832" s="160">
        <f>[4]Source!Y799</f>
        <v>122.45</v>
      </c>
      <c r="U832" s="160">
        <f>ROUND((175/100)*ROUND([4]Source!R798, 2), 2)</f>
        <v>7.0000000000000007E-2</v>
      </c>
      <c r="V832" s="160">
        <f>ROUND((157/100)*ROUND([4]Source!R799, 2), 2)</f>
        <v>1.1000000000000001</v>
      </c>
    </row>
    <row r="833" spans="1:22" x14ac:dyDescent="0.2">
      <c r="C833" s="181" t="s">
        <v>2259</v>
      </c>
    </row>
    <row r="834" spans="1:22" ht="14.25" x14ac:dyDescent="0.2">
      <c r="A834" s="179"/>
      <c r="B834" s="178"/>
      <c r="C834" s="178" t="s">
        <v>197</v>
      </c>
      <c r="D834" s="177"/>
      <c r="E834" s="174"/>
      <c r="F834" s="176">
        <v>2356.1999999999998</v>
      </c>
      <c r="G834" s="175" t="s">
        <v>1548</v>
      </c>
      <c r="H834" s="174">
        <v>1</v>
      </c>
      <c r="I834" s="173">
        <v>12.79</v>
      </c>
      <c r="J834" s="174">
        <v>23.35</v>
      </c>
      <c r="K834" s="173">
        <v>298.64999999999998</v>
      </c>
    </row>
    <row r="835" spans="1:22" ht="14.25" x14ac:dyDescent="0.2">
      <c r="A835" s="179"/>
      <c r="B835" s="178"/>
      <c r="C835" s="178" t="s">
        <v>184</v>
      </c>
      <c r="D835" s="177"/>
      <c r="E835" s="174"/>
      <c r="F835" s="176">
        <v>28.89</v>
      </c>
      <c r="G835" s="175" t="s">
        <v>1549</v>
      </c>
      <c r="H835" s="174">
        <v>1</v>
      </c>
      <c r="I835" s="173">
        <v>0.17</v>
      </c>
      <c r="J835" s="174">
        <v>8.1999999999999993</v>
      </c>
      <c r="K835" s="173">
        <v>1.97</v>
      </c>
    </row>
    <row r="836" spans="1:22" ht="14.25" x14ac:dyDescent="0.2">
      <c r="A836" s="179"/>
      <c r="B836" s="178"/>
      <c r="C836" s="178" t="s">
        <v>189</v>
      </c>
      <c r="D836" s="177"/>
      <c r="E836" s="174"/>
      <c r="F836" s="176">
        <v>6.93</v>
      </c>
      <c r="G836" s="175" t="s">
        <v>1549</v>
      </c>
      <c r="H836" s="174">
        <v>1</v>
      </c>
      <c r="I836" s="180">
        <v>0.04</v>
      </c>
      <c r="J836" s="174">
        <v>23.35</v>
      </c>
      <c r="K836" s="180">
        <v>0.7</v>
      </c>
    </row>
    <row r="837" spans="1:22" ht="42.75" x14ac:dyDescent="0.2">
      <c r="A837" s="179" t="s">
        <v>1848</v>
      </c>
      <c r="B837" s="178" t="s">
        <v>2260</v>
      </c>
      <c r="C837" s="178" t="s">
        <v>490</v>
      </c>
      <c r="D837" s="177" t="s">
        <v>1533</v>
      </c>
      <c r="E837" s="174">
        <v>4.7200000000000002E-3</v>
      </c>
      <c r="F837" s="176">
        <v>7075.07</v>
      </c>
      <c r="G837" s="182" t="s">
        <v>195</v>
      </c>
      <c r="H837" s="174">
        <v>1</v>
      </c>
      <c r="I837" s="173">
        <v>33.39</v>
      </c>
      <c r="J837" s="174">
        <v>5.82</v>
      </c>
      <c r="K837" s="173">
        <v>194.33</v>
      </c>
      <c r="Q837" s="160">
        <f>[4]Source!X800</f>
        <v>0</v>
      </c>
      <c r="R837" s="160">
        <f>[4]Source!X801</f>
        <v>0</v>
      </c>
      <c r="S837" s="160">
        <f>[4]Source!Y800</f>
        <v>0</v>
      </c>
      <c r="T837" s="160">
        <f>[4]Source!Y801</f>
        <v>0</v>
      </c>
      <c r="U837" s="160">
        <f>ROUND((175/100)*ROUND([4]Source!R800, 2), 2)</f>
        <v>0</v>
      </c>
      <c r="V837" s="160">
        <f>ROUND((157/100)*ROUND([4]Source!R801, 2), 2)</f>
        <v>0</v>
      </c>
    </row>
    <row r="838" spans="1:22" ht="14.25" x14ac:dyDescent="0.2">
      <c r="A838" s="179"/>
      <c r="B838" s="178"/>
      <c r="C838" s="178" t="s">
        <v>194</v>
      </c>
      <c r="D838" s="177" t="s">
        <v>187</v>
      </c>
      <c r="E838" s="174">
        <v>85</v>
      </c>
      <c r="F838" s="176"/>
      <c r="G838" s="175"/>
      <c r="H838" s="174"/>
      <c r="I838" s="173">
        <v>10.87</v>
      </c>
      <c r="J838" s="174">
        <v>68</v>
      </c>
      <c r="K838" s="173">
        <v>203.08</v>
      </c>
    </row>
    <row r="839" spans="1:22" ht="14.25" x14ac:dyDescent="0.2">
      <c r="A839" s="179"/>
      <c r="B839" s="178"/>
      <c r="C839" s="178" t="s">
        <v>193</v>
      </c>
      <c r="D839" s="177" t="s">
        <v>187</v>
      </c>
      <c r="E839" s="174">
        <v>70</v>
      </c>
      <c r="F839" s="176"/>
      <c r="G839" s="175"/>
      <c r="H839" s="174"/>
      <c r="I839" s="173">
        <v>8.9499999999999993</v>
      </c>
      <c r="J839" s="174">
        <v>41</v>
      </c>
      <c r="K839" s="173">
        <v>122.45</v>
      </c>
    </row>
    <row r="840" spans="1:22" ht="14.25" x14ac:dyDescent="0.2">
      <c r="A840" s="179"/>
      <c r="B840" s="178"/>
      <c r="C840" s="178" t="s">
        <v>188</v>
      </c>
      <c r="D840" s="177" t="s">
        <v>187</v>
      </c>
      <c r="E840" s="174">
        <v>175</v>
      </c>
      <c r="F840" s="176"/>
      <c r="G840" s="175"/>
      <c r="H840" s="174"/>
      <c r="I840" s="173">
        <v>7.0000000000000007E-2</v>
      </c>
      <c r="J840" s="174">
        <v>157</v>
      </c>
      <c r="K840" s="173">
        <v>1.1000000000000001</v>
      </c>
    </row>
    <row r="841" spans="1:22" ht="14.25" x14ac:dyDescent="0.2">
      <c r="A841" s="172"/>
      <c r="B841" s="171"/>
      <c r="C841" s="171" t="s">
        <v>192</v>
      </c>
      <c r="D841" s="170" t="s">
        <v>191</v>
      </c>
      <c r="E841" s="167">
        <v>198</v>
      </c>
      <c r="F841" s="169"/>
      <c r="G841" s="168" t="s">
        <v>1548</v>
      </c>
      <c r="H841" s="167">
        <v>1</v>
      </c>
      <c r="I841" s="166">
        <v>1.07</v>
      </c>
      <c r="J841" s="167"/>
      <c r="K841" s="166"/>
    </row>
    <row r="842" spans="1:22" ht="15" x14ac:dyDescent="0.25">
      <c r="A842" s="164"/>
      <c r="B842" s="164"/>
      <c r="C842" s="165" t="s">
        <v>183</v>
      </c>
      <c r="D842" s="164"/>
      <c r="E842" s="164"/>
      <c r="F842" s="164"/>
      <c r="G842" s="164"/>
      <c r="H842" s="414">
        <v>66.239999999999995</v>
      </c>
      <c r="I842" s="414"/>
      <c r="J842" s="414">
        <v>821.58</v>
      </c>
      <c r="K842" s="414"/>
      <c r="O842" s="163">
        <f>I834+I835+I838+I839+I840+SUM(I837:I837)</f>
        <v>66.239999999999995</v>
      </c>
      <c r="P842" s="163">
        <f>K834+K835+K838+K839+K840+SUM(K837:K837)</f>
        <v>821.58</v>
      </c>
    </row>
    <row r="844" spans="1:22" ht="52.5" x14ac:dyDescent="0.2">
      <c r="A844" s="179" t="s">
        <v>1849</v>
      </c>
      <c r="B844" s="178" t="s">
        <v>505</v>
      </c>
      <c r="C844" s="178" t="s">
        <v>504</v>
      </c>
      <c r="D844" s="177" t="s">
        <v>2175</v>
      </c>
      <c r="E844" s="174">
        <v>8.1759999999999999E-2</v>
      </c>
      <c r="F844" s="176"/>
      <c r="G844" s="175"/>
      <c r="H844" s="174"/>
      <c r="I844" s="173"/>
      <c r="J844" s="174"/>
      <c r="K844" s="173"/>
      <c r="Q844" s="160">
        <f>[4]Source!X802</f>
        <v>30.49</v>
      </c>
      <c r="R844" s="160">
        <f>[4]Source!X803</f>
        <v>569.54</v>
      </c>
      <c r="S844" s="160">
        <f>[4]Source!Y802</f>
        <v>25.11</v>
      </c>
      <c r="T844" s="160">
        <f>[4]Source!Y803</f>
        <v>343.4</v>
      </c>
      <c r="U844" s="160">
        <f>ROUND((175/100)*ROUND([4]Source!R802, 2), 2)</f>
        <v>1.72</v>
      </c>
      <c r="V844" s="160">
        <f>ROUND((157/100)*ROUND([4]Source!R803, 2), 2)</f>
        <v>35.92</v>
      </c>
    </row>
    <row r="845" spans="1:22" x14ac:dyDescent="0.2">
      <c r="C845" s="181" t="s">
        <v>2261</v>
      </c>
    </row>
    <row r="846" spans="1:22" ht="14.25" x14ac:dyDescent="0.2">
      <c r="A846" s="179"/>
      <c r="B846" s="178"/>
      <c r="C846" s="178" t="s">
        <v>197</v>
      </c>
      <c r="D846" s="177"/>
      <c r="E846" s="174"/>
      <c r="F846" s="176">
        <v>381.48</v>
      </c>
      <c r="G846" s="175" t="s">
        <v>1548</v>
      </c>
      <c r="H846" s="174">
        <v>1</v>
      </c>
      <c r="I846" s="173">
        <v>35.869999999999997</v>
      </c>
      <c r="J846" s="174">
        <v>23.35</v>
      </c>
      <c r="K846" s="173">
        <v>837.56</v>
      </c>
    </row>
    <row r="847" spans="1:22" ht="14.25" x14ac:dyDescent="0.2">
      <c r="A847" s="179"/>
      <c r="B847" s="178"/>
      <c r="C847" s="178" t="s">
        <v>184</v>
      </c>
      <c r="D847" s="177"/>
      <c r="E847" s="174"/>
      <c r="F847" s="176">
        <v>63.69</v>
      </c>
      <c r="G847" s="175" t="s">
        <v>1549</v>
      </c>
      <c r="H847" s="174">
        <v>1</v>
      </c>
      <c r="I847" s="173">
        <v>6.51</v>
      </c>
      <c r="J847" s="174">
        <v>10</v>
      </c>
      <c r="K847" s="173">
        <v>65.099999999999994</v>
      </c>
    </row>
    <row r="848" spans="1:22" ht="14.25" x14ac:dyDescent="0.2">
      <c r="A848" s="179"/>
      <c r="B848" s="178"/>
      <c r="C848" s="178" t="s">
        <v>189</v>
      </c>
      <c r="D848" s="177"/>
      <c r="E848" s="174"/>
      <c r="F848" s="176">
        <v>9.61</v>
      </c>
      <c r="G848" s="175" t="s">
        <v>1549</v>
      </c>
      <c r="H848" s="174">
        <v>1</v>
      </c>
      <c r="I848" s="180">
        <v>0.98</v>
      </c>
      <c r="J848" s="174">
        <v>23.35</v>
      </c>
      <c r="K848" s="180">
        <v>22.88</v>
      </c>
    </row>
    <row r="849" spans="1:22" ht="14.25" x14ac:dyDescent="0.2">
      <c r="A849" s="179"/>
      <c r="B849" s="178"/>
      <c r="C849" s="178" t="s">
        <v>205</v>
      </c>
      <c r="D849" s="177"/>
      <c r="E849" s="174"/>
      <c r="F849" s="176">
        <v>80.900000000000006</v>
      </c>
      <c r="G849" s="175" t="s">
        <v>195</v>
      </c>
      <c r="H849" s="174">
        <v>1</v>
      </c>
      <c r="I849" s="173">
        <v>6.61</v>
      </c>
      <c r="J849" s="174">
        <v>7.52</v>
      </c>
      <c r="K849" s="173">
        <v>49.71</v>
      </c>
    </row>
    <row r="850" spans="1:22" ht="42.75" x14ac:dyDescent="0.2">
      <c r="A850" s="179" t="s">
        <v>1850</v>
      </c>
      <c r="B850" s="178" t="s">
        <v>2262</v>
      </c>
      <c r="C850" s="178" t="s">
        <v>503</v>
      </c>
      <c r="D850" s="177" t="s">
        <v>1533</v>
      </c>
      <c r="E850" s="174">
        <v>8.1759999999999999E-2</v>
      </c>
      <c r="F850" s="176">
        <v>9869.7099999999991</v>
      </c>
      <c r="G850" s="182" t="s">
        <v>195</v>
      </c>
      <c r="H850" s="174">
        <v>1</v>
      </c>
      <c r="I850" s="173">
        <v>806.95</v>
      </c>
      <c r="J850" s="174">
        <v>3.82</v>
      </c>
      <c r="K850" s="173">
        <v>3082.55</v>
      </c>
      <c r="Q850" s="160">
        <f>[4]Source!X804</f>
        <v>0</v>
      </c>
      <c r="R850" s="160">
        <f>[4]Source!X805</f>
        <v>0</v>
      </c>
      <c r="S850" s="160">
        <f>[4]Source!Y804</f>
        <v>0</v>
      </c>
      <c r="T850" s="160">
        <f>[4]Source!Y805</f>
        <v>0</v>
      </c>
      <c r="U850" s="160">
        <f>ROUND((175/100)*ROUND([4]Source!R804, 2), 2)</f>
        <v>0</v>
      </c>
      <c r="V850" s="160">
        <f>ROUND((157/100)*ROUND([4]Source!R805, 2), 2)</f>
        <v>0</v>
      </c>
    </row>
    <row r="851" spans="1:22" ht="14.25" x14ac:dyDescent="0.2">
      <c r="A851" s="179"/>
      <c r="B851" s="178"/>
      <c r="C851" s="178" t="s">
        <v>194</v>
      </c>
      <c r="D851" s="177" t="s">
        <v>187</v>
      </c>
      <c r="E851" s="174">
        <v>85</v>
      </c>
      <c r="F851" s="176"/>
      <c r="G851" s="175"/>
      <c r="H851" s="174"/>
      <c r="I851" s="173">
        <v>30.49</v>
      </c>
      <c r="J851" s="174">
        <v>68</v>
      </c>
      <c r="K851" s="173">
        <v>569.54</v>
      </c>
    </row>
    <row r="852" spans="1:22" ht="14.25" x14ac:dyDescent="0.2">
      <c r="A852" s="179"/>
      <c r="B852" s="178"/>
      <c r="C852" s="178" t="s">
        <v>193</v>
      </c>
      <c r="D852" s="177" t="s">
        <v>187</v>
      </c>
      <c r="E852" s="174">
        <v>70</v>
      </c>
      <c r="F852" s="176"/>
      <c r="G852" s="175"/>
      <c r="H852" s="174"/>
      <c r="I852" s="173">
        <v>25.11</v>
      </c>
      <c r="J852" s="174">
        <v>41</v>
      </c>
      <c r="K852" s="173">
        <v>343.4</v>
      </c>
    </row>
    <row r="853" spans="1:22" ht="14.25" x14ac:dyDescent="0.2">
      <c r="A853" s="179"/>
      <c r="B853" s="178"/>
      <c r="C853" s="178" t="s">
        <v>188</v>
      </c>
      <c r="D853" s="177" t="s">
        <v>187</v>
      </c>
      <c r="E853" s="174">
        <v>175</v>
      </c>
      <c r="F853" s="176"/>
      <c r="G853" s="175"/>
      <c r="H853" s="174"/>
      <c r="I853" s="173">
        <v>1.72</v>
      </c>
      <c r="J853" s="174">
        <v>157</v>
      </c>
      <c r="K853" s="173">
        <v>35.92</v>
      </c>
    </row>
    <row r="854" spans="1:22" ht="14.25" x14ac:dyDescent="0.2">
      <c r="A854" s="172"/>
      <c r="B854" s="171"/>
      <c r="C854" s="171" t="s">
        <v>192</v>
      </c>
      <c r="D854" s="170" t="s">
        <v>191</v>
      </c>
      <c r="E854" s="167">
        <v>28.9</v>
      </c>
      <c r="F854" s="169"/>
      <c r="G854" s="168" t="s">
        <v>1548</v>
      </c>
      <c r="H854" s="167">
        <v>1</v>
      </c>
      <c r="I854" s="166">
        <v>2.72</v>
      </c>
      <c r="J854" s="167"/>
      <c r="K854" s="166"/>
    </row>
    <row r="855" spans="1:22" ht="15" x14ac:dyDescent="0.25">
      <c r="A855" s="164"/>
      <c r="B855" s="164"/>
      <c r="C855" s="165" t="s">
        <v>183</v>
      </c>
      <c r="D855" s="164"/>
      <c r="E855" s="164"/>
      <c r="F855" s="164"/>
      <c r="G855" s="164"/>
      <c r="H855" s="414">
        <v>913.26</v>
      </c>
      <c r="I855" s="414"/>
      <c r="J855" s="414">
        <v>4983.78</v>
      </c>
      <c r="K855" s="414"/>
      <c r="O855" s="163">
        <f>I846+I847+I849+I851+I852+I853+SUM(I850:I850)</f>
        <v>913.26</v>
      </c>
      <c r="P855" s="163">
        <f>K846+K847+K849+K851+K852+K853+SUM(K850:K850)</f>
        <v>4983.78</v>
      </c>
    </row>
    <row r="857" spans="1:22" ht="42.75" x14ac:dyDescent="0.2">
      <c r="A857" s="179" t="s">
        <v>1854</v>
      </c>
      <c r="B857" s="178" t="s">
        <v>2263</v>
      </c>
      <c r="C857" s="178" t="s">
        <v>502</v>
      </c>
      <c r="D857" s="177" t="s">
        <v>1540</v>
      </c>
      <c r="E857" s="174">
        <v>2.8000000000000001E-2</v>
      </c>
      <c r="F857" s="176"/>
      <c r="G857" s="175"/>
      <c r="H857" s="174"/>
      <c r="I857" s="173"/>
      <c r="J857" s="174"/>
      <c r="K857" s="173"/>
      <c r="Q857" s="160">
        <f>[4]Source!X806</f>
        <v>4.7699999999999996</v>
      </c>
      <c r="R857" s="160">
        <f>[4]Source!X807</f>
        <v>90.22</v>
      </c>
      <c r="S857" s="160">
        <f>[4]Source!Y806</f>
        <v>3.05</v>
      </c>
      <c r="T857" s="160">
        <f>[4]Source!Y807</f>
        <v>45.67</v>
      </c>
      <c r="U857" s="160">
        <f>ROUND((175/100)*ROUND([4]Source!R806, 2), 2)</f>
        <v>0.23</v>
      </c>
      <c r="V857" s="160">
        <f>ROUND((157/100)*ROUND([4]Source!R807, 2), 2)</f>
        <v>4.7699999999999996</v>
      </c>
    </row>
    <row r="858" spans="1:22" x14ac:dyDescent="0.2">
      <c r="C858" s="181" t="s">
        <v>2264</v>
      </c>
    </row>
    <row r="859" spans="1:22" ht="14.25" x14ac:dyDescent="0.2">
      <c r="A859" s="179"/>
      <c r="B859" s="178"/>
      <c r="C859" s="178" t="s">
        <v>197</v>
      </c>
      <c r="D859" s="177"/>
      <c r="E859" s="174"/>
      <c r="F859" s="176">
        <v>74.13</v>
      </c>
      <c r="G859" s="175" t="s">
        <v>2265</v>
      </c>
      <c r="H859" s="174">
        <v>1</v>
      </c>
      <c r="I859" s="173">
        <v>4.7699999999999996</v>
      </c>
      <c r="J859" s="174">
        <v>23.35</v>
      </c>
      <c r="K859" s="173">
        <v>111.38</v>
      </c>
    </row>
    <row r="860" spans="1:22" ht="14.25" x14ac:dyDescent="0.2">
      <c r="A860" s="179"/>
      <c r="B860" s="178"/>
      <c r="C860" s="178" t="s">
        <v>184</v>
      </c>
      <c r="D860" s="177"/>
      <c r="E860" s="174"/>
      <c r="F860" s="176">
        <v>20.89</v>
      </c>
      <c r="G860" s="175" t="s">
        <v>2266</v>
      </c>
      <c r="H860" s="174">
        <v>1</v>
      </c>
      <c r="I860" s="173">
        <v>1.46</v>
      </c>
      <c r="J860" s="174">
        <v>6.06</v>
      </c>
      <c r="K860" s="173">
        <v>8.85</v>
      </c>
    </row>
    <row r="861" spans="1:22" ht="14.25" x14ac:dyDescent="0.2">
      <c r="A861" s="179"/>
      <c r="B861" s="178"/>
      <c r="C861" s="178" t="s">
        <v>189</v>
      </c>
      <c r="D861" s="177"/>
      <c r="E861" s="174"/>
      <c r="F861" s="176">
        <v>1.87</v>
      </c>
      <c r="G861" s="175" t="s">
        <v>2266</v>
      </c>
      <c r="H861" s="174">
        <v>1</v>
      </c>
      <c r="I861" s="180">
        <v>0.13</v>
      </c>
      <c r="J861" s="174">
        <v>23.35</v>
      </c>
      <c r="K861" s="180">
        <v>3.04</v>
      </c>
    </row>
    <row r="862" spans="1:22" ht="14.25" x14ac:dyDescent="0.2">
      <c r="A862" s="179"/>
      <c r="B862" s="178"/>
      <c r="C862" s="178" t="s">
        <v>205</v>
      </c>
      <c r="D862" s="177"/>
      <c r="E862" s="174"/>
      <c r="F862" s="176">
        <v>9.4600000000000009</v>
      </c>
      <c r="G862" s="175" t="s">
        <v>2267</v>
      </c>
      <c r="H862" s="174">
        <v>1</v>
      </c>
      <c r="I862" s="173">
        <v>0.53</v>
      </c>
      <c r="J862" s="174">
        <v>12.04</v>
      </c>
      <c r="K862" s="173">
        <v>6.38</v>
      </c>
    </row>
    <row r="863" spans="1:22" ht="14.25" x14ac:dyDescent="0.2">
      <c r="A863" s="179" t="s">
        <v>1857</v>
      </c>
      <c r="B863" s="178" t="s">
        <v>2268</v>
      </c>
      <c r="C863" s="178" t="s">
        <v>501</v>
      </c>
      <c r="D863" s="177" t="s">
        <v>1533</v>
      </c>
      <c r="E863" s="174">
        <v>2.52E-4</v>
      </c>
      <c r="F863" s="176">
        <v>18660.61</v>
      </c>
      <c r="G863" s="182" t="s">
        <v>195</v>
      </c>
      <c r="H863" s="174">
        <v>1</v>
      </c>
      <c r="I863" s="173">
        <v>4.7</v>
      </c>
      <c r="J863" s="174">
        <v>2.04</v>
      </c>
      <c r="K863" s="173">
        <v>9.59</v>
      </c>
      <c r="Q863" s="160">
        <f>[4]Source!X808</f>
        <v>0</v>
      </c>
      <c r="R863" s="160">
        <f>[4]Source!X809</f>
        <v>0</v>
      </c>
      <c r="S863" s="160">
        <f>[4]Source!Y808</f>
        <v>0</v>
      </c>
      <c r="T863" s="160">
        <f>[4]Source!Y809</f>
        <v>0</v>
      </c>
      <c r="U863" s="160">
        <f>ROUND((175/100)*ROUND([4]Source!R808, 2), 2)</f>
        <v>0</v>
      </c>
      <c r="V863" s="160">
        <f>ROUND((157/100)*ROUND([4]Source!R809, 2), 2)</f>
        <v>0</v>
      </c>
    </row>
    <row r="864" spans="1:22" ht="14.25" x14ac:dyDescent="0.2">
      <c r="A864" s="179"/>
      <c r="B864" s="178"/>
      <c r="C864" s="178" t="s">
        <v>194</v>
      </c>
      <c r="D864" s="177" t="s">
        <v>187</v>
      </c>
      <c r="E864" s="174">
        <v>100</v>
      </c>
      <c r="F864" s="176"/>
      <c r="G864" s="175"/>
      <c r="H864" s="174"/>
      <c r="I864" s="173">
        <v>4.7699999999999996</v>
      </c>
      <c r="J864" s="174">
        <v>81</v>
      </c>
      <c r="K864" s="173">
        <v>90.22</v>
      </c>
    </row>
    <row r="865" spans="1:22" ht="14.25" x14ac:dyDescent="0.2">
      <c r="A865" s="179"/>
      <c r="B865" s="178"/>
      <c r="C865" s="178" t="s">
        <v>193</v>
      </c>
      <c r="D865" s="177" t="s">
        <v>187</v>
      </c>
      <c r="E865" s="174">
        <v>64</v>
      </c>
      <c r="F865" s="176"/>
      <c r="G865" s="175"/>
      <c r="H865" s="174"/>
      <c r="I865" s="173">
        <v>3.05</v>
      </c>
      <c r="J865" s="174">
        <v>41</v>
      </c>
      <c r="K865" s="173">
        <v>45.67</v>
      </c>
    </row>
    <row r="866" spans="1:22" ht="14.25" x14ac:dyDescent="0.2">
      <c r="A866" s="179"/>
      <c r="B866" s="178"/>
      <c r="C866" s="178" t="s">
        <v>188</v>
      </c>
      <c r="D866" s="177" t="s">
        <v>187</v>
      </c>
      <c r="E866" s="174">
        <v>175</v>
      </c>
      <c r="F866" s="176"/>
      <c r="G866" s="175"/>
      <c r="H866" s="174"/>
      <c r="I866" s="173">
        <v>0.23</v>
      </c>
      <c r="J866" s="174">
        <v>157</v>
      </c>
      <c r="K866" s="173">
        <v>4.7699999999999996</v>
      </c>
    </row>
    <row r="867" spans="1:22" ht="14.25" x14ac:dyDescent="0.2">
      <c r="A867" s="172"/>
      <c r="B867" s="171"/>
      <c r="C867" s="171" t="s">
        <v>192</v>
      </c>
      <c r="D867" s="170" t="s">
        <v>191</v>
      </c>
      <c r="E867" s="167">
        <v>5.31</v>
      </c>
      <c r="F867" s="169"/>
      <c r="G867" s="168" t="s">
        <v>2265</v>
      </c>
      <c r="H867" s="167">
        <v>1</v>
      </c>
      <c r="I867" s="166">
        <v>0.34</v>
      </c>
      <c r="J867" s="167"/>
      <c r="K867" s="166"/>
    </row>
    <row r="868" spans="1:22" ht="15" x14ac:dyDescent="0.25">
      <c r="A868" s="164"/>
      <c r="B868" s="164"/>
      <c r="C868" s="165" t="s">
        <v>183</v>
      </c>
      <c r="D868" s="164"/>
      <c r="E868" s="164"/>
      <c r="F868" s="164"/>
      <c r="G868" s="164"/>
      <c r="H868" s="414">
        <v>19.510000000000002</v>
      </c>
      <c r="I868" s="414"/>
      <c r="J868" s="414">
        <v>276.86</v>
      </c>
      <c r="K868" s="414"/>
      <c r="O868" s="163">
        <f>I859+I860+I862+I864+I865+I866+SUM(I863:I863)</f>
        <v>19.510000000000002</v>
      </c>
      <c r="P868" s="163">
        <f>K859+K860+K862+K864+K865+K866+SUM(K863:K863)</f>
        <v>276.86</v>
      </c>
    </row>
    <row r="870" spans="1:22" ht="28.5" x14ac:dyDescent="0.2">
      <c r="A870" s="179" t="s">
        <v>1859</v>
      </c>
      <c r="B870" s="178" t="s">
        <v>2269</v>
      </c>
      <c r="C870" s="178" t="s">
        <v>500</v>
      </c>
      <c r="D870" s="177" t="s">
        <v>1540</v>
      </c>
      <c r="E870" s="174">
        <v>2.8000000000000001E-2</v>
      </c>
      <c r="F870" s="176"/>
      <c r="G870" s="175"/>
      <c r="H870" s="174"/>
      <c r="I870" s="173"/>
      <c r="J870" s="174"/>
      <c r="K870" s="173"/>
      <c r="Q870" s="160">
        <f>[4]Source!X810</f>
        <v>0.82</v>
      </c>
      <c r="R870" s="160">
        <f>[4]Source!X811</f>
        <v>15.51</v>
      </c>
      <c r="S870" s="160">
        <f>[4]Source!Y810</f>
        <v>0.52</v>
      </c>
      <c r="T870" s="160">
        <f>[4]Source!Y811</f>
        <v>7.85</v>
      </c>
      <c r="U870" s="160">
        <f>ROUND((175/100)*ROUND([4]Source!R810, 2), 2)</f>
        <v>0.02</v>
      </c>
      <c r="V870" s="160">
        <f>ROUND((157/100)*ROUND([4]Source!R811, 2), 2)</f>
        <v>0.36</v>
      </c>
    </row>
    <row r="871" spans="1:22" x14ac:dyDescent="0.2">
      <c r="C871" s="181" t="s">
        <v>2264</v>
      </c>
    </row>
    <row r="872" spans="1:22" ht="14.25" x14ac:dyDescent="0.2">
      <c r="A872" s="179"/>
      <c r="B872" s="178"/>
      <c r="C872" s="178" t="s">
        <v>197</v>
      </c>
      <c r="D872" s="177"/>
      <c r="E872" s="174"/>
      <c r="F872" s="176">
        <v>25.35</v>
      </c>
      <c r="G872" s="175" t="s">
        <v>2270</v>
      </c>
      <c r="H872" s="174">
        <v>1</v>
      </c>
      <c r="I872" s="173">
        <v>0.82</v>
      </c>
      <c r="J872" s="174">
        <v>23.35</v>
      </c>
      <c r="K872" s="173">
        <v>19.149999999999999</v>
      </c>
    </row>
    <row r="873" spans="1:22" ht="14.25" x14ac:dyDescent="0.2">
      <c r="A873" s="179"/>
      <c r="B873" s="178"/>
      <c r="C873" s="178" t="s">
        <v>184</v>
      </c>
      <c r="D873" s="177"/>
      <c r="E873" s="174"/>
      <c r="F873" s="176">
        <v>1.5</v>
      </c>
      <c r="G873" s="175" t="s">
        <v>2271</v>
      </c>
      <c r="H873" s="174">
        <v>1</v>
      </c>
      <c r="I873" s="173">
        <v>0.05</v>
      </c>
      <c r="J873" s="174">
        <v>9</v>
      </c>
      <c r="K873" s="173">
        <v>0.45</v>
      </c>
    </row>
    <row r="874" spans="1:22" ht="14.25" x14ac:dyDescent="0.2">
      <c r="A874" s="179"/>
      <c r="B874" s="178"/>
      <c r="C874" s="178" t="s">
        <v>189</v>
      </c>
      <c r="D874" s="177"/>
      <c r="E874" s="174"/>
      <c r="F874" s="176">
        <v>0.31</v>
      </c>
      <c r="G874" s="175" t="s">
        <v>2271</v>
      </c>
      <c r="H874" s="174">
        <v>1</v>
      </c>
      <c r="I874" s="180">
        <v>0.01</v>
      </c>
      <c r="J874" s="174">
        <v>23.35</v>
      </c>
      <c r="K874" s="180">
        <v>0.23</v>
      </c>
    </row>
    <row r="875" spans="1:22" ht="14.25" x14ac:dyDescent="0.2">
      <c r="A875" s="179"/>
      <c r="B875" s="178"/>
      <c r="C875" s="178" t="s">
        <v>205</v>
      </c>
      <c r="D875" s="177"/>
      <c r="E875" s="174"/>
      <c r="F875" s="176">
        <v>287.64999999999998</v>
      </c>
      <c r="G875" s="175" t="s">
        <v>195</v>
      </c>
      <c r="H875" s="174">
        <v>1</v>
      </c>
      <c r="I875" s="173">
        <v>8.0500000000000007</v>
      </c>
      <c r="J875" s="174">
        <v>1.71</v>
      </c>
      <c r="K875" s="173">
        <v>13.77</v>
      </c>
    </row>
    <row r="876" spans="1:22" ht="14.25" x14ac:dyDescent="0.2">
      <c r="A876" s="179"/>
      <c r="B876" s="178"/>
      <c r="C876" s="178" t="s">
        <v>194</v>
      </c>
      <c r="D876" s="177" t="s">
        <v>187</v>
      </c>
      <c r="E876" s="174">
        <v>100</v>
      </c>
      <c r="F876" s="176"/>
      <c r="G876" s="175"/>
      <c r="H876" s="174"/>
      <c r="I876" s="173">
        <v>0.82</v>
      </c>
      <c r="J876" s="174">
        <v>81</v>
      </c>
      <c r="K876" s="173">
        <v>15.51</v>
      </c>
    </row>
    <row r="877" spans="1:22" ht="14.25" x14ac:dyDescent="0.2">
      <c r="A877" s="179"/>
      <c r="B877" s="178"/>
      <c r="C877" s="178" t="s">
        <v>193</v>
      </c>
      <c r="D877" s="177" t="s">
        <v>187</v>
      </c>
      <c r="E877" s="174">
        <v>64</v>
      </c>
      <c r="F877" s="176"/>
      <c r="G877" s="175"/>
      <c r="H877" s="174"/>
      <c r="I877" s="173">
        <v>0.52</v>
      </c>
      <c r="J877" s="174">
        <v>41</v>
      </c>
      <c r="K877" s="173">
        <v>7.85</v>
      </c>
    </row>
    <row r="878" spans="1:22" ht="14.25" x14ac:dyDescent="0.2">
      <c r="A878" s="179"/>
      <c r="B878" s="178"/>
      <c r="C878" s="178" t="s">
        <v>188</v>
      </c>
      <c r="D878" s="177" t="s">
        <v>187</v>
      </c>
      <c r="E878" s="174">
        <v>175</v>
      </c>
      <c r="F878" s="176"/>
      <c r="G878" s="175"/>
      <c r="H878" s="174"/>
      <c r="I878" s="173">
        <v>0.02</v>
      </c>
      <c r="J878" s="174">
        <v>157</v>
      </c>
      <c r="K878" s="173">
        <v>0.36</v>
      </c>
    </row>
    <row r="879" spans="1:22" ht="14.25" x14ac:dyDescent="0.2">
      <c r="A879" s="172"/>
      <c r="B879" s="171"/>
      <c r="C879" s="171" t="s">
        <v>192</v>
      </c>
      <c r="D879" s="170" t="s">
        <v>191</v>
      </c>
      <c r="E879" s="167">
        <v>2.13</v>
      </c>
      <c r="F879" s="169"/>
      <c r="G879" s="168" t="s">
        <v>2270</v>
      </c>
      <c r="H879" s="167">
        <v>1</v>
      </c>
      <c r="I879" s="166">
        <v>7.0000000000000007E-2</v>
      </c>
      <c r="J879" s="167"/>
      <c r="K879" s="166"/>
    </row>
    <row r="880" spans="1:22" ht="15" x14ac:dyDescent="0.25">
      <c r="A880" s="164"/>
      <c r="B880" s="164"/>
      <c r="C880" s="165" t="s">
        <v>183</v>
      </c>
      <c r="D880" s="164"/>
      <c r="E880" s="164"/>
      <c r="F880" s="164"/>
      <c r="G880" s="164"/>
      <c r="H880" s="414">
        <v>10.28</v>
      </c>
      <c r="I880" s="414"/>
      <c r="J880" s="414">
        <v>57.09</v>
      </c>
      <c r="K880" s="414"/>
      <c r="O880" s="163">
        <f>I872+I873+I875+I876+I877+I878</f>
        <v>10.28</v>
      </c>
      <c r="P880" s="163">
        <f>K872+K873+K875+K876+K877+K878</f>
        <v>57.09</v>
      </c>
    </row>
    <row r="883" spans="1:32" ht="15" x14ac:dyDescent="0.25">
      <c r="A883" s="417" t="s">
        <v>2272</v>
      </c>
      <c r="B883" s="417"/>
      <c r="C883" s="417"/>
      <c r="D883" s="417"/>
      <c r="E883" s="417"/>
      <c r="F883" s="417"/>
      <c r="G883" s="417"/>
      <c r="H883" s="415">
        <v>1009.29</v>
      </c>
      <c r="I883" s="416"/>
      <c r="J883" s="415">
        <v>6139.31</v>
      </c>
      <c r="K883" s="416"/>
      <c r="AF883" s="201" t="str">
        <f>CONCATENATE("Итого по подразделу: ",IF([4]Source!G813&lt;&gt;"Новый подраздел", [4]Source!G813, ""))</f>
        <v>Итого по подразделу: Устройство металлической стремянки. 023/18КН-КР 4.2 лист 5</v>
      </c>
    </row>
    <row r="884" spans="1:32" hidden="1" x14ac:dyDescent="0.2">
      <c r="A884" s="160" t="s">
        <v>182</v>
      </c>
      <c r="I884" s="160">
        <v>0</v>
      </c>
      <c r="J884" s="160">
        <v>0</v>
      </c>
    </row>
    <row r="885" spans="1:32" hidden="1" x14ac:dyDescent="0.2">
      <c r="A885" s="160" t="s">
        <v>181</v>
      </c>
      <c r="I885" s="160">
        <v>0</v>
      </c>
      <c r="J885" s="160">
        <v>0</v>
      </c>
    </row>
    <row r="887" spans="1:32" ht="15" x14ac:dyDescent="0.25">
      <c r="A887" s="417" t="s">
        <v>2273</v>
      </c>
      <c r="B887" s="417"/>
      <c r="C887" s="417"/>
      <c r="D887" s="417"/>
      <c r="E887" s="417"/>
      <c r="F887" s="417"/>
      <c r="G887" s="417"/>
      <c r="H887" s="415">
        <v>610100.02</v>
      </c>
      <c r="I887" s="416"/>
      <c r="J887" s="415">
        <v>4520726.3899999997</v>
      </c>
      <c r="K887" s="416"/>
    </row>
    <row r="888" spans="1:32" hidden="1" x14ac:dyDescent="0.2">
      <c r="A888" s="160" t="s">
        <v>182</v>
      </c>
      <c r="I888" s="160">
        <v>0</v>
      </c>
      <c r="J888" s="160">
        <v>0</v>
      </c>
    </row>
    <row r="889" spans="1:32" hidden="1" x14ac:dyDescent="0.2">
      <c r="A889" s="160" t="s">
        <v>181</v>
      </c>
      <c r="I889" s="160">
        <v>0</v>
      </c>
      <c r="J889" s="160">
        <v>0</v>
      </c>
    </row>
    <row r="891" spans="1:32" ht="16.5" x14ac:dyDescent="0.25">
      <c r="A891" s="413" t="s">
        <v>2274</v>
      </c>
      <c r="B891" s="413"/>
      <c r="C891" s="413"/>
      <c r="D891" s="413"/>
      <c r="E891" s="413"/>
      <c r="F891" s="413"/>
      <c r="G891" s="413"/>
      <c r="H891" s="413"/>
      <c r="I891" s="413"/>
      <c r="J891" s="413"/>
      <c r="K891" s="413"/>
    </row>
    <row r="893" spans="1:32" ht="16.5" x14ac:dyDescent="0.25">
      <c r="A893" s="413" t="s">
        <v>2275</v>
      </c>
      <c r="B893" s="413"/>
      <c r="C893" s="413"/>
      <c r="D893" s="413"/>
      <c r="E893" s="413"/>
      <c r="F893" s="413"/>
      <c r="G893" s="413"/>
      <c r="H893" s="413"/>
      <c r="I893" s="413"/>
      <c r="J893" s="413"/>
      <c r="K893" s="413"/>
    </row>
    <row r="894" spans="1:32" ht="28.5" x14ac:dyDescent="0.2">
      <c r="A894" s="179" t="s">
        <v>1861</v>
      </c>
      <c r="B894" s="178" t="s">
        <v>2276</v>
      </c>
      <c r="C894" s="178" t="s">
        <v>492</v>
      </c>
      <c r="D894" s="177" t="s">
        <v>1785</v>
      </c>
      <c r="E894" s="174">
        <v>0.14996999999999999</v>
      </c>
      <c r="F894" s="176"/>
      <c r="G894" s="175"/>
      <c r="H894" s="174"/>
      <c r="I894" s="173"/>
      <c r="J894" s="174"/>
      <c r="K894" s="173"/>
      <c r="Q894" s="160">
        <f>[4]Source!X881</f>
        <v>344.23</v>
      </c>
      <c r="R894" s="160">
        <f>[4]Source!X882</f>
        <v>6447.97</v>
      </c>
      <c r="S894" s="160">
        <f>[4]Source!Y881</f>
        <v>264.8</v>
      </c>
      <c r="T894" s="160">
        <f>[4]Source!Y882</f>
        <v>3621.46</v>
      </c>
      <c r="U894" s="160">
        <f>ROUND((175/100)*ROUND([4]Source!R881, 2), 2)</f>
        <v>1.28</v>
      </c>
      <c r="V894" s="160">
        <f>ROUND((157/100)*ROUND([4]Source!R882, 2), 2)</f>
        <v>26.77</v>
      </c>
    </row>
    <row r="895" spans="1:32" ht="38.25" x14ac:dyDescent="0.2">
      <c r="C895" s="181" t="s">
        <v>2277</v>
      </c>
    </row>
    <row r="896" spans="1:32" ht="14.25" x14ac:dyDescent="0.2">
      <c r="A896" s="179"/>
      <c r="B896" s="178"/>
      <c r="C896" s="178" t="s">
        <v>197</v>
      </c>
      <c r="D896" s="177"/>
      <c r="E896" s="174"/>
      <c r="F896" s="176">
        <v>2522.36</v>
      </c>
      <c r="G896" s="175" t="s">
        <v>195</v>
      </c>
      <c r="H896" s="174">
        <v>1</v>
      </c>
      <c r="I896" s="173">
        <v>378.28</v>
      </c>
      <c r="J896" s="174">
        <v>23.35</v>
      </c>
      <c r="K896" s="173">
        <v>8832.84</v>
      </c>
    </row>
    <row r="897" spans="1:22" ht="14.25" x14ac:dyDescent="0.2">
      <c r="A897" s="179"/>
      <c r="B897" s="178"/>
      <c r="C897" s="178" t="s">
        <v>184</v>
      </c>
      <c r="D897" s="177"/>
      <c r="E897" s="174"/>
      <c r="F897" s="176">
        <v>16.55</v>
      </c>
      <c r="G897" s="175" t="s">
        <v>195</v>
      </c>
      <c r="H897" s="174">
        <v>1</v>
      </c>
      <c r="I897" s="173">
        <v>2.48</v>
      </c>
      <c r="J897" s="174">
        <v>10.61</v>
      </c>
      <c r="K897" s="173">
        <v>26.31</v>
      </c>
    </row>
    <row r="898" spans="1:22" ht="14.25" x14ac:dyDescent="0.2">
      <c r="A898" s="179"/>
      <c r="B898" s="178"/>
      <c r="C898" s="178" t="s">
        <v>189</v>
      </c>
      <c r="D898" s="177"/>
      <c r="E898" s="174"/>
      <c r="F898" s="176">
        <v>4.84</v>
      </c>
      <c r="G898" s="175" t="s">
        <v>195</v>
      </c>
      <c r="H898" s="174">
        <v>1</v>
      </c>
      <c r="I898" s="180">
        <v>0.73</v>
      </c>
      <c r="J898" s="174">
        <v>23.35</v>
      </c>
      <c r="K898" s="180">
        <v>17.05</v>
      </c>
    </row>
    <row r="899" spans="1:22" ht="14.25" x14ac:dyDescent="0.2">
      <c r="A899" s="179"/>
      <c r="B899" s="178"/>
      <c r="C899" s="178" t="s">
        <v>205</v>
      </c>
      <c r="D899" s="177"/>
      <c r="E899" s="174"/>
      <c r="F899" s="176">
        <v>28.77</v>
      </c>
      <c r="G899" s="175" t="s">
        <v>195</v>
      </c>
      <c r="H899" s="174">
        <v>1</v>
      </c>
      <c r="I899" s="173">
        <v>4.3099999999999996</v>
      </c>
      <c r="J899" s="174">
        <v>11.42</v>
      </c>
      <c r="K899" s="173">
        <v>49.22</v>
      </c>
    </row>
    <row r="900" spans="1:22" ht="42.75" x14ac:dyDescent="0.2">
      <c r="A900" s="179" t="s">
        <v>1862</v>
      </c>
      <c r="B900" s="178" t="s">
        <v>2278</v>
      </c>
      <c r="C900" s="178" t="s">
        <v>496</v>
      </c>
      <c r="D900" s="177" t="s">
        <v>1533</v>
      </c>
      <c r="E900" s="174">
        <v>3.5999999999999997E-2</v>
      </c>
      <c r="F900" s="176">
        <v>8416.35</v>
      </c>
      <c r="G900" s="182" t="s">
        <v>195</v>
      </c>
      <c r="H900" s="174">
        <v>1</v>
      </c>
      <c r="I900" s="173">
        <v>302.99</v>
      </c>
      <c r="J900" s="174">
        <v>5.97</v>
      </c>
      <c r="K900" s="173">
        <v>1808.85</v>
      </c>
      <c r="Q900" s="160">
        <f>[4]Source!X883</f>
        <v>0</v>
      </c>
      <c r="R900" s="160">
        <f>[4]Source!X884</f>
        <v>0</v>
      </c>
      <c r="S900" s="160">
        <f>[4]Source!Y883</f>
        <v>0</v>
      </c>
      <c r="T900" s="160">
        <f>[4]Source!Y884</f>
        <v>0</v>
      </c>
      <c r="U900" s="160">
        <f>ROUND((175/100)*ROUND([4]Source!R883, 2), 2)</f>
        <v>0</v>
      </c>
      <c r="V900" s="160">
        <f>ROUND((157/100)*ROUND([4]Source!R884, 2), 2)</f>
        <v>0</v>
      </c>
    </row>
    <row r="901" spans="1:22" ht="42.75" x14ac:dyDescent="0.2">
      <c r="A901" s="179" t="s">
        <v>2279</v>
      </c>
      <c r="B901" s="178" t="s">
        <v>2280</v>
      </c>
      <c r="C901" s="178" t="s">
        <v>491</v>
      </c>
      <c r="D901" s="177" t="s">
        <v>1533</v>
      </c>
      <c r="E901" s="174">
        <v>8.5970000000000005E-2</v>
      </c>
      <c r="F901" s="176">
        <v>8344.7099999999991</v>
      </c>
      <c r="G901" s="182" t="s">
        <v>195</v>
      </c>
      <c r="H901" s="174">
        <v>1</v>
      </c>
      <c r="I901" s="173">
        <v>717.39</v>
      </c>
      <c r="J901" s="174">
        <v>4.66</v>
      </c>
      <c r="K901" s="173">
        <v>3343.04</v>
      </c>
      <c r="Q901" s="160">
        <f>[4]Source!X885</f>
        <v>0</v>
      </c>
      <c r="R901" s="160">
        <f>[4]Source!X886</f>
        <v>0</v>
      </c>
      <c r="S901" s="160">
        <f>[4]Source!Y885</f>
        <v>0</v>
      </c>
      <c r="T901" s="160">
        <f>[4]Source!Y886</f>
        <v>0</v>
      </c>
      <c r="U901" s="160">
        <f>ROUND((175/100)*ROUND([4]Source!R885, 2), 2)</f>
        <v>0</v>
      </c>
      <c r="V901" s="160">
        <f>ROUND((157/100)*ROUND([4]Source!R886, 2), 2)</f>
        <v>0</v>
      </c>
    </row>
    <row r="902" spans="1:22" ht="42.75" x14ac:dyDescent="0.2">
      <c r="A902" s="179" t="s">
        <v>2281</v>
      </c>
      <c r="B902" s="178" t="s">
        <v>2260</v>
      </c>
      <c r="C902" s="178" t="s">
        <v>490</v>
      </c>
      <c r="D902" s="177" t="s">
        <v>1533</v>
      </c>
      <c r="E902" s="174">
        <v>2.2460000000000001E-2</v>
      </c>
      <c r="F902" s="176">
        <v>7075.07</v>
      </c>
      <c r="G902" s="182" t="s">
        <v>195</v>
      </c>
      <c r="H902" s="174">
        <v>1</v>
      </c>
      <c r="I902" s="173">
        <v>158.91</v>
      </c>
      <c r="J902" s="174">
        <v>5.82</v>
      </c>
      <c r="K902" s="173">
        <v>924.86</v>
      </c>
      <c r="Q902" s="160">
        <f>[4]Source!X887</f>
        <v>0</v>
      </c>
      <c r="R902" s="160">
        <f>[4]Source!X888</f>
        <v>0</v>
      </c>
      <c r="S902" s="160">
        <f>[4]Source!Y887</f>
        <v>0</v>
      </c>
      <c r="T902" s="160">
        <f>[4]Source!Y888</f>
        <v>0</v>
      </c>
      <c r="U902" s="160">
        <f>ROUND((175/100)*ROUND([4]Source!R887, 2), 2)</f>
        <v>0</v>
      </c>
      <c r="V902" s="160">
        <f>ROUND((157/100)*ROUND([4]Source!R888, 2), 2)</f>
        <v>0</v>
      </c>
    </row>
    <row r="903" spans="1:22" ht="71.25" x14ac:dyDescent="0.2">
      <c r="A903" s="179" t="s">
        <v>2111</v>
      </c>
      <c r="B903" s="178" t="s">
        <v>2282</v>
      </c>
      <c r="C903" s="178" t="s">
        <v>489</v>
      </c>
      <c r="D903" s="177" t="s">
        <v>1533</v>
      </c>
      <c r="E903" s="174">
        <v>1.6000000000000001E-3</v>
      </c>
      <c r="F903" s="176">
        <v>5681.92</v>
      </c>
      <c r="G903" s="182" t="s">
        <v>195</v>
      </c>
      <c r="H903" s="174">
        <v>1</v>
      </c>
      <c r="I903" s="173">
        <v>9.09</v>
      </c>
      <c r="J903" s="174">
        <v>7.69</v>
      </c>
      <c r="K903" s="173">
        <v>69.900000000000006</v>
      </c>
      <c r="Q903" s="160">
        <f>[4]Source!X889</f>
        <v>0</v>
      </c>
      <c r="R903" s="160">
        <f>[4]Source!X890</f>
        <v>0</v>
      </c>
      <c r="S903" s="160">
        <f>[4]Source!Y889</f>
        <v>0</v>
      </c>
      <c r="T903" s="160">
        <f>[4]Source!Y890</f>
        <v>0</v>
      </c>
      <c r="U903" s="160">
        <f>ROUND((175/100)*ROUND([4]Source!R889, 2), 2)</f>
        <v>0</v>
      </c>
      <c r="V903" s="160">
        <f>ROUND((157/100)*ROUND([4]Source!R890, 2), 2)</f>
        <v>0</v>
      </c>
    </row>
    <row r="904" spans="1:22" ht="57" x14ac:dyDescent="0.2">
      <c r="A904" s="179" t="s">
        <v>2283</v>
      </c>
      <c r="B904" s="178" t="s">
        <v>2284</v>
      </c>
      <c r="C904" s="178" t="s">
        <v>495</v>
      </c>
      <c r="D904" s="177" t="s">
        <v>1661</v>
      </c>
      <c r="E904" s="174">
        <v>4</v>
      </c>
      <c r="F904" s="176">
        <v>183.34</v>
      </c>
      <c r="G904" s="182" t="s">
        <v>195</v>
      </c>
      <c r="H904" s="174">
        <v>1</v>
      </c>
      <c r="I904" s="173">
        <v>733.36</v>
      </c>
      <c r="J904" s="174">
        <v>1.06</v>
      </c>
      <c r="K904" s="173">
        <v>777.36</v>
      </c>
      <c r="Q904" s="160">
        <f>[4]Source!X891</f>
        <v>0</v>
      </c>
      <c r="R904" s="160">
        <f>[4]Source!X892</f>
        <v>0</v>
      </c>
      <c r="S904" s="160">
        <f>[4]Source!Y891</f>
        <v>0</v>
      </c>
      <c r="T904" s="160">
        <f>[4]Source!Y892</f>
        <v>0</v>
      </c>
      <c r="U904" s="160">
        <f>ROUND((175/100)*ROUND([4]Source!R891, 2), 2)</f>
        <v>0</v>
      </c>
      <c r="V904" s="160">
        <f>ROUND((157/100)*ROUND([4]Source!R892, 2), 2)</f>
        <v>0</v>
      </c>
    </row>
    <row r="905" spans="1:22" ht="57" x14ac:dyDescent="0.2">
      <c r="A905" s="179" t="s">
        <v>2112</v>
      </c>
      <c r="B905" s="178" t="s">
        <v>2285</v>
      </c>
      <c r="C905" s="178" t="s">
        <v>494</v>
      </c>
      <c r="D905" s="177" t="s">
        <v>1661</v>
      </c>
      <c r="E905" s="174">
        <v>8</v>
      </c>
      <c r="F905" s="176">
        <v>7.78</v>
      </c>
      <c r="G905" s="182" t="s">
        <v>195</v>
      </c>
      <c r="H905" s="174">
        <v>1</v>
      </c>
      <c r="I905" s="173">
        <v>62.24</v>
      </c>
      <c r="J905" s="174">
        <v>3.92</v>
      </c>
      <c r="K905" s="173">
        <v>243.98</v>
      </c>
      <c r="Q905" s="160">
        <f>[4]Source!X893</f>
        <v>0</v>
      </c>
      <c r="R905" s="160">
        <f>[4]Source!X894</f>
        <v>0</v>
      </c>
      <c r="S905" s="160">
        <f>[4]Source!Y893</f>
        <v>0</v>
      </c>
      <c r="T905" s="160">
        <f>[4]Source!Y894</f>
        <v>0</v>
      </c>
      <c r="U905" s="160">
        <f>ROUND((175/100)*ROUND([4]Source!R893, 2), 2)</f>
        <v>0</v>
      </c>
      <c r="V905" s="160">
        <f>ROUND((157/100)*ROUND([4]Source!R894, 2), 2)</f>
        <v>0</v>
      </c>
    </row>
    <row r="906" spans="1:22" ht="42.75" x14ac:dyDescent="0.2">
      <c r="A906" s="179" t="s">
        <v>2113</v>
      </c>
      <c r="B906" s="178" t="s">
        <v>2286</v>
      </c>
      <c r="C906" s="178" t="s">
        <v>493</v>
      </c>
      <c r="D906" s="177" t="s">
        <v>1661</v>
      </c>
      <c r="E906" s="174">
        <v>8</v>
      </c>
      <c r="F906" s="176">
        <v>12.88</v>
      </c>
      <c r="G906" s="182" t="s">
        <v>195</v>
      </c>
      <c r="H906" s="174">
        <v>1</v>
      </c>
      <c r="I906" s="173">
        <v>103.04</v>
      </c>
      <c r="J906" s="174">
        <v>3.69</v>
      </c>
      <c r="K906" s="173">
        <v>380.22</v>
      </c>
      <c r="Q906" s="160">
        <f>[4]Source!X895</f>
        <v>0</v>
      </c>
      <c r="R906" s="160">
        <f>[4]Source!X896</f>
        <v>0</v>
      </c>
      <c r="S906" s="160">
        <f>[4]Source!Y895</f>
        <v>0</v>
      </c>
      <c r="T906" s="160">
        <f>[4]Source!Y896</f>
        <v>0</v>
      </c>
      <c r="U906" s="160">
        <f>ROUND((175/100)*ROUND([4]Source!R895, 2), 2)</f>
        <v>0</v>
      </c>
      <c r="V906" s="160">
        <f>ROUND((157/100)*ROUND([4]Source!R896, 2), 2)</f>
        <v>0</v>
      </c>
    </row>
    <row r="907" spans="1:22" ht="14.25" x14ac:dyDescent="0.2">
      <c r="A907" s="179"/>
      <c r="B907" s="178"/>
      <c r="C907" s="178" t="s">
        <v>194</v>
      </c>
      <c r="D907" s="177" t="s">
        <v>187</v>
      </c>
      <c r="E907" s="174">
        <v>91</v>
      </c>
      <c r="F907" s="176"/>
      <c r="G907" s="175"/>
      <c r="H907" s="174"/>
      <c r="I907" s="173">
        <v>344.23</v>
      </c>
      <c r="J907" s="174">
        <v>73</v>
      </c>
      <c r="K907" s="173">
        <v>6447.97</v>
      </c>
    </row>
    <row r="908" spans="1:22" ht="14.25" x14ac:dyDescent="0.2">
      <c r="A908" s="179"/>
      <c r="B908" s="178"/>
      <c r="C908" s="178" t="s">
        <v>193</v>
      </c>
      <c r="D908" s="177" t="s">
        <v>187</v>
      </c>
      <c r="E908" s="174">
        <v>70</v>
      </c>
      <c r="F908" s="176"/>
      <c r="G908" s="175"/>
      <c r="H908" s="174"/>
      <c r="I908" s="173">
        <v>264.8</v>
      </c>
      <c r="J908" s="174">
        <v>41</v>
      </c>
      <c r="K908" s="173">
        <v>3621.46</v>
      </c>
    </row>
    <row r="909" spans="1:22" ht="14.25" x14ac:dyDescent="0.2">
      <c r="A909" s="179"/>
      <c r="B909" s="178"/>
      <c r="C909" s="178" t="s">
        <v>188</v>
      </c>
      <c r="D909" s="177" t="s">
        <v>187</v>
      </c>
      <c r="E909" s="174">
        <v>175</v>
      </c>
      <c r="F909" s="176"/>
      <c r="G909" s="175"/>
      <c r="H909" s="174"/>
      <c r="I909" s="173">
        <v>1.28</v>
      </c>
      <c r="J909" s="174">
        <v>157</v>
      </c>
      <c r="K909" s="173">
        <v>26.77</v>
      </c>
    </row>
    <row r="910" spans="1:22" ht="14.25" x14ac:dyDescent="0.2">
      <c r="A910" s="172"/>
      <c r="B910" s="171"/>
      <c r="C910" s="171" t="s">
        <v>192</v>
      </c>
      <c r="D910" s="170" t="s">
        <v>191</v>
      </c>
      <c r="E910" s="167">
        <v>201.95</v>
      </c>
      <c r="F910" s="169"/>
      <c r="G910" s="168" t="s">
        <v>195</v>
      </c>
      <c r="H910" s="167">
        <v>1</v>
      </c>
      <c r="I910" s="166">
        <v>30.29</v>
      </c>
      <c r="J910" s="167"/>
      <c r="K910" s="166"/>
    </row>
    <row r="911" spans="1:22" ht="15" x14ac:dyDescent="0.25">
      <c r="A911" s="164"/>
      <c r="B911" s="164"/>
      <c r="C911" s="165" t="s">
        <v>183</v>
      </c>
      <c r="D911" s="164"/>
      <c r="E911" s="164"/>
      <c r="F911" s="164"/>
      <c r="G911" s="164"/>
      <c r="H911" s="414">
        <v>3082.4</v>
      </c>
      <c r="I911" s="414"/>
      <c r="J911" s="414">
        <v>26552.78</v>
      </c>
      <c r="K911" s="414"/>
      <c r="O911" s="163">
        <f>I896+I897+I899+I907+I908+I909+SUM(I900:I906)</f>
        <v>3082.4</v>
      </c>
      <c r="P911" s="163">
        <f>K896+K897+K899+K907+K908+K909+SUM(K900:K906)</f>
        <v>26552.78</v>
      </c>
    </row>
    <row r="913" spans="1:22" ht="42.75" x14ac:dyDescent="0.2">
      <c r="A913" s="179" t="s">
        <v>1863</v>
      </c>
      <c r="B913" s="178" t="s">
        <v>2287</v>
      </c>
      <c r="C913" s="178" t="s">
        <v>499</v>
      </c>
      <c r="D913" s="177" t="s">
        <v>2288</v>
      </c>
      <c r="E913" s="174">
        <v>0.2492</v>
      </c>
      <c r="F913" s="176"/>
      <c r="G913" s="175"/>
      <c r="H913" s="174"/>
      <c r="I913" s="173"/>
      <c r="J913" s="174"/>
      <c r="K913" s="173"/>
      <c r="Q913" s="160">
        <f>[4]Source!X897</f>
        <v>18.739999999999998</v>
      </c>
      <c r="R913" s="160">
        <f>[4]Source!X898</f>
        <v>350.97</v>
      </c>
      <c r="S913" s="160">
        <f>[4]Source!Y897</f>
        <v>14.41</v>
      </c>
      <c r="T913" s="160">
        <f>[4]Source!Y898</f>
        <v>197.12</v>
      </c>
      <c r="U913" s="160">
        <f>ROUND((175/100)*ROUND([4]Source!R897, 2), 2)</f>
        <v>0</v>
      </c>
      <c r="V913" s="160">
        <f>ROUND((157/100)*ROUND([4]Source!R898, 2), 2)</f>
        <v>0</v>
      </c>
    </row>
    <row r="914" spans="1:22" ht="25.5" x14ac:dyDescent="0.2">
      <c r="C914" s="181" t="s">
        <v>2289</v>
      </c>
    </row>
    <row r="915" spans="1:22" ht="14.25" x14ac:dyDescent="0.2">
      <c r="A915" s="179"/>
      <c r="B915" s="178"/>
      <c r="C915" s="178" t="s">
        <v>197</v>
      </c>
      <c r="D915" s="177"/>
      <c r="E915" s="174"/>
      <c r="F915" s="176">
        <v>82.62</v>
      </c>
      <c r="G915" s="175" t="s">
        <v>195</v>
      </c>
      <c r="H915" s="174">
        <v>1</v>
      </c>
      <c r="I915" s="173">
        <v>20.59</v>
      </c>
      <c r="J915" s="174">
        <v>23.35</v>
      </c>
      <c r="K915" s="173">
        <v>480.78</v>
      </c>
    </row>
    <row r="916" spans="1:22" ht="28.5" x14ac:dyDescent="0.2">
      <c r="A916" s="179" t="s">
        <v>1866</v>
      </c>
      <c r="B916" s="178" t="s">
        <v>2290</v>
      </c>
      <c r="C916" s="178" t="s">
        <v>497</v>
      </c>
      <c r="D916" s="177" t="s">
        <v>1594</v>
      </c>
      <c r="E916" s="174">
        <v>2.7411999999999999E-2</v>
      </c>
      <c r="F916" s="176">
        <v>477.64</v>
      </c>
      <c r="G916" s="182" t="s">
        <v>195</v>
      </c>
      <c r="H916" s="174">
        <v>1</v>
      </c>
      <c r="I916" s="173">
        <v>13.09</v>
      </c>
      <c r="J916" s="174">
        <v>7.34</v>
      </c>
      <c r="K916" s="173">
        <v>96.08</v>
      </c>
      <c r="Q916" s="160">
        <f>[4]Source!X899</f>
        <v>0</v>
      </c>
      <c r="R916" s="160">
        <f>[4]Source!X900</f>
        <v>0</v>
      </c>
      <c r="S916" s="160">
        <f>[4]Source!Y899</f>
        <v>0</v>
      </c>
      <c r="T916" s="160">
        <f>[4]Source!Y900</f>
        <v>0</v>
      </c>
      <c r="U916" s="160">
        <f>ROUND((175/100)*ROUND([4]Source!R899, 2), 2)</f>
        <v>0</v>
      </c>
      <c r="V916" s="160">
        <f>ROUND((157/100)*ROUND([4]Source!R900, 2), 2)</f>
        <v>0</v>
      </c>
    </row>
    <row r="917" spans="1:22" ht="14.25" x14ac:dyDescent="0.2">
      <c r="A917" s="179"/>
      <c r="B917" s="178"/>
      <c r="C917" s="178" t="s">
        <v>194</v>
      </c>
      <c r="D917" s="177" t="s">
        <v>187</v>
      </c>
      <c r="E917" s="174">
        <v>91</v>
      </c>
      <c r="F917" s="176"/>
      <c r="G917" s="175"/>
      <c r="H917" s="174"/>
      <c r="I917" s="173">
        <v>18.739999999999998</v>
      </c>
      <c r="J917" s="174">
        <v>73</v>
      </c>
      <c r="K917" s="173">
        <v>350.97</v>
      </c>
    </row>
    <row r="918" spans="1:22" ht="14.25" x14ac:dyDescent="0.2">
      <c r="A918" s="179"/>
      <c r="B918" s="178"/>
      <c r="C918" s="178" t="s">
        <v>193</v>
      </c>
      <c r="D918" s="177" t="s">
        <v>187</v>
      </c>
      <c r="E918" s="174">
        <v>70</v>
      </c>
      <c r="F918" s="176"/>
      <c r="G918" s="175"/>
      <c r="H918" s="174"/>
      <c r="I918" s="173">
        <v>14.41</v>
      </c>
      <c r="J918" s="174">
        <v>41</v>
      </c>
      <c r="K918" s="173">
        <v>197.12</v>
      </c>
    </row>
    <row r="919" spans="1:22" ht="14.25" x14ac:dyDescent="0.2">
      <c r="A919" s="172"/>
      <c r="B919" s="171"/>
      <c r="C919" s="171" t="s">
        <v>192</v>
      </c>
      <c r="D919" s="170" t="s">
        <v>191</v>
      </c>
      <c r="E919" s="167">
        <v>6.17</v>
      </c>
      <c r="F919" s="169"/>
      <c r="G919" s="168" t="s">
        <v>195</v>
      </c>
      <c r="H919" s="167">
        <v>1</v>
      </c>
      <c r="I919" s="166">
        <v>1.54</v>
      </c>
      <c r="J919" s="167"/>
      <c r="K919" s="166"/>
    </row>
    <row r="920" spans="1:22" ht="15" x14ac:dyDescent="0.25">
      <c r="A920" s="164"/>
      <c r="B920" s="164"/>
      <c r="C920" s="165" t="s">
        <v>183</v>
      </c>
      <c r="D920" s="164"/>
      <c r="E920" s="164"/>
      <c r="F920" s="164"/>
      <c r="G920" s="164"/>
      <c r="H920" s="414">
        <v>66.83</v>
      </c>
      <c r="I920" s="414"/>
      <c r="J920" s="414">
        <v>1124.95</v>
      </c>
      <c r="K920" s="414"/>
      <c r="O920" s="163">
        <f>I915+I917+I918+SUM(I916:I916)</f>
        <v>66.83</v>
      </c>
      <c r="P920" s="163">
        <f>K915+K917+K918+SUM(K916:K916)</f>
        <v>1124.95</v>
      </c>
    </row>
    <row r="922" spans="1:22" ht="42.75" x14ac:dyDescent="0.2">
      <c r="A922" s="179" t="s">
        <v>1867</v>
      </c>
      <c r="B922" s="178" t="s">
        <v>2291</v>
      </c>
      <c r="C922" s="178" t="s">
        <v>498</v>
      </c>
      <c r="D922" s="177" t="s">
        <v>2288</v>
      </c>
      <c r="E922" s="174">
        <v>0.2492</v>
      </c>
      <c r="F922" s="176"/>
      <c r="G922" s="175"/>
      <c r="H922" s="174"/>
      <c r="I922" s="173"/>
      <c r="J922" s="174"/>
      <c r="K922" s="173"/>
      <c r="Q922" s="160">
        <f>[4]Source!X901</f>
        <v>13.55</v>
      </c>
      <c r="R922" s="160">
        <f>[4]Source!X902</f>
        <v>253.81</v>
      </c>
      <c r="S922" s="160">
        <f>[4]Source!Y901</f>
        <v>10.42</v>
      </c>
      <c r="T922" s="160">
        <f>[4]Source!Y902</f>
        <v>142.55000000000001</v>
      </c>
      <c r="U922" s="160">
        <f>ROUND((175/100)*ROUND([4]Source!R901, 2), 2)</f>
        <v>0</v>
      </c>
      <c r="V922" s="160">
        <f>ROUND((157/100)*ROUND([4]Source!R902, 2), 2)</f>
        <v>0</v>
      </c>
    </row>
    <row r="923" spans="1:22" ht="25.5" x14ac:dyDescent="0.2">
      <c r="C923" s="181" t="s">
        <v>2289</v>
      </c>
    </row>
    <row r="924" spans="1:22" ht="14.25" x14ac:dyDescent="0.2">
      <c r="A924" s="179"/>
      <c r="B924" s="178"/>
      <c r="C924" s="178" t="s">
        <v>197</v>
      </c>
      <c r="D924" s="177"/>
      <c r="E924" s="174"/>
      <c r="F924" s="176">
        <v>59.76</v>
      </c>
      <c r="G924" s="175" t="s">
        <v>195</v>
      </c>
      <c r="H924" s="174">
        <v>1</v>
      </c>
      <c r="I924" s="173">
        <v>14.89</v>
      </c>
      <c r="J924" s="174">
        <v>23.35</v>
      </c>
      <c r="K924" s="173">
        <v>347.68</v>
      </c>
    </row>
    <row r="925" spans="1:22" ht="28.5" x14ac:dyDescent="0.2">
      <c r="A925" s="179" t="s">
        <v>1869</v>
      </c>
      <c r="B925" s="178" t="s">
        <v>2290</v>
      </c>
      <c r="C925" s="178" t="s">
        <v>497</v>
      </c>
      <c r="D925" s="177" t="s">
        <v>1594</v>
      </c>
      <c r="E925" s="174">
        <v>1.3705999999999999E-2</v>
      </c>
      <c r="F925" s="176">
        <v>477.64</v>
      </c>
      <c r="G925" s="182" t="s">
        <v>195</v>
      </c>
      <c r="H925" s="174">
        <v>1</v>
      </c>
      <c r="I925" s="173">
        <v>6.55</v>
      </c>
      <c r="J925" s="174">
        <v>7.34</v>
      </c>
      <c r="K925" s="173">
        <v>48.08</v>
      </c>
      <c r="Q925" s="160">
        <f>[4]Source!X903</f>
        <v>0</v>
      </c>
      <c r="R925" s="160">
        <f>[4]Source!X904</f>
        <v>0</v>
      </c>
      <c r="S925" s="160">
        <f>[4]Source!Y903</f>
        <v>0</v>
      </c>
      <c r="T925" s="160">
        <f>[4]Source!Y904</f>
        <v>0</v>
      </c>
      <c r="U925" s="160">
        <f>ROUND((175/100)*ROUND([4]Source!R903, 2), 2)</f>
        <v>0</v>
      </c>
      <c r="V925" s="160">
        <f>ROUND((157/100)*ROUND([4]Source!R904, 2), 2)</f>
        <v>0</v>
      </c>
    </row>
    <row r="926" spans="1:22" ht="14.25" x14ac:dyDescent="0.2">
      <c r="A926" s="179"/>
      <c r="B926" s="178"/>
      <c r="C926" s="178" t="s">
        <v>194</v>
      </c>
      <c r="D926" s="177" t="s">
        <v>187</v>
      </c>
      <c r="E926" s="174">
        <v>91</v>
      </c>
      <c r="F926" s="176"/>
      <c r="G926" s="175"/>
      <c r="H926" s="174"/>
      <c r="I926" s="173">
        <v>13.55</v>
      </c>
      <c r="J926" s="174">
        <v>73</v>
      </c>
      <c r="K926" s="173">
        <v>253.81</v>
      </c>
    </row>
    <row r="927" spans="1:22" ht="14.25" x14ac:dyDescent="0.2">
      <c r="A927" s="179"/>
      <c r="B927" s="178"/>
      <c r="C927" s="178" t="s">
        <v>193</v>
      </c>
      <c r="D927" s="177" t="s">
        <v>187</v>
      </c>
      <c r="E927" s="174">
        <v>70</v>
      </c>
      <c r="F927" s="176"/>
      <c r="G927" s="175"/>
      <c r="H927" s="174"/>
      <c r="I927" s="173">
        <v>10.42</v>
      </c>
      <c r="J927" s="174">
        <v>41</v>
      </c>
      <c r="K927" s="173">
        <v>142.55000000000001</v>
      </c>
    </row>
    <row r="928" spans="1:22" ht="14.25" x14ac:dyDescent="0.2">
      <c r="A928" s="172"/>
      <c r="B928" s="171"/>
      <c r="C928" s="171" t="s">
        <v>192</v>
      </c>
      <c r="D928" s="170" t="s">
        <v>191</v>
      </c>
      <c r="E928" s="167">
        <v>4.34</v>
      </c>
      <c r="F928" s="169"/>
      <c r="G928" s="168" t="s">
        <v>195</v>
      </c>
      <c r="H928" s="167">
        <v>1</v>
      </c>
      <c r="I928" s="166">
        <v>1.08</v>
      </c>
      <c r="J928" s="167"/>
      <c r="K928" s="166"/>
    </row>
    <row r="929" spans="1:22" ht="15" x14ac:dyDescent="0.25">
      <c r="A929" s="164"/>
      <c r="B929" s="164"/>
      <c r="C929" s="165" t="s">
        <v>183</v>
      </c>
      <c r="D929" s="164"/>
      <c r="E929" s="164"/>
      <c r="F929" s="164"/>
      <c r="G929" s="164"/>
      <c r="H929" s="414">
        <v>45.41</v>
      </c>
      <c r="I929" s="414"/>
      <c r="J929" s="414">
        <v>792.12</v>
      </c>
      <c r="K929" s="414"/>
      <c r="O929" s="163">
        <f>I924+I926+I927+SUM(I925:I925)</f>
        <v>45.41</v>
      </c>
      <c r="P929" s="163">
        <f>K924+K926+K927+SUM(K925:K925)</f>
        <v>792.12</v>
      </c>
    </row>
    <row r="932" spans="1:22" ht="15" x14ac:dyDescent="0.25">
      <c r="A932" s="417" t="s">
        <v>2292</v>
      </c>
      <c r="B932" s="417"/>
      <c r="C932" s="417"/>
      <c r="D932" s="417"/>
      <c r="E932" s="417"/>
      <c r="F932" s="417"/>
      <c r="G932" s="417"/>
      <c r="H932" s="415">
        <v>3194.64</v>
      </c>
      <c r="I932" s="416"/>
      <c r="J932" s="415">
        <v>28469.85</v>
      </c>
      <c r="K932" s="416"/>
    </row>
    <row r="933" spans="1:22" hidden="1" x14ac:dyDescent="0.2">
      <c r="A933" s="160" t="s">
        <v>182</v>
      </c>
      <c r="I933" s="160">
        <v>0</v>
      </c>
      <c r="J933" s="160">
        <v>0</v>
      </c>
    </row>
    <row r="934" spans="1:22" hidden="1" x14ac:dyDescent="0.2">
      <c r="A934" s="160" t="s">
        <v>181</v>
      </c>
      <c r="I934" s="160">
        <v>0</v>
      </c>
      <c r="J934" s="160">
        <v>0</v>
      </c>
    </row>
    <row r="936" spans="1:22" ht="16.5" x14ac:dyDescent="0.25">
      <c r="A936" s="413" t="s">
        <v>2293</v>
      </c>
      <c r="B936" s="413"/>
      <c r="C936" s="413"/>
      <c r="D936" s="413"/>
      <c r="E936" s="413"/>
      <c r="F936" s="413"/>
      <c r="G936" s="413"/>
      <c r="H936" s="413"/>
      <c r="I936" s="413"/>
      <c r="J936" s="413"/>
      <c r="K936" s="413"/>
    </row>
    <row r="937" spans="1:22" ht="28.5" x14ac:dyDescent="0.2">
      <c r="A937" s="179" t="s">
        <v>1870</v>
      </c>
      <c r="B937" s="178" t="s">
        <v>2276</v>
      </c>
      <c r="C937" s="178" t="s">
        <v>492</v>
      </c>
      <c r="D937" s="177" t="s">
        <v>1785</v>
      </c>
      <c r="E937" s="174">
        <v>0.79900000000000004</v>
      </c>
      <c r="F937" s="176"/>
      <c r="G937" s="175"/>
      <c r="H937" s="174"/>
      <c r="I937" s="173"/>
      <c r="J937" s="174"/>
      <c r="K937" s="173"/>
      <c r="Q937" s="160">
        <f>[4]Source!X944</f>
        <v>1833.99</v>
      </c>
      <c r="R937" s="160">
        <f>[4]Source!X945</f>
        <v>34352.99</v>
      </c>
      <c r="S937" s="160">
        <f>[4]Source!Y944</f>
        <v>1410.76</v>
      </c>
      <c r="T937" s="160">
        <f>[4]Source!Y945</f>
        <v>19294.14</v>
      </c>
      <c r="U937" s="160">
        <f>ROUND((175/100)*ROUND([4]Source!R944, 2), 2)</f>
        <v>6.77</v>
      </c>
      <c r="V937" s="160">
        <f>ROUND((157/100)*ROUND([4]Source!R945, 2), 2)</f>
        <v>141.87</v>
      </c>
    </row>
    <row r="938" spans="1:22" ht="38.25" x14ac:dyDescent="0.2">
      <c r="C938" s="181" t="s">
        <v>2294</v>
      </c>
    </row>
    <row r="939" spans="1:22" ht="14.25" x14ac:dyDescent="0.2">
      <c r="A939" s="179"/>
      <c r="B939" s="178"/>
      <c r="C939" s="178" t="s">
        <v>197</v>
      </c>
      <c r="D939" s="177"/>
      <c r="E939" s="174"/>
      <c r="F939" s="176">
        <v>2522.36</v>
      </c>
      <c r="G939" s="175" t="s">
        <v>195</v>
      </c>
      <c r="H939" s="174">
        <v>1</v>
      </c>
      <c r="I939" s="173">
        <v>2015.37</v>
      </c>
      <c r="J939" s="174">
        <v>23.35</v>
      </c>
      <c r="K939" s="173">
        <v>47058.89</v>
      </c>
    </row>
    <row r="940" spans="1:22" ht="14.25" x14ac:dyDescent="0.2">
      <c r="A940" s="179"/>
      <c r="B940" s="178"/>
      <c r="C940" s="178" t="s">
        <v>184</v>
      </c>
      <c r="D940" s="177"/>
      <c r="E940" s="174"/>
      <c r="F940" s="176">
        <v>16.55</v>
      </c>
      <c r="G940" s="175" t="s">
        <v>195</v>
      </c>
      <c r="H940" s="174">
        <v>1</v>
      </c>
      <c r="I940" s="173">
        <v>13.22</v>
      </c>
      <c r="J940" s="174">
        <v>10.61</v>
      </c>
      <c r="K940" s="173">
        <v>140.26</v>
      </c>
    </row>
    <row r="941" spans="1:22" ht="14.25" x14ac:dyDescent="0.2">
      <c r="A941" s="179"/>
      <c r="B941" s="178"/>
      <c r="C941" s="178" t="s">
        <v>189</v>
      </c>
      <c r="D941" s="177"/>
      <c r="E941" s="174"/>
      <c r="F941" s="176">
        <v>4.84</v>
      </c>
      <c r="G941" s="175" t="s">
        <v>195</v>
      </c>
      <c r="H941" s="174">
        <v>1</v>
      </c>
      <c r="I941" s="180">
        <v>3.87</v>
      </c>
      <c r="J941" s="174">
        <v>23.35</v>
      </c>
      <c r="K941" s="180">
        <v>90.36</v>
      </c>
    </row>
    <row r="942" spans="1:22" ht="14.25" x14ac:dyDescent="0.2">
      <c r="A942" s="179"/>
      <c r="B942" s="178"/>
      <c r="C942" s="178" t="s">
        <v>205</v>
      </c>
      <c r="D942" s="177"/>
      <c r="E942" s="174"/>
      <c r="F942" s="176">
        <v>28.77</v>
      </c>
      <c r="G942" s="175" t="s">
        <v>195</v>
      </c>
      <c r="H942" s="174">
        <v>1</v>
      </c>
      <c r="I942" s="173">
        <v>22.99</v>
      </c>
      <c r="J942" s="174">
        <v>11.42</v>
      </c>
      <c r="K942" s="173">
        <v>262.55</v>
      </c>
    </row>
    <row r="943" spans="1:22" ht="42.75" x14ac:dyDescent="0.2">
      <c r="A943" s="179" t="s">
        <v>1871</v>
      </c>
      <c r="B943" s="178" t="s">
        <v>2278</v>
      </c>
      <c r="C943" s="178" t="s">
        <v>496</v>
      </c>
      <c r="D943" s="177" t="s">
        <v>1533</v>
      </c>
      <c r="E943" s="174">
        <v>0.20899999999999999</v>
      </c>
      <c r="F943" s="176">
        <v>8416.35</v>
      </c>
      <c r="G943" s="182" t="s">
        <v>195</v>
      </c>
      <c r="H943" s="174">
        <v>1</v>
      </c>
      <c r="I943" s="173">
        <v>1759.02</v>
      </c>
      <c r="J943" s="174">
        <v>5.97</v>
      </c>
      <c r="K943" s="173">
        <v>10501.35</v>
      </c>
      <c r="Q943" s="160">
        <f>[4]Source!X946</f>
        <v>0</v>
      </c>
      <c r="R943" s="160">
        <f>[4]Source!X947</f>
        <v>0</v>
      </c>
      <c r="S943" s="160">
        <f>[4]Source!Y946</f>
        <v>0</v>
      </c>
      <c r="T943" s="160">
        <f>[4]Source!Y947</f>
        <v>0</v>
      </c>
      <c r="U943" s="160">
        <f>ROUND((175/100)*ROUND([4]Source!R946, 2), 2)</f>
        <v>0</v>
      </c>
      <c r="V943" s="160">
        <f>ROUND((157/100)*ROUND([4]Source!R947, 2), 2)</f>
        <v>0</v>
      </c>
    </row>
    <row r="944" spans="1:22" ht="42.75" x14ac:dyDescent="0.2">
      <c r="A944" s="179" t="s">
        <v>1872</v>
      </c>
      <c r="B944" s="178" t="s">
        <v>2280</v>
      </c>
      <c r="C944" s="178" t="s">
        <v>491</v>
      </c>
      <c r="D944" s="177" t="s">
        <v>1533</v>
      </c>
      <c r="E944" s="174">
        <v>0.42985000000000001</v>
      </c>
      <c r="F944" s="176">
        <v>8344.7099999999991</v>
      </c>
      <c r="G944" s="182" t="s">
        <v>195</v>
      </c>
      <c r="H944" s="174">
        <v>1</v>
      </c>
      <c r="I944" s="173">
        <v>3586.97</v>
      </c>
      <c r="J944" s="174">
        <v>4.66</v>
      </c>
      <c r="K944" s="173">
        <v>16715.28</v>
      </c>
      <c r="Q944" s="160">
        <f>[4]Source!X948</f>
        <v>0</v>
      </c>
      <c r="R944" s="160">
        <f>[4]Source!X949</f>
        <v>0</v>
      </c>
      <c r="S944" s="160">
        <f>[4]Source!Y948</f>
        <v>0</v>
      </c>
      <c r="T944" s="160">
        <f>[4]Source!Y949</f>
        <v>0</v>
      </c>
      <c r="U944" s="160">
        <f>ROUND((175/100)*ROUND([4]Source!R948, 2), 2)</f>
        <v>0</v>
      </c>
      <c r="V944" s="160">
        <f>ROUND((157/100)*ROUND([4]Source!R949, 2), 2)</f>
        <v>0</v>
      </c>
    </row>
    <row r="945" spans="1:22" ht="42.75" x14ac:dyDescent="0.2">
      <c r="A945" s="179" t="s">
        <v>1873</v>
      </c>
      <c r="B945" s="178" t="s">
        <v>2260</v>
      </c>
      <c r="C945" s="178" t="s">
        <v>490</v>
      </c>
      <c r="D945" s="177" t="s">
        <v>1533</v>
      </c>
      <c r="E945" s="174">
        <v>0.12765000000000001</v>
      </c>
      <c r="F945" s="176">
        <v>7075.07</v>
      </c>
      <c r="G945" s="182" t="s">
        <v>195</v>
      </c>
      <c r="H945" s="174">
        <v>1</v>
      </c>
      <c r="I945" s="173">
        <v>903.13</v>
      </c>
      <c r="J945" s="174">
        <v>5.82</v>
      </c>
      <c r="K945" s="173">
        <v>5256.22</v>
      </c>
      <c r="Q945" s="160">
        <f>[4]Source!X950</f>
        <v>0</v>
      </c>
      <c r="R945" s="160">
        <f>[4]Source!X951</f>
        <v>0</v>
      </c>
      <c r="S945" s="160">
        <f>[4]Source!Y950</f>
        <v>0</v>
      </c>
      <c r="T945" s="160">
        <f>[4]Source!Y951</f>
        <v>0</v>
      </c>
      <c r="U945" s="160">
        <f>ROUND((175/100)*ROUND([4]Source!R950, 2), 2)</f>
        <v>0</v>
      </c>
      <c r="V945" s="160">
        <f>ROUND((157/100)*ROUND([4]Source!R951, 2), 2)</f>
        <v>0</v>
      </c>
    </row>
    <row r="946" spans="1:22" ht="71.25" x14ac:dyDescent="0.2">
      <c r="A946" s="179" t="s">
        <v>2295</v>
      </c>
      <c r="B946" s="178" t="s">
        <v>2282</v>
      </c>
      <c r="C946" s="178" t="s">
        <v>489</v>
      </c>
      <c r="D946" s="177" t="s">
        <v>1533</v>
      </c>
      <c r="E946" s="174">
        <v>8.0000000000000002E-3</v>
      </c>
      <c r="F946" s="176">
        <v>5681.92</v>
      </c>
      <c r="G946" s="182" t="s">
        <v>195</v>
      </c>
      <c r="H946" s="174">
        <v>1</v>
      </c>
      <c r="I946" s="173">
        <v>45.46</v>
      </c>
      <c r="J946" s="174">
        <v>7.69</v>
      </c>
      <c r="K946" s="173">
        <v>349.59</v>
      </c>
      <c r="Q946" s="160">
        <f>[4]Source!X952</f>
        <v>0</v>
      </c>
      <c r="R946" s="160">
        <f>[4]Source!X953</f>
        <v>0</v>
      </c>
      <c r="S946" s="160">
        <f>[4]Source!Y952</f>
        <v>0</v>
      </c>
      <c r="T946" s="160">
        <f>[4]Source!Y953</f>
        <v>0</v>
      </c>
      <c r="U946" s="160">
        <f>ROUND((175/100)*ROUND([4]Source!R952, 2), 2)</f>
        <v>0</v>
      </c>
      <c r="V946" s="160">
        <f>ROUND((157/100)*ROUND([4]Source!R953, 2), 2)</f>
        <v>0</v>
      </c>
    </row>
    <row r="947" spans="1:22" ht="57" x14ac:dyDescent="0.2">
      <c r="A947" s="179" t="s">
        <v>2296</v>
      </c>
      <c r="B947" s="178" t="s">
        <v>2284</v>
      </c>
      <c r="C947" s="178" t="s">
        <v>495</v>
      </c>
      <c r="D947" s="177" t="s">
        <v>1661</v>
      </c>
      <c r="E947" s="174">
        <v>5</v>
      </c>
      <c r="F947" s="176">
        <v>183.34</v>
      </c>
      <c r="G947" s="182" t="s">
        <v>195</v>
      </c>
      <c r="H947" s="174">
        <v>1</v>
      </c>
      <c r="I947" s="173">
        <v>916.7</v>
      </c>
      <c r="J947" s="174">
        <v>1.06</v>
      </c>
      <c r="K947" s="173">
        <v>971.7</v>
      </c>
      <c r="Q947" s="160">
        <f>[4]Source!X954</f>
        <v>0</v>
      </c>
      <c r="R947" s="160">
        <f>[4]Source!X955</f>
        <v>0</v>
      </c>
      <c r="S947" s="160">
        <f>[4]Source!Y954</f>
        <v>0</v>
      </c>
      <c r="T947" s="160">
        <f>[4]Source!Y955</f>
        <v>0</v>
      </c>
      <c r="U947" s="160">
        <f>ROUND((175/100)*ROUND([4]Source!R954, 2), 2)</f>
        <v>0</v>
      </c>
      <c r="V947" s="160">
        <f>ROUND((157/100)*ROUND([4]Source!R955, 2), 2)</f>
        <v>0</v>
      </c>
    </row>
    <row r="948" spans="1:22" ht="57" x14ac:dyDescent="0.2">
      <c r="A948" s="179" t="s">
        <v>2297</v>
      </c>
      <c r="B948" s="178" t="s">
        <v>2285</v>
      </c>
      <c r="C948" s="178" t="s">
        <v>494</v>
      </c>
      <c r="D948" s="177" t="s">
        <v>1661</v>
      </c>
      <c r="E948" s="174">
        <v>10</v>
      </c>
      <c r="F948" s="176">
        <v>7.78</v>
      </c>
      <c r="G948" s="182" t="s">
        <v>195</v>
      </c>
      <c r="H948" s="174">
        <v>1</v>
      </c>
      <c r="I948" s="173">
        <v>77.8</v>
      </c>
      <c r="J948" s="174">
        <v>3.92</v>
      </c>
      <c r="K948" s="173">
        <v>304.98</v>
      </c>
      <c r="Q948" s="160">
        <f>[4]Source!X956</f>
        <v>0</v>
      </c>
      <c r="R948" s="160">
        <f>[4]Source!X957</f>
        <v>0</v>
      </c>
      <c r="S948" s="160">
        <f>[4]Source!Y956</f>
        <v>0</v>
      </c>
      <c r="T948" s="160">
        <f>[4]Source!Y957</f>
        <v>0</v>
      </c>
      <c r="U948" s="160">
        <f>ROUND((175/100)*ROUND([4]Source!R956, 2), 2)</f>
        <v>0</v>
      </c>
      <c r="V948" s="160">
        <f>ROUND((157/100)*ROUND([4]Source!R957, 2), 2)</f>
        <v>0</v>
      </c>
    </row>
    <row r="949" spans="1:22" ht="42.75" x14ac:dyDescent="0.2">
      <c r="A949" s="179" t="s">
        <v>2298</v>
      </c>
      <c r="B949" s="178" t="s">
        <v>2286</v>
      </c>
      <c r="C949" s="178" t="s">
        <v>493</v>
      </c>
      <c r="D949" s="177" t="s">
        <v>1661</v>
      </c>
      <c r="E949" s="174">
        <v>10</v>
      </c>
      <c r="F949" s="176">
        <v>12.88</v>
      </c>
      <c r="G949" s="182" t="s">
        <v>195</v>
      </c>
      <c r="H949" s="174">
        <v>1</v>
      </c>
      <c r="I949" s="173">
        <v>128.80000000000001</v>
      </c>
      <c r="J949" s="174">
        <v>3.69</v>
      </c>
      <c r="K949" s="173">
        <v>475.27</v>
      </c>
      <c r="Q949" s="160">
        <f>[4]Source!X958</f>
        <v>0</v>
      </c>
      <c r="R949" s="160">
        <f>[4]Source!X959</f>
        <v>0</v>
      </c>
      <c r="S949" s="160">
        <f>[4]Source!Y958</f>
        <v>0</v>
      </c>
      <c r="T949" s="160">
        <f>[4]Source!Y959</f>
        <v>0</v>
      </c>
      <c r="U949" s="160">
        <f>ROUND((175/100)*ROUND([4]Source!R958, 2), 2)</f>
        <v>0</v>
      </c>
      <c r="V949" s="160">
        <f>ROUND((157/100)*ROUND([4]Source!R959, 2), 2)</f>
        <v>0</v>
      </c>
    </row>
    <row r="950" spans="1:22" ht="14.25" x14ac:dyDescent="0.2">
      <c r="A950" s="179"/>
      <c r="B950" s="178"/>
      <c r="C950" s="178" t="s">
        <v>194</v>
      </c>
      <c r="D950" s="177" t="s">
        <v>187</v>
      </c>
      <c r="E950" s="174">
        <v>91</v>
      </c>
      <c r="F950" s="176"/>
      <c r="G950" s="175"/>
      <c r="H950" s="174"/>
      <c r="I950" s="173">
        <v>1833.99</v>
      </c>
      <c r="J950" s="174">
        <v>73</v>
      </c>
      <c r="K950" s="173">
        <v>34352.99</v>
      </c>
    </row>
    <row r="951" spans="1:22" ht="14.25" x14ac:dyDescent="0.2">
      <c r="A951" s="179"/>
      <c r="B951" s="178"/>
      <c r="C951" s="178" t="s">
        <v>193</v>
      </c>
      <c r="D951" s="177" t="s">
        <v>187</v>
      </c>
      <c r="E951" s="174">
        <v>70</v>
      </c>
      <c r="F951" s="176"/>
      <c r="G951" s="175"/>
      <c r="H951" s="174"/>
      <c r="I951" s="173">
        <v>1410.76</v>
      </c>
      <c r="J951" s="174">
        <v>41</v>
      </c>
      <c r="K951" s="173">
        <v>19294.14</v>
      </c>
    </row>
    <row r="952" spans="1:22" ht="14.25" x14ac:dyDescent="0.2">
      <c r="A952" s="179"/>
      <c r="B952" s="178"/>
      <c r="C952" s="178" t="s">
        <v>188</v>
      </c>
      <c r="D952" s="177" t="s">
        <v>187</v>
      </c>
      <c r="E952" s="174">
        <v>175</v>
      </c>
      <c r="F952" s="176"/>
      <c r="G952" s="175"/>
      <c r="H952" s="174"/>
      <c r="I952" s="173">
        <v>6.77</v>
      </c>
      <c r="J952" s="174">
        <v>157</v>
      </c>
      <c r="K952" s="173">
        <v>141.87</v>
      </c>
    </row>
    <row r="953" spans="1:22" ht="14.25" x14ac:dyDescent="0.2">
      <c r="A953" s="172"/>
      <c r="B953" s="171"/>
      <c r="C953" s="171" t="s">
        <v>192</v>
      </c>
      <c r="D953" s="170" t="s">
        <v>191</v>
      </c>
      <c r="E953" s="167">
        <v>201.95</v>
      </c>
      <c r="F953" s="169"/>
      <c r="G953" s="168" t="s">
        <v>195</v>
      </c>
      <c r="H953" s="167">
        <v>1</v>
      </c>
      <c r="I953" s="166">
        <v>161.36000000000001</v>
      </c>
      <c r="J953" s="167"/>
      <c r="K953" s="166"/>
    </row>
    <row r="954" spans="1:22" ht="15" x14ac:dyDescent="0.25">
      <c r="A954" s="164"/>
      <c r="B954" s="164"/>
      <c r="C954" s="165" t="s">
        <v>183</v>
      </c>
      <c r="D954" s="164"/>
      <c r="E954" s="164"/>
      <c r="F954" s="164"/>
      <c r="G954" s="164"/>
      <c r="H954" s="414">
        <v>12720.98</v>
      </c>
      <c r="I954" s="414"/>
      <c r="J954" s="414">
        <v>135825.09</v>
      </c>
      <c r="K954" s="414"/>
      <c r="O954" s="163">
        <f>I939+I940+I942+I950+I951+I952+SUM(I943:I949)</f>
        <v>12720.98</v>
      </c>
      <c r="P954" s="163">
        <f>K939+K940+K942+K950+K951+K952+SUM(K943:K949)</f>
        <v>135825.09</v>
      </c>
    </row>
    <row r="957" spans="1:22" ht="15" x14ac:dyDescent="0.25">
      <c r="A957" s="417" t="s">
        <v>2299</v>
      </c>
      <c r="B957" s="417"/>
      <c r="C957" s="417"/>
      <c r="D957" s="417"/>
      <c r="E957" s="417"/>
      <c r="F957" s="417"/>
      <c r="G957" s="417"/>
      <c r="H957" s="415">
        <v>12720.98</v>
      </c>
      <c r="I957" s="416"/>
      <c r="J957" s="415">
        <v>135825.09</v>
      </c>
      <c r="K957" s="416"/>
    </row>
    <row r="958" spans="1:22" hidden="1" x14ac:dyDescent="0.2">
      <c r="A958" s="160" t="s">
        <v>182</v>
      </c>
      <c r="I958" s="160">
        <v>0</v>
      </c>
      <c r="J958" s="160">
        <v>0</v>
      </c>
    </row>
    <row r="959" spans="1:22" hidden="1" x14ac:dyDescent="0.2">
      <c r="A959" s="160" t="s">
        <v>181</v>
      </c>
      <c r="I959" s="160">
        <v>0</v>
      </c>
      <c r="J959" s="160">
        <v>0</v>
      </c>
    </row>
    <row r="961" spans="1:22" ht="16.5" x14ac:dyDescent="0.25">
      <c r="A961" s="413" t="s">
        <v>2300</v>
      </c>
      <c r="B961" s="413"/>
      <c r="C961" s="413"/>
      <c r="D961" s="413"/>
      <c r="E961" s="413"/>
      <c r="F961" s="413"/>
      <c r="G961" s="413"/>
      <c r="H961" s="413"/>
      <c r="I961" s="413"/>
      <c r="J961" s="413"/>
      <c r="K961" s="413"/>
    </row>
    <row r="962" spans="1:22" ht="28.5" x14ac:dyDescent="0.2">
      <c r="A962" s="179" t="s">
        <v>1877</v>
      </c>
      <c r="B962" s="178" t="s">
        <v>2276</v>
      </c>
      <c r="C962" s="178" t="s">
        <v>492</v>
      </c>
      <c r="D962" s="177" t="s">
        <v>1785</v>
      </c>
      <c r="E962" s="174">
        <v>0.17471999999999999</v>
      </c>
      <c r="F962" s="176"/>
      <c r="G962" s="175"/>
      <c r="H962" s="174"/>
      <c r="I962" s="173"/>
      <c r="J962" s="174"/>
      <c r="K962" s="173"/>
      <c r="Q962" s="160">
        <f>[4]Source!X995</f>
        <v>401.05</v>
      </c>
      <c r="R962" s="160">
        <f>[4]Source!X996</f>
        <v>7512.12</v>
      </c>
      <c r="S962" s="160">
        <f>[4]Source!Y995</f>
        <v>308.5</v>
      </c>
      <c r="T962" s="160">
        <f>[4]Source!Y996</f>
        <v>4219.1400000000003</v>
      </c>
      <c r="U962" s="160">
        <f>ROUND((175/100)*ROUND([4]Source!R995, 2), 2)</f>
        <v>1.49</v>
      </c>
      <c r="V962" s="160">
        <f>ROUND((157/100)*ROUND([4]Source!R996, 2), 2)</f>
        <v>31.16</v>
      </c>
    </row>
    <row r="963" spans="1:22" ht="38.25" x14ac:dyDescent="0.2">
      <c r="C963" s="181" t="s">
        <v>2301</v>
      </c>
    </row>
    <row r="964" spans="1:22" ht="14.25" x14ac:dyDescent="0.2">
      <c r="A964" s="179"/>
      <c r="B964" s="178"/>
      <c r="C964" s="178" t="s">
        <v>197</v>
      </c>
      <c r="D964" s="177"/>
      <c r="E964" s="174"/>
      <c r="F964" s="176">
        <v>2522.36</v>
      </c>
      <c r="G964" s="175" t="s">
        <v>195</v>
      </c>
      <c r="H964" s="174">
        <v>1</v>
      </c>
      <c r="I964" s="173">
        <v>440.71</v>
      </c>
      <c r="J964" s="174">
        <v>23.35</v>
      </c>
      <c r="K964" s="173">
        <v>10290.58</v>
      </c>
    </row>
    <row r="965" spans="1:22" ht="14.25" x14ac:dyDescent="0.2">
      <c r="A965" s="179"/>
      <c r="B965" s="178"/>
      <c r="C965" s="178" t="s">
        <v>184</v>
      </c>
      <c r="D965" s="177"/>
      <c r="E965" s="174"/>
      <c r="F965" s="176">
        <v>16.55</v>
      </c>
      <c r="G965" s="175" t="s">
        <v>195</v>
      </c>
      <c r="H965" s="174">
        <v>1</v>
      </c>
      <c r="I965" s="173">
        <v>2.89</v>
      </c>
      <c r="J965" s="174">
        <v>10.61</v>
      </c>
      <c r="K965" s="173">
        <v>30.66</v>
      </c>
    </row>
    <row r="966" spans="1:22" ht="14.25" x14ac:dyDescent="0.2">
      <c r="A966" s="179"/>
      <c r="B966" s="178"/>
      <c r="C966" s="178" t="s">
        <v>189</v>
      </c>
      <c r="D966" s="177"/>
      <c r="E966" s="174"/>
      <c r="F966" s="176">
        <v>4.84</v>
      </c>
      <c r="G966" s="175" t="s">
        <v>195</v>
      </c>
      <c r="H966" s="174">
        <v>1</v>
      </c>
      <c r="I966" s="180">
        <v>0.85</v>
      </c>
      <c r="J966" s="174">
        <v>23.35</v>
      </c>
      <c r="K966" s="180">
        <v>19.850000000000001</v>
      </c>
    </row>
    <row r="967" spans="1:22" ht="14.25" x14ac:dyDescent="0.2">
      <c r="A967" s="179"/>
      <c r="B967" s="178"/>
      <c r="C967" s="178" t="s">
        <v>205</v>
      </c>
      <c r="D967" s="177"/>
      <c r="E967" s="174"/>
      <c r="F967" s="176">
        <v>28.77</v>
      </c>
      <c r="G967" s="175" t="s">
        <v>195</v>
      </c>
      <c r="H967" s="174">
        <v>1</v>
      </c>
      <c r="I967" s="173">
        <v>5.03</v>
      </c>
      <c r="J967" s="174">
        <v>11.42</v>
      </c>
      <c r="K967" s="173">
        <v>57.44</v>
      </c>
    </row>
    <row r="968" spans="1:22" ht="42.75" x14ac:dyDescent="0.2">
      <c r="A968" s="179" t="s">
        <v>2116</v>
      </c>
      <c r="B968" s="178" t="s">
        <v>2278</v>
      </c>
      <c r="C968" s="178" t="s">
        <v>496</v>
      </c>
      <c r="D968" s="177" t="s">
        <v>1533</v>
      </c>
      <c r="E968" s="174">
        <v>5.0299999999999997E-2</v>
      </c>
      <c r="F968" s="176">
        <v>8416.35</v>
      </c>
      <c r="G968" s="182" t="s">
        <v>195</v>
      </c>
      <c r="H968" s="174">
        <v>1</v>
      </c>
      <c r="I968" s="173">
        <v>423.34</v>
      </c>
      <c r="J968" s="174">
        <v>5.97</v>
      </c>
      <c r="K968" s="173">
        <v>2527.34</v>
      </c>
      <c r="Q968" s="160">
        <f>[4]Source!X997</f>
        <v>0</v>
      </c>
      <c r="R968" s="160">
        <f>[4]Source!X998</f>
        <v>0</v>
      </c>
      <c r="S968" s="160">
        <f>[4]Source!Y997</f>
        <v>0</v>
      </c>
      <c r="T968" s="160">
        <f>[4]Source!Y998</f>
        <v>0</v>
      </c>
      <c r="U968" s="160">
        <f>ROUND((175/100)*ROUND([4]Source!R997, 2), 2)</f>
        <v>0</v>
      </c>
      <c r="V968" s="160">
        <f>ROUND((157/100)*ROUND([4]Source!R998, 2), 2)</f>
        <v>0</v>
      </c>
    </row>
    <row r="969" spans="1:22" ht="42.75" x14ac:dyDescent="0.2">
      <c r="A969" s="179" t="s">
        <v>1880</v>
      </c>
      <c r="B969" s="178" t="s">
        <v>2280</v>
      </c>
      <c r="C969" s="178" t="s">
        <v>491</v>
      </c>
      <c r="D969" s="177" t="s">
        <v>1533</v>
      </c>
      <c r="E969" s="174">
        <v>8.5970000000000005E-2</v>
      </c>
      <c r="F969" s="176">
        <v>8344.7099999999991</v>
      </c>
      <c r="G969" s="182" t="s">
        <v>195</v>
      </c>
      <c r="H969" s="174">
        <v>1</v>
      </c>
      <c r="I969" s="173">
        <v>717.39</v>
      </c>
      <c r="J969" s="174">
        <v>4.66</v>
      </c>
      <c r="K969" s="173">
        <v>3343.04</v>
      </c>
      <c r="Q969" s="160">
        <f>[4]Source!X999</f>
        <v>0</v>
      </c>
      <c r="R969" s="160">
        <f>[4]Source!X1000</f>
        <v>0</v>
      </c>
      <c r="S969" s="160">
        <f>[4]Source!Y999</f>
        <v>0</v>
      </c>
      <c r="T969" s="160">
        <f>[4]Source!Y1000</f>
        <v>0</v>
      </c>
      <c r="U969" s="160">
        <f>ROUND((175/100)*ROUND([4]Source!R999, 2), 2)</f>
        <v>0</v>
      </c>
      <c r="V969" s="160">
        <f>ROUND((157/100)*ROUND([4]Source!R1000, 2), 2)</f>
        <v>0</v>
      </c>
    </row>
    <row r="970" spans="1:22" ht="42.75" x14ac:dyDescent="0.2">
      <c r="A970" s="179" t="s">
        <v>1882</v>
      </c>
      <c r="B970" s="178" t="s">
        <v>2260</v>
      </c>
      <c r="C970" s="178" t="s">
        <v>490</v>
      </c>
      <c r="D970" s="177" t="s">
        <v>1533</v>
      </c>
      <c r="E970" s="174">
        <v>3.0929999999999999E-2</v>
      </c>
      <c r="F970" s="176">
        <v>7075.07</v>
      </c>
      <c r="G970" s="182" t="s">
        <v>195</v>
      </c>
      <c r="H970" s="174">
        <v>1</v>
      </c>
      <c r="I970" s="173">
        <v>218.83</v>
      </c>
      <c r="J970" s="174">
        <v>5.82</v>
      </c>
      <c r="K970" s="173">
        <v>1273.5899999999999</v>
      </c>
      <c r="Q970" s="160">
        <f>[4]Source!X1001</f>
        <v>0</v>
      </c>
      <c r="R970" s="160">
        <f>[4]Source!X1002</f>
        <v>0</v>
      </c>
      <c r="S970" s="160">
        <f>[4]Source!Y1001</f>
        <v>0</v>
      </c>
      <c r="T970" s="160">
        <f>[4]Source!Y1002</f>
        <v>0</v>
      </c>
      <c r="U970" s="160">
        <f>ROUND((175/100)*ROUND([4]Source!R1001, 2), 2)</f>
        <v>0</v>
      </c>
      <c r="V970" s="160">
        <f>ROUND((157/100)*ROUND([4]Source!R1002, 2), 2)</f>
        <v>0</v>
      </c>
    </row>
    <row r="971" spans="1:22" ht="71.25" x14ac:dyDescent="0.2">
      <c r="A971" s="179" t="s">
        <v>1884</v>
      </c>
      <c r="B971" s="178" t="s">
        <v>2282</v>
      </c>
      <c r="C971" s="178" t="s">
        <v>489</v>
      </c>
      <c r="D971" s="177" t="s">
        <v>1533</v>
      </c>
      <c r="E971" s="174">
        <v>1.6000000000000001E-3</v>
      </c>
      <c r="F971" s="176">
        <v>5681.92</v>
      </c>
      <c r="G971" s="182" t="s">
        <v>195</v>
      </c>
      <c r="H971" s="174">
        <v>1</v>
      </c>
      <c r="I971" s="173">
        <v>9.09</v>
      </c>
      <c r="J971" s="174">
        <v>7.69</v>
      </c>
      <c r="K971" s="173">
        <v>69.900000000000006</v>
      </c>
      <c r="Q971" s="160">
        <f>[4]Source!X1003</f>
        <v>0</v>
      </c>
      <c r="R971" s="160">
        <f>[4]Source!X1004</f>
        <v>0</v>
      </c>
      <c r="S971" s="160">
        <f>[4]Source!Y1003</f>
        <v>0</v>
      </c>
      <c r="T971" s="160">
        <f>[4]Source!Y1004</f>
        <v>0</v>
      </c>
      <c r="U971" s="160">
        <f>ROUND((175/100)*ROUND([4]Source!R1003, 2), 2)</f>
        <v>0</v>
      </c>
      <c r="V971" s="160">
        <f>ROUND((157/100)*ROUND([4]Source!R1004, 2), 2)</f>
        <v>0</v>
      </c>
    </row>
    <row r="972" spans="1:22" ht="57" x14ac:dyDescent="0.2">
      <c r="A972" s="179" t="s">
        <v>2302</v>
      </c>
      <c r="B972" s="178" t="s">
        <v>2284</v>
      </c>
      <c r="C972" s="178" t="s">
        <v>495</v>
      </c>
      <c r="D972" s="177" t="s">
        <v>1661</v>
      </c>
      <c r="E972" s="174">
        <v>6</v>
      </c>
      <c r="F972" s="176">
        <v>183.34</v>
      </c>
      <c r="G972" s="182" t="s">
        <v>195</v>
      </c>
      <c r="H972" s="174">
        <v>1</v>
      </c>
      <c r="I972" s="173">
        <v>1100.04</v>
      </c>
      <c r="J972" s="174">
        <v>1.06</v>
      </c>
      <c r="K972" s="173">
        <v>1166.04</v>
      </c>
      <c r="Q972" s="160">
        <f>[4]Source!X1005</f>
        <v>0</v>
      </c>
      <c r="R972" s="160">
        <f>[4]Source!X1006</f>
        <v>0</v>
      </c>
      <c r="S972" s="160">
        <f>[4]Source!Y1005</f>
        <v>0</v>
      </c>
      <c r="T972" s="160">
        <f>[4]Source!Y1006</f>
        <v>0</v>
      </c>
      <c r="U972" s="160">
        <f>ROUND((175/100)*ROUND([4]Source!R1005, 2), 2)</f>
        <v>0</v>
      </c>
      <c r="V972" s="160">
        <f>ROUND((157/100)*ROUND([4]Source!R1006, 2), 2)</f>
        <v>0</v>
      </c>
    </row>
    <row r="973" spans="1:22" ht="57" x14ac:dyDescent="0.2">
      <c r="A973" s="179" t="s">
        <v>2303</v>
      </c>
      <c r="B973" s="178" t="s">
        <v>2285</v>
      </c>
      <c r="C973" s="178" t="s">
        <v>494</v>
      </c>
      <c r="D973" s="177" t="s">
        <v>1661</v>
      </c>
      <c r="E973" s="174">
        <v>12</v>
      </c>
      <c r="F973" s="176">
        <v>7.78</v>
      </c>
      <c r="G973" s="182" t="s">
        <v>195</v>
      </c>
      <c r="H973" s="174">
        <v>1</v>
      </c>
      <c r="I973" s="173">
        <v>93.36</v>
      </c>
      <c r="J973" s="174">
        <v>3.92</v>
      </c>
      <c r="K973" s="173">
        <v>365.97</v>
      </c>
      <c r="Q973" s="160">
        <f>[4]Source!X1007</f>
        <v>0</v>
      </c>
      <c r="R973" s="160">
        <f>[4]Source!X1008</f>
        <v>0</v>
      </c>
      <c r="S973" s="160">
        <f>[4]Source!Y1007</f>
        <v>0</v>
      </c>
      <c r="T973" s="160">
        <f>[4]Source!Y1008</f>
        <v>0</v>
      </c>
      <c r="U973" s="160">
        <f>ROUND((175/100)*ROUND([4]Source!R1007, 2), 2)</f>
        <v>0</v>
      </c>
      <c r="V973" s="160">
        <f>ROUND((157/100)*ROUND([4]Source!R1008, 2), 2)</f>
        <v>0</v>
      </c>
    </row>
    <row r="974" spans="1:22" ht="42.75" x14ac:dyDescent="0.2">
      <c r="A974" s="179" t="s">
        <v>2304</v>
      </c>
      <c r="B974" s="178" t="s">
        <v>2286</v>
      </c>
      <c r="C974" s="178" t="s">
        <v>493</v>
      </c>
      <c r="D974" s="177" t="s">
        <v>1661</v>
      </c>
      <c r="E974" s="174">
        <v>12</v>
      </c>
      <c r="F974" s="176">
        <v>12.88</v>
      </c>
      <c r="G974" s="182" t="s">
        <v>195</v>
      </c>
      <c r="H974" s="174">
        <v>1</v>
      </c>
      <c r="I974" s="173">
        <v>154.56</v>
      </c>
      <c r="J974" s="174">
        <v>3.69</v>
      </c>
      <c r="K974" s="173">
        <v>570.33000000000004</v>
      </c>
      <c r="Q974" s="160">
        <f>[4]Source!X1009</f>
        <v>0</v>
      </c>
      <c r="R974" s="160">
        <f>[4]Source!X1010</f>
        <v>0</v>
      </c>
      <c r="S974" s="160">
        <f>[4]Source!Y1009</f>
        <v>0</v>
      </c>
      <c r="T974" s="160">
        <f>[4]Source!Y1010</f>
        <v>0</v>
      </c>
      <c r="U974" s="160">
        <f>ROUND((175/100)*ROUND([4]Source!R1009, 2), 2)</f>
        <v>0</v>
      </c>
      <c r="V974" s="160">
        <f>ROUND((157/100)*ROUND([4]Source!R1010, 2), 2)</f>
        <v>0</v>
      </c>
    </row>
    <row r="975" spans="1:22" ht="14.25" x14ac:dyDescent="0.2">
      <c r="A975" s="179"/>
      <c r="B975" s="178"/>
      <c r="C975" s="178" t="s">
        <v>194</v>
      </c>
      <c r="D975" s="177" t="s">
        <v>187</v>
      </c>
      <c r="E975" s="174">
        <v>91</v>
      </c>
      <c r="F975" s="176"/>
      <c r="G975" s="175"/>
      <c r="H975" s="174"/>
      <c r="I975" s="173">
        <v>401.05</v>
      </c>
      <c r="J975" s="174">
        <v>73</v>
      </c>
      <c r="K975" s="173">
        <v>7512.12</v>
      </c>
    </row>
    <row r="976" spans="1:22" ht="14.25" x14ac:dyDescent="0.2">
      <c r="A976" s="179"/>
      <c r="B976" s="178"/>
      <c r="C976" s="178" t="s">
        <v>193</v>
      </c>
      <c r="D976" s="177" t="s">
        <v>187</v>
      </c>
      <c r="E976" s="174">
        <v>70</v>
      </c>
      <c r="F976" s="176"/>
      <c r="G976" s="175"/>
      <c r="H976" s="174"/>
      <c r="I976" s="173">
        <v>308.5</v>
      </c>
      <c r="J976" s="174">
        <v>41</v>
      </c>
      <c r="K976" s="173">
        <v>4219.1400000000003</v>
      </c>
    </row>
    <row r="977" spans="1:22" ht="14.25" x14ac:dyDescent="0.2">
      <c r="A977" s="179"/>
      <c r="B977" s="178"/>
      <c r="C977" s="178" t="s">
        <v>188</v>
      </c>
      <c r="D977" s="177" t="s">
        <v>187</v>
      </c>
      <c r="E977" s="174">
        <v>175</v>
      </c>
      <c r="F977" s="176"/>
      <c r="G977" s="175"/>
      <c r="H977" s="174"/>
      <c r="I977" s="173">
        <v>1.49</v>
      </c>
      <c r="J977" s="174">
        <v>157</v>
      </c>
      <c r="K977" s="173">
        <v>31.16</v>
      </c>
    </row>
    <row r="978" spans="1:22" ht="14.25" x14ac:dyDescent="0.2">
      <c r="A978" s="172"/>
      <c r="B978" s="171"/>
      <c r="C978" s="171" t="s">
        <v>192</v>
      </c>
      <c r="D978" s="170" t="s">
        <v>191</v>
      </c>
      <c r="E978" s="167">
        <v>201.95</v>
      </c>
      <c r="F978" s="169"/>
      <c r="G978" s="168" t="s">
        <v>195</v>
      </c>
      <c r="H978" s="167">
        <v>1</v>
      </c>
      <c r="I978" s="166">
        <v>35.28</v>
      </c>
      <c r="J978" s="167"/>
      <c r="K978" s="166"/>
    </row>
    <row r="979" spans="1:22" ht="15" x14ac:dyDescent="0.25">
      <c r="A979" s="164"/>
      <c r="B979" s="164"/>
      <c r="C979" s="165" t="s">
        <v>183</v>
      </c>
      <c r="D979" s="164"/>
      <c r="E979" s="164"/>
      <c r="F979" s="164"/>
      <c r="G979" s="164"/>
      <c r="H979" s="414">
        <v>3876.28</v>
      </c>
      <c r="I979" s="414"/>
      <c r="J979" s="414">
        <v>31457.31</v>
      </c>
      <c r="K979" s="414"/>
      <c r="O979" s="163">
        <f>I964+I965+I967+I975+I976+I977+SUM(I968:I974)</f>
        <v>3876.28</v>
      </c>
      <c r="P979" s="163">
        <f>K964+K965+K967+K975+K976+K977+SUM(K968:K974)</f>
        <v>31457.31</v>
      </c>
    </row>
    <row r="982" spans="1:22" ht="15" x14ac:dyDescent="0.25">
      <c r="A982" s="417" t="s">
        <v>2305</v>
      </c>
      <c r="B982" s="417"/>
      <c r="C982" s="417"/>
      <c r="D982" s="417"/>
      <c r="E982" s="417"/>
      <c r="F982" s="417"/>
      <c r="G982" s="417"/>
      <c r="H982" s="415">
        <v>3876.28</v>
      </c>
      <c r="I982" s="416"/>
      <c r="J982" s="415">
        <v>31457.31</v>
      </c>
      <c r="K982" s="416"/>
    </row>
    <row r="983" spans="1:22" hidden="1" x14ac:dyDescent="0.2">
      <c r="A983" s="160" t="s">
        <v>182</v>
      </c>
      <c r="I983" s="160">
        <v>0</v>
      </c>
      <c r="J983" s="160">
        <v>0</v>
      </c>
    </row>
    <row r="984" spans="1:22" hidden="1" x14ac:dyDescent="0.2">
      <c r="A984" s="160" t="s">
        <v>181</v>
      </c>
      <c r="I984" s="160">
        <v>0</v>
      </c>
      <c r="J984" s="160">
        <v>0</v>
      </c>
    </row>
    <row r="986" spans="1:22" ht="16.5" x14ac:dyDescent="0.25">
      <c r="A986" s="413" t="s">
        <v>2306</v>
      </c>
      <c r="B986" s="413"/>
      <c r="C986" s="413"/>
      <c r="D986" s="413"/>
      <c r="E986" s="413"/>
      <c r="F986" s="413"/>
      <c r="G986" s="413"/>
      <c r="H986" s="413"/>
      <c r="I986" s="413"/>
      <c r="J986" s="413"/>
      <c r="K986" s="413"/>
    </row>
    <row r="987" spans="1:22" ht="28.5" x14ac:dyDescent="0.2">
      <c r="A987" s="179" t="s">
        <v>1889</v>
      </c>
      <c r="B987" s="178" t="s">
        <v>2276</v>
      </c>
      <c r="C987" s="178" t="s">
        <v>492</v>
      </c>
      <c r="D987" s="177" t="s">
        <v>1785</v>
      </c>
      <c r="E987" s="174">
        <v>0.20282</v>
      </c>
      <c r="F987" s="176"/>
      <c r="G987" s="175"/>
      <c r="H987" s="174"/>
      <c r="I987" s="173"/>
      <c r="J987" s="174"/>
      <c r="K987" s="173"/>
      <c r="Q987" s="160">
        <f>[4]Source!X1046</f>
        <v>465.55</v>
      </c>
      <c r="R987" s="160">
        <f>[4]Source!X1047</f>
        <v>8720.31</v>
      </c>
      <c r="S987" s="160">
        <f>[4]Source!Y1046</f>
        <v>358.11</v>
      </c>
      <c r="T987" s="160">
        <f>[4]Source!Y1047</f>
        <v>4897.71</v>
      </c>
      <c r="U987" s="160">
        <f>ROUND((175/100)*ROUND([4]Source!R1046, 2), 2)</f>
        <v>1.72</v>
      </c>
      <c r="V987" s="160">
        <f>ROUND((157/100)*ROUND([4]Source!R1047, 2), 2)</f>
        <v>35.92</v>
      </c>
    </row>
    <row r="988" spans="1:22" ht="38.25" x14ac:dyDescent="0.2">
      <c r="C988" s="181" t="s">
        <v>2307</v>
      </c>
    </row>
    <row r="989" spans="1:22" ht="14.25" x14ac:dyDescent="0.2">
      <c r="A989" s="179"/>
      <c r="B989" s="178"/>
      <c r="C989" s="178" t="s">
        <v>197</v>
      </c>
      <c r="D989" s="177"/>
      <c r="E989" s="174"/>
      <c r="F989" s="176">
        <v>2522.36</v>
      </c>
      <c r="G989" s="175" t="s">
        <v>195</v>
      </c>
      <c r="H989" s="174">
        <v>1</v>
      </c>
      <c r="I989" s="173">
        <v>511.59</v>
      </c>
      <c r="J989" s="174">
        <v>23.35</v>
      </c>
      <c r="K989" s="173">
        <v>11945.63</v>
      </c>
    </row>
    <row r="990" spans="1:22" ht="14.25" x14ac:dyDescent="0.2">
      <c r="A990" s="179"/>
      <c r="B990" s="178"/>
      <c r="C990" s="178" t="s">
        <v>184</v>
      </c>
      <c r="D990" s="177"/>
      <c r="E990" s="174"/>
      <c r="F990" s="176">
        <v>16.55</v>
      </c>
      <c r="G990" s="175" t="s">
        <v>195</v>
      </c>
      <c r="H990" s="174">
        <v>1</v>
      </c>
      <c r="I990" s="173">
        <v>3.36</v>
      </c>
      <c r="J990" s="174">
        <v>10.61</v>
      </c>
      <c r="K990" s="173">
        <v>35.65</v>
      </c>
    </row>
    <row r="991" spans="1:22" ht="14.25" x14ac:dyDescent="0.2">
      <c r="A991" s="179"/>
      <c r="B991" s="178"/>
      <c r="C991" s="178" t="s">
        <v>189</v>
      </c>
      <c r="D991" s="177"/>
      <c r="E991" s="174"/>
      <c r="F991" s="176">
        <v>4.84</v>
      </c>
      <c r="G991" s="175" t="s">
        <v>195</v>
      </c>
      <c r="H991" s="174">
        <v>1</v>
      </c>
      <c r="I991" s="180">
        <v>0.98</v>
      </c>
      <c r="J991" s="174">
        <v>23.35</v>
      </c>
      <c r="K991" s="180">
        <v>22.88</v>
      </c>
    </row>
    <row r="992" spans="1:22" ht="14.25" x14ac:dyDescent="0.2">
      <c r="A992" s="179"/>
      <c r="B992" s="178"/>
      <c r="C992" s="178" t="s">
        <v>205</v>
      </c>
      <c r="D992" s="177"/>
      <c r="E992" s="174"/>
      <c r="F992" s="176">
        <v>28.77</v>
      </c>
      <c r="G992" s="175" t="s">
        <v>195</v>
      </c>
      <c r="H992" s="174">
        <v>1</v>
      </c>
      <c r="I992" s="173">
        <v>5.84</v>
      </c>
      <c r="J992" s="174">
        <v>11.42</v>
      </c>
      <c r="K992" s="173">
        <v>66.69</v>
      </c>
    </row>
    <row r="993" spans="1:22" ht="42.75" x14ac:dyDescent="0.2">
      <c r="A993" s="179" t="s">
        <v>1892</v>
      </c>
      <c r="B993" s="178" t="s">
        <v>2278</v>
      </c>
      <c r="C993" s="178" t="s">
        <v>496</v>
      </c>
      <c r="D993" s="177" t="s">
        <v>1533</v>
      </c>
      <c r="E993" s="174">
        <v>7.6200000000000004E-2</v>
      </c>
      <c r="F993" s="176">
        <v>8416.35</v>
      </c>
      <c r="G993" s="182" t="s">
        <v>195</v>
      </c>
      <c r="H993" s="174">
        <v>1</v>
      </c>
      <c r="I993" s="173">
        <v>641.33000000000004</v>
      </c>
      <c r="J993" s="174">
        <v>5.97</v>
      </c>
      <c r="K993" s="173">
        <v>3828.74</v>
      </c>
      <c r="Q993" s="160">
        <f>[4]Source!X1048</f>
        <v>0</v>
      </c>
      <c r="R993" s="160">
        <f>[4]Source!X1049</f>
        <v>0</v>
      </c>
      <c r="S993" s="160">
        <f>[4]Source!Y1048</f>
        <v>0</v>
      </c>
      <c r="T993" s="160">
        <f>[4]Source!Y1049</f>
        <v>0</v>
      </c>
      <c r="U993" s="160">
        <f>ROUND((175/100)*ROUND([4]Source!R1048, 2), 2)</f>
        <v>0</v>
      </c>
      <c r="V993" s="160">
        <f>ROUND((157/100)*ROUND([4]Source!R1049, 2), 2)</f>
        <v>0</v>
      </c>
    </row>
    <row r="994" spans="1:22" ht="42.75" x14ac:dyDescent="0.2">
      <c r="A994" s="179" t="s">
        <v>2308</v>
      </c>
      <c r="B994" s="178" t="s">
        <v>2280</v>
      </c>
      <c r="C994" s="178" t="s">
        <v>491</v>
      </c>
      <c r="D994" s="177" t="s">
        <v>1533</v>
      </c>
      <c r="E994" s="174">
        <v>8.5970000000000005E-2</v>
      </c>
      <c r="F994" s="176">
        <v>8344.7099999999991</v>
      </c>
      <c r="G994" s="182" t="s">
        <v>195</v>
      </c>
      <c r="H994" s="174">
        <v>1</v>
      </c>
      <c r="I994" s="173">
        <v>717.39</v>
      </c>
      <c r="J994" s="174">
        <v>4.66</v>
      </c>
      <c r="K994" s="173">
        <v>3343.04</v>
      </c>
      <c r="Q994" s="160">
        <f>[4]Source!X1050</f>
        <v>0</v>
      </c>
      <c r="R994" s="160">
        <f>[4]Source!X1051</f>
        <v>0</v>
      </c>
      <c r="S994" s="160">
        <f>[4]Source!Y1050</f>
        <v>0</v>
      </c>
      <c r="T994" s="160">
        <f>[4]Source!Y1051</f>
        <v>0</v>
      </c>
      <c r="U994" s="160">
        <f>ROUND((175/100)*ROUND([4]Source!R1050, 2), 2)</f>
        <v>0</v>
      </c>
      <c r="V994" s="160">
        <f>ROUND((157/100)*ROUND([4]Source!R1051, 2), 2)</f>
        <v>0</v>
      </c>
    </row>
    <row r="995" spans="1:22" ht="42.75" x14ac:dyDescent="0.2">
      <c r="A995" s="179" t="s">
        <v>2309</v>
      </c>
      <c r="B995" s="178" t="s">
        <v>2260</v>
      </c>
      <c r="C995" s="178" t="s">
        <v>490</v>
      </c>
      <c r="D995" s="177" t="s">
        <v>1533</v>
      </c>
      <c r="E995" s="174">
        <v>3.313E-2</v>
      </c>
      <c r="F995" s="176">
        <v>7075.07</v>
      </c>
      <c r="G995" s="182" t="s">
        <v>195</v>
      </c>
      <c r="H995" s="174">
        <v>1</v>
      </c>
      <c r="I995" s="173">
        <v>234.4</v>
      </c>
      <c r="J995" s="174">
        <v>5.82</v>
      </c>
      <c r="K995" s="173">
        <v>1364.21</v>
      </c>
      <c r="Q995" s="160">
        <f>[4]Source!X1052</f>
        <v>0</v>
      </c>
      <c r="R995" s="160">
        <f>[4]Source!X1053</f>
        <v>0</v>
      </c>
      <c r="S995" s="160">
        <f>[4]Source!Y1052</f>
        <v>0</v>
      </c>
      <c r="T995" s="160">
        <f>[4]Source!Y1053</f>
        <v>0</v>
      </c>
      <c r="U995" s="160">
        <f>ROUND((175/100)*ROUND([4]Source!R1052, 2), 2)</f>
        <v>0</v>
      </c>
      <c r="V995" s="160">
        <f>ROUND((157/100)*ROUND([4]Source!R1053, 2), 2)</f>
        <v>0</v>
      </c>
    </row>
    <row r="996" spans="1:22" ht="71.25" x14ac:dyDescent="0.2">
      <c r="A996" s="179" t="s">
        <v>2310</v>
      </c>
      <c r="B996" s="178" t="s">
        <v>2282</v>
      </c>
      <c r="C996" s="178" t="s">
        <v>489</v>
      </c>
      <c r="D996" s="177" t="s">
        <v>1533</v>
      </c>
      <c r="E996" s="174">
        <v>1.6000000000000001E-3</v>
      </c>
      <c r="F996" s="176">
        <v>5681.92</v>
      </c>
      <c r="G996" s="182" t="s">
        <v>195</v>
      </c>
      <c r="H996" s="174">
        <v>1</v>
      </c>
      <c r="I996" s="173">
        <v>9.09</v>
      </c>
      <c r="J996" s="174">
        <v>7.69</v>
      </c>
      <c r="K996" s="173">
        <v>69.900000000000006</v>
      </c>
      <c r="Q996" s="160">
        <f>[4]Source!X1054</f>
        <v>0</v>
      </c>
      <c r="R996" s="160">
        <f>[4]Source!X1055</f>
        <v>0</v>
      </c>
      <c r="S996" s="160">
        <f>[4]Source!Y1054</f>
        <v>0</v>
      </c>
      <c r="T996" s="160">
        <f>[4]Source!Y1055</f>
        <v>0</v>
      </c>
      <c r="U996" s="160">
        <f>ROUND((175/100)*ROUND([4]Source!R1054, 2), 2)</f>
        <v>0</v>
      </c>
      <c r="V996" s="160">
        <f>ROUND((157/100)*ROUND([4]Source!R1055, 2), 2)</f>
        <v>0</v>
      </c>
    </row>
    <row r="997" spans="1:22" ht="57" x14ac:dyDescent="0.2">
      <c r="A997" s="179" t="s">
        <v>2311</v>
      </c>
      <c r="B997" s="178" t="s">
        <v>2284</v>
      </c>
      <c r="C997" s="178" t="s">
        <v>495</v>
      </c>
      <c r="D997" s="177" t="s">
        <v>1661</v>
      </c>
      <c r="E997" s="174">
        <v>6</v>
      </c>
      <c r="F997" s="176">
        <v>183.34</v>
      </c>
      <c r="G997" s="182" t="s">
        <v>195</v>
      </c>
      <c r="H997" s="174">
        <v>1</v>
      </c>
      <c r="I997" s="173">
        <v>1100.04</v>
      </c>
      <c r="J997" s="174">
        <v>1.06</v>
      </c>
      <c r="K997" s="173">
        <v>1166.04</v>
      </c>
      <c r="Q997" s="160">
        <f>[4]Source!X1056</f>
        <v>0</v>
      </c>
      <c r="R997" s="160">
        <f>[4]Source!X1057</f>
        <v>0</v>
      </c>
      <c r="S997" s="160">
        <f>[4]Source!Y1056</f>
        <v>0</v>
      </c>
      <c r="T997" s="160">
        <f>[4]Source!Y1057</f>
        <v>0</v>
      </c>
      <c r="U997" s="160">
        <f>ROUND((175/100)*ROUND([4]Source!R1056, 2), 2)</f>
        <v>0</v>
      </c>
      <c r="V997" s="160">
        <f>ROUND((157/100)*ROUND([4]Source!R1057, 2), 2)</f>
        <v>0</v>
      </c>
    </row>
    <row r="998" spans="1:22" ht="57" x14ac:dyDescent="0.2">
      <c r="A998" s="179" t="s">
        <v>2312</v>
      </c>
      <c r="B998" s="178" t="s">
        <v>2285</v>
      </c>
      <c r="C998" s="178" t="s">
        <v>494</v>
      </c>
      <c r="D998" s="177" t="s">
        <v>1661</v>
      </c>
      <c r="E998" s="174">
        <v>12</v>
      </c>
      <c r="F998" s="176">
        <v>7.78</v>
      </c>
      <c r="G998" s="182" t="s">
        <v>195</v>
      </c>
      <c r="H998" s="174">
        <v>1</v>
      </c>
      <c r="I998" s="173">
        <v>93.36</v>
      </c>
      <c r="J998" s="174">
        <v>3.92</v>
      </c>
      <c r="K998" s="173">
        <v>365.97</v>
      </c>
      <c r="Q998" s="160">
        <f>[4]Source!X1058</f>
        <v>0</v>
      </c>
      <c r="R998" s="160">
        <f>[4]Source!X1059</f>
        <v>0</v>
      </c>
      <c r="S998" s="160">
        <f>[4]Source!Y1058</f>
        <v>0</v>
      </c>
      <c r="T998" s="160">
        <f>[4]Source!Y1059</f>
        <v>0</v>
      </c>
      <c r="U998" s="160">
        <f>ROUND((175/100)*ROUND([4]Source!R1058, 2), 2)</f>
        <v>0</v>
      </c>
      <c r="V998" s="160">
        <f>ROUND((157/100)*ROUND([4]Source!R1059, 2), 2)</f>
        <v>0</v>
      </c>
    </row>
    <row r="999" spans="1:22" ht="42.75" x14ac:dyDescent="0.2">
      <c r="A999" s="179" t="s">
        <v>2313</v>
      </c>
      <c r="B999" s="178" t="s">
        <v>2286</v>
      </c>
      <c r="C999" s="178" t="s">
        <v>493</v>
      </c>
      <c r="D999" s="177" t="s">
        <v>1661</v>
      </c>
      <c r="E999" s="174">
        <v>12</v>
      </c>
      <c r="F999" s="176">
        <v>12.88</v>
      </c>
      <c r="G999" s="182" t="s">
        <v>195</v>
      </c>
      <c r="H999" s="174">
        <v>1</v>
      </c>
      <c r="I999" s="173">
        <v>154.56</v>
      </c>
      <c r="J999" s="174">
        <v>3.69</v>
      </c>
      <c r="K999" s="173">
        <v>570.33000000000004</v>
      </c>
      <c r="Q999" s="160">
        <f>[4]Source!X1060</f>
        <v>0</v>
      </c>
      <c r="R999" s="160">
        <f>[4]Source!X1061</f>
        <v>0</v>
      </c>
      <c r="S999" s="160">
        <f>[4]Source!Y1060</f>
        <v>0</v>
      </c>
      <c r="T999" s="160">
        <f>[4]Source!Y1061</f>
        <v>0</v>
      </c>
      <c r="U999" s="160">
        <f>ROUND((175/100)*ROUND([4]Source!R1060, 2), 2)</f>
        <v>0</v>
      </c>
      <c r="V999" s="160">
        <f>ROUND((157/100)*ROUND([4]Source!R1061, 2), 2)</f>
        <v>0</v>
      </c>
    </row>
    <row r="1000" spans="1:22" ht="14.25" x14ac:dyDescent="0.2">
      <c r="A1000" s="179"/>
      <c r="B1000" s="178"/>
      <c r="C1000" s="178" t="s">
        <v>194</v>
      </c>
      <c r="D1000" s="177" t="s">
        <v>187</v>
      </c>
      <c r="E1000" s="174">
        <v>91</v>
      </c>
      <c r="F1000" s="176"/>
      <c r="G1000" s="175"/>
      <c r="H1000" s="174"/>
      <c r="I1000" s="173">
        <v>465.55</v>
      </c>
      <c r="J1000" s="174">
        <v>73</v>
      </c>
      <c r="K1000" s="173">
        <v>8720.31</v>
      </c>
    </row>
    <row r="1001" spans="1:22" ht="14.25" x14ac:dyDescent="0.2">
      <c r="A1001" s="179"/>
      <c r="B1001" s="178"/>
      <c r="C1001" s="178" t="s">
        <v>193</v>
      </c>
      <c r="D1001" s="177" t="s">
        <v>187</v>
      </c>
      <c r="E1001" s="174">
        <v>70</v>
      </c>
      <c r="F1001" s="176"/>
      <c r="G1001" s="175"/>
      <c r="H1001" s="174"/>
      <c r="I1001" s="173">
        <v>358.11</v>
      </c>
      <c r="J1001" s="174">
        <v>41</v>
      </c>
      <c r="K1001" s="173">
        <v>4897.71</v>
      </c>
    </row>
    <row r="1002" spans="1:22" ht="14.25" x14ac:dyDescent="0.2">
      <c r="A1002" s="179"/>
      <c r="B1002" s="178"/>
      <c r="C1002" s="178" t="s">
        <v>188</v>
      </c>
      <c r="D1002" s="177" t="s">
        <v>187</v>
      </c>
      <c r="E1002" s="174">
        <v>175</v>
      </c>
      <c r="F1002" s="176"/>
      <c r="G1002" s="175"/>
      <c r="H1002" s="174"/>
      <c r="I1002" s="173">
        <v>1.72</v>
      </c>
      <c r="J1002" s="174">
        <v>157</v>
      </c>
      <c r="K1002" s="173">
        <v>35.92</v>
      </c>
    </row>
    <row r="1003" spans="1:22" ht="14.25" x14ac:dyDescent="0.2">
      <c r="A1003" s="172"/>
      <c r="B1003" s="171"/>
      <c r="C1003" s="171" t="s">
        <v>192</v>
      </c>
      <c r="D1003" s="170" t="s">
        <v>191</v>
      </c>
      <c r="E1003" s="167">
        <v>201.95</v>
      </c>
      <c r="F1003" s="169"/>
      <c r="G1003" s="168" t="s">
        <v>195</v>
      </c>
      <c r="H1003" s="167">
        <v>1</v>
      </c>
      <c r="I1003" s="166">
        <v>40.96</v>
      </c>
      <c r="J1003" s="167"/>
      <c r="K1003" s="166"/>
    </row>
    <row r="1004" spans="1:22" ht="15" x14ac:dyDescent="0.25">
      <c r="A1004" s="164"/>
      <c r="B1004" s="164"/>
      <c r="C1004" s="165" t="s">
        <v>183</v>
      </c>
      <c r="D1004" s="164"/>
      <c r="E1004" s="164"/>
      <c r="F1004" s="164"/>
      <c r="G1004" s="164"/>
      <c r="H1004" s="414">
        <v>4296.34</v>
      </c>
      <c r="I1004" s="414"/>
      <c r="J1004" s="414">
        <v>36410.14</v>
      </c>
      <c r="K1004" s="414"/>
      <c r="O1004" s="163">
        <f>I989+I990+I992+I1000+I1001+I1002+SUM(I993:I999)</f>
        <v>4296.34</v>
      </c>
      <c r="P1004" s="163">
        <f>K989+K990+K992+K1000+K1001+K1002+SUM(K993:K999)</f>
        <v>36410.14</v>
      </c>
    </row>
    <row r="1007" spans="1:22" ht="15" x14ac:dyDescent="0.25">
      <c r="A1007" s="417" t="s">
        <v>2314</v>
      </c>
      <c r="B1007" s="417"/>
      <c r="C1007" s="417"/>
      <c r="D1007" s="417"/>
      <c r="E1007" s="417"/>
      <c r="F1007" s="417"/>
      <c r="G1007" s="417"/>
      <c r="H1007" s="415">
        <v>4296.34</v>
      </c>
      <c r="I1007" s="416"/>
      <c r="J1007" s="415">
        <v>36410.14</v>
      </c>
      <c r="K1007" s="416"/>
    </row>
    <row r="1008" spans="1:22" hidden="1" x14ac:dyDescent="0.2">
      <c r="A1008" s="160" t="s">
        <v>182</v>
      </c>
      <c r="I1008" s="160">
        <v>0</v>
      </c>
      <c r="J1008" s="160">
        <v>0</v>
      </c>
    </row>
    <row r="1009" spans="1:22" hidden="1" x14ac:dyDescent="0.2">
      <c r="A1009" s="160" t="s">
        <v>181</v>
      </c>
      <c r="I1009" s="160">
        <v>0</v>
      </c>
      <c r="J1009" s="160">
        <v>0</v>
      </c>
    </row>
    <row r="1011" spans="1:22" ht="16.5" x14ac:dyDescent="0.25">
      <c r="A1011" s="413" t="s">
        <v>2315</v>
      </c>
      <c r="B1011" s="413"/>
      <c r="C1011" s="413"/>
      <c r="D1011" s="413"/>
      <c r="E1011" s="413"/>
      <c r="F1011" s="413"/>
      <c r="G1011" s="413"/>
      <c r="H1011" s="413"/>
      <c r="I1011" s="413"/>
      <c r="J1011" s="413"/>
      <c r="K1011" s="413"/>
    </row>
    <row r="1012" spans="1:22" ht="65.25" x14ac:dyDescent="0.2">
      <c r="A1012" s="179" t="s">
        <v>1894</v>
      </c>
      <c r="B1012" s="178" t="s">
        <v>477</v>
      </c>
      <c r="C1012" s="178" t="s">
        <v>476</v>
      </c>
      <c r="D1012" s="177" t="s">
        <v>2316</v>
      </c>
      <c r="E1012" s="174">
        <v>1.56</v>
      </c>
      <c r="F1012" s="176"/>
      <c r="G1012" s="175"/>
      <c r="H1012" s="174"/>
      <c r="I1012" s="173"/>
      <c r="J1012" s="174"/>
      <c r="K1012" s="173"/>
      <c r="Q1012" s="160">
        <f>[4]Source!X1097</f>
        <v>879.16</v>
      </c>
      <c r="R1012" s="160">
        <f>[4]Source!X1098</f>
        <v>17449.13</v>
      </c>
      <c r="S1012" s="160">
        <f>[4]Source!Y1097</f>
        <v>604.41999999999996</v>
      </c>
      <c r="T1012" s="160">
        <f>[4]Source!Y1098</f>
        <v>10520.8</v>
      </c>
      <c r="U1012" s="160">
        <f>ROUND((175/100)*ROUND([4]Source!R1097, 2), 2)</f>
        <v>1116.3800000000001</v>
      </c>
      <c r="V1012" s="160">
        <f>ROUND((157/100)*ROUND([4]Source!R1098, 2), 2)</f>
        <v>23386.2</v>
      </c>
    </row>
    <row r="1013" spans="1:22" x14ac:dyDescent="0.2">
      <c r="C1013" s="181" t="s">
        <v>2317</v>
      </c>
    </row>
    <row r="1014" spans="1:22" ht="14.25" x14ac:dyDescent="0.2">
      <c r="A1014" s="179"/>
      <c r="B1014" s="178"/>
      <c r="C1014" s="178" t="s">
        <v>197</v>
      </c>
      <c r="D1014" s="177"/>
      <c r="E1014" s="174"/>
      <c r="F1014" s="176">
        <v>2134.7199999999998</v>
      </c>
      <c r="G1014" s="175" t="s">
        <v>2318</v>
      </c>
      <c r="H1014" s="174">
        <v>1</v>
      </c>
      <c r="I1014" s="173">
        <v>1098.95</v>
      </c>
      <c r="J1014" s="174">
        <v>23.35</v>
      </c>
      <c r="K1014" s="173">
        <v>25660.48</v>
      </c>
    </row>
    <row r="1015" spans="1:22" ht="14.25" x14ac:dyDescent="0.2">
      <c r="A1015" s="179"/>
      <c r="B1015" s="178"/>
      <c r="C1015" s="178" t="s">
        <v>184</v>
      </c>
      <c r="D1015" s="177"/>
      <c r="E1015" s="174"/>
      <c r="F1015" s="176">
        <v>1394.25</v>
      </c>
      <c r="G1015" s="175" t="s">
        <v>195</v>
      </c>
      <c r="H1015" s="174">
        <v>1</v>
      </c>
      <c r="I1015" s="173">
        <v>2175.0300000000002</v>
      </c>
      <c r="J1015" s="174">
        <v>10.14</v>
      </c>
      <c r="K1015" s="173">
        <v>22054.799999999999</v>
      </c>
    </row>
    <row r="1016" spans="1:22" ht="14.25" x14ac:dyDescent="0.2">
      <c r="A1016" s="179"/>
      <c r="B1016" s="178"/>
      <c r="C1016" s="178" t="s">
        <v>189</v>
      </c>
      <c r="D1016" s="177"/>
      <c r="E1016" s="174"/>
      <c r="F1016" s="176">
        <v>408.93</v>
      </c>
      <c r="G1016" s="175" t="s">
        <v>195</v>
      </c>
      <c r="H1016" s="174">
        <v>1</v>
      </c>
      <c r="I1016" s="180">
        <v>637.92999999999995</v>
      </c>
      <c r="J1016" s="174">
        <v>23.35</v>
      </c>
      <c r="K1016" s="180">
        <v>14895.67</v>
      </c>
    </row>
    <row r="1017" spans="1:22" ht="28.5" x14ac:dyDescent="0.2">
      <c r="A1017" s="179" t="s">
        <v>1896</v>
      </c>
      <c r="B1017" s="178" t="s">
        <v>1532</v>
      </c>
      <c r="C1017" s="178" t="s">
        <v>351</v>
      </c>
      <c r="D1017" s="177" t="s">
        <v>1533</v>
      </c>
      <c r="E1017" s="174">
        <v>-32.151600000000002</v>
      </c>
      <c r="F1017" s="176">
        <v>0</v>
      </c>
      <c r="G1017" s="182" t="s">
        <v>195</v>
      </c>
      <c r="H1017" s="174">
        <v>1</v>
      </c>
      <c r="I1017" s="173">
        <v>0</v>
      </c>
      <c r="J1017" s="174">
        <v>1</v>
      </c>
      <c r="K1017" s="173">
        <v>0</v>
      </c>
      <c r="Q1017" s="160">
        <f>[4]Source!X1099</f>
        <v>0</v>
      </c>
      <c r="R1017" s="160">
        <f>[4]Source!X1100</f>
        <v>0</v>
      </c>
      <c r="S1017" s="160">
        <f>[4]Source!Y1099</f>
        <v>0</v>
      </c>
      <c r="T1017" s="160">
        <f>[4]Source!Y1100</f>
        <v>0</v>
      </c>
      <c r="U1017" s="160">
        <f>ROUND((175/100)*ROUND([4]Source!R1099, 2), 2)</f>
        <v>0</v>
      </c>
      <c r="V1017" s="160">
        <f>ROUND((157/100)*ROUND([4]Source!R1100, 2), 2)</f>
        <v>0</v>
      </c>
    </row>
    <row r="1018" spans="1:22" ht="14.25" x14ac:dyDescent="0.2">
      <c r="A1018" s="179"/>
      <c r="B1018" s="178"/>
      <c r="C1018" s="178" t="s">
        <v>194</v>
      </c>
      <c r="D1018" s="177" t="s">
        <v>187</v>
      </c>
      <c r="E1018" s="174">
        <v>80</v>
      </c>
      <c r="F1018" s="176"/>
      <c r="G1018" s="175"/>
      <c r="H1018" s="174"/>
      <c r="I1018" s="173">
        <v>879.16</v>
      </c>
      <c r="J1018" s="174">
        <v>68</v>
      </c>
      <c r="K1018" s="173">
        <v>17449.13</v>
      </c>
    </row>
    <row r="1019" spans="1:22" ht="14.25" x14ac:dyDescent="0.2">
      <c r="A1019" s="179"/>
      <c r="B1019" s="178"/>
      <c r="C1019" s="178" t="s">
        <v>193</v>
      </c>
      <c r="D1019" s="177" t="s">
        <v>187</v>
      </c>
      <c r="E1019" s="174">
        <v>55</v>
      </c>
      <c r="F1019" s="176"/>
      <c r="G1019" s="175"/>
      <c r="H1019" s="174"/>
      <c r="I1019" s="173">
        <v>604.41999999999996</v>
      </c>
      <c r="J1019" s="174">
        <v>41</v>
      </c>
      <c r="K1019" s="173">
        <v>10520.8</v>
      </c>
    </row>
    <row r="1020" spans="1:22" ht="14.25" x14ac:dyDescent="0.2">
      <c r="A1020" s="179"/>
      <c r="B1020" s="178"/>
      <c r="C1020" s="178" t="s">
        <v>188</v>
      </c>
      <c r="D1020" s="177" t="s">
        <v>187</v>
      </c>
      <c r="E1020" s="174">
        <v>175</v>
      </c>
      <c r="F1020" s="176"/>
      <c r="G1020" s="175"/>
      <c r="H1020" s="174"/>
      <c r="I1020" s="173">
        <v>1116.3800000000001</v>
      </c>
      <c r="J1020" s="174">
        <v>157</v>
      </c>
      <c r="K1020" s="173">
        <v>23386.2</v>
      </c>
    </row>
    <row r="1021" spans="1:22" ht="14.25" x14ac:dyDescent="0.2">
      <c r="A1021" s="172"/>
      <c r="B1021" s="171"/>
      <c r="C1021" s="171" t="s">
        <v>192</v>
      </c>
      <c r="D1021" s="170" t="s">
        <v>191</v>
      </c>
      <c r="E1021" s="167">
        <v>212.41</v>
      </c>
      <c r="F1021" s="169"/>
      <c r="G1021" s="168" t="s">
        <v>2318</v>
      </c>
      <c r="H1021" s="167">
        <v>1</v>
      </c>
      <c r="I1021" s="166">
        <v>109.35</v>
      </c>
      <c r="J1021" s="167"/>
      <c r="K1021" s="166"/>
    </row>
    <row r="1022" spans="1:22" ht="15" x14ac:dyDescent="0.25">
      <c r="A1022" s="164"/>
      <c r="B1022" s="164"/>
      <c r="C1022" s="165" t="s">
        <v>183</v>
      </c>
      <c r="D1022" s="164"/>
      <c r="E1022" s="164"/>
      <c r="F1022" s="164"/>
      <c r="G1022" s="164"/>
      <c r="H1022" s="414">
        <v>5873.94</v>
      </c>
      <c r="I1022" s="414"/>
      <c r="J1022" s="414">
        <v>99071.41</v>
      </c>
      <c r="K1022" s="414"/>
      <c r="O1022" s="163">
        <f>I1014+I1015+I1018+I1019+I1020+SUM(I1017:I1017)</f>
        <v>5873.94</v>
      </c>
      <c r="P1022" s="163">
        <f>K1014+K1015+K1018+K1019+K1020+SUM(K1017:K1017)</f>
        <v>99071.41</v>
      </c>
    </row>
    <row r="1024" spans="1:22" ht="28.5" x14ac:dyDescent="0.2">
      <c r="A1024" s="179" t="s">
        <v>1902</v>
      </c>
      <c r="B1024" s="178" t="s">
        <v>2276</v>
      </c>
      <c r="C1024" s="178" t="s">
        <v>492</v>
      </c>
      <c r="D1024" s="177" t="s">
        <v>1785</v>
      </c>
      <c r="E1024" s="174">
        <v>0.33145000000000002</v>
      </c>
      <c r="F1024" s="176"/>
      <c r="G1024" s="175"/>
      <c r="H1024" s="174"/>
      <c r="I1024" s="173"/>
      <c r="J1024" s="174"/>
      <c r="K1024" s="173"/>
      <c r="Q1024" s="160">
        <f>[4]Source!X1101</f>
        <v>760.8</v>
      </c>
      <c r="R1024" s="160">
        <f>[4]Source!X1102</f>
        <v>14250.72</v>
      </c>
      <c r="S1024" s="160">
        <f>[4]Source!Y1101</f>
        <v>585.23</v>
      </c>
      <c r="T1024" s="160">
        <f>[4]Source!Y1102</f>
        <v>8003.83</v>
      </c>
      <c r="U1024" s="160">
        <f>ROUND((175/100)*ROUND([4]Source!R1101, 2), 2)</f>
        <v>2.8</v>
      </c>
      <c r="V1024" s="160">
        <f>ROUND((157/100)*ROUND([4]Source!R1102, 2), 2)</f>
        <v>58.66</v>
      </c>
    </row>
    <row r="1025" spans="1:32" x14ac:dyDescent="0.2">
      <c r="C1025" s="181" t="s">
        <v>2319</v>
      </c>
    </row>
    <row r="1026" spans="1:32" ht="14.25" x14ac:dyDescent="0.2">
      <c r="A1026" s="179"/>
      <c r="B1026" s="178"/>
      <c r="C1026" s="178" t="s">
        <v>197</v>
      </c>
      <c r="D1026" s="177"/>
      <c r="E1026" s="174"/>
      <c r="F1026" s="176">
        <v>2522.36</v>
      </c>
      <c r="G1026" s="175" t="s">
        <v>195</v>
      </c>
      <c r="H1026" s="174">
        <v>1</v>
      </c>
      <c r="I1026" s="173">
        <v>836.04</v>
      </c>
      <c r="J1026" s="174">
        <v>23.35</v>
      </c>
      <c r="K1026" s="173">
        <v>19521.53</v>
      </c>
    </row>
    <row r="1027" spans="1:32" ht="14.25" x14ac:dyDescent="0.2">
      <c r="A1027" s="179"/>
      <c r="B1027" s="178"/>
      <c r="C1027" s="178" t="s">
        <v>184</v>
      </c>
      <c r="D1027" s="177"/>
      <c r="E1027" s="174"/>
      <c r="F1027" s="176">
        <v>16.55</v>
      </c>
      <c r="G1027" s="175" t="s">
        <v>195</v>
      </c>
      <c r="H1027" s="174">
        <v>1</v>
      </c>
      <c r="I1027" s="173">
        <v>5.49</v>
      </c>
      <c r="J1027" s="174">
        <v>10.61</v>
      </c>
      <c r="K1027" s="173">
        <v>58.25</v>
      </c>
    </row>
    <row r="1028" spans="1:32" ht="14.25" x14ac:dyDescent="0.2">
      <c r="A1028" s="179"/>
      <c r="B1028" s="178"/>
      <c r="C1028" s="178" t="s">
        <v>189</v>
      </c>
      <c r="D1028" s="177"/>
      <c r="E1028" s="174"/>
      <c r="F1028" s="176">
        <v>4.84</v>
      </c>
      <c r="G1028" s="175" t="s">
        <v>195</v>
      </c>
      <c r="H1028" s="174">
        <v>1</v>
      </c>
      <c r="I1028" s="180">
        <v>1.6</v>
      </c>
      <c r="J1028" s="174">
        <v>23.35</v>
      </c>
      <c r="K1028" s="180">
        <v>37.36</v>
      </c>
    </row>
    <row r="1029" spans="1:32" ht="14.25" x14ac:dyDescent="0.2">
      <c r="A1029" s="179"/>
      <c r="B1029" s="178"/>
      <c r="C1029" s="178" t="s">
        <v>205</v>
      </c>
      <c r="D1029" s="177"/>
      <c r="E1029" s="174"/>
      <c r="F1029" s="176">
        <v>28.77</v>
      </c>
      <c r="G1029" s="175" t="s">
        <v>195</v>
      </c>
      <c r="H1029" s="174">
        <v>1</v>
      </c>
      <c r="I1029" s="173">
        <v>9.5399999999999991</v>
      </c>
      <c r="J1029" s="174">
        <v>11.42</v>
      </c>
      <c r="K1029" s="173">
        <v>108.95</v>
      </c>
    </row>
    <row r="1030" spans="1:32" ht="42.75" x14ac:dyDescent="0.2">
      <c r="A1030" s="179" t="s">
        <v>1904</v>
      </c>
      <c r="B1030" s="178" t="s">
        <v>2280</v>
      </c>
      <c r="C1030" s="178" t="s">
        <v>491</v>
      </c>
      <c r="D1030" s="177" t="s">
        <v>1533</v>
      </c>
      <c r="E1030" s="174">
        <v>0.24199999999999999</v>
      </c>
      <c r="F1030" s="176">
        <v>8344.7099999999991</v>
      </c>
      <c r="G1030" s="182" t="s">
        <v>195</v>
      </c>
      <c r="H1030" s="174">
        <v>1</v>
      </c>
      <c r="I1030" s="173">
        <v>2019.42</v>
      </c>
      <c r="J1030" s="174">
        <v>4.66</v>
      </c>
      <c r="K1030" s="173">
        <v>9410.5</v>
      </c>
      <c r="Q1030" s="160">
        <f>[4]Source!X1103</f>
        <v>0</v>
      </c>
      <c r="R1030" s="160">
        <f>[4]Source!X1104</f>
        <v>0</v>
      </c>
      <c r="S1030" s="160">
        <f>[4]Source!Y1103</f>
        <v>0</v>
      </c>
      <c r="T1030" s="160">
        <f>[4]Source!Y1104</f>
        <v>0</v>
      </c>
      <c r="U1030" s="160">
        <f>ROUND((175/100)*ROUND([4]Source!R1103, 2), 2)</f>
        <v>0</v>
      </c>
      <c r="V1030" s="160">
        <f>ROUND((157/100)*ROUND([4]Source!R1104, 2), 2)</f>
        <v>0</v>
      </c>
    </row>
    <row r="1031" spans="1:32" ht="42.75" x14ac:dyDescent="0.2">
      <c r="A1031" s="179" t="s">
        <v>2320</v>
      </c>
      <c r="B1031" s="178" t="s">
        <v>2260</v>
      </c>
      <c r="C1031" s="178" t="s">
        <v>490</v>
      </c>
      <c r="D1031" s="177" t="s">
        <v>1533</v>
      </c>
      <c r="E1031" s="174">
        <v>8.0409999999999995E-2</v>
      </c>
      <c r="F1031" s="176">
        <v>7075.07</v>
      </c>
      <c r="G1031" s="182" t="s">
        <v>195</v>
      </c>
      <c r="H1031" s="174">
        <v>1</v>
      </c>
      <c r="I1031" s="173">
        <v>568.91</v>
      </c>
      <c r="J1031" s="174">
        <v>5.82</v>
      </c>
      <c r="K1031" s="173">
        <v>3311.06</v>
      </c>
      <c r="Q1031" s="160">
        <f>[4]Source!X1105</f>
        <v>0</v>
      </c>
      <c r="R1031" s="160">
        <f>[4]Source!X1106</f>
        <v>0</v>
      </c>
      <c r="S1031" s="160">
        <f>[4]Source!Y1105</f>
        <v>0</v>
      </c>
      <c r="T1031" s="160">
        <f>[4]Source!Y1106</f>
        <v>0</v>
      </c>
      <c r="U1031" s="160">
        <f>ROUND((175/100)*ROUND([4]Source!R1105, 2), 2)</f>
        <v>0</v>
      </c>
      <c r="V1031" s="160">
        <f>ROUND((157/100)*ROUND([4]Source!R1106, 2), 2)</f>
        <v>0</v>
      </c>
    </row>
    <row r="1032" spans="1:32" ht="71.25" x14ac:dyDescent="0.2">
      <c r="A1032" s="179" t="s">
        <v>2321</v>
      </c>
      <c r="B1032" s="178" t="s">
        <v>2282</v>
      </c>
      <c r="C1032" s="178" t="s">
        <v>489</v>
      </c>
      <c r="D1032" s="177" t="s">
        <v>1533</v>
      </c>
      <c r="E1032" s="174">
        <v>9.0399999999999994E-3</v>
      </c>
      <c r="F1032" s="176">
        <v>5681.92</v>
      </c>
      <c r="G1032" s="182" t="s">
        <v>195</v>
      </c>
      <c r="H1032" s="174">
        <v>1</v>
      </c>
      <c r="I1032" s="173">
        <v>51.36</v>
      </c>
      <c r="J1032" s="174">
        <v>7.69</v>
      </c>
      <c r="K1032" s="173">
        <v>394.96</v>
      </c>
      <c r="Q1032" s="160">
        <f>[4]Source!X1107</f>
        <v>0</v>
      </c>
      <c r="R1032" s="160">
        <f>[4]Source!X1108</f>
        <v>0</v>
      </c>
      <c r="S1032" s="160">
        <f>[4]Source!Y1107</f>
        <v>0</v>
      </c>
      <c r="T1032" s="160">
        <f>[4]Source!Y1108</f>
        <v>0</v>
      </c>
      <c r="U1032" s="160">
        <f>ROUND((175/100)*ROUND([4]Source!R1107, 2), 2)</f>
        <v>0</v>
      </c>
      <c r="V1032" s="160">
        <f>ROUND((157/100)*ROUND([4]Source!R1108, 2), 2)</f>
        <v>0</v>
      </c>
    </row>
    <row r="1033" spans="1:32" ht="14.25" x14ac:dyDescent="0.2">
      <c r="A1033" s="179"/>
      <c r="B1033" s="178"/>
      <c r="C1033" s="178" t="s">
        <v>194</v>
      </c>
      <c r="D1033" s="177" t="s">
        <v>187</v>
      </c>
      <c r="E1033" s="174">
        <v>91</v>
      </c>
      <c r="F1033" s="176"/>
      <c r="G1033" s="175"/>
      <c r="H1033" s="174"/>
      <c r="I1033" s="173">
        <v>760.8</v>
      </c>
      <c r="J1033" s="174">
        <v>73</v>
      </c>
      <c r="K1033" s="173">
        <v>14250.72</v>
      </c>
    </row>
    <row r="1034" spans="1:32" ht="14.25" x14ac:dyDescent="0.2">
      <c r="A1034" s="179"/>
      <c r="B1034" s="178"/>
      <c r="C1034" s="178" t="s">
        <v>193</v>
      </c>
      <c r="D1034" s="177" t="s">
        <v>187</v>
      </c>
      <c r="E1034" s="174">
        <v>70</v>
      </c>
      <c r="F1034" s="176"/>
      <c r="G1034" s="175"/>
      <c r="H1034" s="174"/>
      <c r="I1034" s="173">
        <v>585.23</v>
      </c>
      <c r="J1034" s="174">
        <v>41</v>
      </c>
      <c r="K1034" s="173">
        <v>8003.83</v>
      </c>
    </row>
    <row r="1035" spans="1:32" ht="14.25" x14ac:dyDescent="0.2">
      <c r="A1035" s="179"/>
      <c r="B1035" s="178"/>
      <c r="C1035" s="178" t="s">
        <v>188</v>
      </c>
      <c r="D1035" s="177" t="s">
        <v>187</v>
      </c>
      <c r="E1035" s="174">
        <v>175</v>
      </c>
      <c r="F1035" s="176"/>
      <c r="G1035" s="175"/>
      <c r="H1035" s="174"/>
      <c r="I1035" s="173">
        <v>2.8</v>
      </c>
      <c r="J1035" s="174">
        <v>157</v>
      </c>
      <c r="K1035" s="173">
        <v>58.66</v>
      </c>
    </row>
    <row r="1036" spans="1:32" ht="14.25" x14ac:dyDescent="0.2">
      <c r="A1036" s="172"/>
      <c r="B1036" s="171"/>
      <c r="C1036" s="171" t="s">
        <v>192</v>
      </c>
      <c r="D1036" s="170" t="s">
        <v>191</v>
      </c>
      <c r="E1036" s="167">
        <v>201.95</v>
      </c>
      <c r="F1036" s="169"/>
      <c r="G1036" s="168" t="s">
        <v>195</v>
      </c>
      <c r="H1036" s="167">
        <v>1</v>
      </c>
      <c r="I1036" s="166">
        <v>66.94</v>
      </c>
      <c r="J1036" s="167"/>
      <c r="K1036" s="166"/>
    </row>
    <row r="1037" spans="1:32" ht="15" x14ac:dyDescent="0.25">
      <c r="A1037" s="164"/>
      <c r="B1037" s="164"/>
      <c r="C1037" s="165" t="s">
        <v>183</v>
      </c>
      <c r="D1037" s="164"/>
      <c r="E1037" s="164"/>
      <c r="F1037" s="164"/>
      <c r="G1037" s="164"/>
      <c r="H1037" s="414">
        <v>4839.59</v>
      </c>
      <c r="I1037" s="414"/>
      <c r="J1037" s="414">
        <v>55118.46</v>
      </c>
      <c r="K1037" s="414"/>
      <c r="O1037" s="163">
        <f>I1026+I1027+I1029+I1033+I1034+I1035+SUM(I1030:I1032)</f>
        <v>4839.59</v>
      </c>
      <c r="P1037" s="163">
        <f>K1026+K1027+K1029+K1033+K1034+K1035+SUM(K1030:K1032)</f>
        <v>55118.46</v>
      </c>
    </row>
    <row r="1040" spans="1:32" ht="30" x14ac:dyDescent="0.25">
      <c r="A1040" s="417" t="s">
        <v>2322</v>
      </c>
      <c r="B1040" s="417"/>
      <c r="C1040" s="417"/>
      <c r="D1040" s="417"/>
      <c r="E1040" s="417"/>
      <c r="F1040" s="417"/>
      <c r="G1040" s="417"/>
      <c r="H1040" s="415">
        <v>10713.53</v>
      </c>
      <c r="I1040" s="416"/>
      <c r="J1040" s="415">
        <v>154189.87</v>
      </c>
      <c r="K1040" s="416"/>
      <c r="AF1040" s="201" t="str">
        <f>CONCATENATE("Итого по подразделу: ",IF([4]Source!G1116&lt;&gt;"Новый подраздел", [4]Source!G1116, ""))</f>
        <v>Итого по подразделу: Усиление кирпичных стен в местах прохода коммуникаций для проемов. 023/18КН-КР 4.2 лист 9</v>
      </c>
    </row>
    <row r="1041" spans="1:22" hidden="1" x14ac:dyDescent="0.2">
      <c r="A1041" s="160" t="s">
        <v>182</v>
      </c>
      <c r="I1041" s="160">
        <v>0</v>
      </c>
      <c r="J1041" s="160">
        <v>0</v>
      </c>
    </row>
    <row r="1042" spans="1:22" hidden="1" x14ac:dyDescent="0.2">
      <c r="A1042" s="160" t="s">
        <v>181</v>
      </c>
      <c r="I1042" s="160">
        <v>0</v>
      </c>
      <c r="J1042" s="160">
        <v>0</v>
      </c>
    </row>
    <row r="1044" spans="1:22" ht="15" x14ac:dyDescent="0.25">
      <c r="A1044" s="417" t="s">
        <v>2323</v>
      </c>
      <c r="B1044" s="417"/>
      <c r="C1044" s="417"/>
      <c r="D1044" s="417"/>
      <c r="E1044" s="417"/>
      <c r="F1044" s="417"/>
      <c r="G1044" s="417"/>
      <c r="H1044" s="415">
        <v>34801.769999999997</v>
      </c>
      <c r="I1044" s="416"/>
      <c r="J1044" s="415">
        <v>386352.26</v>
      </c>
      <c r="K1044" s="416"/>
    </row>
    <row r="1045" spans="1:22" hidden="1" x14ac:dyDescent="0.2">
      <c r="A1045" s="160" t="s">
        <v>182</v>
      </c>
      <c r="I1045" s="160">
        <v>0</v>
      </c>
      <c r="J1045" s="160">
        <v>0</v>
      </c>
    </row>
    <row r="1046" spans="1:22" hidden="1" x14ac:dyDescent="0.2">
      <c r="A1046" s="160" t="s">
        <v>181</v>
      </c>
      <c r="I1046" s="160">
        <v>0</v>
      </c>
      <c r="J1046" s="160">
        <v>0</v>
      </c>
    </row>
    <row r="1048" spans="1:22" ht="16.5" x14ac:dyDescent="0.25">
      <c r="A1048" s="413" t="s">
        <v>2324</v>
      </c>
      <c r="B1048" s="413"/>
      <c r="C1048" s="413"/>
      <c r="D1048" s="413"/>
      <c r="E1048" s="413"/>
      <c r="F1048" s="413"/>
      <c r="G1048" s="413"/>
      <c r="H1048" s="413"/>
      <c r="I1048" s="413"/>
      <c r="J1048" s="413"/>
      <c r="K1048" s="413"/>
    </row>
    <row r="1049" spans="1:22" ht="42.75" x14ac:dyDescent="0.2">
      <c r="A1049" s="179" t="s">
        <v>1906</v>
      </c>
      <c r="B1049" s="178" t="s">
        <v>2325</v>
      </c>
      <c r="C1049" s="178" t="s">
        <v>488</v>
      </c>
      <c r="D1049" s="177" t="s">
        <v>2127</v>
      </c>
      <c r="E1049" s="174">
        <v>0.54</v>
      </c>
      <c r="F1049" s="176"/>
      <c r="G1049" s="175"/>
      <c r="H1049" s="174"/>
      <c r="I1049" s="173"/>
      <c r="J1049" s="174"/>
      <c r="K1049" s="173"/>
      <c r="Q1049" s="160">
        <f>[4]Source!X1180</f>
        <v>3108.69</v>
      </c>
      <c r="R1049" s="160">
        <f>[4]Source!X1181</f>
        <v>58229.82</v>
      </c>
      <c r="S1049" s="160">
        <f>[4]Source!Y1180</f>
        <v>2288.81</v>
      </c>
      <c r="T1049" s="160">
        <f>[4]Source!Y1181</f>
        <v>32704.42</v>
      </c>
      <c r="U1049" s="160">
        <f>ROUND((175/100)*ROUND([4]Source!R1180, 2), 2)</f>
        <v>0.51</v>
      </c>
      <c r="V1049" s="160">
        <f>ROUND((157/100)*ROUND([4]Source!R1181, 2), 2)</f>
        <v>10.63</v>
      </c>
    </row>
    <row r="1050" spans="1:22" x14ac:dyDescent="0.2">
      <c r="C1050" s="181" t="s">
        <v>2326</v>
      </c>
    </row>
    <row r="1051" spans="1:22" ht="14.25" x14ac:dyDescent="0.2">
      <c r="A1051" s="179"/>
      <c r="B1051" s="178"/>
      <c r="C1051" s="178" t="s">
        <v>197</v>
      </c>
      <c r="D1051" s="177"/>
      <c r="E1051" s="174"/>
      <c r="F1051" s="176">
        <v>6326.18</v>
      </c>
      <c r="G1051" s="175" t="s">
        <v>195</v>
      </c>
      <c r="H1051" s="174">
        <v>1</v>
      </c>
      <c r="I1051" s="173">
        <v>3416.14</v>
      </c>
      <c r="J1051" s="174">
        <v>23.35</v>
      </c>
      <c r="K1051" s="173">
        <v>79766.87</v>
      </c>
    </row>
    <row r="1052" spans="1:22" ht="14.25" x14ac:dyDescent="0.2">
      <c r="A1052" s="179"/>
      <c r="B1052" s="178"/>
      <c r="C1052" s="178" t="s">
        <v>184</v>
      </c>
      <c r="D1052" s="177"/>
      <c r="E1052" s="174"/>
      <c r="F1052" s="176">
        <v>1.68</v>
      </c>
      <c r="G1052" s="175" t="s">
        <v>195</v>
      </c>
      <c r="H1052" s="174">
        <v>1</v>
      </c>
      <c r="I1052" s="173">
        <v>0.91</v>
      </c>
      <c r="J1052" s="174">
        <v>11.14</v>
      </c>
      <c r="K1052" s="173">
        <v>10.14</v>
      </c>
    </row>
    <row r="1053" spans="1:22" ht="14.25" x14ac:dyDescent="0.2">
      <c r="A1053" s="179"/>
      <c r="B1053" s="178"/>
      <c r="C1053" s="178" t="s">
        <v>189</v>
      </c>
      <c r="D1053" s="177"/>
      <c r="E1053" s="174"/>
      <c r="F1053" s="176">
        <v>0.54</v>
      </c>
      <c r="G1053" s="175" t="s">
        <v>195</v>
      </c>
      <c r="H1053" s="174">
        <v>1</v>
      </c>
      <c r="I1053" s="180">
        <v>0.28999999999999998</v>
      </c>
      <c r="J1053" s="174">
        <v>23.35</v>
      </c>
      <c r="K1053" s="180">
        <v>6.77</v>
      </c>
    </row>
    <row r="1054" spans="1:22" ht="14.25" x14ac:dyDescent="0.2">
      <c r="A1054" s="179"/>
      <c r="B1054" s="178"/>
      <c r="C1054" s="178" t="s">
        <v>205</v>
      </c>
      <c r="D1054" s="177"/>
      <c r="E1054" s="174"/>
      <c r="F1054" s="176">
        <v>6.52</v>
      </c>
      <c r="G1054" s="175" t="s">
        <v>195</v>
      </c>
      <c r="H1054" s="174">
        <v>1</v>
      </c>
      <c r="I1054" s="173">
        <v>3.52</v>
      </c>
      <c r="J1054" s="174">
        <v>8.94</v>
      </c>
      <c r="K1054" s="173">
        <v>31.47</v>
      </c>
    </row>
    <row r="1055" spans="1:22" ht="42.75" x14ac:dyDescent="0.2">
      <c r="A1055" s="179" t="s">
        <v>1909</v>
      </c>
      <c r="B1055" s="178" t="s">
        <v>2327</v>
      </c>
      <c r="C1055" s="178" t="s">
        <v>487</v>
      </c>
      <c r="D1055" s="177" t="s">
        <v>1594</v>
      </c>
      <c r="E1055" s="174">
        <v>0.1242</v>
      </c>
      <c r="F1055" s="176">
        <v>1183.5</v>
      </c>
      <c r="G1055" s="182" t="s">
        <v>195</v>
      </c>
      <c r="H1055" s="174">
        <v>1</v>
      </c>
      <c r="I1055" s="173">
        <v>146.99</v>
      </c>
      <c r="J1055" s="174">
        <v>3.73</v>
      </c>
      <c r="K1055" s="173">
        <v>548.27</v>
      </c>
      <c r="Q1055" s="160">
        <f>[4]Source!X1182</f>
        <v>0</v>
      </c>
      <c r="R1055" s="160">
        <f>[4]Source!X1183</f>
        <v>0</v>
      </c>
      <c r="S1055" s="160">
        <f>[4]Source!Y1182</f>
        <v>0</v>
      </c>
      <c r="T1055" s="160">
        <f>[4]Source!Y1183</f>
        <v>0</v>
      </c>
      <c r="U1055" s="160">
        <f>ROUND((175/100)*ROUND([4]Source!R1182, 2), 2)</f>
        <v>0</v>
      </c>
      <c r="V1055" s="160">
        <f>ROUND((157/100)*ROUND([4]Source!R1183, 2), 2)</f>
        <v>0</v>
      </c>
    </row>
    <row r="1056" spans="1:22" ht="14.25" x14ac:dyDescent="0.2">
      <c r="A1056" s="179"/>
      <c r="B1056" s="178"/>
      <c r="C1056" s="178" t="s">
        <v>194</v>
      </c>
      <c r="D1056" s="177" t="s">
        <v>187</v>
      </c>
      <c r="E1056" s="174">
        <v>91</v>
      </c>
      <c r="F1056" s="176"/>
      <c r="G1056" s="175"/>
      <c r="H1056" s="174"/>
      <c r="I1056" s="173">
        <v>3108.69</v>
      </c>
      <c r="J1056" s="174">
        <v>73</v>
      </c>
      <c r="K1056" s="173">
        <v>58229.82</v>
      </c>
    </row>
    <row r="1057" spans="1:22" ht="14.25" x14ac:dyDescent="0.2">
      <c r="A1057" s="179"/>
      <c r="B1057" s="178"/>
      <c r="C1057" s="178" t="s">
        <v>193</v>
      </c>
      <c r="D1057" s="177" t="s">
        <v>187</v>
      </c>
      <c r="E1057" s="174">
        <v>67</v>
      </c>
      <c r="F1057" s="176"/>
      <c r="G1057" s="175"/>
      <c r="H1057" s="174"/>
      <c r="I1057" s="173">
        <v>2288.81</v>
      </c>
      <c r="J1057" s="174">
        <v>41</v>
      </c>
      <c r="K1057" s="173">
        <v>32704.42</v>
      </c>
    </row>
    <row r="1058" spans="1:22" ht="14.25" x14ac:dyDescent="0.2">
      <c r="A1058" s="179"/>
      <c r="B1058" s="178"/>
      <c r="C1058" s="178" t="s">
        <v>188</v>
      </c>
      <c r="D1058" s="177" t="s">
        <v>187</v>
      </c>
      <c r="E1058" s="174">
        <v>175</v>
      </c>
      <c r="F1058" s="176"/>
      <c r="G1058" s="175"/>
      <c r="H1058" s="174"/>
      <c r="I1058" s="173">
        <v>0.51</v>
      </c>
      <c r="J1058" s="174">
        <v>157</v>
      </c>
      <c r="K1058" s="173">
        <v>10.63</v>
      </c>
    </row>
    <row r="1059" spans="1:22" ht="14.25" x14ac:dyDescent="0.2">
      <c r="A1059" s="172"/>
      <c r="B1059" s="171"/>
      <c r="C1059" s="171" t="s">
        <v>192</v>
      </c>
      <c r="D1059" s="170" t="s">
        <v>191</v>
      </c>
      <c r="E1059" s="167">
        <v>619</v>
      </c>
      <c r="F1059" s="169"/>
      <c r="G1059" s="168" t="s">
        <v>195</v>
      </c>
      <c r="H1059" s="167">
        <v>1</v>
      </c>
      <c r="I1059" s="166">
        <v>334.26</v>
      </c>
      <c r="J1059" s="167"/>
      <c r="K1059" s="166"/>
    </row>
    <row r="1060" spans="1:22" ht="15" x14ac:dyDescent="0.25">
      <c r="A1060" s="164"/>
      <c r="B1060" s="164"/>
      <c r="C1060" s="165" t="s">
        <v>183</v>
      </c>
      <c r="D1060" s="164"/>
      <c r="E1060" s="164"/>
      <c r="F1060" s="164"/>
      <c r="G1060" s="164"/>
      <c r="H1060" s="414">
        <v>8965.57</v>
      </c>
      <c r="I1060" s="414"/>
      <c r="J1060" s="414">
        <v>171301.62</v>
      </c>
      <c r="K1060" s="414"/>
      <c r="O1060" s="163">
        <f>I1051+I1052+I1054+I1056+I1057+I1058+SUM(I1055:I1055)</f>
        <v>8965.57</v>
      </c>
      <c r="P1060" s="163">
        <f>K1051+K1052+K1054+K1056+K1057+K1058+SUM(K1055:K1055)</f>
        <v>171301.62</v>
      </c>
    </row>
    <row r="1062" spans="1:22" ht="28.5" x14ac:dyDescent="0.2">
      <c r="A1062" s="179" t="s">
        <v>1914</v>
      </c>
      <c r="B1062" s="178" t="s">
        <v>2328</v>
      </c>
      <c r="C1062" s="178" t="s">
        <v>486</v>
      </c>
      <c r="D1062" s="177" t="s">
        <v>2199</v>
      </c>
      <c r="E1062" s="174">
        <v>9</v>
      </c>
      <c r="F1062" s="176"/>
      <c r="G1062" s="175"/>
      <c r="H1062" s="174"/>
      <c r="I1062" s="173"/>
      <c r="J1062" s="174"/>
      <c r="K1062" s="173"/>
      <c r="Q1062" s="160">
        <f>[4]Source!X1184</f>
        <v>716.33</v>
      </c>
      <c r="R1062" s="160">
        <f>[4]Source!X1185</f>
        <v>14217.32</v>
      </c>
      <c r="S1062" s="160">
        <f>[4]Source!Y1184</f>
        <v>492.48</v>
      </c>
      <c r="T1062" s="160">
        <f>[4]Source!Y1185</f>
        <v>8572.2099999999991</v>
      </c>
      <c r="U1062" s="160">
        <f>ROUND((175/100)*ROUND([4]Source!R1184, 2), 2)</f>
        <v>410.6</v>
      </c>
      <c r="V1062" s="160">
        <f>ROUND((157/100)*ROUND([4]Source!R1185, 2), 2)</f>
        <v>8601.42</v>
      </c>
    </row>
    <row r="1063" spans="1:22" ht="14.25" x14ac:dyDescent="0.2">
      <c r="A1063" s="179"/>
      <c r="B1063" s="178"/>
      <c r="C1063" s="178" t="s">
        <v>197</v>
      </c>
      <c r="D1063" s="177"/>
      <c r="E1063" s="174"/>
      <c r="F1063" s="176">
        <v>99.49</v>
      </c>
      <c r="G1063" s="175" t="s">
        <v>195</v>
      </c>
      <c r="H1063" s="174">
        <v>1</v>
      </c>
      <c r="I1063" s="173">
        <v>895.41</v>
      </c>
      <c r="J1063" s="174">
        <v>23.35</v>
      </c>
      <c r="K1063" s="173">
        <v>20907.82</v>
      </c>
    </row>
    <row r="1064" spans="1:22" ht="14.25" x14ac:dyDescent="0.2">
      <c r="A1064" s="179"/>
      <c r="B1064" s="178"/>
      <c r="C1064" s="178" t="s">
        <v>184</v>
      </c>
      <c r="D1064" s="177"/>
      <c r="E1064" s="174"/>
      <c r="F1064" s="176">
        <v>87.32</v>
      </c>
      <c r="G1064" s="175" t="s">
        <v>195</v>
      </c>
      <c r="H1064" s="174">
        <v>1</v>
      </c>
      <c r="I1064" s="173">
        <v>785.88</v>
      </c>
      <c r="J1064" s="174">
        <v>10.72</v>
      </c>
      <c r="K1064" s="173">
        <v>8424.6299999999992</v>
      </c>
    </row>
    <row r="1065" spans="1:22" ht="14.25" x14ac:dyDescent="0.2">
      <c r="A1065" s="179"/>
      <c r="B1065" s="178"/>
      <c r="C1065" s="178" t="s">
        <v>189</v>
      </c>
      <c r="D1065" s="177"/>
      <c r="E1065" s="174"/>
      <c r="F1065" s="176">
        <v>26.07</v>
      </c>
      <c r="G1065" s="175" t="s">
        <v>195</v>
      </c>
      <c r="H1065" s="174">
        <v>1</v>
      </c>
      <c r="I1065" s="180">
        <v>234.63</v>
      </c>
      <c r="J1065" s="174">
        <v>23.35</v>
      </c>
      <c r="K1065" s="180">
        <v>5478.61</v>
      </c>
    </row>
    <row r="1066" spans="1:22" ht="28.5" x14ac:dyDescent="0.2">
      <c r="A1066" s="179" t="s">
        <v>1917</v>
      </c>
      <c r="B1066" s="178" t="s">
        <v>1532</v>
      </c>
      <c r="C1066" s="178" t="s">
        <v>351</v>
      </c>
      <c r="D1066" s="177" t="s">
        <v>1533</v>
      </c>
      <c r="E1066" s="174">
        <v>-21.6</v>
      </c>
      <c r="F1066" s="176">
        <v>0</v>
      </c>
      <c r="G1066" s="182" t="s">
        <v>195</v>
      </c>
      <c r="H1066" s="174">
        <v>1</v>
      </c>
      <c r="I1066" s="173">
        <v>0</v>
      </c>
      <c r="J1066" s="174">
        <v>1</v>
      </c>
      <c r="K1066" s="173">
        <v>0</v>
      </c>
      <c r="Q1066" s="160">
        <f>[4]Source!X1186</f>
        <v>0</v>
      </c>
      <c r="R1066" s="160">
        <f>[4]Source!X1187</f>
        <v>0</v>
      </c>
      <c r="S1066" s="160">
        <f>[4]Source!Y1186</f>
        <v>0</v>
      </c>
      <c r="T1066" s="160">
        <f>[4]Source!Y1187</f>
        <v>0</v>
      </c>
      <c r="U1066" s="160">
        <f>ROUND((175/100)*ROUND([4]Source!R1186, 2), 2)</f>
        <v>0</v>
      </c>
      <c r="V1066" s="160">
        <f>ROUND((157/100)*ROUND([4]Source!R1187, 2), 2)</f>
        <v>0</v>
      </c>
    </row>
    <row r="1067" spans="1:22" ht="14.25" x14ac:dyDescent="0.2">
      <c r="A1067" s="179"/>
      <c r="B1067" s="178"/>
      <c r="C1067" s="178" t="s">
        <v>194</v>
      </c>
      <c r="D1067" s="177" t="s">
        <v>187</v>
      </c>
      <c r="E1067" s="174">
        <v>80</v>
      </c>
      <c r="F1067" s="176"/>
      <c r="G1067" s="175"/>
      <c r="H1067" s="174"/>
      <c r="I1067" s="173">
        <v>716.33</v>
      </c>
      <c r="J1067" s="174">
        <v>68</v>
      </c>
      <c r="K1067" s="173">
        <v>14217.32</v>
      </c>
    </row>
    <row r="1068" spans="1:22" ht="14.25" x14ac:dyDescent="0.2">
      <c r="A1068" s="179"/>
      <c r="B1068" s="178"/>
      <c r="C1068" s="178" t="s">
        <v>193</v>
      </c>
      <c r="D1068" s="177" t="s">
        <v>187</v>
      </c>
      <c r="E1068" s="174">
        <v>55</v>
      </c>
      <c r="F1068" s="176"/>
      <c r="G1068" s="175"/>
      <c r="H1068" s="174"/>
      <c r="I1068" s="173">
        <v>492.48</v>
      </c>
      <c r="J1068" s="174">
        <v>41</v>
      </c>
      <c r="K1068" s="173">
        <v>8572.2099999999991</v>
      </c>
    </row>
    <row r="1069" spans="1:22" ht="14.25" x14ac:dyDescent="0.2">
      <c r="A1069" s="179"/>
      <c r="B1069" s="178"/>
      <c r="C1069" s="178" t="s">
        <v>188</v>
      </c>
      <c r="D1069" s="177" t="s">
        <v>187</v>
      </c>
      <c r="E1069" s="174">
        <v>175</v>
      </c>
      <c r="F1069" s="176"/>
      <c r="G1069" s="175"/>
      <c r="H1069" s="174"/>
      <c r="I1069" s="173">
        <v>410.6</v>
      </c>
      <c r="J1069" s="174">
        <v>157</v>
      </c>
      <c r="K1069" s="173">
        <v>8601.42</v>
      </c>
    </row>
    <row r="1070" spans="1:22" ht="14.25" x14ac:dyDescent="0.2">
      <c r="A1070" s="172"/>
      <c r="B1070" s="171"/>
      <c r="C1070" s="171" t="s">
        <v>192</v>
      </c>
      <c r="D1070" s="170" t="s">
        <v>191</v>
      </c>
      <c r="E1070" s="167">
        <v>8.27</v>
      </c>
      <c r="F1070" s="169"/>
      <c r="G1070" s="168" t="s">
        <v>195</v>
      </c>
      <c r="H1070" s="167">
        <v>1</v>
      </c>
      <c r="I1070" s="166">
        <v>74.430000000000007</v>
      </c>
      <c r="J1070" s="167"/>
      <c r="K1070" s="166"/>
    </row>
    <row r="1071" spans="1:22" ht="15" x14ac:dyDescent="0.25">
      <c r="A1071" s="164"/>
      <c r="B1071" s="164"/>
      <c r="C1071" s="165" t="s">
        <v>183</v>
      </c>
      <c r="D1071" s="164"/>
      <c r="E1071" s="164"/>
      <c r="F1071" s="164"/>
      <c r="G1071" s="164"/>
      <c r="H1071" s="414">
        <v>3300.7</v>
      </c>
      <c r="I1071" s="414"/>
      <c r="J1071" s="414">
        <v>60723.4</v>
      </c>
      <c r="K1071" s="414"/>
      <c r="O1071" s="163">
        <f>I1063+I1064+I1067+I1068+I1069+SUM(I1066:I1066)</f>
        <v>3300.7</v>
      </c>
      <c r="P1071" s="163">
        <f>K1063+K1064+K1067+K1068+K1069+SUM(K1066:K1066)</f>
        <v>60723.4</v>
      </c>
    </row>
    <row r="1074" spans="1:22" ht="15" x14ac:dyDescent="0.25">
      <c r="A1074" s="417" t="s">
        <v>2329</v>
      </c>
      <c r="B1074" s="417"/>
      <c r="C1074" s="417"/>
      <c r="D1074" s="417"/>
      <c r="E1074" s="417"/>
      <c r="F1074" s="417"/>
      <c r="G1074" s="417"/>
      <c r="H1074" s="415">
        <v>12266.27</v>
      </c>
      <c r="I1074" s="416"/>
      <c r="J1074" s="415">
        <v>232025.02</v>
      </c>
      <c r="K1074" s="416"/>
    </row>
    <row r="1075" spans="1:22" hidden="1" x14ac:dyDescent="0.2">
      <c r="A1075" s="160" t="s">
        <v>182</v>
      </c>
      <c r="I1075" s="160">
        <v>0</v>
      </c>
      <c r="J1075" s="160">
        <v>0</v>
      </c>
    </row>
    <row r="1076" spans="1:22" hidden="1" x14ac:dyDescent="0.2">
      <c r="A1076" s="160" t="s">
        <v>181</v>
      </c>
      <c r="I1076" s="160">
        <v>0</v>
      </c>
      <c r="J1076" s="160">
        <v>0</v>
      </c>
    </row>
    <row r="1078" spans="1:22" ht="16.5" x14ac:dyDescent="0.25">
      <c r="A1078" s="413" t="s">
        <v>2330</v>
      </c>
      <c r="B1078" s="413"/>
      <c r="C1078" s="413"/>
      <c r="D1078" s="413"/>
      <c r="E1078" s="413"/>
      <c r="F1078" s="413"/>
      <c r="G1078" s="413"/>
      <c r="H1078" s="413"/>
      <c r="I1078" s="413"/>
      <c r="J1078" s="413"/>
      <c r="K1078" s="413"/>
    </row>
    <row r="1079" spans="1:22" ht="28.5" x14ac:dyDescent="0.2">
      <c r="A1079" s="179" t="s">
        <v>1922</v>
      </c>
      <c r="B1079" s="178" t="s">
        <v>2331</v>
      </c>
      <c r="C1079" s="178" t="s">
        <v>479</v>
      </c>
      <c r="D1079" s="177" t="s">
        <v>1738</v>
      </c>
      <c r="E1079" s="174">
        <v>0.52800000000000002</v>
      </c>
      <c r="F1079" s="176"/>
      <c r="G1079" s="175"/>
      <c r="H1079" s="174"/>
      <c r="I1079" s="173"/>
      <c r="J1079" s="174"/>
      <c r="K1079" s="173"/>
      <c r="Q1079" s="160">
        <f>[4]Source!X1223</f>
        <v>116.18</v>
      </c>
      <c r="R1079" s="160">
        <f>[4]Source!X1224</f>
        <v>2305.81</v>
      </c>
      <c r="S1079" s="160">
        <f>[4]Source!Y1223</f>
        <v>79.87</v>
      </c>
      <c r="T1079" s="160">
        <f>[4]Source!Y1224</f>
        <v>1390.26</v>
      </c>
      <c r="U1079" s="160">
        <f>ROUND((175/100)*ROUND([4]Source!R1223, 2), 2)</f>
        <v>128.49</v>
      </c>
      <c r="V1079" s="160">
        <f>ROUND((157/100)*ROUND([4]Source!R1224, 2), 2)</f>
        <v>2691.55</v>
      </c>
    </row>
    <row r="1080" spans="1:22" x14ac:dyDescent="0.2">
      <c r="C1080" s="181" t="s">
        <v>2332</v>
      </c>
    </row>
    <row r="1081" spans="1:22" ht="14.25" x14ac:dyDescent="0.2">
      <c r="A1081" s="179"/>
      <c r="B1081" s="178"/>
      <c r="C1081" s="178" t="s">
        <v>197</v>
      </c>
      <c r="D1081" s="177"/>
      <c r="E1081" s="174"/>
      <c r="F1081" s="176">
        <v>275.02999999999997</v>
      </c>
      <c r="G1081" s="175" t="s">
        <v>195</v>
      </c>
      <c r="H1081" s="174">
        <v>1</v>
      </c>
      <c r="I1081" s="173">
        <v>145.22</v>
      </c>
      <c r="J1081" s="174">
        <v>23.35</v>
      </c>
      <c r="K1081" s="173">
        <v>3390.89</v>
      </c>
    </row>
    <row r="1082" spans="1:22" ht="14.25" x14ac:dyDescent="0.2">
      <c r="A1082" s="179"/>
      <c r="B1082" s="178"/>
      <c r="C1082" s="178" t="s">
        <v>184</v>
      </c>
      <c r="D1082" s="177"/>
      <c r="E1082" s="174"/>
      <c r="F1082" s="176">
        <v>465.71</v>
      </c>
      <c r="G1082" s="175" t="s">
        <v>195</v>
      </c>
      <c r="H1082" s="174">
        <v>1</v>
      </c>
      <c r="I1082" s="173">
        <v>245.89</v>
      </c>
      <c r="J1082" s="174">
        <v>10.17</v>
      </c>
      <c r="K1082" s="173">
        <v>2500.6999999999998</v>
      </c>
    </row>
    <row r="1083" spans="1:22" ht="14.25" x14ac:dyDescent="0.2">
      <c r="A1083" s="179"/>
      <c r="B1083" s="178"/>
      <c r="C1083" s="178" t="s">
        <v>189</v>
      </c>
      <c r="D1083" s="177"/>
      <c r="E1083" s="174"/>
      <c r="F1083" s="176">
        <v>139.05000000000001</v>
      </c>
      <c r="G1083" s="175" t="s">
        <v>195</v>
      </c>
      <c r="H1083" s="174">
        <v>1</v>
      </c>
      <c r="I1083" s="180">
        <v>73.42</v>
      </c>
      <c r="J1083" s="174">
        <v>23.35</v>
      </c>
      <c r="K1083" s="180">
        <v>1714.36</v>
      </c>
    </row>
    <row r="1084" spans="1:22" ht="28.5" x14ac:dyDescent="0.2">
      <c r="A1084" s="179" t="s">
        <v>2333</v>
      </c>
      <c r="B1084" s="178" t="s">
        <v>1532</v>
      </c>
      <c r="C1084" s="178" t="s">
        <v>351</v>
      </c>
      <c r="D1084" s="177" t="s">
        <v>1533</v>
      </c>
      <c r="E1084" s="174">
        <v>-3.4847999999999999</v>
      </c>
      <c r="F1084" s="176">
        <v>0</v>
      </c>
      <c r="G1084" s="182" t="s">
        <v>195</v>
      </c>
      <c r="H1084" s="174">
        <v>1</v>
      </c>
      <c r="I1084" s="173">
        <v>0</v>
      </c>
      <c r="J1084" s="174">
        <v>1</v>
      </c>
      <c r="K1084" s="173">
        <v>0</v>
      </c>
      <c r="Q1084" s="160">
        <f>[4]Source!X1225</f>
        <v>0</v>
      </c>
      <c r="R1084" s="160">
        <f>[4]Source!X1226</f>
        <v>0</v>
      </c>
      <c r="S1084" s="160">
        <f>[4]Source!Y1225</f>
        <v>0</v>
      </c>
      <c r="T1084" s="160">
        <f>[4]Source!Y1226</f>
        <v>0</v>
      </c>
      <c r="U1084" s="160">
        <f>ROUND((175/100)*ROUND([4]Source!R1225, 2), 2)</f>
        <v>0</v>
      </c>
      <c r="V1084" s="160">
        <f>ROUND((157/100)*ROUND([4]Source!R1226, 2), 2)</f>
        <v>0</v>
      </c>
    </row>
    <row r="1085" spans="1:22" ht="14.25" x14ac:dyDescent="0.2">
      <c r="A1085" s="179"/>
      <c r="B1085" s="178"/>
      <c r="C1085" s="178" t="s">
        <v>194</v>
      </c>
      <c r="D1085" s="177" t="s">
        <v>187</v>
      </c>
      <c r="E1085" s="174">
        <v>80</v>
      </c>
      <c r="F1085" s="176"/>
      <c r="G1085" s="175"/>
      <c r="H1085" s="174"/>
      <c r="I1085" s="173">
        <v>116.18</v>
      </c>
      <c r="J1085" s="174">
        <v>68</v>
      </c>
      <c r="K1085" s="173">
        <v>2305.81</v>
      </c>
    </row>
    <row r="1086" spans="1:22" ht="14.25" x14ac:dyDescent="0.2">
      <c r="A1086" s="179"/>
      <c r="B1086" s="178"/>
      <c r="C1086" s="178" t="s">
        <v>193</v>
      </c>
      <c r="D1086" s="177" t="s">
        <v>187</v>
      </c>
      <c r="E1086" s="174">
        <v>55</v>
      </c>
      <c r="F1086" s="176"/>
      <c r="G1086" s="175"/>
      <c r="H1086" s="174"/>
      <c r="I1086" s="173">
        <v>79.87</v>
      </c>
      <c r="J1086" s="174">
        <v>41</v>
      </c>
      <c r="K1086" s="173">
        <v>1390.26</v>
      </c>
    </row>
    <row r="1087" spans="1:22" ht="14.25" x14ac:dyDescent="0.2">
      <c r="A1087" s="179"/>
      <c r="B1087" s="178"/>
      <c r="C1087" s="178" t="s">
        <v>188</v>
      </c>
      <c r="D1087" s="177" t="s">
        <v>187</v>
      </c>
      <c r="E1087" s="174">
        <v>175</v>
      </c>
      <c r="F1087" s="176"/>
      <c r="G1087" s="175"/>
      <c r="H1087" s="174"/>
      <c r="I1087" s="173">
        <v>128.49</v>
      </c>
      <c r="J1087" s="174">
        <v>157</v>
      </c>
      <c r="K1087" s="173">
        <v>2691.55</v>
      </c>
    </row>
    <row r="1088" spans="1:22" ht="14.25" x14ac:dyDescent="0.2">
      <c r="A1088" s="172"/>
      <c r="B1088" s="171"/>
      <c r="C1088" s="171" t="s">
        <v>192</v>
      </c>
      <c r="D1088" s="170" t="s">
        <v>191</v>
      </c>
      <c r="E1088" s="167">
        <v>24.6</v>
      </c>
      <c r="F1088" s="169"/>
      <c r="G1088" s="168" t="s">
        <v>195</v>
      </c>
      <c r="H1088" s="167">
        <v>1</v>
      </c>
      <c r="I1088" s="166">
        <v>12.99</v>
      </c>
      <c r="J1088" s="167"/>
      <c r="K1088" s="166"/>
    </row>
    <row r="1089" spans="1:22" ht="15" x14ac:dyDescent="0.25">
      <c r="A1089" s="164"/>
      <c r="B1089" s="164"/>
      <c r="C1089" s="165" t="s">
        <v>183</v>
      </c>
      <c r="D1089" s="164"/>
      <c r="E1089" s="164"/>
      <c r="F1089" s="164"/>
      <c r="G1089" s="164"/>
      <c r="H1089" s="414">
        <v>715.65</v>
      </c>
      <c r="I1089" s="414"/>
      <c r="J1089" s="414">
        <v>12279.21</v>
      </c>
      <c r="K1089" s="414"/>
      <c r="O1089" s="163">
        <f>I1081+I1082+I1085+I1086+I1087+SUM(I1084:I1084)</f>
        <v>715.65</v>
      </c>
      <c r="P1089" s="163">
        <f>K1081+K1082+K1085+K1086+K1087+SUM(K1084:K1084)</f>
        <v>12279.21</v>
      </c>
    </row>
    <row r="1091" spans="1:22" ht="28.5" x14ac:dyDescent="0.2">
      <c r="A1091" s="179" t="s">
        <v>1927</v>
      </c>
      <c r="B1091" s="178" t="s">
        <v>2334</v>
      </c>
      <c r="C1091" s="178" t="s">
        <v>485</v>
      </c>
      <c r="D1091" s="177" t="s">
        <v>2199</v>
      </c>
      <c r="E1091" s="174">
        <v>8</v>
      </c>
      <c r="F1091" s="176"/>
      <c r="G1091" s="175"/>
      <c r="H1091" s="174"/>
      <c r="I1091" s="173"/>
      <c r="J1091" s="174"/>
      <c r="K1091" s="173"/>
      <c r="Q1091" s="160">
        <f>[4]Source!X1231</f>
        <v>778.69</v>
      </c>
      <c r="R1091" s="160">
        <f>[4]Source!X1232</f>
        <v>15455.01</v>
      </c>
      <c r="S1091" s="160">
        <f>[4]Source!Y1231</f>
        <v>535.35</v>
      </c>
      <c r="T1091" s="160">
        <f>[4]Source!Y1232</f>
        <v>9318.4599999999991</v>
      </c>
      <c r="U1091" s="160">
        <f>ROUND((175/100)*ROUND([4]Source!R1231, 2), 2)</f>
        <v>807.8</v>
      </c>
      <c r="V1091" s="160">
        <f>ROUND((157/100)*ROUND([4]Source!R1232, 2), 2)</f>
        <v>16922.03</v>
      </c>
    </row>
    <row r="1092" spans="1:22" ht="14.25" x14ac:dyDescent="0.2">
      <c r="A1092" s="179"/>
      <c r="B1092" s="178"/>
      <c r="C1092" s="178" t="s">
        <v>197</v>
      </c>
      <c r="D1092" s="177"/>
      <c r="E1092" s="174"/>
      <c r="F1092" s="176">
        <v>121.67</v>
      </c>
      <c r="G1092" s="175" t="s">
        <v>195</v>
      </c>
      <c r="H1092" s="174">
        <v>1</v>
      </c>
      <c r="I1092" s="173">
        <v>973.36</v>
      </c>
      <c r="J1092" s="174">
        <v>23.35</v>
      </c>
      <c r="K1092" s="173">
        <v>22727.96</v>
      </c>
    </row>
    <row r="1093" spans="1:22" ht="14.25" x14ac:dyDescent="0.2">
      <c r="A1093" s="179"/>
      <c r="B1093" s="178"/>
      <c r="C1093" s="178" t="s">
        <v>184</v>
      </c>
      <c r="D1093" s="177"/>
      <c r="E1093" s="174"/>
      <c r="F1093" s="176">
        <v>344.1</v>
      </c>
      <c r="G1093" s="175" t="s">
        <v>195</v>
      </c>
      <c r="H1093" s="174">
        <v>1</v>
      </c>
      <c r="I1093" s="173">
        <v>2752.8</v>
      </c>
      <c r="J1093" s="174">
        <v>9.0500000000000007</v>
      </c>
      <c r="K1093" s="173">
        <v>24912.84</v>
      </c>
    </row>
    <row r="1094" spans="1:22" ht="14.25" x14ac:dyDescent="0.2">
      <c r="A1094" s="179"/>
      <c r="B1094" s="178"/>
      <c r="C1094" s="178" t="s">
        <v>189</v>
      </c>
      <c r="D1094" s="177"/>
      <c r="E1094" s="174"/>
      <c r="F1094" s="176">
        <v>57.7</v>
      </c>
      <c r="G1094" s="175" t="s">
        <v>195</v>
      </c>
      <c r="H1094" s="174">
        <v>1</v>
      </c>
      <c r="I1094" s="180">
        <v>461.6</v>
      </c>
      <c r="J1094" s="174">
        <v>23.35</v>
      </c>
      <c r="K1094" s="180">
        <v>10778.36</v>
      </c>
    </row>
    <row r="1095" spans="1:22" ht="14.25" x14ac:dyDescent="0.2">
      <c r="A1095" s="179"/>
      <c r="B1095" s="178"/>
      <c r="C1095" s="178" t="s">
        <v>205</v>
      </c>
      <c r="D1095" s="177"/>
      <c r="E1095" s="174"/>
      <c r="F1095" s="176">
        <v>25.75</v>
      </c>
      <c r="G1095" s="175" t="s">
        <v>195</v>
      </c>
      <c r="H1095" s="174">
        <v>1</v>
      </c>
      <c r="I1095" s="173">
        <v>206</v>
      </c>
      <c r="J1095" s="174">
        <v>7.39</v>
      </c>
      <c r="K1095" s="173">
        <v>1522.34</v>
      </c>
    </row>
    <row r="1096" spans="1:22" ht="28.5" x14ac:dyDescent="0.2">
      <c r="A1096" s="179" t="s">
        <v>2335</v>
      </c>
      <c r="B1096" s="178" t="s">
        <v>1532</v>
      </c>
      <c r="C1096" s="178" t="s">
        <v>351</v>
      </c>
      <c r="D1096" s="177" t="s">
        <v>1533</v>
      </c>
      <c r="E1096" s="174">
        <v>-15.6</v>
      </c>
      <c r="F1096" s="176">
        <v>0</v>
      </c>
      <c r="G1096" s="182" t="s">
        <v>195</v>
      </c>
      <c r="H1096" s="174">
        <v>1</v>
      </c>
      <c r="I1096" s="173">
        <v>0</v>
      </c>
      <c r="J1096" s="174">
        <v>1</v>
      </c>
      <c r="K1096" s="173">
        <v>0</v>
      </c>
      <c r="Q1096" s="160">
        <f>[4]Source!X1233</f>
        <v>0</v>
      </c>
      <c r="R1096" s="160">
        <f>[4]Source!X1234</f>
        <v>0</v>
      </c>
      <c r="S1096" s="160">
        <f>[4]Source!Y1233</f>
        <v>0</v>
      </c>
      <c r="T1096" s="160">
        <f>[4]Source!Y1234</f>
        <v>0</v>
      </c>
      <c r="U1096" s="160">
        <f>ROUND((175/100)*ROUND([4]Source!R1233, 2), 2)</f>
        <v>0</v>
      </c>
      <c r="V1096" s="160">
        <f>ROUND((157/100)*ROUND([4]Source!R1234, 2), 2)</f>
        <v>0</v>
      </c>
    </row>
    <row r="1097" spans="1:22" ht="14.25" x14ac:dyDescent="0.2">
      <c r="A1097" s="179"/>
      <c r="B1097" s="178"/>
      <c r="C1097" s="178" t="s">
        <v>194</v>
      </c>
      <c r="D1097" s="177" t="s">
        <v>187</v>
      </c>
      <c r="E1097" s="174">
        <v>80</v>
      </c>
      <c r="F1097" s="176"/>
      <c r="G1097" s="175"/>
      <c r="H1097" s="174"/>
      <c r="I1097" s="173">
        <v>778.69</v>
      </c>
      <c r="J1097" s="174">
        <v>68</v>
      </c>
      <c r="K1097" s="173">
        <v>15455.01</v>
      </c>
    </row>
    <row r="1098" spans="1:22" ht="14.25" x14ac:dyDescent="0.2">
      <c r="A1098" s="179"/>
      <c r="B1098" s="178"/>
      <c r="C1098" s="178" t="s">
        <v>193</v>
      </c>
      <c r="D1098" s="177" t="s">
        <v>187</v>
      </c>
      <c r="E1098" s="174">
        <v>55</v>
      </c>
      <c r="F1098" s="176"/>
      <c r="G1098" s="175"/>
      <c r="H1098" s="174"/>
      <c r="I1098" s="173">
        <v>535.35</v>
      </c>
      <c r="J1098" s="174">
        <v>41</v>
      </c>
      <c r="K1098" s="173">
        <v>9318.4599999999991</v>
      </c>
    </row>
    <row r="1099" spans="1:22" ht="14.25" x14ac:dyDescent="0.2">
      <c r="A1099" s="179"/>
      <c r="B1099" s="178"/>
      <c r="C1099" s="178" t="s">
        <v>188</v>
      </c>
      <c r="D1099" s="177" t="s">
        <v>187</v>
      </c>
      <c r="E1099" s="174">
        <v>175</v>
      </c>
      <c r="F1099" s="176"/>
      <c r="G1099" s="175"/>
      <c r="H1099" s="174"/>
      <c r="I1099" s="173">
        <v>807.8</v>
      </c>
      <c r="J1099" s="174">
        <v>157</v>
      </c>
      <c r="K1099" s="173">
        <v>16922.03</v>
      </c>
    </row>
    <row r="1100" spans="1:22" ht="14.25" x14ac:dyDescent="0.2">
      <c r="A1100" s="172"/>
      <c r="B1100" s="171"/>
      <c r="C1100" s="171" t="s">
        <v>192</v>
      </c>
      <c r="D1100" s="170" t="s">
        <v>191</v>
      </c>
      <c r="E1100" s="167">
        <v>10.48</v>
      </c>
      <c r="F1100" s="169"/>
      <c r="G1100" s="168" t="s">
        <v>195</v>
      </c>
      <c r="H1100" s="167">
        <v>1</v>
      </c>
      <c r="I1100" s="166">
        <v>83.84</v>
      </c>
      <c r="J1100" s="167"/>
      <c r="K1100" s="166"/>
    </row>
    <row r="1101" spans="1:22" ht="15" x14ac:dyDescent="0.25">
      <c r="A1101" s="164"/>
      <c r="B1101" s="164"/>
      <c r="C1101" s="165" t="s">
        <v>183</v>
      </c>
      <c r="D1101" s="164"/>
      <c r="E1101" s="164"/>
      <c r="F1101" s="164"/>
      <c r="G1101" s="164"/>
      <c r="H1101" s="414">
        <v>6054</v>
      </c>
      <c r="I1101" s="414"/>
      <c r="J1101" s="414">
        <v>90858.64</v>
      </c>
      <c r="K1101" s="414"/>
      <c r="O1101" s="163">
        <f>I1092+I1093+I1095+I1097+I1098+I1099+SUM(I1096:I1096)</f>
        <v>6054</v>
      </c>
      <c r="P1101" s="163">
        <f>K1092+K1093+K1095+K1097+K1098+K1099+SUM(K1096:K1096)</f>
        <v>90858.64</v>
      </c>
    </row>
    <row r="1103" spans="1:22" ht="42.75" x14ac:dyDescent="0.2">
      <c r="A1103" s="179" t="s">
        <v>1929</v>
      </c>
      <c r="B1103" s="178" t="s">
        <v>2336</v>
      </c>
      <c r="C1103" s="178" t="s">
        <v>484</v>
      </c>
      <c r="D1103" s="177" t="s">
        <v>1540</v>
      </c>
      <c r="E1103" s="174">
        <v>0.52800000000000002</v>
      </c>
      <c r="F1103" s="176"/>
      <c r="G1103" s="175"/>
      <c r="H1103" s="174"/>
      <c r="I1103" s="173"/>
      <c r="J1103" s="174"/>
      <c r="K1103" s="173"/>
      <c r="Q1103" s="160">
        <f>[4]Source!X1235</f>
        <v>140</v>
      </c>
      <c r="R1103" s="160">
        <f>[4]Source!X1236</f>
        <v>2778.65</v>
      </c>
      <c r="S1103" s="160">
        <f>[4]Source!Y1235</f>
        <v>96.25</v>
      </c>
      <c r="T1103" s="160">
        <f>[4]Source!Y1236</f>
        <v>1675.36</v>
      </c>
      <c r="U1103" s="160">
        <f>ROUND((175/100)*ROUND([4]Source!R1235, 2), 2)</f>
        <v>0</v>
      </c>
      <c r="V1103" s="160">
        <f>ROUND((157/100)*ROUND([4]Source!R1236, 2), 2)</f>
        <v>0</v>
      </c>
    </row>
    <row r="1104" spans="1:22" x14ac:dyDescent="0.2">
      <c r="C1104" s="181" t="s">
        <v>2332</v>
      </c>
    </row>
    <row r="1105" spans="1:22" ht="14.25" x14ac:dyDescent="0.2">
      <c r="A1105" s="179"/>
      <c r="B1105" s="178"/>
      <c r="C1105" s="178" t="s">
        <v>197</v>
      </c>
      <c r="D1105" s="177"/>
      <c r="E1105" s="174"/>
      <c r="F1105" s="176">
        <v>331.43</v>
      </c>
      <c r="G1105" s="175" t="s">
        <v>195</v>
      </c>
      <c r="H1105" s="174">
        <v>1</v>
      </c>
      <c r="I1105" s="173">
        <v>175</v>
      </c>
      <c r="J1105" s="174">
        <v>23.35</v>
      </c>
      <c r="K1105" s="173">
        <v>4086.25</v>
      </c>
    </row>
    <row r="1106" spans="1:22" ht="28.5" x14ac:dyDescent="0.2">
      <c r="A1106" s="179" t="s">
        <v>2337</v>
      </c>
      <c r="B1106" s="178" t="s">
        <v>1532</v>
      </c>
      <c r="C1106" s="178" t="s">
        <v>351</v>
      </c>
      <c r="D1106" s="177" t="s">
        <v>1533</v>
      </c>
      <c r="E1106" s="174">
        <v>-2.4921600000000002</v>
      </c>
      <c r="F1106" s="176">
        <v>0</v>
      </c>
      <c r="G1106" s="182" t="s">
        <v>195</v>
      </c>
      <c r="H1106" s="174">
        <v>1</v>
      </c>
      <c r="I1106" s="173">
        <v>0</v>
      </c>
      <c r="J1106" s="174">
        <v>1</v>
      </c>
      <c r="K1106" s="173">
        <v>0</v>
      </c>
      <c r="Q1106" s="160">
        <f>[4]Source!X1237</f>
        <v>0</v>
      </c>
      <c r="R1106" s="160">
        <f>[4]Source!X1238</f>
        <v>0</v>
      </c>
      <c r="S1106" s="160">
        <f>[4]Source!Y1237</f>
        <v>0</v>
      </c>
      <c r="T1106" s="160">
        <f>[4]Source!Y1238</f>
        <v>0</v>
      </c>
      <c r="U1106" s="160">
        <f>ROUND((175/100)*ROUND([4]Source!R1237, 2), 2)</f>
        <v>0</v>
      </c>
      <c r="V1106" s="160">
        <f>ROUND((157/100)*ROUND([4]Source!R1238, 2), 2)</f>
        <v>0</v>
      </c>
    </row>
    <row r="1107" spans="1:22" ht="14.25" x14ac:dyDescent="0.2">
      <c r="A1107" s="179"/>
      <c r="B1107" s="178"/>
      <c r="C1107" s="178" t="s">
        <v>194</v>
      </c>
      <c r="D1107" s="177" t="s">
        <v>187</v>
      </c>
      <c r="E1107" s="174">
        <v>80</v>
      </c>
      <c r="F1107" s="176"/>
      <c r="G1107" s="175"/>
      <c r="H1107" s="174"/>
      <c r="I1107" s="173">
        <v>140</v>
      </c>
      <c r="J1107" s="174">
        <v>68</v>
      </c>
      <c r="K1107" s="173">
        <v>2778.65</v>
      </c>
    </row>
    <row r="1108" spans="1:22" ht="14.25" x14ac:dyDescent="0.2">
      <c r="A1108" s="179"/>
      <c r="B1108" s="178"/>
      <c r="C1108" s="178" t="s">
        <v>193</v>
      </c>
      <c r="D1108" s="177" t="s">
        <v>187</v>
      </c>
      <c r="E1108" s="174">
        <v>55</v>
      </c>
      <c r="F1108" s="176"/>
      <c r="G1108" s="175"/>
      <c r="H1108" s="174"/>
      <c r="I1108" s="173">
        <v>96.25</v>
      </c>
      <c r="J1108" s="174">
        <v>41</v>
      </c>
      <c r="K1108" s="173">
        <v>1675.36</v>
      </c>
    </row>
    <row r="1109" spans="1:22" ht="14.25" x14ac:dyDescent="0.2">
      <c r="A1109" s="172"/>
      <c r="B1109" s="171"/>
      <c r="C1109" s="171" t="s">
        <v>192</v>
      </c>
      <c r="D1109" s="170" t="s">
        <v>191</v>
      </c>
      <c r="E1109" s="167">
        <v>32.43</v>
      </c>
      <c r="F1109" s="169"/>
      <c r="G1109" s="168" t="s">
        <v>195</v>
      </c>
      <c r="H1109" s="167">
        <v>1</v>
      </c>
      <c r="I1109" s="166">
        <v>17.12</v>
      </c>
      <c r="J1109" s="167"/>
      <c r="K1109" s="166"/>
    </row>
    <row r="1110" spans="1:22" ht="15" x14ac:dyDescent="0.25">
      <c r="A1110" s="164"/>
      <c r="B1110" s="164"/>
      <c r="C1110" s="165" t="s">
        <v>183</v>
      </c>
      <c r="D1110" s="164"/>
      <c r="E1110" s="164"/>
      <c r="F1110" s="164"/>
      <c r="G1110" s="164"/>
      <c r="H1110" s="414">
        <v>411.25</v>
      </c>
      <c r="I1110" s="414"/>
      <c r="J1110" s="414">
        <v>8540.26</v>
      </c>
      <c r="K1110" s="414"/>
      <c r="O1110" s="163">
        <f>I1105+I1107+I1108+SUM(I1106:I1106)</f>
        <v>411.25</v>
      </c>
      <c r="P1110" s="163">
        <f>K1105+K1107+K1108+SUM(K1106:K1106)</f>
        <v>8540.26</v>
      </c>
    </row>
    <row r="1112" spans="1:22" ht="14.25" x14ac:dyDescent="0.2">
      <c r="A1112" s="179" t="s">
        <v>2338</v>
      </c>
      <c r="B1112" s="178" t="s">
        <v>2339</v>
      </c>
      <c r="C1112" s="178" t="s">
        <v>483</v>
      </c>
      <c r="D1112" s="177" t="s">
        <v>2199</v>
      </c>
      <c r="E1112" s="174">
        <v>6.5</v>
      </c>
      <c r="F1112" s="176"/>
      <c r="G1112" s="175"/>
      <c r="H1112" s="174"/>
      <c r="I1112" s="173"/>
      <c r="J1112" s="174"/>
      <c r="K1112" s="173"/>
      <c r="Q1112" s="160">
        <f>[4]Source!X1239</f>
        <v>423.8</v>
      </c>
      <c r="R1112" s="160">
        <f>[4]Source!X1240</f>
        <v>8411.3700000000008</v>
      </c>
      <c r="S1112" s="160">
        <f>[4]Source!Y1239</f>
        <v>291.36</v>
      </c>
      <c r="T1112" s="160">
        <f>[4]Source!Y1240</f>
        <v>5071.5600000000004</v>
      </c>
      <c r="U1112" s="160">
        <f>ROUND((175/100)*ROUND([4]Source!R1239, 2), 2)</f>
        <v>191.68</v>
      </c>
      <c r="V1112" s="160">
        <f>ROUND((157/100)*ROUND([4]Source!R1240, 2), 2)</f>
        <v>4015.32</v>
      </c>
    </row>
    <row r="1113" spans="1:22" x14ac:dyDescent="0.2">
      <c r="C1113" s="181" t="s">
        <v>2340</v>
      </c>
    </row>
    <row r="1114" spans="1:22" ht="14.25" x14ac:dyDescent="0.2">
      <c r="A1114" s="179"/>
      <c r="B1114" s="178"/>
      <c r="C1114" s="178" t="s">
        <v>197</v>
      </c>
      <c r="D1114" s="177"/>
      <c r="E1114" s="174"/>
      <c r="F1114" s="176">
        <v>81.5</v>
      </c>
      <c r="G1114" s="175" t="s">
        <v>195</v>
      </c>
      <c r="H1114" s="174">
        <v>1</v>
      </c>
      <c r="I1114" s="173">
        <v>529.75</v>
      </c>
      <c r="J1114" s="174">
        <v>23.35</v>
      </c>
      <c r="K1114" s="173">
        <v>12369.66</v>
      </c>
    </row>
    <row r="1115" spans="1:22" ht="14.25" x14ac:dyDescent="0.2">
      <c r="A1115" s="179"/>
      <c r="B1115" s="178"/>
      <c r="C1115" s="178" t="s">
        <v>184</v>
      </c>
      <c r="D1115" s="177"/>
      <c r="E1115" s="174"/>
      <c r="F1115" s="176">
        <v>56.42</v>
      </c>
      <c r="G1115" s="175" t="s">
        <v>195</v>
      </c>
      <c r="H1115" s="174">
        <v>1</v>
      </c>
      <c r="I1115" s="173">
        <v>366.73</v>
      </c>
      <c r="J1115" s="174">
        <v>10.73</v>
      </c>
      <c r="K1115" s="173">
        <v>3935.01</v>
      </c>
    </row>
    <row r="1116" spans="1:22" ht="14.25" x14ac:dyDescent="0.2">
      <c r="A1116" s="179"/>
      <c r="B1116" s="178"/>
      <c r="C1116" s="178" t="s">
        <v>189</v>
      </c>
      <c r="D1116" s="177"/>
      <c r="E1116" s="174"/>
      <c r="F1116" s="176">
        <v>16.850000000000001</v>
      </c>
      <c r="G1116" s="175" t="s">
        <v>195</v>
      </c>
      <c r="H1116" s="174">
        <v>1</v>
      </c>
      <c r="I1116" s="180">
        <v>109.53</v>
      </c>
      <c r="J1116" s="174">
        <v>23.35</v>
      </c>
      <c r="K1116" s="180">
        <v>2557.5300000000002</v>
      </c>
    </row>
    <row r="1117" spans="1:22" ht="28.5" x14ac:dyDescent="0.2">
      <c r="A1117" s="179" t="s">
        <v>2341</v>
      </c>
      <c r="B1117" s="178" t="s">
        <v>1532</v>
      </c>
      <c r="C1117" s="178" t="s">
        <v>351</v>
      </c>
      <c r="D1117" s="177" t="s">
        <v>1533</v>
      </c>
      <c r="E1117" s="174">
        <v>-15.275</v>
      </c>
      <c r="F1117" s="176">
        <v>0</v>
      </c>
      <c r="G1117" s="182" t="s">
        <v>195</v>
      </c>
      <c r="H1117" s="174">
        <v>1</v>
      </c>
      <c r="I1117" s="173">
        <v>0</v>
      </c>
      <c r="J1117" s="174">
        <v>1</v>
      </c>
      <c r="K1117" s="173">
        <v>0</v>
      </c>
      <c r="Q1117" s="160">
        <f>[4]Source!X1241</f>
        <v>0</v>
      </c>
      <c r="R1117" s="160">
        <f>[4]Source!X1242</f>
        <v>0</v>
      </c>
      <c r="S1117" s="160">
        <f>[4]Source!Y1241</f>
        <v>0</v>
      </c>
      <c r="T1117" s="160">
        <f>[4]Source!Y1242</f>
        <v>0</v>
      </c>
      <c r="U1117" s="160">
        <f>ROUND((175/100)*ROUND([4]Source!R1241, 2), 2)</f>
        <v>0</v>
      </c>
      <c r="V1117" s="160">
        <f>ROUND((157/100)*ROUND([4]Source!R1242, 2), 2)</f>
        <v>0</v>
      </c>
    </row>
    <row r="1118" spans="1:22" ht="14.25" x14ac:dyDescent="0.2">
      <c r="A1118" s="179"/>
      <c r="B1118" s="178"/>
      <c r="C1118" s="178" t="s">
        <v>194</v>
      </c>
      <c r="D1118" s="177" t="s">
        <v>187</v>
      </c>
      <c r="E1118" s="174">
        <v>80</v>
      </c>
      <c r="F1118" s="176"/>
      <c r="G1118" s="175"/>
      <c r="H1118" s="174"/>
      <c r="I1118" s="173">
        <v>423.8</v>
      </c>
      <c r="J1118" s="174">
        <v>68</v>
      </c>
      <c r="K1118" s="173">
        <v>8411.3700000000008</v>
      </c>
    </row>
    <row r="1119" spans="1:22" ht="14.25" x14ac:dyDescent="0.2">
      <c r="A1119" s="179"/>
      <c r="B1119" s="178"/>
      <c r="C1119" s="178" t="s">
        <v>193</v>
      </c>
      <c r="D1119" s="177" t="s">
        <v>187</v>
      </c>
      <c r="E1119" s="174">
        <v>55</v>
      </c>
      <c r="F1119" s="176"/>
      <c r="G1119" s="175"/>
      <c r="H1119" s="174"/>
      <c r="I1119" s="173">
        <v>291.36</v>
      </c>
      <c r="J1119" s="174">
        <v>41</v>
      </c>
      <c r="K1119" s="173">
        <v>5071.5600000000004</v>
      </c>
    </row>
    <row r="1120" spans="1:22" ht="14.25" x14ac:dyDescent="0.2">
      <c r="A1120" s="179"/>
      <c r="B1120" s="178"/>
      <c r="C1120" s="178" t="s">
        <v>188</v>
      </c>
      <c r="D1120" s="177" t="s">
        <v>187</v>
      </c>
      <c r="E1120" s="174">
        <v>175</v>
      </c>
      <c r="F1120" s="176"/>
      <c r="G1120" s="175"/>
      <c r="H1120" s="174"/>
      <c r="I1120" s="173">
        <v>191.68</v>
      </c>
      <c r="J1120" s="174">
        <v>157</v>
      </c>
      <c r="K1120" s="173">
        <v>4015.32</v>
      </c>
    </row>
    <row r="1121" spans="1:22" ht="14.25" x14ac:dyDescent="0.2">
      <c r="A1121" s="172"/>
      <c r="B1121" s="171"/>
      <c r="C1121" s="171" t="s">
        <v>192</v>
      </c>
      <c r="D1121" s="170" t="s">
        <v>191</v>
      </c>
      <c r="E1121" s="167">
        <v>7.2</v>
      </c>
      <c r="F1121" s="169"/>
      <c r="G1121" s="168" t="s">
        <v>195</v>
      </c>
      <c r="H1121" s="167">
        <v>1</v>
      </c>
      <c r="I1121" s="166">
        <v>46.8</v>
      </c>
      <c r="J1121" s="167"/>
      <c r="K1121" s="166"/>
    </row>
    <row r="1122" spans="1:22" ht="15" x14ac:dyDescent="0.25">
      <c r="A1122" s="164"/>
      <c r="B1122" s="164"/>
      <c r="C1122" s="165" t="s">
        <v>183</v>
      </c>
      <c r="D1122" s="164"/>
      <c r="E1122" s="164"/>
      <c r="F1122" s="164"/>
      <c r="G1122" s="164"/>
      <c r="H1122" s="414">
        <v>1803.32</v>
      </c>
      <c r="I1122" s="414"/>
      <c r="J1122" s="414">
        <v>33802.92</v>
      </c>
      <c r="K1122" s="414"/>
      <c r="O1122" s="163">
        <f>I1114+I1115+I1118+I1119+I1120+SUM(I1117:I1117)</f>
        <v>1803.32</v>
      </c>
      <c r="P1122" s="163">
        <f>K1114+K1115+K1118+K1119+K1120+SUM(K1117:K1117)</f>
        <v>33802.92</v>
      </c>
    </row>
    <row r="1124" spans="1:22" ht="57" x14ac:dyDescent="0.2">
      <c r="A1124" s="179" t="s">
        <v>2342</v>
      </c>
      <c r="B1124" s="178" t="s">
        <v>482</v>
      </c>
      <c r="C1124" s="178" t="s">
        <v>481</v>
      </c>
      <c r="D1124" s="177" t="s">
        <v>2129</v>
      </c>
      <c r="E1124" s="174">
        <v>1.2</v>
      </c>
      <c r="F1124" s="176"/>
      <c r="G1124" s="175"/>
      <c r="H1124" s="174"/>
      <c r="I1124" s="173"/>
      <c r="J1124" s="174"/>
      <c r="K1124" s="173"/>
      <c r="Q1124" s="160">
        <f>[4]Source!X1243</f>
        <v>36.85</v>
      </c>
      <c r="R1124" s="160">
        <f>[4]Source!X1244</f>
        <v>703.2</v>
      </c>
      <c r="S1124" s="160">
        <f>[4]Source!Y1243</f>
        <v>24.8</v>
      </c>
      <c r="T1124" s="160">
        <f>[4]Source!Y1244</f>
        <v>339.19</v>
      </c>
      <c r="U1124" s="160">
        <f>ROUND((175/100)*ROUND([4]Source!R1243, 2), 2)</f>
        <v>18.29</v>
      </c>
      <c r="V1124" s="160">
        <f>ROUND((157/100)*ROUND([4]Source!R1244, 2), 2)</f>
        <v>383.1</v>
      </c>
    </row>
    <row r="1125" spans="1:22" x14ac:dyDescent="0.2">
      <c r="C1125" s="181" t="s">
        <v>2343</v>
      </c>
    </row>
    <row r="1126" spans="1:22" ht="14.25" x14ac:dyDescent="0.2">
      <c r="A1126" s="179"/>
      <c r="B1126" s="178"/>
      <c r="C1126" s="178" t="s">
        <v>197</v>
      </c>
      <c r="D1126" s="177"/>
      <c r="E1126" s="174"/>
      <c r="F1126" s="176">
        <v>36.909999999999997</v>
      </c>
      <c r="G1126" s="175" t="s">
        <v>2344</v>
      </c>
      <c r="H1126" s="174">
        <v>1</v>
      </c>
      <c r="I1126" s="173">
        <v>35.43</v>
      </c>
      <c r="J1126" s="174">
        <v>23.35</v>
      </c>
      <c r="K1126" s="173">
        <v>827.29</v>
      </c>
    </row>
    <row r="1127" spans="1:22" ht="14.25" x14ac:dyDescent="0.2">
      <c r="A1127" s="179"/>
      <c r="B1127" s="178"/>
      <c r="C1127" s="178" t="s">
        <v>184</v>
      </c>
      <c r="D1127" s="177"/>
      <c r="E1127" s="174"/>
      <c r="F1127" s="176">
        <v>36.950000000000003</v>
      </c>
      <c r="G1127" s="175" t="s">
        <v>2344</v>
      </c>
      <c r="H1127" s="174">
        <v>1</v>
      </c>
      <c r="I1127" s="173">
        <v>35.47</v>
      </c>
      <c r="J1127" s="174">
        <v>10.11</v>
      </c>
      <c r="K1127" s="173">
        <v>358.6</v>
      </c>
    </row>
    <row r="1128" spans="1:22" ht="14.25" x14ac:dyDescent="0.2">
      <c r="A1128" s="179"/>
      <c r="B1128" s="178"/>
      <c r="C1128" s="178" t="s">
        <v>189</v>
      </c>
      <c r="D1128" s="177"/>
      <c r="E1128" s="174"/>
      <c r="F1128" s="176">
        <v>10.89</v>
      </c>
      <c r="G1128" s="175" t="s">
        <v>2344</v>
      </c>
      <c r="H1128" s="174">
        <v>1</v>
      </c>
      <c r="I1128" s="180">
        <v>10.45</v>
      </c>
      <c r="J1128" s="174">
        <v>23.35</v>
      </c>
      <c r="K1128" s="180">
        <v>244.01</v>
      </c>
    </row>
    <row r="1129" spans="1:22" ht="28.5" x14ac:dyDescent="0.2">
      <c r="A1129" s="179" t="s">
        <v>2345</v>
      </c>
      <c r="B1129" s="178" t="s">
        <v>1532</v>
      </c>
      <c r="C1129" s="178" t="s">
        <v>351</v>
      </c>
      <c r="D1129" s="177" t="s">
        <v>1533</v>
      </c>
      <c r="E1129" s="174">
        <v>-3.54</v>
      </c>
      <c r="F1129" s="176">
        <v>0</v>
      </c>
      <c r="G1129" s="182" t="s">
        <v>195</v>
      </c>
      <c r="H1129" s="174">
        <v>1</v>
      </c>
      <c r="I1129" s="173">
        <v>0</v>
      </c>
      <c r="J1129" s="174">
        <v>1</v>
      </c>
      <c r="K1129" s="173">
        <v>0</v>
      </c>
      <c r="Q1129" s="160">
        <f>[4]Source!X1245</f>
        <v>0</v>
      </c>
      <c r="R1129" s="160">
        <f>[4]Source!X1246</f>
        <v>0</v>
      </c>
      <c r="S1129" s="160">
        <f>[4]Source!Y1245</f>
        <v>0</v>
      </c>
      <c r="T1129" s="160">
        <f>[4]Source!Y1246</f>
        <v>0</v>
      </c>
      <c r="U1129" s="160">
        <f>ROUND((175/100)*ROUND([4]Source!R1245, 2), 2)</f>
        <v>0</v>
      </c>
      <c r="V1129" s="160">
        <f>ROUND((157/100)*ROUND([4]Source!R1246, 2), 2)</f>
        <v>0</v>
      </c>
    </row>
    <row r="1130" spans="1:22" ht="14.25" x14ac:dyDescent="0.2">
      <c r="A1130" s="179"/>
      <c r="B1130" s="178"/>
      <c r="C1130" s="178" t="s">
        <v>194</v>
      </c>
      <c r="D1130" s="177" t="s">
        <v>187</v>
      </c>
      <c r="E1130" s="174">
        <v>104</v>
      </c>
      <c r="F1130" s="176"/>
      <c r="G1130" s="175"/>
      <c r="H1130" s="174"/>
      <c r="I1130" s="173">
        <v>36.85</v>
      </c>
      <c r="J1130" s="174">
        <v>85</v>
      </c>
      <c r="K1130" s="173">
        <v>703.2</v>
      </c>
    </row>
    <row r="1131" spans="1:22" ht="14.25" x14ac:dyDescent="0.2">
      <c r="A1131" s="179"/>
      <c r="B1131" s="178"/>
      <c r="C1131" s="178" t="s">
        <v>193</v>
      </c>
      <c r="D1131" s="177" t="s">
        <v>187</v>
      </c>
      <c r="E1131" s="174">
        <v>70</v>
      </c>
      <c r="F1131" s="176"/>
      <c r="G1131" s="175"/>
      <c r="H1131" s="174"/>
      <c r="I1131" s="173">
        <v>24.8</v>
      </c>
      <c r="J1131" s="174">
        <v>41</v>
      </c>
      <c r="K1131" s="173">
        <v>339.19</v>
      </c>
    </row>
    <row r="1132" spans="1:22" ht="14.25" x14ac:dyDescent="0.2">
      <c r="A1132" s="179"/>
      <c r="B1132" s="178"/>
      <c r="C1132" s="178" t="s">
        <v>188</v>
      </c>
      <c r="D1132" s="177" t="s">
        <v>187</v>
      </c>
      <c r="E1132" s="174">
        <v>175</v>
      </c>
      <c r="F1132" s="176"/>
      <c r="G1132" s="175"/>
      <c r="H1132" s="174"/>
      <c r="I1132" s="173">
        <v>18.29</v>
      </c>
      <c r="J1132" s="174">
        <v>157</v>
      </c>
      <c r="K1132" s="173">
        <v>383.1</v>
      </c>
    </row>
    <row r="1133" spans="1:22" ht="14.25" x14ac:dyDescent="0.2">
      <c r="A1133" s="172"/>
      <c r="B1133" s="171"/>
      <c r="C1133" s="171" t="s">
        <v>192</v>
      </c>
      <c r="D1133" s="170" t="s">
        <v>191</v>
      </c>
      <c r="E1133" s="167">
        <v>3.45</v>
      </c>
      <c r="F1133" s="169"/>
      <c r="G1133" s="168" t="s">
        <v>2344</v>
      </c>
      <c r="H1133" s="167">
        <v>1</v>
      </c>
      <c r="I1133" s="166">
        <v>3.31</v>
      </c>
      <c r="J1133" s="167"/>
      <c r="K1133" s="166"/>
    </row>
    <row r="1134" spans="1:22" ht="15" x14ac:dyDescent="0.25">
      <c r="A1134" s="164"/>
      <c r="B1134" s="164"/>
      <c r="C1134" s="165" t="s">
        <v>183</v>
      </c>
      <c r="D1134" s="164"/>
      <c r="E1134" s="164"/>
      <c r="F1134" s="164"/>
      <c r="G1134" s="164"/>
      <c r="H1134" s="414">
        <v>150.84</v>
      </c>
      <c r="I1134" s="414"/>
      <c r="J1134" s="414">
        <v>2611.38</v>
      </c>
      <c r="K1134" s="414"/>
      <c r="O1134" s="163">
        <f>I1126+I1127+I1130+I1131+I1132+SUM(I1129:I1129)</f>
        <v>150.84</v>
      </c>
      <c r="P1134" s="163">
        <f>K1126+K1127+K1130+K1131+K1132+SUM(K1129:K1129)</f>
        <v>2611.38</v>
      </c>
    </row>
    <row r="1136" spans="1:22" ht="14.25" x14ac:dyDescent="0.2">
      <c r="A1136" s="179" t="s">
        <v>2346</v>
      </c>
      <c r="B1136" s="178" t="s">
        <v>2347</v>
      </c>
      <c r="C1136" s="178" t="s">
        <v>480</v>
      </c>
      <c r="D1136" s="177" t="s">
        <v>2348</v>
      </c>
      <c r="E1136" s="174">
        <v>30</v>
      </c>
      <c r="F1136" s="176"/>
      <c r="G1136" s="175"/>
      <c r="H1136" s="174"/>
      <c r="I1136" s="173"/>
      <c r="J1136" s="174"/>
      <c r="K1136" s="173"/>
      <c r="Q1136" s="160">
        <f>[4]Source!X1247</f>
        <v>429.36</v>
      </c>
      <c r="R1136" s="160">
        <f>[4]Source!X1248</f>
        <v>8521.73</v>
      </c>
      <c r="S1136" s="160">
        <f>[4]Source!Y1247</f>
        <v>295.19</v>
      </c>
      <c r="T1136" s="160">
        <f>[4]Source!Y1248</f>
        <v>5138.1000000000004</v>
      </c>
      <c r="U1136" s="160">
        <f>ROUND((175/100)*ROUND([4]Source!R1247, 2), 2)</f>
        <v>0</v>
      </c>
      <c r="V1136" s="160">
        <f>ROUND((157/100)*ROUND([4]Source!R1248, 2), 2)</f>
        <v>0</v>
      </c>
    </row>
    <row r="1137" spans="1:32" x14ac:dyDescent="0.2">
      <c r="C1137" s="181" t="s">
        <v>2349</v>
      </c>
    </row>
    <row r="1138" spans="1:32" ht="14.25" x14ac:dyDescent="0.2">
      <c r="A1138" s="179"/>
      <c r="B1138" s="178"/>
      <c r="C1138" s="178" t="s">
        <v>197</v>
      </c>
      <c r="D1138" s="177"/>
      <c r="E1138" s="174"/>
      <c r="F1138" s="176">
        <v>17.89</v>
      </c>
      <c r="G1138" s="175" t="s">
        <v>195</v>
      </c>
      <c r="H1138" s="174">
        <v>1</v>
      </c>
      <c r="I1138" s="173">
        <v>536.70000000000005</v>
      </c>
      <c r="J1138" s="174">
        <v>23.35</v>
      </c>
      <c r="K1138" s="173">
        <v>12531.95</v>
      </c>
    </row>
    <row r="1139" spans="1:32" ht="28.5" x14ac:dyDescent="0.2">
      <c r="A1139" s="179" t="s">
        <v>2350</v>
      </c>
      <c r="B1139" s="178" t="s">
        <v>1532</v>
      </c>
      <c r="C1139" s="178" t="s">
        <v>351</v>
      </c>
      <c r="D1139" s="177" t="s">
        <v>1533</v>
      </c>
      <c r="E1139" s="174">
        <v>-3.6</v>
      </c>
      <c r="F1139" s="176">
        <v>0</v>
      </c>
      <c r="G1139" s="182" t="s">
        <v>195</v>
      </c>
      <c r="H1139" s="174">
        <v>1</v>
      </c>
      <c r="I1139" s="173">
        <v>0</v>
      </c>
      <c r="J1139" s="174">
        <v>1</v>
      </c>
      <c r="K1139" s="173">
        <v>0</v>
      </c>
      <c r="Q1139" s="160">
        <f>[4]Source!X1249</f>
        <v>0</v>
      </c>
      <c r="R1139" s="160">
        <f>[4]Source!X1250</f>
        <v>0</v>
      </c>
      <c r="S1139" s="160">
        <f>[4]Source!Y1249</f>
        <v>0</v>
      </c>
      <c r="T1139" s="160">
        <f>[4]Source!Y1250</f>
        <v>0</v>
      </c>
      <c r="U1139" s="160">
        <f>ROUND((175/100)*ROUND([4]Source!R1249, 2), 2)</f>
        <v>0</v>
      </c>
      <c r="V1139" s="160">
        <f>ROUND((157/100)*ROUND([4]Source!R1250, 2), 2)</f>
        <v>0</v>
      </c>
    </row>
    <row r="1140" spans="1:32" ht="14.25" x14ac:dyDescent="0.2">
      <c r="A1140" s="179"/>
      <c r="B1140" s="178"/>
      <c r="C1140" s="178" t="s">
        <v>194</v>
      </c>
      <c r="D1140" s="177" t="s">
        <v>187</v>
      </c>
      <c r="E1140" s="174">
        <v>80</v>
      </c>
      <c r="F1140" s="176"/>
      <c r="G1140" s="175"/>
      <c r="H1140" s="174"/>
      <c r="I1140" s="173">
        <v>429.36</v>
      </c>
      <c r="J1140" s="174">
        <v>68</v>
      </c>
      <c r="K1140" s="173">
        <v>8521.73</v>
      </c>
    </row>
    <row r="1141" spans="1:32" ht="14.25" x14ac:dyDescent="0.2">
      <c r="A1141" s="179"/>
      <c r="B1141" s="178"/>
      <c r="C1141" s="178" t="s">
        <v>193</v>
      </c>
      <c r="D1141" s="177" t="s">
        <v>187</v>
      </c>
      <c r="E1141" s="174">
        <v>55</v>
      </c>
      <c r="F1141" s="176"/>
      <c r="G1141" s="175"/>
      <c r="H1141" s="174"/>
      <c r="I1141" s="173">
        <v>295.19</v>
      </c>
      <c r="J1141" s="174">
        <v>41</v>
      </c>
      <c r="K1141" s="173">
        <v>5138.1000000000004</v>
      </c>
    </row>
    <row r="1142" spans="1:32" ht="14.25" x14ac:dyDescent="0.2">
      <c r="A1142" s="172"/>
      <c r="B1142" s="171"/>
      <c r="C1142" s="171" t="s">
        <v>192</v>
      </c>
      <c r="D1142" s="170" t="s">
        <v>191</v>
      </c>
      <c r="E1142" s="167">
        <v>1.58</v>
      </c>
      <c r="F1142" s="169"/>
      <c r="G1142" s="168" t="s">
        <v>195</v>
      </c>
      <c r="H1142" s="167">
        <v>1</v>
      </c>
      <c r="I1142" s="166">
        <v>47.4</v>
      </c>
      <c r="J1142" s="167"/>
      <c r="K1142" s="166"/>
    </row>
    <row r="1143" spans="1:32" ht="15" x14ac:dyDescent="0.25">
      <c r="A1143" s="164"/>
      <c r="B1143" s="164"/>
      <c r="C1143" s="165" t="s">
        <v>183</v>
      </c>
      <c r="D1143" s="164"/>
      <c r="E1143" s="164"/>
      <c r="F1143" s="164"/>
      <c r="G1143" s="164"/>
      <c r="H1143" s="414">
        <v>1261.25</v>
      </c>
      <c r="I1143" s="414"/>
      <c r="J1143" s="414">
        <v>26191.78</v>
      </c>
      <c r="K1143" s="414"/>
      <c r="O1143" s="163">
        <f>I1138+I1140+I1141+SUM(I1139:I1139)</f>
        <v>1261.25</v>
      </c>
      <c r="P1143" s="163">
        <f>K1138+K1140+K1141+SUM(K1139:K1139)</f>
        <v>26191.78</v>
      </c>
    </row>
    <row r="1146" spans="1:32" ht="15" x14ac:dyDescent="0.25">
      <c r="A1146" s="417" t="s">
        <v>2351</v>
      </c>
      <c r="B1146" s="417"/>
      <c r="C1146" s="417"/>
      <c r="D1146" s="417"/>
      <c r="E1146" s="417"/>
      <c r="F1146" s="417"/>
      <c r="G1146" s="417"/>
      <c r="H1146" s="415">
        <v>10396.31</v>
      </c>
      <c r="I1146" s="416"/>
      <c r="J1146" s="415">
        <v>174284.19</v>
      </c>
      <c r="K1146" s="416"/>
      <c r="AF1146" s="201" t="str">
        <f>CONCATENATE("Итого по разделу: ",IF([4]Source!G1252&lt;&gt;"Новый раздел", [4]Source!G1252, ""))</f>
        <v>Итого по разделу: Демонтаж перектытия в осях "11-14/В-Г". 023/18КН-КР 4.2 лист 2.4, 2.5</v>
      </c>
    </row>
    <row r="1147" spans="1:32" hidden="1" x14ac:dyDescent="0.2">
      <c r="A1147" s="160" t="s">
        <v>182</v>
      </c>
      <c r="I1147" s="160">
        <v>0</v>
      </c>
      <c r="J1147" s="160">
        <v>0</v>
      </c>
    </row>
    <row r="1148" spans="1:32" hidden="1" x14ac:dyDescent="0.2">
      <c r="A1148" s="160" t="s">
        <v>181</v>
      </c>
      <c r="I1148" s="160">
        <v>0</v>
      </c>
      <c r="J1148" s="160">
        <v>0</v>
      </c>
    </row>
    <row r="1150" spans="1:32" ht="16.5" x14ac:dyDescent="0.25">
      <c r="A1150" s="413" t="s">
        <v>2352</v>
      </c>
      <c r="B1150" s="413"/>
      <c r="C1150" s="413"/>
      <c r="D1150" s="413"/>
      <c r="E1150" s="413"/>
      <c r="F1150" s="413"/>
      <c r="G1150" s="413"/>
      <c r="H1150" s="413"/>
      <c r="I1150" s="413"/>
      <c r="J1150" s="413"/>
      <c r="K1150" s="413"/>
    </row>
    <row r="1151" spans="1:32" ht="28.5" x14ac:dyDescent="0.2">
      <c r="A1151" s="179" t="s">
        <v>2353</v>
      </c>
      <c r="B1151" s="178" t="s">
        <v>2331</v>
      </c>
      <c r="C1151" s="178" t="s">
        <v>479</v>
      </c>
      <c r="D1151" s="177" t="s">
        <v>1738</v>
      </c>
      <c r="E1151" s="174">
        <v>0.95</v>
      </c>
      <c r="F1151" s="176"/>
      <c r="G1151" s="175"/>
      <c r="H1151" s="174"/>
      <c r="I1151" s="173"/>
      <c r="J1151" s="174"/>
      <c r="K1151" s="173"/>
      <c r="Q1151" s="160">
        <f>[4]Source!X1286</f>
        <v>209.02</v>
      </c>
      <c r="R1151" s="160">
        <f>[4]Source!X1287</f>
        <v>4148.6099999999997</v>
      </c>
      <c r="S1151" s="160">
        <f>[4]Source!Y1286</f>
        <v>143.69999999999999</v>
      </c>
      <c r="T1151" s="160">
        <f>[4]Source!Y1287</f>
        <v>2501.36</v>
      </c>
      <c r="U1151" s="160">
        <f>ROUND((175/100)*ROUND([4]Source!R1286, 2), 2)</f>
        <v>231.18</v>
      </c>
      <c r="V1151" s="160">
        <f>ROUND((157/100)*ROUND([4]Source!R1287, 2), 2)</f>
        <v>4842.7299999999996</v>
      </c>
    </row>
    <row r="1152" spans="1:32" x14ac:dyDescent="0.2">
      <c r="C1152" s="181" t="s">
        <v>2354</v>
      </c>
    </row>
    <row r="1153" spans="1:22" ht="14.25" x14ac:dyDescent="0.2">
      <c r="A1153" s="179"/>
      <c r="B1153" s="178"/>
      <c r="C1153" s="178" t="s">
        <v>197</v>
      </c>
      <c r="D1153" s="177"/>
      <c r="E1153" s="174"/>
      <c r="F1153" s="176">
        <v>275.02999999999997</v>
      </c>
      <c r="G1153" s="175" t="s">
        <v>195</v>
      </c>
      <c r="H1153" s="174">
        <v>1</v>
      </c>
      <c r="I1153" s="173">
        <v>261.27999999999997</v>
      </c>
      <c r="J1153" s="174">
        <v>23.35</v>
      </c>
      <c r="K1153" s="173">
        <v>6100.89</v>
      </c>
    </row>
    <row r="1154" spans="1:22" ht="14.25" x14ac:dyDescent="0.2">
      <c r="A1154" s="179"/>
      <c r="B1154" s="178"/>
      <c r="C1154" s="178" t="s">
        <v>184</v>
      </c>
      <c r="D1154" s="177"/>
      <c r="E1154" s="174"/>
      <c r="F1154" s="176">
        <v>465.71</v>
      </c>
      <c r="G1154" s="175" t="s">
        <v>195</v>
      </c>
      <c r="H1154" s="174">
        <v>1</v>
      </c>
      <c r="I1154" s="173">
        <v>442.42</v>
      </c>
      <c r="J1154" s="174">
        <v>10.17</v>
      </c>
      <c r="K1154" s="173">
        <v>4499.41</v>
      </c>
    </row>
    <row r="1155" spans="1:22" ht="14.25" x14ac:dyDescent="0.2">
      <c r="A1155" s="179"/>
      <c r="B1155" s="178"/>
      <c r="C1155" s="178" t="s">
        <v>189</v>
      </c>
      <c r="D1155" s="177"/>
      <c r="E1155" s="174"/>
      <c r="F1155" s="176">
        <v>139.05000000000001</v>
      </c>
      <c r="G1155" s="175" t="s">
        <v>195</v>
      </c>
      <c r="H1155" s="174">
        <v>1</v>
      </c>
      <c r="I1155" s="180">
        <v>132.1</v>
      </c>
      <c r="J1155" s="174">
        <v>23.35</v>
      </c>
      <c r="K1155" s="180">
        <v>3084.54</v>
      </c>
    </row>
    <row r="1156" spans="1:22" ht="28.5" x14ac:dyDescent="0.2">
      <c r="A1156" s="179" t="s">
        <v>2355</v>
      </c>
      <c r="B1156" s="178" t="s">
        <v>1532</v>
      </c>
      <c r="C1156" s="178" t="s">
        <v>351</v>
      </c>
      <c r="D1156" s="177" t="s">
        <v>1533</v>
      </c>
      <c r="E1156" s="174">
        <v>-6.27</v>
      </c>
      <c r="F1156" s="176">
        <v>0</v>
      </c>
      <c r="G1156" s="182" t="s">
        <v>195</v>
      </c>
      <c r="H1156" s="174">
        <v>1</v>
      </c>
      <c r="I1156" s="173">
        <v>0</v>
      </c>
      <c r="J1156" s="174">
        <v>1</v>
      </c>
      <c r="K1156" s="173">
        <v>0</v>
      </c>
      <c r="Q1156" s="160">
        <f>[4]Source!X1288</f>
        <v>0</v>
      </c>
      <c r="R1156" s="160">
        <f>[4]Source!X1289</f>
        <v>0</v>
      </c>
      <c r="S1156" s="160">
        <f>[4]Source!Y1288</f>
        <v>0</v>
      </c>
      <c r="T1156" s="160">
        <f>[4]Source!Y1289</f>
        <v>0</v>
      </c>
      <c r="U1156" s="160">
        <f>ROUND((175/100)*ROUND([4]Source!R1288, 2), 2)</f>
        <v>0</v>
      </c>
      <c r="V1156" s="160">
        <f>ROUND((157/100)*ROUND([4]Source!R1289, 2), 2)</f>
        <v>0</v>
      </c>
    </row>
    <row r="1157" spans="1:22" ht="14.25" x14ac:dyDescent="0.2">
      <c r="A1157" s="179"/>
      <c r="B1157" s="178"/>
      <c r="C1157" s="178" t="s">
        <v>194</v>
      </c>
      <c r="D1157" s="177" t="s">
        <v>187</v>
      </c>
      <c r="E1157" s="174">
        <v>80</v>
      </c>
      <c r="F1157" s="176"/>
      <c r="G1157" s="175"/>
      <c r="H1157" s="174"/>
      <c r="I1157" s="173">
        <v>209.02</v>
      </c>
      <c r="J1157" s="174">
        <v>68</v>
      </c>
      <c r="K1157" s="173">
        <v>4148.6099999999997</v>
      </c>
    </row>
    <row r="1158" spans="1:22" ht="14.25" x14ac:dyDescent="0.2">
      <c r="A1158" s="179"/>
      <c r="B1158" s="178"/>
      <c r="C1158" s="178" t="s">
        <v>193</v>
      </c>
      <c r="D1158" s="177" t="s">
        <v>187</v>
      </c>
      <c r="E1158" s="174">
        <v>55</v>
      </c>
      <c r="F1158" s="176"/>
      <c r="G1158" s="175"/>
      <c r="H1158" s="174"/>
      <c r="I1158" s="173">
        <v>143.69999999999999</v>
      </c>
      <c r="J1158" s="174">
        <v>41</v>
      </c>
      <c r="K1158" s="173">
        <v>2501.36</v>
      </c>
    </row>
    <row r="1159" spans="1:22" ht="14.25" x14ac:dyDescent="0.2">
      <c r="A1159" s="179"/>
      <c r="B1159" s="178"/>
      <c r="C1159" s="178" t="s">
        <v>188</v>
      </c>
      <c r="D1159" s="177" t="s">
        <v>187</v>
      </c>
      <c r="E1159" s="174">
        <v>175</v>
      </c>
      <c r="F1159" s="176"/>
      <c r="G1159" s="175"/>
      <c r="H1159" s="174"/>
      <c r="I1159" s="173">
        <v>231.18</v>
      </c>
      <c r="J1159" s="174">
        <v>157</v>
      </c>
      <c r="K1159" s="173">
        <v>4842.7299999999996</v>
      </c>
    </row>
    <row r="1160" spans="1:22" ht="14.25" x14ac:dyDescent="0.2">
      <c r="A1160" s="172"/>
      <c r="B1160" s="171"/>
      <c r="C1160" s="171" t="s">
        <v>192</v>
      </c>
      <c r="D1160" s="170" t="s">
        <v>191</v>
      </c>
      <c r="E1160" s="167">
        <v>24.6</v>
      </c>
      <c r="F1160" s="169"/>
      <c r="G1160" s="168" t="s">
        <v>195</v>
      </c>
      <c r="H1160" s="167">
        <v>1</v>
      </c>
      <c r="I1160" s="166">
        <v>23.37</v>
      </c>
      <c r="J1160" s="167"/>
      <c r="K1160" s="166"/>
    </row>
    <row r="1161" spans="1:22" ht="15" x14ac:dyDescent="0.25">
      <c r="A1161" s="164"/>
      <c r="B1161" s="164"/>
      <c r="C1161" s="165" t="s">
        <v>183</v>
      </c>
      <c r="D1161" s="164"/>
      <c r="E1161" s="164"/>
      <c r="F1161" s="164"/>
      <c r="G1161" s="164"/>
      <c r="H1161" s="414">
        <v>1287.5999999999999</v>
      </c>
      <c r="I1161" s="414"/>
      <c r="J1161" s="414">
        <v>22093</v>
      </c>
      <c r="K1161" s="414"/>
      <c r="O1161" s="163">
        <f>I1153+I1154+I1157+I1158+I1159+SUM(I1156:I1156)</f>
        <v>1287.5999999999999</v>
      </c>
      <c r="P1161" s="163">
        <f>K1153+K1154+K1157+K1158+K1159+SUM(K1156:K1156)</f>
        <v>22093</v>
      </c>
    </row>
    <row r="1163" spans="1:22" ht="28.5" x14ac:dyDescent="0.2">
      <c r="A1163" s="179" t="s">
        <v>2356</v>
      </c>
      <c r="B1163" s="178" t="s">
        <v>2357</v>
      </c>
      <c r="C1163" s="178" t="s">
        <v>478</v>
      </c>
      <c r="D1163" s="177" t="s">
        <v>2358</v>
      </c>
      <c r="E1163" s="174">
        <v>0.23749999999999999</v>
      </c>
      <c r="F1163" s="176"/>
      <c r="G1163" s="175"/>
      <c r="H1163" s="174"/>
      <c r="I1163" s="173"/>
      <c r="J1163" s="174"/>
      <c r="K1163" s="173"/>
      <c r="Q1163" s="160">
        <f>[4]Source!X1290</f>
        <v>1740.97</v>
      </c>
      <c r="R1163" s="160">
        <f>[4]Source!X1291</f>
        <v>34553.86</v>
      </c>
      <c r="S1163" s="160">
        <f>[4]Source!Y1290</f>
        <v>1196.92</v>
      </c>
      <c r="T1163" s="160">
        <f>[4]Source!Y1291</f>
        <v>20833.95</v>
      </c>
      <c r="U1163" s="160">
        <f>ROUND((175/100)*ROUND([4]Source!R1290, 2), 2)</f>
        <v>35.79</v>
      </c>
      <c r="V1163" s="160">
        <f>ROUND((157/100)*ROUND([4]Source!R1291, 2), 2)</f>
        <v>749.69</v>
      </c>
    </row>
    <row r="1164" spans="1:22" x14ac:dyDescent="0.2">
      <c r="C1164" s="181" t="s">
        <v>2359</v>
      </c>
    </row>
    <row r="1165" spans="1:22" ht="14.25" x14ac:dyDescent="0.2">
      <c r="A1165" s="179"/>
      <c r="B1165" s="178"/>
      <c r="C1165" s="178" t="s">
        <v>197</v>
      </c>
      <c r="D1165" s="177"/>
      <c r="E1165" s="174"/>
      <c r="F1165" s="176">
        <v>9163</v>
      </c>
      <c r="G1165" s="175" t="s">
        <v>195</v>
      </c>
      <c r="H1165" s="174">
        <v>1</v>
      </c>
      <c r="I1165" s="173">
        <v>2176.21</v>
      </c>
      <c r="J1165" s="174">
        <v>23.35</v>
      </c>
      <c r="K1165" s="173">
        <v>50814.5</v>
      </c>
    </row>
    <row r="1166" spans="1:22" ht="14.25" x14ac:dyDescent="0.2">
      <c r="A1166" s="179"/>
      <c r="B1166" s="178"/>
      <c r="C1166" s="178" t="s">
        <v>184</v>
      </c>
      <c r="D1166" s="177"/>
      <c r="E1166" s="174"/>
      <c r="F1166" s="176">
        <v>288.38</v>
      </c>
      <c r="G1166" s="175" t="s">
        <v>195</v>
      </c>
      <c r="H1166" s="174">
        <v>1</v>
      </c>
      <c r="I1166" s="173">
        <v>68.489999999999995</v>
      </c>
      <c r="J1166" s="174">
        <v>10.72</v>
      </c>
      <c r="K1166" s="173">
        <v>734.21</v>
      </c>
    </row>
    <row r="1167" spans="1:22" ht="14.25" x14ac:dyDescent="0.2">
      <c r="A1167" s="179"/>
      <c r="B1167" s="178"/>
      <c r="C1167" s="178" t="s">
        <v>189</v>
      </c>
      <c r="D1167" s="177"/>
      <c r="E1167" s="174"/>
      <c r="F1167" s="176">
        <v>86.1</v>
      </c>
      <c r="G1167" s="175" t="s">
        <v>195</v>
      </c>
      <c r="H1167" s="174">
        <v>1</v>
      </c>
      <c r="I1167" s="180">
        <v>20.45</v>
      </c>
      <c r="J1167" s="174">
        <v>23.35</v>
      </c>
      <c r="K1167" s="180">
        <v>477.51</v>
      </c>
    </row>
    <row r="1168" spans="1:22" ht="28.5" x14ac:dyDescent="0.2">
      <c r="A1168" s="179" t="s">
        <v>2360</v>
      </c>
      <c r="B1168" s="178" t="s">
        <v>1532</v>
      </c>
      <c r="C1168" s="178" t="s">
        <v>351</v>
      </c>
      <c r="D1168" s="177" t="s">
        <v>1533</v>
      </c>
      <c r="E1168" s="174">
        <v>-56.524999999999999</v>
      </c>
      <c r="F1168" s="176">
        <v>0</v>
      </c>
      <c r="G1168" s="182" t="s">
        <v>195</v>
      </c>
      <c r="H1168" s="174">
        <v>1</v>
      </c>
      <c r="I1168" s="173">
        <v>0</v>
      </c>
      <c r="J1168" s="174">
        <v>1</v>
      </c>
      <c r="K1168" s="173">
        <v>0</v>
      </c>
      <c r="Q1168" s="160">
        <f>[4]Source!X1292</f>
        <v>0</v>
      </c>
      <c r="R1168" s="160">
        <f>[4]Source!X1293</f>
        <v>0</v>
      </c>
      <c r="S1168" s="160">
        <f>[4]Source!Y1292</f>
        <v>0</v>
      </c>
      <c r="T1168" s="160">
        <f>[4]Source!Y1293</f>
        <v>0</v>
      </c>
      <c r="U1168" s="160">
        <f>ROUND((175/100)*ROUND([4]Source!R1292, 2), 2)</f>
        <v>0</v>
      </c>
      <c r="V1168" s="160">
        <f>ROUND((157/100)*ROUND([4]Source!R1293, 2), 2)</f>
        <v>0</v>
      </c>
    </row>
    <row r="1169" spans="1:22" ht="14.25" x14ac:dyDescent="0.2">
      <c r="A1169" s="179"/>
      <c r="B1169" s="178"/>
      <c r="C1169" s="178" t="s">
        <v>194</v>
      </c>
      <c r="D1169" s="177" t="s">
        <v>187</v>
      </c>
      <c r="E1169" s="174">
        <v>80</v>
      </c>
      <c r="F1169" s="176"/>
      <c r="G1169" s="175"/>
      <c r="H1169" s="174"/>
      <c r="I1169" s="173">
        <v>1740.97</v>
      </c>
      <c r="J1169" s="174">
        <v>68</v>
      </c>
      <c r="K1169" s="173">
        <v>34553.86</v>
      </c>
    </row>
    <row r="1170" spans="1:22" ht="14.25" x14ac:dyDescent="0.2">
      <c r="A1170" s="179"/>
      <c r="B1170" s="178"/>
      <c r="C1170" s="178" t="s">
        <v>193</v>
      </c>
      <c r="D1170" s="177" t="s">
        <v>187</v>
      </c>
      <c r="E1170" s="174">
        <v>55</v>
      </c>
      <c r="F1170" s="176"/>
      <c r="G1170" s="175"/>
      <c r="H1170" s="174"/>
      <c r="I1170" s="173">
        <v>1196.92</v>
      </c>
      <c r="J1170" s="174">
        <v>41</v>
      </c>
      <c r="K1170" s="173">
        <v>20833.95</v>
      </c>
    </row>
    <row r="1171" spans="1:22" ht="14.25" x14ac:dyDescent="0.2">
      <c r="A1171" s="179"/>
      <c r="B1171" s="178"/>
      <c r="C1171" s="178" t="s">
        <v>188</v>
      </c>
      <c r="D1171" s="177" t="s">
        <v>187</v>
      </c>
      <c r="E1171" s="174">
        <v>175</v>
      </c>
      <c r="F1171" s="176"/>
      <c r="G1171" s="175"/>
      <c r="H1171" s="174"/>
      <c r="I1171" s="173">
        <v>35.79</v>
      </c>
      <c r="J1171" s="174">
        <v>157</v>
      </c>
      <c r="K1171" s="173">
        <v>749.69</v>
      </c>
    </row>
    <row r="1172" spans="1:22" ht="14.25" x14ac:dyDescent="0.2">
      <c r="A1172" s="172"/>
      <c r="B1172" s="171"/>
      <c r="C1172" s="171" t="s">
        <v>192</v>
      </c>
      <c r="D1172" s="170" t="s">
        <v>191</v>
      </c>
      <c r="E1172" s="167">
        <v>770</v>
      </c>
      <c r="F1172" s="169"/>
      <c r="G1172" s="168" t="s">
        <v>195</v>
      </c>
      <c r="H1172" s="167">
        <v>1</v>
      </c>
      <c r="I1172" s="166">
        <v>182.88</v>
      </c>
      <c r="J1172" s="167"/>
      <c r="K1172" s="166"/>
    </row>
    <row r="1173" spans="1:22" ht="15" x14ac:dyDescent="0.25">
      <c r="A1173" s="164"/>
      <c r="B1173" s="164"/>
      <c r="C1173" s="165" t="s">
        <v>183</v>
      </c>
      <c r="D1173" s="164"/>
      <c r="E1173" s="164"/>
      <c r="F1173" s="164"/>
      <c r="G1173" s="164"/>
      <c r="H1173" s="414">
        <v>5218.38</v>
      </c>
      <c r="I1173" s="414"/>
      <c r="J1173" s="414">
        <v>107686.21</v>
      </c>
      <c r="K1173" s="414"/>
      <c r="O1173" s="163">
        <f>I1165+I1166+I1169+I1170+I1171+SUM(I1168:I1168)</f>
        <v>5218.38</v>
      </c>
      <c r="P1173" s="163">
        <f>K1165+K1166+K1169+K1170+K1171+SUM(K1168:K1168)</f>
        <v>107686.21</v>
      </c>
    </row>
    <row r="1175" spans="1:22" ht="65.25" x14ac:dyDescent="0.2">
      <c r="A1175" s="179" t="s">
        <v>2361</v>
      </c>
      <c r="B1175" s="178" t="s">
        <v>477</v>
      </c>
      <c r="C1175" s="178" t="s">
        <v>476</v>
      </c>
      <c r="D1175" s="177" t="s">
        <v>2316</v>
      </c>
      <c r="E1175" s="174">
        <v>0.91100000000000003</v>
      </c>
      <c r="F1175" s="176"/>
      <c r="G1175" s="175"/>
      <c r="H1175" s="174"/>
      <c r="I1175" s="173"/>
      <c r="J1175" s="174"/>
      <c r="K1175" s="173"/>
      <c r="Q1175" s="160">
        <f>[4]Source!X1294</f>
        <v>513.41</v>
      </c>
      <c r="R1175" s="160">
        <f>[4]Source!X1295</f>
        <v>10189.870000000001</v>
      </c>
      <c r="S1175" s="160">
        <f>[4]Source!Y1294</f>
        <v>352.97</v>
      </c>
      <c r="T1175" s="160">
        <f>[4]Source!Y1295</f>
        <v>6143.89</v>
      </c>
      <c r="U1175" s="160">
        <f>ROUND((175/100)*ROUND([4]Source!R1294, 2), 2)</f>
        <v>651.95000000000005</v>
      </c>
      <c r="V1175" s="160">
        <f>ROUND((157/100)*ROUND([4]Source!R1295, 2), 2)</f>
        <v>13657.13</v>
      </c>
    </row>
    <row r="1176" spans="1:22" x14ac:dyDescent="0.2">
      <c r="C1176" s="181" t="s">
        <v>2362</v>
      </c>
    </row>
    <row r="1177" spans="1:22" ht="14.25" x14ac:dyDescent="0.2">
      <c r="A1177" s="179"/>
      <c r="B1177" s="178"/>
      <c r="C1177" s="178" t="s">
        <v>197</v>
      </c>
      <c r="D1177" s="177"/>
      <c r="E1177" s="174"/>
      <c r="F1177" s="176">
        <v>2134.7199999999998</v>
      </c>
      <c r="G1177" s="175" t="s">
        <v>2318</v>
      </c>
      <c r="H1177" s="174">
        <v>1</v>
      </c>
      <c r="I1177" s="173">
        <v>641.76</v>
      </c>
      <c r="J1177" s="174">
        <v>23.35</v>
      </c>
      <c r="K1177" s="173">
        <v>14985.1</v>
      </c>
    </row>
    <row r="1178" spans="1:22" ht="14.25" x14ac:dyDescent="0.2">
      <c r="A1178" s="179"/>
      <c r="B1178" s="178"/>
      <c r="C1178" s="178" t="s">
        <v>184</v>
      </c>
      <c r="D1178" s="177"/>
      <c r="E1178" s="174"/>
      <c r="F1178" s="176">
        <v>1394.25</v>
      </c>
      <c r="G1178" s="175" t="s">
        <v>195</v>
      </c>
      <c r="H1178" s="174">
        <v>1</v>
      </c>
      <c r="I1178" s="173">
        <v>1270.1600000000001</v>
      </c>
      <c r="J1178" s="174">
        <v>10.14</v>
      </c>
      <c r="K1178" s="173">
        <v>12879.42</v>
      </c>
    </row>
    <row r="1179" spans="1:22" ht="14.25" x14ac:dyDescent="0.2">
      <c r="A1179" s="179"/>
      <c r="B1179" s="178"/>
      <c r="C1179" s="178" t="s">
        <v>189</v>
      </c>
      <c r="D1179" s="177"/>
      <c r="E1179" s="174"/>
      <c r="F1179" s="176">
        <v>408.93</v>
      </c>
      <c r="G1179" s="175" t="s">
        <v>195</v>
      </c>
      <c r="H1179" s="174">
        <v>1</v>
      </c>
      <c r="I1179" s="180">
        <v>372.54</v>
      </c>
      <c r="J1179" s="174">
        <v>23.35</v>
      </c>
      <c r="K1179" s="180">
        <v>8698.81</v>
      </c>
    </row>
    <row r="1180" spans="1:22" ht="28.5" x14ac:dyDescent="0.2">
      <c r="A1180" s="179" t="s">
        <v>2363</v>
      </c>
      <c r="B1180" s="178" t="s">
        <v>1532</v>
      </c>
      <c r="C1180" s="178" t="s">
        <v>351</v>
      </c>
      <c r="D1180" s="177" t="s">
        <v>1533</v>
      </c>
      <c r="E1180" s="174">
        <v>-18.77571</v>
      </c>
      <c r="F1180" s="176">
        <v>0</v>
      </c>
      <c r="G1180" s="182" t="s">
        <v>195</v>
      </c>
      <c r="H1180" s="174">
        <v>1</v>
      </c>
      <c r="I1180" s="173">
        <v>0</v>
      </c>
      <c r="J1180" s="174">
        <v>1</v>
      </c>
      <c r="K1180" s="173">
        <v>0</v>
      </c>
      <c r="Q1180" s="160">
        <f>[4]Source!X1296</f>
        <v>0</v>
      </c>
      <c r="R1180" s="160">
        <f>[4]Source!X1297</f>
        <v>0</v>
      </c>
      <c r="S1180" s="160">
        <f>[4]Source!Y1296</f>
        <v>0</v>
      </c>
      <c r="T1180" s="160">
        <f>[4]Source!Y1297</f>
        <v>0</v>
      </c>
      <c r="U1180" s="160">
        <f>ROUND((175/100)*ROUND([4]Source!R1296, 2), 2)</f>
        <v>0</v>
      </c>
      <c r="V1180" s="160">
        <f>ROUND((157/100)*ROUND([4]Source!R1297, 2), 2)</f>
        <v>0</v>
      </c>
    </row>
    <row r="1181" spans="1:22" ht="14.25" x14ac:dyDescent="0.2">
      <c r="A1181" s="179"/>
      <c r="B1181" s="178"/>
      <c r="C1181" s="178" t="s">
        <v>194</v>
      </c>
      <c r="D1181" s="177" t="s">
        <v>187</v>
      </c>
      <c r="E1181" s="174">
        <v>80</v>
      </c>
      <c r="F1181" s="176"/>
      <c r="G1181" s="175"/>
      <c r="H1181" s="174"/>
      <c r="I1181" s="173">
        <v>513.41</v>
      </c>
      <c r="J1181" s="174">
        <v>68</v>
      </c>
      <c r="K1181" s="173">
        <v>10189.870000000001</v>
      </c>
    </row>
    <row r="1182" spans="1:22" ht="14.25" x14ac:dyDescent="0.2">
      <c r="A1182" s="179"/>
      <c r="B1182" s="178"/>
      <c r="C1182" s="178" t="s">
        <v>193</v>
      </c>
      <c r="D1182" s="177" t="s">
        <v>187</v>
      </c>
      <c r="E1182" s="174">
        <v>55</v>
      </c>
      <c r="F1182" s="176"/>
      <c r="G1182" s="175"/>
      <c r="H1182" s="174"/>
      <c r="I1182" s="173">
        <v>352.97</v>
      </c>
      <c r="J1182" s="174">
        <v>41</v>
      </c>
      <c r="K1182" s="173">
        <v>6143.89</v>
      </c>
    </row>
    <row r="1183" spans="1:22" ht="14.25" x14ac:dyDescent="0.2">
      <c r="A1183" s="179"/>
      <c r="B1183" s="178"/>
      <c r="C1183" s="178" t="s">
        <v>188</v>
      </c>
      <c r="D1183" s="177" t="s">
        <v>187</v>
      </c>
      <c r="E1183" s="174">
        <v>175</v>
      </c>
      <c r="F1183" s="176"/>
      <c r="G1183" s="175"/>
      <c r="H1183" s="174"/>
      <c r="I1183" s="173">
        <v>651.95000000000005</v>
      </c>
      <c r="J1183" s="174">
        <v>157</v>
      </c>
      <c r="K1183" s="173">
        <v>13657.13</v>
      </c>
    </row>
    <row r="1184" spans="1:22" ht="14.25" x14ac:dyDescent="0.2">
      <c r="A1184" s="172"/>
      <c r="B1184" s="171"/>
      <c r="C1184" s="171" t="s">
        <v>192</v>
      </c>
      <c r="D1184" s="170" t="s">
        <v>191</v>
      </c>
      <c r="E1184" s="167">
        <v>212.41</v>
      </c>
      <c r="F1184" s="169"/>
      <c r="G1184" s="168" t="s">
        <v>2318</v>
      </c>
      <c r="H1184" s="167">
        <v>1</v>
      </c>
      <c r="I1184" s="166">
        <v>63.86</v>
      </c>
      <c r="J1184" s="167"/>
      <c r="K1184" s="166"/>
    </row>
    <row r="1185" spans="1:22" ht="15" x14ac:dyDescent="0.25">
      <c r="A1185" s="164"/>
      <c r="B1185" s="164"/>
      <c r="C1185" s="165" t="s">
        <v>183</v>
      </c>
      <c r="D1185" s="164"/>
      <c r="E1185" s="164"/>
      <c r="F1185" s="164"/>
      <c r="G1185" s="164"/>
      <c r="H1185" s="414">
        <v>3430.25</v>
      </c>
      <c r="I1185" s="414"/>
      <c r="J1185" s="414">
        <v>57855.41</v>
      </c>
      <c r="K1185" s="414"/>
      <c r="O1185" s="163">
        <f>I1177+I1178+I1181+I1182+I1183+SUM(I1180:I1180)</f>
        <v>3430.25</v>
      </c>
      <c r="P1185" s="163">
        <f>K1177+K1178+K1181+K1182+K1183+SUM(K1180:K1180)</f>
        <v>57855.41</v>
      </c>
    </row>
    <row r="1188" spans="1:22" ht="15" x14ac:dyDescent="0.25">
      <c r="A1188" s="417" t="s">
        <v>2364</v>
      </c>
      <c r="B1188" s="417"/>
      <c r="C1188" s="417"/>
      <c r="D1188" s="417"/>
      <c r="E1188" s="417"/>
      <c r="F1188" s="417"/>
      <c r="G1188" s="417"/>
      <c r="H1188" s="415">
        <v>9936.23</v>
      </c>
      <c r="I1188" s="416"/>
      <c r="J1188" s="415">
        <v>187634.62</v>
      </c>
      <c r="K1188" s="416"/>
    </row>
    <row r="1189" spans="1:22" hidden="1" x14ac:dyDescent="0.2">
      <c r="A1189" s="160" t="s">
        <v>182</v>
      </c>
      <c r="I1189" s="160">
        <v>0</v>
      </c>
      <c r="J1189" s="160">
        <v>0</v>
      </c>
    </row>
    <row r="1190" spans="1:22" hidden="1" x14ac:dyDescent="0.2">
      <c r="A1190" s="160" t="s">
        <v>181</v>
      </c>
      <c r="I1190" s="160">
        <v>0</v>
      </c>
      <c r="J1190" s="160">
        <v>0</v>
      </c>
    </row>
    <row r="1192" spans="1:22" ht="16.5" x14ac:dyDescent="0.25">
      <c r="A1192" s="413" t="s">
        <v>1921</v>
      </c>
      <c r="B1192" s="413"/>
      <c r="C1192" s="413"/>
      <c r="D1192" s="413"/>
      <c r="E1192" s="413"/>
      <c r="F1192" s="413"/>
      <c r="G1192" s="413"/>
      <c r="H1192" s="413"/>
      <c r="I1192" s="413"/>
      <c r="J1192" s="413"/>
      <c r="K1192" s="413"/>
    </row>
    <row r="1193" spans="1:22" ht="42.75" x14ac:dyDescent="0.2">
      <c r="A1193" s="179" t="s">
        <v>2365</v>
      </c>
      <c r="B1193" s="178" t="s">
        <v>1923</v>
      </c>
      <c r="C1193" s="178" t="s">
        <v>190</v>
      </c>
      <c r="D1193" s="177" t="s">
        <v>1785</v>
      </c>
      <c r="E1193" s="174">
        <v>265.15177</v>
      </c>
      <c r="F1193" s="176"/>
      <c r="G1193" s="175"/>
      <c r="H1193" s="174"/>
      <c r="I1193" s="173"/>
      <c r="J1193" s="174"/>
      <c r="K1193" s="173"/>
      <c r="Q1193" s="160">
        <f>[4]Source!X1333</f>
        <v>0</v>
      </c>
      <c r="R1193" s="160">
        <f>[4]Source!X1334</f>
        <v>0</v>
      </c>
      <c r="S1193" s="160">
        <f>[4]Source!Y1333</f>
        <v>0</v>
      </c>
      <c r="T1193" s="160">
        <f>[4]Source!Y1334</f>
        <v>0</v>
      </c>
      <c r="U1193" s="160">
        <f>ROUND((175/100)*ROUND([4]Source!R1333, 2), 2)</f>
        <v>686.74</v>
      </c>
      <c r="V1193" s="160">
        <f>ROUND((157/100)*ROUND([4]Source!R1334, 2), 2)</f>
        <v>14385.93</v>
      </c>
    </row>
    <row r="1194" spans="1:22" ht="51" x14ac:dyDescent="0.2">
      <c r="C1194" s="181" t="s">
        <v>2366</v>
      </c>
    </row>
    <row r="1195" spans="1:22" ht="14.25" x14ac:dyDescent="0.2">
      <c r="A1195" s="179"/>
      <c r="B1195" s="178"/>
      <c r="C1195" s="178" t="s">
        <v>184</v>
      </c>
      <c r="D1195" s="177"/>
      <c r="E1195" s="174"/>
      <c r="F1195" s="176">
        <v>8.86</v>
      </c>
      <c r="G1195" s="175" t="s">
        <v>195</v>
      </c>
      <c r="H1195" s="174">
        <v>1</v>
      </c>
      <c r="I1195" s="173">
        <v>2349.2399999999998</v>
      </c>
      <c r="J1195" s="174">
        <v>8.36</v>
      </c>
      <c r="K1195" s="173">
        <v>19639.650000000001</v>
      </c>
    </row>
    <row r="1196" spans="1:22" ht="14.25" x14ac:dyDescent="0.2">
      <c r="A1196" s="179"/>
      <c r="B1196" s="178"/>
      <c r="C1196" s="178" t="s">
        <v>189</v>
      </c>
      <c r="D1196" s="177"/>
      <c r="E1196" s="174"/>
      <c r="F1196" s="176">
        <v>1.48</v>
      </c>
      <c r="G1196" s="175" t="s">
        <v>195</v>
      </c>
      <c r="H1196" s="174">
        <v>1</v>
      </c>
      <c r="I1196" s="180">
        <v>392.42</v>
      </c>
      <c r="J1196" s="174">
        <v>23.35</v>
      </c>
      <c r="K1196" s="180">
        <v>9163.01</v>
      </c>
    </row>
    <row r="1197" spans="1:22" ht="14.25" x14ac:dyDescent="0.2">
      <c r="A1197" s="172"/>
      <c r="B1197" s="171"/>
      <c r="C1197" s="171" t="s">
        <v>188</v>
      </c>
      <c r="D1197" s="170" t="s">
        <v>187</v>
      </c>
      <c r="E1197" s="167">
        <v>175</v>
      </c>
      <c r="F1197" s="169"/>
      <c r="G1197" s="168"/>
      <c r="H1197" s="167"/>
      <c r="I1197" s="166">
        <v>686.74</v>
      </c>
      <c r="J1197" s="167">
        <v>157</v>
      </c>
      <c r="K1197" s="166">
        <v>14385.93</v>
      </c>
    </row>
    <row r="1198" spans="1:22" ht="15" x14ac:dyDescent="0.25">
      <c r="A1198" s="164"/>
      <c r="B1198" s="164"/>
      <c r="C1198" s="165" t="s">
        <v>183</v>
      </c>
      <c r="D1198" s="164"/>
      <c r="E1198" s="164"/>
      <c r="F1198" s="164"/>
      <c r="G1198" s="164"/>
      <c r="H1198" s="414">
        <v>3035.98</v>
      </c>
      <c r="I1198" s="414"/>
      <c r="J1198" s="414">
        <v>34025.58</v>
      </c>
      <c r="K1198" s="414"/>
      <c r="O1198" s="163">
        <f>I1195+I1197</f>
        <v>3035.98</v>
      </c>
      <c r="P1198" s="163">
        <f>K1195+K1197</f>
        <v>34025.58</v>
      </c>
    </row>
    <row r="1201" spans="1:22" ht="15" x14ac:dyDescent="0.25">
      <c r="A1201" s="417" t="s">
        <v>1925</v>
      </c>
      <c r="B1201" s="417"/>
      <c r="C1201" s="417"/>
      <c r="D1201" s="417"/>
      <c r="E1201" s="417"/>
      <c r="F1201" s="417"/>
      <c r="G1201" s="417"/>
      <c r="H1201" s="415">
        <v>3035.98</v>
      </c>
      <c r="I1201" s="416"/>
      <c r="J1201" s="415">
        <v>34025.58</v>
      </c>
      <c r="K1201" s="416"/>
    </row>
    <row r="1202" spans="1:22" hidden="1" x14ac:dyDescent="0.2">
      <c r="A1202" s="160" t="s">
        <v>182</v>
      </c>
      <c r="I1202" s="160">
        <v>0</v>
      </c>
      <c r="J1202" s="160">
        <v>0</v>
      </c>
    </row>
    <row r="1203" spans="1:22" hidden="1" x14ac:dyDescent="0.2">
      <c r="A1203" s="160" t="s">
        <v>181</v>
      </c>
      <c r="I1203" s="160">
        <v>0</v>
      </c>
      <c r="J1203" s="160">
        <v>0</v>
      </c>
    </row>
    <row r="1205" spans="1:22" ht="16.5" x14ac:dyDescent="0.25">
      <c r="A1205" s="413" t="s">
        <v>1926</v>
      </c>
      <c r="B1205" s="413"/>
      <c r="C1205" s="413"/>
      <c r="D1205" s="413"/>
      <c r="E1205" s="413"/>
      <c r="F1205" s="413"/>
      <c r="G1205" s="413"/>
      <c r="H1205" s="413"/>
      <c r="I1205" s="413"/>
      <c r="J1205" s="413"/>
      <c r="K1205" s="413"/>
    </row>
    <row r="1206" spans="1:22" ht="42.75" x14ac:dyDescent="0.2">
      <c r="A1206" s="179" t="s">
        <v>2367</v>
      </c>
      <c r="B1206" s="178" t="s">
        <v>2120</v>
      </c>
      <c r="C1206" s="178" t="s">
        <v>383</v>
      </c>
      <c r="D1206" s="177" t="s">
        <v>1533</v>
      </c>
      <c r="E1206" s="174">
        <v>265.15177</v>
      </c>
      <c r="F1206" s="176"/>
      <c r="G1206" s="175"/>
      <c r="H1206" s="174"/>
      <c r="I1206" s="173"/>
      <c r="J1206" s="174"/>
      <c r="K1206" s="173"/>
      <c r="Q1206" s="160">
        <f>[4]Source!X1370</f>
        <v>0</v>
      </c>
      <c r="R1206" s="160">
        <f>[4]Source!X1371</f>
        <v>0</v>
      </c>
      <c r="S1206" s="160">
        <f>[4]Source!Y1370</f>
        <v>0</v>
      </c>
      <c r="T1206" s="160">
        <f>[4]Source!Y1371</f>
        <v>0</v>
      </c>
      <c r="U1206" s="160">
        <f>ROUND((175/100)*ROUND([4]Source!R1370, 2), 2)</f>
        <v>0</v>
      </c>
      <c r="V1206" s="160">
        <f>ROUND((157/100)*ROUND([4]Source!R1371, 2), 2)</f>
        <v>0</v>
      </c>
    </row>
    <row r="1207" spans="1:22" ht="14.25" x14ac:dyDescent="0.2">
      <c r="A1207" s="172"/>
      <c r="B1207" s="171"/>
      <c r="C1207" s="171" t="s">
        <v>184</v>
      </c>
      <c r="D1207" s="170"/>
      <c r="E1207" s="167"/>
      <c r="F1207" s="169">
        <v>34.15</v>
      </c>
      <c r="G1207" s="168" t="s">
        <v>195</v>
      </c>
      <c r="H1207" s="167">
        <v>1</v>
      </c>
      <c r="I1207" s="166">
        <v>9054.93</v>
      </c>
      <c r="J1207" s="167">
        <v>9.57</v>
      </c>
      <c r="K1207" s="166">
        <v>86655.679999999993</v>
      </c>
    </row>
    <row r="1208" spans="1:22" ht="15" x14ac:dyDescent="0.25">
      <c r="A1208" s="164"/>
      <c r="B1208" s="164"/>
      <c r="C1208" s="165" t="s">
        <v>183</v>
      </c>
      <c r="D1208" s="164"/>
      <c r="E1208" s="164"/>
      <c r="F1208" s="164"/>
      <c r="G1208" s="164"/>
      <c r="H1208" s="414">
        <v>9054.93</v>
      </c>
      <c r="I1208" s="414"/>
      <c r="J1208" s="414">
        <v>86655.679999999993</v>
      </c>
      <c r="K1208" s="414"/>
      <c r="O1208" s="163">
        <f>I1207</f>
        <v>9054.93</v>
      </c>
      <c r="P1208" s="163">
        <f>K1207</f>
        <v>86655.679999999993</v>
      </c>
    </row>
    <row r="1210" spans="1:22" ht="14.25" x14ac:dyDescent="0.2">
      <c r="A1210" s="179" t="s">
        <v>2368</v>
      </c>
      <c r="B1210" s="178" t="s">
        <v>1930</v>
      </c>
      <c r="C1210" s="178" t="s">
        <v>382</v>
      </c>
      <c r="D1210" s="177" t="s">
        <v>1785</v>
      </c>
      <c r="E1210" s="174">
        <v>265.15177</v>
      </c>
      <c r="F1210" s="176"/>
      <c r="G1210" s="175"/>
      <c r="H1210" s="174"/>
      <c r="I1210" s="173"/>
      <c r="J1210" s="174"/>
      <c r="K1210" s="173"/>
      <c r="Q1210" s="160">
        <f>[4]Source!X1372</f>
        <v>0</v>
      </c>
      <c r="R1210" s="160">
        <f>[4]Source!X1373</f>
        <v>0</v>
      </c>
      <c r="S1210" s="160">
        <f>[4]Source!Y1372</f>
        <v>0</v>
      </c>
      <c r="T1210" s="160">
        <f>[4]Source!Y1373</f>
        <v>0</v>
      </c>
      <c r="U1210" s="160">
        <f>ROUND((175/100)*ROUND([4]Source!R1372, 2), 2)</f>
        <v>0</v>
      </c>
      <c r="V1210" s="160">
        <f>ROUND((157/100)*ROUND([4]Source!R1373, 2), 2)</f>
        <v>0</v>
      </c>
    </row>
    <row r="1211" spans="1:22" ht="14.25" x14ac:dyDescent="0.2">
      <c r="A1211" s="172"/>
      <c r="B1211" s="171"/>
      <c r="C1211" s="171" t="s">
        <v>184</v>
      </c>
      <c r="D1211" s="170"/>
      <c r="E1211" s="167"/>
      <c r="F1211" s="169">
        <v>101</v>
      </c>
      <c r="G1211" s="168" t="s">
        <v>195</v>
      </c>
      <c r="H1211" s="167">
        <v>1</v>
      </c>
      <c r="I1211" s="166">
        <v>26780.33</v>
      </c>
      <c r="J1211" s="167">
        <v>1.96</v>
      </c>
      <c r="K1211" s="166">
        <v>52489.45</v>
      </c>
    </row>
    <row r="1212" spans="1:22" ht="15" x14ac:dyDescent="0.25">
      <c r="A1212" s="164"/>
      <c r="B1212" s="164"/>
      <c r="C1212" s="165" t="s">
        <v>183</v>
      </c>
      <c r="D1212" s="164"/>
      <c r="E1212" s="164"/>
      <c r="F1212" s="164"/>
      <c r="G1212" s="164"/>
      <c r="H1212" s="414">
        <v>26780.33</v>
      </c>
      <c r="I1212" s="414"/>
      <c r="J1212" s="414">
        <v>52489.45</v>
      </c>
      <c r="K1212" s="414"/>
      <c r="O1212" s="163">
        <f>I1211</f>
        <v>26780.33</v>
      </c>
      <c r="P1212" s="163">
        <f>K1211</f>
        <v>52489.45</v>
      </c>
    </row>
    <row r="1215" spans="1:22" ht="15" x14ac:dyDescent="0.25">
      <c r="A1215" s="417" t="s">
        <v>1931</v>
      </c>
      <c r="B1215" s="417"/>
      <c r="C1215" s="417"/>
      <c r="D1215" s="417"/>
      <c r="E1215" s="417"/>
      <c r="F1215" s="417"/>
      <c r="G1215" s="417"/>
      <c r="H1215" s="415">
        <v>35835.26</v>
      </c>
      <c r="I1215" s="416"/>
      <c r="J1215" s="415">
        <v>139145.13</v>
      </c>
      <c r="K1215" s="416"/>
    </row>
    <row r="1216" spans="1:22" hidden="1" x14ac:dyDescent="0.2">
      <c r="A1216" s="160" t="s">
        <v>182</v>
      </c>
      <c r="I1216" s="160">
        <v>0</v>
      </c>
      <c r="J1216" s="160">
        <v>0</v>
      </c>
    </row>
    <row r="1217" spans="1:11" hidden="1" x14ac:dyDescent="0.2">
      <c r="A1217" s="160" t="s">
        <v>181</v>
      </c>
      <c r="I1217" s="160">
        <v>0</v>
      </c>
      <c r="J1217" s="160">
        <v>0</v>
      </c>
    </row>
    <row r="1219" spans="1:11" ht="15" x14ac:dyDescent="0.25">
      <c r="A1219" s="417" t="s">
        <v>2369</v>
      </c>
      <c r="B1219" s="417"/>
      <c r="C1219" s="417"/>
      <c r="D1219" s="417"/>
      <c r="E1219" s="417"/>
      <c r="F1219" s="417"/>
      <c r="G1219" s="417"/>
      <c r="H1219" s="415">
        <v>1994516.6</v>
      </c>
      <c r="I1219" s="416"/>
      <c r="J1219" s="415">
        <v>12069186</v>
      </c>
      <c r="K1219" s="416"/>
    </row>
    <row r="1220" spans="1:11" hidden="1" x14ac:dyDescent="0.2">
      <c r="A1220" s="160" t="s">
        <v>182</v>
      </c>
      <c r="I1220" s="160">
        <v>0</v>
      </c>
      <c r="J1220" s="160">
        <v>0</v>
      </c>
    </row>
    <row r="1221" spans="1:11" hidden="1" x14ac:dyDescent="0.2">
      <c r="A1221" s="160" t="s">
        <v>181</v>
      </c>
      <c r="I1221" s="160">
        <v>0</v>
      </c>
      <c r="J1221" s="160">
        <v>0</v>
      </c>
    </row>
    <row r="1222" spans="1:11" ht="14.25" x14ac:dyDescent="0.2">
      <c r="C1222" s="410" t="s">
        <v>1920</v>
      </c>
      <c r="D1222" s="410"/>
      <c r="E1222" s="410"/>
      <c r="F1222" s="410"/>
      <c r="G1222" s="410"/>
      <c r="H1222" s="411">
        <v>1768696.66</v>
      </c>
      <c r="I1222" s="411"/>
      <c r="J1222" s="411">
        <v>8248528.5999999996</v>
      </c>
      <c r="K1222" s="411"/>
    </row>
    <row r="1223" spans="1:11" ht="14.25" x14ac:dyDescent="0.2">
      <c r="C1223" s="410" t="s">
        <v>1933</v>
      </c>
      <c r="D1223" s="410"/>
      <c r="E1223" s="410"/>
      <c r="F1223" s="410"/>
      <c r="G1223" s="410"/>
      <c r="H1223" s="411">
        <v>1567201.55</v>
      </c>
      <c r="I1223" s="411"/>
      <c r="J1223" s="411">
        <v>4700706.5</v>
      </c>
      <c r="K1223" s="411"/>
    </row>
    <row r="1224" spans="1:11" ht="14.25" x14ac:dyDescent="0.2">
      <c r="C1224" s="410" t="s">
        <v>1934</v>
      </c>
      <c r="D1224" s="410"/>
      <c r="E1224" s="410"/>
      <c r="F1224" s="410"/>
      <c r="G1224" s="410"/>
      <c r="H1224" s="411">
        <v>1567201.55</v>
      </c>
      <c r="I1224" s="411"/>
      <c r="J1224" s="411">
        <v>4700706.5</v>
      </c>
      <c r="K1224" s="411"/>
    </row>
    <row r="1225" spans="1:11" ht="14.25" x14ac:dyDescent="0.2">
      <c r="C1225" s="410" t="s">
        <v>1935</v>
      </c>
      <c r="D1225" s="410"/>
      <c r="E1225" s="410"/>
      <c r="F1225" s="410"/>
      <c r="G1225" s="410"/>
      <c r="H1225" s="411">
        <v>0</v>
      </c>
      <c r="I1225" s="411"/>
      <c r="J1225" s="411">
        <v>0</v>
      </c>
      <c r="K1225" s="411"/>
    </row>
    <row r="1226" spans="1:11" ht="14.25" x14ac:dyDescent="0.2">
      <c r="C1226" s="410" t="s">
        <v>1936</v>
      </c>
      <c r="D1226" s="410"/>
      <c r="E1226" s="410"/>
      <c r="F1226" s="410"/>
      <c r="G1226" s="410"/>
      <c r="H1226" s="411">
        <v>68274.12</v>
      </c>
      <c r="I1226" s="411"/>
      <c r="J1226" s="411">
        <v>437111.94</v>
      </c>
      <c r="K1226" s="411"/>
    </row>
    <row r="1227" spans="1:11" ht="14.25" x14ac:dyDescent="0.2">
      <c r="C1227" s="410" t="s">
        <v>1937</v>
      </c>
      <c r="D1227" s="410"/>
      <c r="E1227" s="410"/>
      <c r="F1227" s="410"/>
      <c r="G1227" s="410"/>
      <c r="H1227" s="411">
        <v>6809.32</v>
      </c>
      <c r="I1227" s="411"/>
      <c r="J1227" s="411">
        <v>156462.54999999999</v>
      </c>
      <c r="K1227" s="411"/>
    </row>
    <row r="1228" spans="1:11" ht="14.25" x14ac:dyDescent="0.2">
      <c r="C1228" s="410" t="s">
        <v>1938</v>
      </c>
      <c r="D1228" s="410"/>
      <c r="E1228" s="410"/>
      <c r="F1228" s="410"/>
      <c r="G1228" s="410"/>
      <c r="H1228" s="411">
        <v>133220.99</v>
      </c>
      <c r="I1228" s="411"/>
      <c r="J1228" s="411">
        <v>3110710.16</v>
      </c>
      <c r="K1228" s="411"/>
    </row>
    <row r="1229" spans="1:11" ht="14.25" x14ac:dyDescent="0.2">
      <c r="C1229" s="410" t="s">
        <v>1939</v>
      </c>
      <c r="D1229" s="410"/>
      <c r="E1229" s="410"/>
      <c r="F1229" s="410"/>
      <c r="G1229" s="410"/>
      <c r="H1229" s="411">
        <v>1958681.34</v>
      </c>
      <c r="I1229" s="411"/>
      <c r="J1229" s="411">
        <v>11930040.869999999</v>
      </c>
      <c r="K1229" s="411"/>
    </row>
    <row r="1230" spans="1:11" ht="14.25" x14ac:dyDescent="0.2">
      <c r="C1230" s="410" t="s">
        <v>1940</v>
      </c>
      <c r="D1230" s="410"/>
      <c r="E1230" s="410"/>
      <c r="F1230" s="410"/>
      <c r="G1230" s="410"/>
      <c r="H1230" s="411">
        <v>0</v>
      </c>
      <c r="I1230" s="411"/>
      <c r="J1230" s="411">
        <v>0</v>
      </c>
      <c r="K1230" s="411"/>
    </row>
    <row r="1231" spans="1:11" ht="14.25" x14ac:dyDescent="0.2">
      <c r="C1231" s="410" t="s">
        <v>1941</v>
      </c>
      <c r="D1231" s="410"/>
      <c r="E1231" s="410"/>
      <c r="F1231" s="410"/>
      <c r="G1231" s="410"/>
      <c r="H1231" s="411">
        <v>35835.26</v>
      </c>
      <c r="I1231" s="411"/>
      <c r="J1231" s="411">
        <v>139145.13</v>
      </c>
      <c r="K1231" s="411"/>
    </row>
    <row r="1232" spans="1:11" ht="14.25" x14ac:dyDescent="0.2">
      <c r="C1232" s="410" t="s">
        <v>2370</v>
      </c>
      <c r="D1232" s="410"/>
      <c r="E1232" s="410"/>
      <c r="F1232" s="410"/>
      <c r="G1232" s="410"/>
      <c r="H1232" s="430">
        <v>12182.866158000001</v>
      </c>
      <c r="I1232" s="430"/>
      <c r="J1232" s="430">
        <v>12182.866158000001</v>
      </c>
      <c r="K1232" s="430"/>
    </row>
    <row r="1233" spans="1:11" ht="14.25" x14ac:dyDescent="0.2">
      <c r="C1233" s="410" t="s">
        <v>1942</v>
      </c>
      <c r="D1233" s="410"/>
      <c r="E1233" s="410"/>
      <c r="F1233" s="410"/>
      <c r="G1233" s="410"/>
      <c r="H1233" s="411">
        <v>122121.69</v>
      </c>
      <c r="I1233" s="411"/>
      <c r="J1233" s="411">
        <v>2299619.9900000002</v>
      </c>
      <c r="K1233" s="411"/>
    </row>
    <row r="1234" spans="1:11" ht="14.25" x14ac:dyDescent="0.2">
      <c r="C1234" s="410" t="s">
        <v>1943</v>
      </c>
      <c r="D1234" s="410"/>
      <c r="E1234" s="410"/>
      <c r="F1234" s="410"/>
      <c r="G1234" s="410"/>
      <c r="H1234" s="411">
        <v>91781.83</v>
      </c>
      <c r="I1234" s="411"/>
      <c r="J1234" s="411">
        <v>1275391.18</v>
      </c>
      <c r="K1234" s="411"/>
    </row>
    <row r="1235" spans="1:11" ht="14.25" x14ac:dyDescent="0.2">
      <c r="C1235" s="410" t="s">
        <v>1944</v>
      </c>
      <c r="D1235" s="410"/>
      <c r="E1235" s="410"/>
      <c r="F1235" s="410"/>
      <c r="G1235" s="410"/>
      <c r="H1235" s="411">
        <v>1994516.6</v>
      </c>
      <c r="I1235" s="411"/>
      <c r="J1235" s="411">
        <v>12069186</v>
      </c>
      <c r="K1235" s="411"/>
    </row>
    <row r="1238" spans="1:11" ht="14.25" x14ac:dyDescent="0.2">
      <c r="A1238" s="412" t="s">
        <v>180</v>
      </c>
      <c r="B1238" s="412"/>
      <c r="C1238" s="162" t="s">
        <v>107</v>
      </c>
      <c r="D1238" s="162"/>
      <c r="E1238" s="162"/>
      <c r="F1238" s="162"/>
      <c r="G1238" s="162"/>
      <c r="H1238" s="161" t="s">
        <v>107</v>
      </c>
      <c r="I1238" s="161"/>
      <c r="J1238" s="161"/>
      <c r="K1238" s="161"/>
    </row>
    <row r="1239" spans="1:11" ht="14.25" x14ac:dyDescent="0.2">
      <c r="A1239" s="161"/>
      <c r="B1239" s="161"/>
      <c r="C1239" s="409" t="s">
        <v>72</v>
      </c>
      <c r="D1239" s="409"/>
      <c r="E1239" s="409"/>
      <c r="F1239" s="409"/>
      <c r="G1239" s="409"/>
      <c r="H1239" s="161"/>
      <c r="I1239" s="161"/>
      <c r="J1239" s="161"/>
      <c r="K1239" s="161"/>
    </row>
    <row r="1240" spans="1:11" ht="14.25" x14ac:dyDescent="0.2">
      <c r="A1240" s="161"/>
      <c r="B1240" s="161"/>
      <c r="C1240" s="161"/>
      <c r="D1240" s="161"/>
      <c r="E1240" s="161"/>
      <c r="F1240" s="161"/>
      <c r="G1240" s="161"/>
      <c r="H1240" s="161"/>
      <c r="I1240" s="161"/>
      <c r="J1240" s="161"/>
      <c r="K1240" s="161"/>
    </row>
    <row r="1241" spans="1:11" ht="14.25" x14ac:dyDescent="0.2">
      <c r="A1241" s="412" t="s">
        <v>179</v>
      </c>
      <c r="B1241" s="412"/>
      <c r="C1241" s="162" t="s">
        <v>107</v>
      </c>
      <c r="D1241" s="162"/>
      <c r="E1241" s="162"/>
      <c r="F1241" s="162"/>
      <c r="G1241" s="162"/>
      <c r="H1241" s="161" t="s">
        <v>107</v>
      </c>
      <c r="I1241" s="161"/>
      <c r="J1241" s="161"/>
      <c r="K1241" s="161"/>
    </row>
    <row r="1242" spans="1:11" ht="14.25" x14ac:dyDescent="0.2">
      <c r="A1242" s="161"/>
      <c r="B1242" s="161"/>
      <c r="C1242" s="409" t="s">
        <v>72</v>
      </c>
      <c r="D1242" s="409"/>
      <c r="E1242" s="409"/>
      <c r="F1242" s="409"/>
      <c r="G1242" s="409"/>
      <c r="H1242" s="161"/>
      <c r="I1242" s="161"/>
      <c r="J1242" s="161"/>
      <c r="K1242" s="161"/>
    </row>
  </sheetData>
  <mergeCells count="342">
    <mergeCell ref="B3:E3"/>
    <mergeCell ref="G3:K3"/>
    <mergeCell ref="B4:E4"/>
    <mergeCell ref="G4:K4"/>
    <mergeCell ref="B6:E6"/>
    <mergeCell ref="G6:K6"/>
    <mergeCell ref="F22:H22"/>
    <mergeCell ref="F23:H23"/>
    <mergeCell ref="F24:H24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5:H25"/>
    <mergeCell ref="F26:H26"/>
    <mergeCell ref="F27:H27"/>
    <mergeCell ref="F29:H29"/>
    <mergeCell ref="A32:K32"/>
    <mergeCell ref="A36:K36"/>
    <mergeCell ref="A38:K38"/>
    <mergeCell ref="J45:K45"/>
    <mergeCell ref="H45:I45"/>
    <mergeCell ref="J56:K56"/>
    <mergeCell ref="H56:I56"/>
    <mergeCell ref="J69:K69"/>
    <mergeCell ref="H69:I69"/>
    <mergeCell ref="J82:K82"/>
    <mergeCell ref="H82:I82"/>
    <mergeCell ref="J98:K98"/>
    <mergeCell ref="H98:I98"/>
    <mergeCell ref="J109:K109"/>
    <mergeCell ref="H109:I109"/>
    <mergeCell ref="J112:K112"/>
    <mergeCell ref="H112:I112"/>
    <mergeCell ref="A112:G112"/>
    <mergeCell ref="A116:K116"/>
    <mergeCell ref="J126:K126"/>
    <mergeCell ref="H126:I126"/>
    <mergeCell ref="J137:K137"/>
    <mergeCell ref="H137:I137"/>
    <mergeCell ref="J150:K150"/>
    <mergeCell ref="H150:I150"/>
    <mergeCell ref="J166:K166"/>
    <mergeCell ref="H166:I166"/>
    <mergeCell ref="J169:K169"/>
    <mergeCell ref="H169:I169"/>
    <mergeCell ref="A169:G169"/>
    <mergeCell ref="J173:K173"/>
    <mergeCell ref="H173:I173"/>
    <mergeCell ref="A173:G173"/>
    <mergeCell ref="A177:K177"/>
    <mergeCell ref="J187:K187"/>
    <mergeCell ref="H187:I187"/>
    <mergeCell ref="J200:K200"/>
    <mergeCell ref="H200:I200"/>
    <mergeCell ref="J213:K213"/>
    <mergeCell ref="H213:I213"/>
    <mergeCell ref="J226:K226"/>
    <mergeCell ref="H226:I226"/>
    <mergeCell ref="J241:K241"/>
    <mergeCell ref="H241:I241"/>
    <mergeCell ref="J244:K244"/>
    <mergeCell ref="H244:I244"/>
    <mergeCell ref="A244:G244"/>
    <mergeCell ref="A248:K248"/>
    <mergeCell ref="A250:K250"/>
    <mergeCell ref="J261:K261"/>
    <mergeCell ref="H261:I261"/>
    <mergeCell ref="J274:K274"/>
    <mergeCell ref="H274:I274"/>
    <mergeCell ref="J288:K288"/>
    <mergeCell ref="H288:I288"/>
    <mergeCell ref="J301:K301"/>
    <mergeCell ref="H301:I301"/>
    <mergeCell ref="J313:K313"/>
    <mergeCell ref="H313:I313"/>
    <mergeCell ref="J316:K316"/>
    <mergeCell ref="H316:I316"/>
    <mergeCell ref="A316:G316"/>
    <mergeCell ref="A320:K320"/>
    <mergeCell ref="J331:K331"/>
    <mergeCell ref="H331:I331"/>
    <mergeCell ref="J344:K344"/>
    <mergeCell ref="H344:I344"/>
    <mergeCell ref="J358:K358"/>
    <mergeCell ref="H358:I358"/>
    <mergeCell ref="J371:K371"/>
    <mergeCell ref="H371:I371"/>
    <mergeCell ref="J383:K383"/>
    <mergeCell ref="H383:I383"/>
    <mergeCell ref="J386:K386"/>
    <mergeCell ref="H386:I386"/>
    <mergeCell ref="A386:G386"/>
    <mergeCell ref="A390:K390"/>
    <mergeCell ref="J401:K401"/>
    <mergeCell ref="H401:I401"/>
    <mergeCell ref="J414:K414"/>
    <mergeCell ref="H414:I414"/>
    <mergeCell ref="J426:K426"/>
    <mergeCell ref="H426:I426"/>
    <mergeCell ref="J440:K440"/>
    <mergeCell ref="H440:I440"/>
    <mergeCell ref="J443:K443"/>
    <mergeCell ref="H443:I443"/>
    <mergeCell ref="A443:G443"/>
    <mergeCell ref="A447:K447"/>
    <mergeCell ref="J459:K459"/>
    <mergeCell ref="H459:I459"/>
    <mergeCell ref="J472:K472"/>
    <mergeCell ref="H472:I472"/>
    <mergeCell ref="J475:K475"/>
    <mergeCell ref="H475:I475"/>
    <mergeCell ref="A475:G475"/>
    <mergeCell ref="A479:K479"/>
    <mergeCell ref="J493:K493"/>
    <mergeCell ref="H493:I493"/>
    <mergeCell ref="J504:K504"/>
    <mergeCell ref="H504:I504"/>
    <mergeCell ref="J515:K515"/>
    <mergeCell ref="H515:I515"/>
    <mergeCell ref="J528:K528"/>
    <mergeCell ref="H528:I528"/>
    <mergeCell ref="J531:K531"/>
    <mergeCell ref="H531:I531"/>
    <mergeCell ref="A531:G531"/>
    <mergeCell ref="J535:K535"/>
    <mergeCell ref="H535:I535"/>
    <mergeCell ref="A535:G535"/>
    <mergeCell ref="A539:K539"/>
    <mergeCell ref="J554:K554"/>
    <mergeCell ref="H554:I554"/>
    <mergeCell ref="J566:K566"/>
    <mergeCell ref="H566:I566"/>
    <mergeCell ref="J580:K580"/>
    <mergeCell ref="H580:I580"/>
    <mergeCell ref="J583:K583"/>
    <mergeCell ref="H583:I583"/>
    <mergeCell ref="A583:G583"/>
    <mergeCell ref="A587:K587"/>
    <mergeCell ref="J599:K599"/>
    <mergeCell ref="H599:I599"/>
    <mergeCell ref="J612:K612"/>
    <mergeCell ref="H612:I612"/>
    <mergeCell ref="J625:K625"/>
    <mergeCell ref="H625:I625"/>
    <mergeCell ref="J628:K628"/>
    <mergeCell ref="H628:I628"/>
    <mergeCell ref="A628:G628"/>
    <mergeCell ref="A632:K632"/>
    <mergeCell ref="J643:K643"/>
    <mergeCell ref="H643:I643"/>
    <mergeCell ref="J655:K655"/>
    <mergeCell ref="H655:I655"/>
    <mergeCell ref="J667:K667"/>
    <mergeCell ref="H667:I667"/>
    <mergeCell ref="J680:K680"/>
    <mergeCell ref="H680:I680"/>
    <mergeCell ref="J693:K693"/>
    <mergeCell ref="H693:I693"/>
    <mergeCell ref="J706:K706"/>
    <mergeCell ref="H706:I706"/>
    <mergeCell ref="J709:K709"/>
    <mergeCell ref="H709:I709"/>
    <mergeCell ref="A709:G709"/>
    <mergeCell ref="A713:K713"/>
    <mergeCell ref="J721:K721"/>
    <mergeCell ref="H721:I721"/>
    <mergeCell ref="J733:K733"/>
    <mergeCell ref="H733:I733"/>
    <mergeCell ref="J746:K746"/>
    <mergeCell ref="H746:I746"/>
    <mergeCell ref="J758:K758"/>
    <mergeCell ref="H758:I758"/>
    <mergeCell ref="J771:K771"/>
    <mergeCell ref="H771:I771"/>
    <mergeCell ref="J782:K782"/>
    <mergeCell ref="H782:I782"/>
    <mergeCell ref="J794:K794"/>
    <mergeCell ref="H794:I794"/>
    <mergeCell ref="J807:K807"/>
    <mergeCell ref="H807:I807"/>
    <mergeCell ref="J820:K820"/>
    <mergeCell ref="H820:I820"/>
    <mergeCell ref="J828:K828"/>
    <mergeCell ref="H828:I828"/>
    <mergeCell ref="A831:K831"/>
    <mergeCell ref="J842:K842"/>
    <mergeCell ref="H842:I842"/>
    <mergeCell ref="J855:K855"/>
    <mergeCell ref="H855:I855"/>
    <mergeCell ref="J868:K868"/>
    <mergeCell ref="H868:I868"/>
    <mergeCell ref="J880:K880"/>
    <mergeCell ref="H880:I880"/>
    <mergeCell ref="J883:K883"/>
    <mergeCell ref="H883:I883"/>
    <mergeCell ref="A883:G883"/>
    <mergeCell ref="J887:K887"/>
    <mergeCell ref="H887:I887"/>
    <mergeCell ref="A887:G887"/>
    <mergeCell ref="A891:K891"/>
    <mergeCell ref="A893:K893"/>
    <mergeCell ref="J911:K911"/>
    <mergeCell ref="H911:I911"/>
    <mergeCell ref="J920:K920"/>
    <mergeCell ref="H920:I920"/>
    <mergeCell ref="J929:K929"/>
    <mergeCell ref="H929:I929"/>
    <mergeCell ref="J932:K932"/>
    <mergeCell ref="H932:I932"/>
    <mergeCell ref="A932:G932"/>
    <mergeCell ref="A936:K936"/>
    <mergeCell ref="J954:K954"/>
    <mergeCell ref="H954:I954"/>
    <mergeCell ref="J957:K957"/>
    <mergeCell ref="H957:I957"/>
    <mergeCell ref="A957:G957"/>
    <mergeCell ref="A961:K961"/>
    <mergeCell ref="J979:K979"/>
    <mergeCell ref="H979:I979"/>
    <mergeCell ref="J982:K982"/>
    <mergeCell ref="H982:I982"/>
    <mergeCell ref="A982:G982"/>
    <mergeCell ref="A986:K986"/>
    <mergeCell ref="J1004:K1004"/>
    <mergeCell ref="H1004:I1004"/>
    <mergeCell ref="J1007:K1007"/>
    <mergeCell ref="H1007:I1007"/>
    <mergeCell ref="A1007:G1007"/>
    <mergeCell ref="A1011:K1011"/>
    <mergeCell ref="J1022:K1022"/>
    <mergeCell ref="H1022:I1022"/>
    <mergeCell ref="J1037:K1037"/>
    <mergeCell ref="H1037:I1037"/>
    <mergeCell ref="J1040:K1040"/>
    <mergeCell ref="H1040:I1040"/>
    <mergeCell ref="A1040:G1040"/>
    <mergeCell ref="J1044:K1044"/>
    <mergeCell ref="H1044:I1044"/>
    <mergeCell ref="A1044:G1044"/>
    <mergeCell ref="A1048:K1048"/>
    <mergeCell ref="J1060:K1060"/>
    <mergeCell ref="H1060:I1060"/>
    <mergeCell ref="J1071:K1071"/>
    <mergeCell ref="H1071:I1071"/>
    <mergeCell ref="J1074:K1074"/>
    <mergeCell ref="H1074:I1074"/>
    <mergeCell ref="A1074:G1074"/>
    <mergeCell ref="A1078:K1078"/>
    <mergeCell ref="J1089:K1089"/>
    <mergeCell ref="H1089:I1089"/>
    <mergeCell ref="J1101:K1101"/>
    <mergeCell ref="H1101:I1101"/>
    <mergeCell ref="J1110:K1110"/>
    <mergeCell ref="H1110:I1110"/>
    <mergeCell ref="J1122:K1122"/>
    <mergeCell ref="H1122:I1122"/>
    <mergeCell ref="J1134:K1134"/>
    <mergeCell ref="H1134:I1134"/>
    <mergeCell ref="J1143:K1143"/>
    <mergeCell ref="H1143:I1143"/>
    <mergeCell ref="J1146:K1146"/>
    <mergeCell ref="H1146:I1146"/>
    <mergeCell ref="A1146:G1146"/>
    <mergeCell ref="A1150:K1150"/>
    <mergeCell ref="J1161:K1161"/>
    <mergeCell ref="H1161:I1161"/>
    <mergeCell ref="J1173:K1173"/>
    <mergeCell ref="H1173:I1173"/>
    <mergeCell ref="J1185:K1185"/>
    <mergeCell ref="H1185:I1185"/>
    <mergeCell ref="J1188:K1188"/>
    <mergeCell ref="H1188:I1188"/>
    <mergeCell ref="A1188:G1188"/>
    <mergeCell ref="A1192:K1192"/>
    <mergeCell ref="J1198:K1198"/>
    <mergeCell ref="H1198:I1198"/>
    <mergeCell ref="J1201:K1201"/>
    <mergeCell ref="H1201:I1201"/>
    <mergeCell ref="A1201:G1201"/>
    <mergeCell ref="A1205:K1205"/>
    <mergeCell ref="J1208:K1208"/>
    <mergeCell ref="H1208:I1208"/>
    <mergeCell ref="J1212:K1212"/>
    <mergeCell ref="H1212:I1212"/>
    <mergeCell ref="J1215:K1215"/>
    <mergeCell ref="H1215:I1215"/>
    <mergeCell ref="A1215:G1215"/>
    <mergeCell ref="J1219:K1219"/>
    <mergeCell ref="H1219:I1219"/>
    <mergeCell ref="A1219:G1219"/>
    <mergeCell ref="C1222:G1222"/>
    <mergeCell ref="H1222:I1222"/>
    <mergeCell ref="J1222:K1222"/>
    <mergeCell ref="C1223:G1223"/>
    <mergeCell ref="H1223:I1223"/>
    <mergeCell ref="J1223:K1223"/>
    <mergeCell ref="C1224:G1224"/>
    <mergeCell ref="H1224:I1224"/>
    <mergeCell ref="J1224:K1224"/>
    <mergeCell ref="C1225:G1225"/>
    <mergeCell ref="H1225:I1225"/>
    <mergeCell ref="J1225:K1225"/>
    <mergeCell ref="C1226:G1226"/>
    <mergeCell ref="H1226:I1226"/>
    <mergeCell ref="J1226:K1226"/>
    <mergeCell ref="C1227:G1227"/>
    <mergeCell ref="H1227:I1227"/>
    <mergeCell ref="J1227:K1227"/>
    <mergeCell ref="C1228:G1228"/>
    <mergeCell ref="H1228:I1228"/>
    <mergeCell ref="J1228:K1228"/>
    <mergeCell ref="C1229:G1229"/>
    <mergeCell ref="H1229:I1229"/>
    <mergeCell ref="J1229:K1229"/>
    <mergeCell ref="C1242:G1242"/>
    <mergeCell ref="C1235:G1235"/>
    <mergeCell ref="H1235:I1235"/>
    <mergeCell ref="J1235:K1235"/>
    <mergeCell ref="C1230:G1230"/>
    <mergeCell ref="H1230:I1230"/>
    <mergeCell ref="J1230:K1230"/>
    <mergeCell ref="C1231:G1231"/>
    <mergeCell ref="H1231:I1231"/>
    <mergeCell ref="J1231:K1231"/>
    <mergeCell ref="C1232:G1232"/>
    <mergeCell ref="H1232:I1232"/>
    <mergeCell ref="J1232:K1232"/>
    <mergeCell ref="A1238:B1238"/>
    <mergeCell ref="C1239:G1239"/>
    <mergeCell ref="A1241:B1241"/>
    <mergeCell ref="C1233:G1233"/>
    <mergeCell ref="H1233:I1233"/>
    <mergeCell ref="J1233:K1233"/>
    <mergeCell ref="C1234:G1234"/>
    <mergeCell ref="H1234:I1234"/>
    <mergeCell ref="J1234:K1234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F334"/>
  <sheetViews>
    <sheetView topLeftCell="A305" zoomScaleNormal="100" workbookViewId="0">
      <selection activeCell="A15" sqref="A15:K15"/>
    </sheetView>
  </sheetViews>
  <sheetFormatPr defaultColWidth="9.140625" defaultRowHeight="12.75" x14ac:dyDescent="0.2"/>
  <cols>
    <col min="1" max="1" width="5.7109375" style="160" customWidth="1"/>
    <col min="2" max="2" width="11.7109375" style="160" customWidth="1"/>
    <col min="3" max="3" width="40.7109375" style="160" customWidth="1"/>
    <col min="4" max="6" width="11.7109375" style="160" customWidth="1"/>
    <col min="7" max="7" width="12.7109375" style="160" customWidth="1"/>
    <col min="8" max="8" width="10.7109375" style="160" customWidth="1"/>
    <col min="9" max="11" width="12.7109375" style="160" customWidth="1"/>
    <col min="12" max="14" width="9.140625" style="160"/>
    <col min="15" max="30" width="0" style="160" hidden="1" customWidth="1"/>
    <col min="31" max="31" width="150.7109375" style="160" hidden="1" customWidth="1"/>
    <col min="32" max="32" width="104.7109375" style="160" hidden="1" customWidth="1"/>
    <col min="33" max="36" width="0" style="160" hidden="1" customWidth="1"/>
    <col min="37" max="16384" width="9.140625" style="160"/>
  </cols>
  <sheetData>
    <row r="1" spans="1:31" x14ac:dyDescent="0.2">
      <c r="A1" s="200" t="s">
        <v>1523</v>
      </c>
    </row>
    <row r="2" spans="1:31" ht="14.25" x14ac:dyDescent="0.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61" t="s">
        <v>381</v>
      </c>
    </row>
    <row r="3" spans="1:31" ht="16.5" x14ac:dyDescent="0.25">
      <c r="A3" s="199"/>
      <c r="B3" s="428" t="s">
        <v>380</v>
      </c>
      <c r="C3" s="428"/>
      <c r="D3" s="428"/>
      <c r="E3" s="428"/>
      <c r="F3" s="161"/>
      <c r="G3" s="428" t="s">
        <v>0</v>
      </c>
      <c r="H3" s="428"/>
      <c r="I3" s="428"/>
      <c r="J3" s="428"/>
      <c r="K3" s="428"/>
    </row>
    <row r="4" spans="1:31" ht="14.25" x14ac:dyDescent="0.2">
      <c r="A4" s="161"/>
      <c r="B4" s="418"/>
      <c r="C4" s="418"/>
      <c r="D4" s="418"/>
      <c r="E4" s="418"/>
      <c r="F4" s="161"/>
      <c r="G4" s="418"/>
      <c r="H4" s="418"/>
      <c r="I4" s="418"/>
      <c r="J4" s="418"/>
      <c r="K4" s="418"/>
    </row>
    <row r="5" spans="1:31" ht="14.25" x14ac:dyDescent="0.2">
      <c r="A5" s="198"/>
      <c r="B5" s="198"/>
      <c r="C5" s="197"/>
      <c r="D5" s="197"/>
      <c r="E5" s="197"/>
      <c r="F5" s="161"/>
      <c r="G5" s="187"/>
      <c r="H5" s="197"/>
      <c r="I5" s="197"/>
      <c r="J5" s="197"/>
      <c r="K5" s="187"/>
    </row>
    <row r="6" spans="1:31" ht="14.25" x14ac:dyDescent="0.2">
      <c r="A6" s="187"/>
      <c r="B6" s="418" t="s">
        <v>1524</v>
      </c>
      <c r="C6" s="418"/>
      <c r="D6" s="418"/>
      <c r="E6" s="418"/>
      <c r="F6" s="161"/>
      <c r="G6" s="418" t="s">
        <v>1524</v>
      </c>
      <c r="H6" s="418"/>
      <c r="I6" s="418"/>
      <c r="J6" s="418"/>
      <c r="K6" s="418"/>
    </row>
    <row r="7" spans="1:31" ht="14.25" x14ac:dyDescent="0.2">
      <c r="A7" s="196"/>
      <c r="B7" s="429" t="s">
        <v>379</v>
      </c>
      <c r="C7" s="429"/>
      <c r="D7" s="429"/>
      <c r="E7" s="429"/>
      <c r="F7" s="161"/>
      <c r="G7" s="429" t="s">
        <v>379</v>
      </c>
      <c r="H7" s="429"/>
      <c r="I7" s="429"/>
      <c r="J7" s="429"/>
      <c r="K7" s="429"/>
    </row>
    <row r="9" spans="1:31" ht="14.25" x14ac:dyDescent="0.2">
      <c r="A9" s="161"/>
      <c r="B9" s="161"/>
      <c r="C9" s="161"/>
      <c r="D9" s="161"/>
      <c r="E9" s="161"/>
      <c r="F9" s="161"/>
      <c r="G9" s="161"/>
      <c r="H9" s="161"/>
      <c r="I9" s="161"/>
      <c r="J9" s="161"/>
      <c r="K9" s="161"/>
    </row>
    <row r="10" spans="1:31" ht="47.25" x14ac:dyDescent="0.25">
      <c r="A10" s="422" t="s">
        <v>3850</v>
      </c>
      <c r="B10" s="422"/>
      <c r="C10" s="422"/>
      <c r="D10" s="422"/>
      <c r="E10" s="422"/>
      <c r="F10" s="422"/>
      <c r="G10" s="422"/>
      <c r="H10" s="422"/>
      <c r="I10" s="422"/>
      <c r="J10" s="422"/>
      <c r="K10" s="422"/>
      <c r="AE10" s="194" t="str">
        <f>IF([5]Source!G12&lt;&gt;"Новый объект", [5]Source!G12,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09" t="s">
        <v>75</v>
      </c>
      <c r="B11" s="409"/>
      <c r="C11" s="409"/>
      <c r="D11" s="409"/>
      <c r="E11" s="409"/>
      <c r="F11" s="409"/>
      <c r="G11" s="409"/>
      <c r="H11" s="409"/>
      <c r="I11" s="409"/>
      <c r="J11" s="409"/>
      <c r="K11" s="409"/>
    </row>
    <row r="12" spans="1:31" ht="14.25" x14ac:dyDescent="0.2">
      <c r="A12" s="161"/>
      <c r="B12" s="161"/>
      <c r="C12" s="161"/>
      <c r="D12" s="161"/>
      <c r="E12" s="161"/>
      <c r="F12" s="161"/>
      <c r="G12" s="161"/>
      <c r="H12" s="161"/>
      <c r="I12" s="161"/>
      <c r="J12" s="161"/>
      <c r="K12" s="161"/>
    </row>
    <row r="13" spans="1:31" ht="15.75" x14ac:dyDescent="0.25">
      <c r="A13" s="422" t="s">
        <v>3884</v>
      </c>
      <c r="B13" s="423"/>
      <c r="C13" s="423"/>
      <c r="D13" s="423"/>
      <c r="E13" s="423"/>
      <c r="F13" s="423"/>
      <c r="G13" s="423"/>
      <c r="H13" s="423"/>
      <c r="I13" s="423"/>
      <c r="J13" s="423"/>
      <c r="K13" s="423"/>
    </row>
    <row r="14" spans="1:31" ht="14.25" x14ac:dyDescent="0.2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</row>
    <row r="15" spans="1:31" ht="18" x14ac:dyDescent="0.25">
      <c r="A15" s="424" t="s">
        <v>2371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</row>
    <row r="16" spans="1:31" x14ac:dyDescent="0.2">
      <c r="A16" s="425" t="s">
        <v>378</v>
      </c>
      <c r="B16" s="426"/>
      <c r="C16" s="426"/>
      <c r="D16" s="426"/>
      <c r="E16" s="426"/>
      <c r="F16" s="426"/>
      <c r="G16" s="426"/>
      <c r="H16" s="426"/>
      <c r="I16" s="426"/>
      <c r="J16" s="426"/>
      <c r="K16" s="426"/>
    </row>
    <row r="17" spans="1:31" ht="14.25" x14ac:dyDescent="0.2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</row>
    <row r="18" spans="1:31" ht="14.25" x14ac:dyDescent="0.2">
      <c r="A18" s="421" t="s">
        <v>2372</v>
      </c>
      <c r="B18" s="421"/>
      <c r="C18" s="421"/>
      <c r="D18" s="421"/>
      <c r="E18" s="421"/>
      <c r="F18" s="421"/>
      <c r="G18" s="421"/>
      <c r="H18" s="421"/>
      <c r="I18" s="421"/>
      <c r="J18" s="421"/>
      <c r="K18" s="421"/>
    </row>
    <row r="19" spans="1:31" ht="14.25" x14ac:dyDescent="0.2">
      <c r="A19" s="193"/>
      <c r="B19" s="193"/>
      <c r="C19" s="193"/>
      <c r="D19" s="193"/>
      <c r="E19" s="193"/>
      <c r="F19" s="193"/>
      <c r="G19" s="193"/>
      <c r="H19" s="193"/>
      <c r="I19" s="193"/>
      <c r="J19" s="193"/>
      <c r="K19" s="193"/>
    </row>
    <row r="20" spans="1:31" ht="28.5" x14ac:dyDescent="0.2">
      <c r="A20" s="161"/>
      <c r="B20" s="161"/>
      <c r="C20" s="161"/>
      <c r="D20" s="161"/>
      <c r="E20" s="161"/>
      <c r="F20" s="161"/>
      <c r="G20" s="161"/>
      <c r="H20" s="161"/>
      <c r="I20" s="192" t="s">
        <v>377</v>
      </c>
      <c r="J20" s="192" t="s">
        <v>376</v>
      </c>
      <c r="K20" s="161"/>
    </row>
    <row r="21" spans="1:31" ht="15" x14ac:dyDescent="0.25">
      <c r="A21" s="161"/>
      <c r="B21" s="161"/>
      <c r="C21" s="161"/>
      <c r="D21" s="161"/>
      <c r="E21" s="161"/>
      <c r="F21" s="427" t="s">
        <v>375</v>
      </c>
      <c r="G21" s="427"/>
      <c r="H21" s="427"/>
      <c r="I21" s="191">
        <v>579.54</v>
      </c>
      <c r="J21" s="191">
        <v>5736.17</v>
      </c>
      <c r="K21" s="190" t="s">
        <v>366</v>
      </c>
    </row>
    <row r="22" spans="1:31" ht="14.25" x14ac:dyDescent="0.2">
      <c r="A22" s="161"/>
      <c r="B22" s="161"/>
      <c r="C22" s="161"/>
      <c r="D22" s="161"/>
      <c r="E22" s="161"/>
      <c r="F22" s="418" t="s">
        <v>374</v>
      </c>
      <c r="G22" s="418"/>
      <c r="H22" s="418"/>
      <c r="I22" s="186">
        <v>578.45000000000005</v>
      </c>
      <c r="J22" s="186">
        <v>5731.95</v>
      </c>
      <c r="K22" s="161" t="s">
        <v>366</v>
      </c>
    </row>
    <row r="23" spans="1:31" ht="14.25" x14ac:dyDescent="0.2">
      <c r="A23" s="161"/>
      <c r="B23" s="161"/>
      <c r="C23" s="161"/>
      <c r="D23" s="161"/>
      <c r="E23" s="161"/>
      <c r="F23" s="418" t="s">
        <v>373</v>
      </c>
      <c r="G23" s="418"/>
      <c r="H23" s="418"/>
      <c r="I23" s="186">
        <v>0</v>
      </c>
      <c r="J23" s="186">
        <v>0</v>
      </c>
      <c r="K23" s="161" t="s">
        <v>366</v>
      </c>
    </row>
    <row r="24" spans="1:31" ht="14.25" x14ac:dyDescent="0.2">
      <c r="A24" s="161"/>
      <c r="B24" s="161"/>
      <c r="C24" s="161"/>
      <c r="D24" s="161"/>
      <c r="E24" s="161"/>
      <c r="F24" s="418" t="s">
        <v>106</v>
      </c>
      <c r="G24" s="418"/>
      <c r="H24" s="418"/>
      <c r="I24" s="186">
        <v>0</v>
      </c>
      <c r="J24" s="186">
        <v>0</v>
      </c>
      <c r="K24" s="161" t="s">
        <v>366</v>
      </c>
    </row>
    <row r="25" spans="1:31" ht="14.25" x14ac:dyDescent="0.2">
      <c r="A25" s="161"/>
      <c r="B25" s="161"/>
      <c r="C25" s="161"/>
      <c r="D25" s="161"/>
      <c r="E25" s="161"/>
      <c r="F25" s="418" t="s">
        <v>372</v>
      </c>
      <c r="G25" s="418"/>
      <c r="H25" s="418"/>
      <c r="I25" s="186">
        <v>1.0900000000000001</v>
      </c>
      <c r="J25" s="186">
        <v>4.22</v>
      </c>
      <c r="K25" s="161" t="s">
        <v>366</v>
      </c>
    </row>
    <row r="26" spans="1:31" ht="14.25" x14ac:dyDescent="0.2">
      <c r="A26" s="161"/>
      <c r="B26" s="161"/>
      <c r="C26" s="161"/>
      <c r="D26" s="161"/>
      <c r="E26" s="161"/>
      <c r="F26" s="418" t="s">
        <v>371</v>
      </c>
      <c r="G26" s="418"/>
      <c r="H26" s="418"/>
      <c r="I26" s="186">
        <v>76.16</v>
      </c>
      <c r="J26" s="186">
        <v>1778.27</v>
      </c>
      <c r="K26" s="161" t="s">
        <v>366</v>
      </c>
    </row>
    <row r="27" spans="1:31" ht="14.25" x14ac:dyDescent="0.2">
      <c r="A27" s="161"/>
      <c r="B27" s="161"/>
      <c r="C27" s="161"/>
      <c r="D27" s="161"/>
      <c r="E27" s="161"/>
      <c r="F27" s="418" t="s">
        <v>370</v>
      </c>
      <c r="G27" s="418"/>
      <c r="H27" s="418"/>
      <c r="I27" s="186">
        <v>5768.67</v>
      </c>
      <c r="J27" s="186"/>
      <c r="K27" s="161" t="s">
        <v>369</v>
      </c>
    </row>
    <row r="28" spans="1:31" ht="14.25" hidden="1" x14ac:dyDescent="0.2">
      <c r="A28" s="161"/>
      <c r="B28" s="161"/>
      <c r="C28" s="161"/>
      <c r="D28" s="161"/>
      <c r="E28" s="161"/>
      <c r="F28" s="188" t="s">
        <v>368</v>
      </c>
      <c r="G28" s="188"/>
      <c r="H28" s="188"/>
      <c r="I28" s="186"/>
      <c r="J28" s="186"/>
      <c r="K28" s="161"/>
    </row>
    <row r="29" spans="1:31" ht="14.25" hidden="1" x14ac:dyDescent="0.2">
      <c r="A29" s="161"/>
      <c r="B29" s="161"/>
      <c r="C29" s="161"/>
      <c r="D29" s="161"/>
      <c r="E29" s="161"/>
      <c r="F29" s="419" t="s">
        <v>367</v>
      </c>
      <c r="G29" s="420"/>
      <c r="H29" s="420"/>
      <c r="I29" s="186">
        <v>0</v>
      </c>
      <c r="J29" s="186">
        <v>0</v>
      </c>
      <c r="K29" s="161" t="s">
        <v>366</v>
      </c>
    </row>
    <row r="30" spans="1:31" ht="14.25" x14ac:dyDescent="0.2">
      <c r="A30" s="161"/>
      <c r="B30" s="161"/>
      <c r="C30" s="161"/>
      <c r="D30" s="161"/>
      <c r="E30" s="161"/>
      <c r="F30" s="187"/>
      <c r="G30" s="187"/>
      <c r="H30" s="187"/>
      <c r="I30" s="186"/>
      <c r="J30" s="186"/>
      <c r="K30" s="161"/>
    </row>
    <row r="31" spans="1:31" ht="14.25" x14ac:dyDescent="0.2">
      <c r="A31" s="161" t="s">
        <v>365</v>
      </c>
      <c r="B31" s="161"/>
      <c r="C31" s="161"/>
      <c r="D31" s="161"/>
      <c r="E31" s="161"/>
      <c r="F31" s="187"/>
      <c r="G31" s="187"/>
      <c r="H31" s="187"/>
      <c r="I31" s="186"/>
      <c r="J31" s="186"/>
      <c r="K31" s="161"/>
    </row>
    <row r="32" spans="1:31" ht="28.5" x14ac:dyDescent="0.2">
      <c r="A32" s="421" t="s">
        <v>364</v>
      </c>
      <c r="B32" s="421"/>
      <c r="C32" s="421"/>
      <c r="D32" s="421"/>
      <c r="E32" s="421"/>
      <c r="F32" s="421"/>
      <c r="G32" s="421"/>
      <c r="H32" s="421"/>
      <c r="I32" s="421"/>
      <c r="J32" s="421"/>
      <c r="K32" s="421"/>
      <c r="AE32" s="185" t="s">
        <v>364</v>
      </c>
    </row>
    <row r="33" spans="1:22" ht="85.5" x14ac:dyDescent="0.2">
      <c r="A33" s="183" t="s">
        <v>81</v>
      </c>
      <c r="B33" s="183" t="s">
        <v>363</v>
      </c>
      <c r="C33" s="183" t="s">
        <v>83</v>
      </c>
      <c r="D33" s="183" t="s">
        <v>362</v>
      </c>
      <c r="E33" s="183" t="s">
        <v>361</v>
      </c>
      <c r="F33" s="183" t="s">
        <v>360</v>
      </c>
      <c r="G33" s="184" t="s">
        <v>359</v>
      </c>
      <c r="H33" s="184" t="s">
        <v>358</v>
      </c>
      <c r="I33" s="183" t="s">
        <v>357</v>
      </c>
      <c r="J33" s="183" t="s">
        <v>356</v>
      </c>
      <c r="K33" s="183" t="s">
        <v>355</v>
      </c>
    </row>
    <row r="34" spans="1:22" ht="14.25" x14ac:dyDescent="0.2">
      <c r="A34" s="183">
        <v>1</v>
      </c>
      <c r="B34" s="183">
        <v>2</v>
      </c>
      <c r="C34" s="183">
        <v>3</v>
      </c>
      <c r="D34" s="183">
        <v>4</v>
      </c>
      <c r="E34" s="183">
        <v>5</v>
      </c>
      <c r="F34" s="183">
        <v>6</v>
      </c>
      <c r="G34" s="183">
        <v>7</v>
      </c>
      <c r="H34" s="183">
        <v>8</v>
      </c>
      <c r="I34" s="183">
        <v>9</v>
      </c>
      <c r="J34" s="183">
        <v>10</v>
      </c>
      <c r="K34" s="183">
        <v>11</v>
      </c>
    </row>
    <row r="36" spans="1:22" ht="16.5" x14ac:dyDescent="0.25">
      <c r="A36" s="413" t="s">
        <v>2373</v>
      </c>
      <c r="B36" s="413"/>
      <c r="C36" s="413"/>
      <c r="D36" s="413"/>
      <c r="E36" s="413"/>
      <c r="F36" s="413"/>
      <c r="G36" s="413"/>
      <c r="H36" s="413"/>
      <c r="I36" s="413"/>
      <c r="J36" s="413"/>
      <c r="K36" s="413"/>
    </row>
    <row r="37" spans="1:22" ht="57" x14ac:dyDescent="0.2">
      <c r="A37" s="179" t="s">
        <v>719</v>
      </c>
      <c r="B37" s="178" t="s">
        <v>2374</v>
      </c>
      <c r="C37" s="178" t="s">
        <v>611</v>
      </c>
      <c r="D37" s="177" t="s">
        <v>2375</v>
      </c>
      <c r="E37" s="174">
        <v>25.6</v>
      </c>
      <c r="F37" s="176"/>
      <c r="G37" s="175"/>
      <c r="H37" s="174"/>
      <c r="I37" s="173"/>
      <c r="J37" s="174"/>
      <c r="K37" s="173"/>
      <c r="Q37" s="160">
        <f>[5]Source!X28</f>
        <v>7209.88</v>
      </c>
      <c r="R37" s="160">
        <f>[5]Source!X29</f>
        <v>135050.47</v>
      </c>
      <c r="S37" s="160">
        <f>[5]Source!Y28</f>
        <v>5546.06</v>
      </c>
      <c r="T37" s="160">
        <f>[5]Source!Y29</f>
        <v>75850.27</v>
      </c>
      <c r="U37" s="160">
        <f>ROUND((175/100)*ROUND([5]Source!R28, 2), 2)</f>
        <v>96.78</v>
      </c>
      <c r="V37" s="160">
        <f>ROUND((157/100)*ROUND([5]Source!R29, 2), 2)</f>
        <v>2027.28</v>
      </c>
    </row>
    <row r="38" spans="1:22" ht="14.25" x14ac:dyDescent="0.2">
      <c r="A38" s="179"/>
      <c r="B38" s="178"/>
      <c r="C38" s="178" t="s">
        <v>197</v>
      </c>
      <c r="D38" s="177"/>
      <c r="E38" s="174"/>
      <c r="F38" s="176">
        <v>309.49</v>
      </c>
      <c r="G38" s="175" t="s">
        <v>195</v>
      </c>
      <c r="H38" s="174">
        <v>1</v>
      </c>
      <c r="I38" s="173">
        <v>7922.94</v>
      </c>
      <c r="J38" s="174">
        <v>23.35</v>
      </c>
      <c r="K38" s="173">
        <v>185000.65</v>
      </c>
    </row>
    <row r="39" spans="1:22" ht="14.25" x14ac:dyDescent="0.2">
      <c r="A39" s="179"/>
      <c r="B39" s="178"/>
      <c r="C39" s="178" t="s">
        <v>184</v>
      </c>
      <c r="D39" s="177"/>
      <c r="E39" s="174"/>
      <c r="F39" s="176">
        <v>38.159999999999997</v>
      </c>
      <c r="G39" s="175" t="s">
        <v>195</v>
      </c>
      <c r="H39" s="174">
        <v>1</v>
      </c>
      <c r="I39" s="173">
        <v>976.9</v>
      </c>
      <c r="J39" s="174">
        <v>3.77</v>
      </c>
      <c r="K39" s="173">
        <v>3682.91</v>
      </c>
    </row>
    <row r="40" spans="1:22" ht="14.25" x14ac:dyDescent="0.2">
      <c r="A40" s="179"/>
      <c r="B40" s="178"/>
      <c r="C40" s="178" t="s">
        <v>189</v>
      </c>
      <c r="D40" s="177"/>
      <c r="E40" s="174"/>
      <c r="F40" s="176">
        <v>2.16</v>
      </c>
      <c r="G40" s="175" t="s">
        <v>195</v>
      </c>
      <c r="H40" s="174">
        <v>1</v>
      </c>
      <c r="I40" s="180">
        <v>55.3</v>
      </c>
      <c r="J40" s="174">
        <v>23.35</v>
      </c>
      <c r="K40" s="180">
        <v>1291.26</v>
      </c>
    </row>
    <row r="41" spans="1:22" ht="14.25" x14ac:dyDescent="0.2">
      <c r="A41" s="179"/>
      <c r="B41" s="178"/>
      <c r="C41" s="178" t="s">
        <v>194</v>
      </c>
      <c r="D41" s="177" t="s">
        <v>187</v>
      </c>
      <c r="E41" s="174">
        <v>91</v>
      </c>
      <c r="F41" s="176"/>
      <c r="G41" s="175"/>
      <c r="H41" s="174"/>
      <c r="I41" s="173">
        <v>7209.88</v>
      </c>
      <c r="J41" s="174">
        <v>73</v>
      </c>
      <c r="K41" s="173">
        <v>135050.47</v>
      </c>
    </row>
    <row r="42" spans="1:22" ht="14.25" x14ac:dyDescent="0.2">
      <c r="A42" s="179"/>
      <c r="B42" s="178"/>
      <c r="C42" s="178" t="s">
        <v>193</v>
      </c>
      <c r="D42" s="177" t="s">
        <v>187</v>
      </c>
      <c r="E42" s="174">
        <v>70</v>
      </c>
      <c r="F42" s="176"/>
      <c r="G42" s="175"/>
      <c r="H42" s="174"/>
      <c r="I42" s="173">
        <v>5546.06</v>
      </c>
      <c r="J42" s="174">
        <v>41</v>
      </c>
      <c r="K42" s="173">
        <v>75850.27</v>
      </c>
    </row>
    <row r="43" spans="1:22" ht="14.25" x14ac:dyDescent="0.2">
      <c r="A43" s="179"/>
      <c r="B43" s="178"/>
      <c r="C43" s="178" t="s">
        <v>188</v>
      </c>
      <c r="D43" s="177" t="s">
        <v>187</v>
      </c>
      <c r="E43" s="174">
        <v>175</v>
      </c>
      <c r="F43" s="176"/>
      <c r="G43" s="175"/>
      <c r="H43" s="174"/>
      <c r="I43" s="173">
        <v>96.78</v>
      </c>
      <c r="J43" s="174">
        <v>157</v>
      </c>
      <c r="K43" s="173">
        <v>2027.28</v>
      </c>
    </row>
    <row r="44" spans="1:22" ht="14.25" x14ac:dyDescent="0.2">
      <c r="A44" s="172"/>
      <c r="B44" s="171"/>
      <c r="C44" s="171" t="s">
        <v>192</v>
      </c>
      <c r="D44" s="170" t="s">
        <v>191</v>
      </c>
      <c r="E44" s="167">
        <v>24.72</v>
      </c>
      <c r="F44" s="169"/>
      <c r="G44" s="168" t="s">
        <v>195</v>
      </c>
      <c r="H44" s="167">
        <v>1</v>
      </c>
      <c r="I44" s="166">
        <v>632.83000000000004</v>
      </c>
      <c r="J44" s="167"/>
      <c r="K44" s="166"/>
    </row>
    <row r="45" spans="1:22" ht="15" x14ac:dyDescent="0.25">
      <c r="A45" s="164"/>
      <c r="B45" s="164"/>
      <c r="C45" s="165" t="s">
        <v>183</v>
      </c>
      <c r="D45" s="164"/>
      <c r="E45" s="164"/>
      <c r="F45" s="164"/>
      <c r="G45" s="164"/>
      <c r="H45" s="414">
        <v>21752.560000000001</v>
      </c>
      <c r="I45" s="414"/>
      <c r="J45" s="414">
        <v>401611.58</v>
      </c>
      <c r="K45" s="414"/>
      <c r="O45" s="163">
        <f>I38+I39+I41+I42+I43</f>
        <v>21752.560000000001</v>
      </c>
      <c r="P45" s="163">
        <f>K38+K39+K41+K42+K43</f>
        <v>401611.58</v>
      </c>
    </row>
    <row r="47" spans="1:22" ht="71.25" x14ac:dyDescent="0.2">
      <c r="A47" s="179" t="s">
        <v>1534</v>
      </c>
      <c r="B47" s="178" t="s">
        <v>2376</v>
      </c>
      <c r="C47" s="178" t="s">
        <v>610</v>
      </c>
      <c r="D47" s="177" t="s">
        <v>2377</v>
      </c>
      <c r="E47" s="174">
        <v>500</v>
      </c>
      <c r="F47" s="176"/>
      <c r="G47" s="175"/>
      <c r="H47" s="174"/>
      <c r="I47" s="173"/>
      <c r="J47" s="174"/>
      <c r="K47" s="173"/>
      <c r="Q47" s="160">
        <f>[5]Source!X30</f>
        <v>5896.8</v>
      </c>
      <c r="R47" s="160">
        <f>[5]Source!X31</f>
        <v>110454.84</v>
      </c>
      <c r="S47" s="160">
        <f>[5]Source!Y30</f>
        <v>4536</v>
      </c>
      <c r="T47" s="160">
        <f>[5]Source!Y31</f>
        <v>62036.28</v>
      </c>
      <c r="U47" s="160">
        <f>ROUND((175/100)*ROUND([5]Source!R30, 2), 2)</f>
        <v>927.5</v>
      </c>
      <c r="V47" s="160">
        <f>ROUND((157/100)*ROUND([5]Source!R31, 2), 2)</f>
        <v>19429.54</v>
      </c>
    </row>
    <row r="48" spans="1:22" x14ac:dyDescent="0.2">
      <c r="C48" s="181" t="s">
        <v>2378</v>
      </c>
    </row>
    <row r="49" spans="1:22" ht="14.25" x14ac:dyDescent="0.2">
      <c r="A49" s="179"/>
      <c r="B49" s="178"/>
      <c r="C49" s="178" t="s">
        <v>197</v>
      </c>
      <c r="D49" s="177"/>
      <c r="E49" s="174"/>
      <c r="F49" s="176">
        <v>12.96</v>
      </c>
      <c r="G49" s="175" t="s">
        <v>195</v>
      </c>
      <c r="H49" s="174">
        <v>1</v>
      </c>
      <c r="I49" s="173">
        <v>6480</v>
      </c>
      <c r="J49" s="174">
        <v>23.35</v>
      </c>
      <c r="K49" s="173">
        <v>151308</v>
      </c>
    </row>
    <row r="50" spans="1:22" ht="14.25" x14ac:dyDescent="0.2">
      <c r="A50" s="179"/>
      <c r="B50" s="178"/>
      <c r="C50" s="178" t="s">
        <v>184</v>
      </c>
      <c r="D50" s="177"/>
      <c r="E50" s="174"/>
      <c r="F50" s="176">
        <v>4.24</v>
      </c>
      <c r="G50" s="175" t="s">
        <v>195</v>
      </c>
      <c r="H50" s="174">
        <v>1</v>
      </c>
      <c r="I50" s="173">
        <v>2120</v>
      </c>
      <c r="J50" s="174">
        <v>9.68</v>
      </c>
      <c r="K50" s="173">
        <v>20521.599999999999</v>
      </c>
    </row>
    <row r="51" spans="1:22" ht="14.25" x14ac:dyDescent="0.2">
      <c r="A51" s="179"/>
      <c r="B51" s="178"/>
      <c r="C51" s="178" t="s">
        <v>189</v>
      </c>
      <c r="D51" s="177"/>
      <c r="E51" s="174"/>
      <c r="F51" s="176">
        <v>1.06</v>
      </c>
      <c r="G51" s="175" t="s">
        <v>195</v>
      </c>
      <c r="H51" s="174">
        <v>1</v>
      </c>
      <c r="I51" s="180">
        <v>530</v>
      </c>
      <c r="J51" s="174">
        <v>23.35</v>
      </c>
      <c r="K51" s="180">
        <v>12375.5</v>
      </c>
    </row>
    <row r="52" spans="1:22" ht="14.25" x14ac:dyDescent="0.2">
      <c r="A52" s="179"/>
      <c r="B52" s="178"/>
      <c r="C52" s="178" t="s">
        <v>205</v>
      </c>
      <c r="D52" s="177"/>
      <c r="E52" s="174"/>
      <c r="F52" s="176">
        <v>16.989999999999998</v>
      </c>
      <c r="G52" s="175" t="s">
        <v>195</v>
      </c>
      <c r="H52" s="174">
        <v>1</v>
      </c>
      <c r="I52" s="173">
        <v>8495</v>
      </c>
      <c r="J52" s="174">
        <v>10.18</v>
      </c>
      <c r="K52" s="173">
        <v>86479.1</v>
      </c>
    </row>
    <row r="53" spans="1:22" ht="14.25" x14ac:dyDescent="0.2">
      <c r="A53" s="179"/>
      <c r="B53" s="178"/>
      <c r="C53" s="178" t="s">
        <v>194</v>
      </c>
      <c r="D53" s="177" t="s">
        <v>187</v>
      </c>
      <c r="E53" s="174">
        <v>91</v>
      </c>
      <c r="F53" s="176"/>
      <c r="G53" s="175"/>
      <c r="H53" s="174"/>
      <c r="I53" s="173">
        <v>5896.8</v>
      </c>
      <c r="J53" s="174">
        <v>73</v>
      </c>
      <c r="K53" s="173">
        <v>110454.84</v>
      </c>
    </row>
    <row r="54" spans="1:22" ht="14.25" x14ac:dyDescent="0.2">
      <c r="A54" s="179"/>
      <c r="B54" s="178"/>
      <c r="C54" s="178" t="s">
        <v>193</v>
      </c>
      <c r="D54" s="177" t="s">
        <v>187</v>
      </c>
      <c r="E54" s="174">
        <v>70</v>
      </c>
      <c r="F54" s="176"/>
      <c r="G54" s="175"/>
      <c r="H54" s="174"/>
      <c r="I54" s="173">
        <v>4536</v>
      </c>
      <c r="J54" s="174">
        <v>41</v>
      </c>
      <c r="K54" s="173">
        <v>62036.28</v>
      </c>
    </row>
    <row r="55" spans="1:22" ht="14.25" x14ac:dyDescent="0.2">
      <c r="A55" s="179"/>
      <c r="B55" s="178"/>
      <c r="C55" s="178" t="s">
        <v>188</v>
      </c>
      <c r="D55" s="177" t="s">
        <v>187</v>
      </c>
      <c r="E55" s="174">
        <v>175</v>
      </c>
      <c r="F55" s="176"/>
      <c r="G55" s="175"/>
      <c r="H55" s="174"/>
      <c r="I55" s="173">
        <v>927.5</v>
      </c>
      <c r="J55" s="174">
        <v>157</v>
      </c>
      <c r="K55" s="173">
        <v>19429.54</v>
      </c>
    </row>
    <row r="56" spans="1:22" ht="14.25" x14ac:dyDescent="0.2">
      <c r="A56" s="172"/>
      <c r="B56" s="171"/>
      <c r="C56" s="171" t="s">
        <v>192</v>
      </c>
      <c r="D56" s="170" t="s">
        <v>191</v>
      </c>
      <c r="E56" s="167">
        <v>1.03</v>
      </c>
      <c r="F56" s="169"/>
      <c r="G56" s="168" t="s">
        <v>195</v>
      </c>
      <c r="H56" s="167">
        <v>1</v>
      </c>
      <c r="I56" s="166">
        <v>515</v>
      </c>
      <c r="J56" s="167"/>
      <c r="K56" s="166"/>
    </row>
    <row r="57" spans="1:22" ht="15" x14ac:dyDescent="0.25">
      <c r="A57" s="164"/>
      <c r="B57" s="164"/>
      <c r="C57" s="165" t="s">
        <v>183</v>
      </c>
      <c r="D57" s="164"/>
      <c r="E57" s="164"/>
      <c r="F57" s="164"/>
      <c r="G57" s="164"/>
      <c r="H57" s="414">
        <v>28455.3</v>
      </c>
      <c r="I57" s="414"/>
      <c r="J57" s="414">
        <v>450229.36</v>
      </c>
      <c r="K57" s="414"/>
      <c r="O57" s="163">
        <f>I49+I50+I52+I53+I54+I55</f>
        <v>28455.3</v>
      </c>
      <c r="P57" s="163">
        <f>K49+K50+K52+K53+K54+K55</f>
        <v>450229.36</v>
      </c>
    </row>
    <row r="59" spans="1:22" ht="57" x14ac:dyDescent="0.2">
      <c r="A59" s="179" t="s">
        <v>104</v>
      </c>
      <c r="B59" s="178" t="s">
        <v>2379</v>
      </c>
      <c r="C59" s="178" t="s">
        <v>609</v>
      </c>
      <c r="D59" s="177" t="s">
        <v>2380</v>
      </c>
      <c r="E59" s="174">
        <v>256</v>
      </c>
      <c r="F59" s="176"/>
      <c r="G59" s="175"/>
      <c r="H59" s="174"/>
      <c r="I59" s="173"/>
      <c r="J59" s="174"/>
      <c r="K59" s="173"/>
      <c r="Q59" s="160">
        <f>[5]Source!X32</f>
        <v>3676.11</v>
      </c>
      <c r="R59" s="160">
        <f>[5]Source!X33</f>
        <v>68858.37</v>
      </c>
      <c r="S59" s="160">
        <f>[5]Source!Y32</f>
        <v>2827.78</v>
      </c>
      <c r="T59" s="160">
        <f>[5]Source!Y33</f>
        <v>38673.879999999997</v>
      </c>
      <c r="U59" s="160">
        <f>ROUND((175/100)*ROUND([5]Source!R32, 2), 2)</f>
        <v>0</v>
      </c>
      <c r="V59" s="160">
        <f>ROUND((157/100)*ROUND([5]Source!R33, 2), 2)</f>
        <v>0</v>
      </c>
    </row>
    <row r="60" spans="1:22" ht="14.25" x14ac:dyDescent="0.2">
      <c r="A60" s="179"/>
      <c r="B60" s="178"/>
      <c r="C60" s="178" t="s">
        <v>197</v>
      </c>
      <c r="D60" s="177"/>
      <c r="E60" s="174"/>
      <c r="F60" s="176">
        <v>15.78</v>
      </c>
      <c r="G60" s="175" t="s">
        <v>195</v>
      </c>
      <c r="H60" s="174">
        <v>1</v>
      </c>
      <c r="I60" s="173">
        <v>4039.68</v>
      </c>
      <c r="J60" s="174">
        <v>23.35</v>
      </c>
      <c r="K60" s="173">
        <v>94326.53</v>
      </c>
    </row>
    <row r="61" spans="1:22" ht="14.25" x14ac:dyDescent="0.2">
      <c r="A61" s="179"/>
      <c r="B61" s="178"/>
      <c r="C61" s="178" t="s">
        <v>205</v>
      </c>
      <c r="D61" s="177"/>
      <c r="E61" s="174"/>
      <c r="F61" s="176">
        <v>3.71</v>
      </c>
      <c r="G61" s="175" t="s">
        <v>195</v>
      </c>
      <c r="H61" s="174">
        <v>1</v>
      </c>
      <c r="I61" s="173">
        <v>949.76</v>
      </c>
      <c r="J61" s="174">
        <v>3.16</v>
      </c>
      <c r="K61" s="173">
        <v>3001.24</v>
      </c>
    </row>
    <row r="62" spans="1:22" ht="42.75" x14ac:dyDescent="0.2">
      <c r="A62" s="179" t="s">
        <v>1542</v>
      </c>
      <c r="B62" s="178" t="s">
        <v>2381</v>
      </c>
      <c r="C62" s="178" t="s">
        <v>608</v>
      </c>
      <c r="D62" s="177" t="s">
        <v>1661</v>
      </c>
      <c r="E62" s="174">
        <v>86</v>
      </c>
      <c r="F62" s="176">
        <v>136.13999999999999</v>
      </c>
      <c r="G62" s="182" t="s">
        <v>195</v>
      </c>
      <c r="H62" s="174">
        <v>1</v>
      </c>
      <c r="I62" s="173">
        <v>11708.04</v>
      </c>
      <c r="J62" s="174">
        <v>1.01</v>
      </c>
      <c r="K62" s="173">
        <v>11825.12</v>
      </c>
      <c r="Q62" s="160">
        <f>[5]Source!X34</f>
        <v>0</v>
      </c>
      <c r="R62" s="160">
        <f>[5]Source!X35</f>
        <v>0</v>
      </c>
      <c r="S62" s="160">
        <f>[5]Source!Y34</f>
        <v>0</v>
      </c>
      <c r="T62" s="160">
        <f>[5]Source!Y35</f>
        <v>0</v>
      </c>
      <c r="U62" s="160">
        <f>ROUND((175/100)*ROUND([5]Source!R34, 2), 2)</f>
        <v>0</v>
      </c>
      <c r="V62" s="160">
        <f>ROUND((157/100)*ROUND([5]Source!R35, 2), 2)</f>
        <v>0</v>
      </c>
    </row>
    <row r="63" spans="1:22" ht="14.25" x14ac:dyDescent="0.2">
      <c r="A63" s="179"/>
      <c r="B63" s="178"/>
      <c r="C63" s="178" t="s">
        <v>194</v>
      </c>
      <c r="D63" s="177" t="s">
        <v>187</v>
      </c>
      <c r="E63" s="174">
        <v>91</v>
      </c>
      <c r="F63" s="176"/>
      <c r="G63" s="175"/>
      <c r="H63" s="174"/>
      <c r="I63" s="173">
        <v>3676.11</v>
      </c>
      <c r="J63" s="174">
        <v>73</v>
      </c>
      <c r="K63" s="173">
        <v>68858.37</v>
      </c>
    </row>
    <row r="64" spans="1:22" ht="14.25" x14ac:dyDescent="0.2">
      <c r="A64" s="179"/>
      <c r="B64" s="178"/>
      <c r="C64" s="178" t="s">
        <v>193</v>
      </c>
      <c r="D64" s="177" t="s">
        <v>187</v>
      </c>
      <c r="E64" s="174">
        <v>70</v>
      </c>
      <c r="F64" s="176"/>
      <c r="G64" s="175"/>
      <c r="H64" s="174"/>
      <c r="I64" s="173">
        <v>2827.78</v>
      </c>
      <c r="J64" s="174">
        <v>41</v>
      </c>
      <c r="K64" s="173">
        <v>38673.879999999997</v>
      </c>
    </row>
    <row r="65" spans="1:22" ht="14.25" x14ac:dyDescent="0.2">
      <c r="A65" s="172"/>
      <c r="B65" s="171"/>
      <c r="C65" s="171" t="s">
        <v>192</v>
      </c>
      <c r="D65" s="170" t="s">
        <v>191</v>
      </c>
      <c r="E65" s="167">
        <v>1.21</v>
      </c>
      <c r="F65" s="169"/>
      <c r="G65" s="168" t="s">
        <v>195</v>
      </c>
      <c r="H65" s="167">
        <v>1</v>
      </c>
      <c r="I65" s="166">
        <v>309.76</v>
      </c>
      <c r="J65" s="167"/>
      <c r="K65" s="166"/>
    </row>
    <row r="66" spans="1:22" ht="15" x14ac:dyDescent="0.25">
      <c r="A66" s="164"/>
      <c r="B66" s="164"/>
      <c r="C66" s="165" t="s">
        <v>183</v>
      </c>
      <c r="D66" s="164"/>
      <c r="E66" s="164"/>
      <c r="F66" s="164"/>
      <c r="G66" s="164"/>
      <c r="H66" s="414">
        <v>23201.37</v>
      </c>
      <c r="I66" s="414"/>
      <c r="J66" s="414">
        <v>216685.14</v>
      </c>
      <c r="K66" s="414"/>
      <c r="O66" s="163">
        <f>I60+I61+I63+I64+SUM(I62:I62)</f>
        <v>23201.37</v>
      </c>
      <c r="P66" s="163">
        <f>K60+K61+K63+K64+SUM(K62:K62)</f>
        <v>216685.14</v>
      </c>
    </row>
    <row r="69" spans="1:22" ht="15" x14ac:dyDescent="0.25">
      <c r="A69" s="417" t="s">
        <v>2382</v>
      </c>
      <c r="B69" s="417"/>
      <c r="C69" s="417"/>
      <c r="D69" s="417"/>
      <c r="E69" s="417"/>
      <c r="F69" s="417"/>
      <c r="G69" s="417"/>
      <c r="H69" s="415">
        <v>73409.23</v>
      </c>
      <c r="I69" s="416"/>
      <c r="J69" s="415">
        <v>1068526.0800000001</v>
      </c>
      <c r="K69" s="416"/>
    </row>
    <row r="70" spans="1:22" hidden="1" x14ac:dyDescent="0.2">
      <c r="A70" s="160" t="s">
        <v>182</v>
      </c>
      <c r="I70" s="160">
        <v>0</v>
      </c>
      <c r="J70" s="160">
        <v>0</v>
      </c>
    </row>
    <row r="71" spans="1:22" hidden="1" x14ac:dyDescent="0.2">
      <c r="A71" s="160" t="s">
        <v>181</v>
      </c>
      <c r="I71" s="160">
        <v>0</v>
      </c>
      <c r="J71" s="160">
        <v>0</v>
      </c>
    </row>
    <row r="73" spans="1:22" ht="16.5" x14ac:dyDescent="0.25">
      <c r="A73" s="413" t="s">
        <v>2383</v>
      </c>
      <c r="B73" s="413"/>
      <c r="C73" s="413"/>
      <c r="D73" s="413"/>
      <c r="E73" s="413"/>
      <c r="F73" s="413"/>
      <c r="G73" s="413"/>
      <c r="H73" s="413"/>
      <c r="I73" s="413"/>
      <c r="J73" s="413"/>
      <c r="K73" s="413"/>
    </row>
    <row r="74" spans="1:22" ht="57" x14ac:dyDescent="0.2">
      <c r="A74" s="179" t="s">
        <v>1546</v>
      </c>
      <c r="B74" s="178" t="s">
        <v>2374</v>
      </c>
      <c r="C74" s="178" t="s">
        <v>611</v>
      </c>
      <c r="D74" s="177" t="s">
        <v>2375</v>
      </c>
      <c r="E74" s="174">
        <v>41.2</v>
      </c>
      <c r="F74" s="176"/>
      <c r="G74" s="175"/>
      <c r="H74" s="174"/>
      <c r="I74" s="173"/>
      <c r="J74" s="174"/>
      <c r="K74" s="173"/>
      <c r="Q74" s="160">
        <f>[5]Source!X71</f>
        <v>11603.4</v>
      </c>
      <c r="R74" s="160">
        <f>[5]Source!X72</f>
        <v>217347</v>
      </c>
      <c r="S74" s="160">
        <f>[5]Source!Y71</f>
        <v>8925.69</v>
      </c>
      <c r="T74" s="160">
        <f>[5]Source!Y72</f>
        <v>122071.6</v>
      </c>
      <c r="U74" s="160">
        <f>ROUND((175/100)*ROUND([5]Source!R71, 2), 2)</f>
        <v>155.72999999999999</v>
      </c>
      <c r="V74" s="160">
        <f>ROUND((157/100)*ROUND([5]Source!R72, 2), 2)</f>
        <v>3262.33</v>
      </c>
    </row>
    <row r="75" spans="1:22" ht="14.25" x14ac:dyDescent="0.2">
      <c r="A75" s="179"/>
      <c r="B75" s="178"/>
      <c r="C75" s="178" t="s">
        <v>197</v>
      </c>
      <c r="D75" s="177"/>
      <c r="E75" s="174"/>
      <c r="F75" s="176">
        <v>309.49</v>
      </c>
      <c r="G75" s="175" t="s">
        <v>195</v>
      </c>
      <c r="H75" s="174">
        <v>1</v>
      </c>
      <c r="I75" s="173">
        <v>12750.99</v>
      </c>
      <c r="J75" s="174">
        <v>23.35</v>
      </c>
      <c r="K75" s="173">
        <v>297735.62</v>
      </c>
    </row>
    <row r="76" spans="1:22" ht="14.25" x14ac:dyDescent="0.2">
      <c r="A76" s="179"/>
      <c r="B76" s="178"/>
      <c r="C76" s="178" t="s">
        <v>184</v>
      </c>
      <c r="D76" s="177"/>
      <c r="E76" s="174"/>
      <c r="F76" s="176">
        <v>38.159999999999997</v>
      </c>
      <c r="G76" s="175" t="s">
        <v>195</v>
      </c>
      <c r="H76" s="174">
        <v>1</v>
      </c>
      <c r="I76" s="173">
        <v>1572.19</v>
      </c>
      <c r="J76" s="174">
        <v>3.77</v>
      </c>
      <c r="K76" s="173">
        <v>5927.16</v>
      </c>
    </row>
    <row r="77" spans="1:22" ht="14.25" x14ac:dyDescent="0.2">
      <c r="A77" s="179"/>
      <c r="B77" s="178"/>
      <c r="C77" s="178" t="s">
        <v>189</v>
      </c>
      <c r="D77" s="177"/>
      <c r="E77" s="174"/>
      <c r="F77" s="176">
        <v>2.16</v>
      </c>
      <c r="G77" s="175" t="s">
        <v>195</v>
      </c>
      <c r="H77" s="174">
        <v>1</v>
      </c>
      <c r="I77" s="180">
        <v>88.99</v>
      </c>
      <c r="J77" s="174">
        <v>23.35</v>
      </c>
      <c r="K77" s="180">
        <v>2077.92</v>
      </c>
    </row>
    <row r="78" spans="1:22" ht="14.25" x14ac:dyDescent="0.2">
      <c r="A78" s="179"/>
      <c r="B78" s="178"/>
      <c r="C78" s="178" t="s">
        <v>194</v>
      </c>
      <c r="D78" s="177" t="s">
        <v>187</v>
      </c>
      <c r="E78" s="174">
        <v>91</v>
      </c>
      <c r="F78" s="176"/>
      <c r="G78" s="175"/>
      <c r="H78" s="174"/>
      <c r="I78" s="173">
        <v>11603.4</v>
      </c>
      <c r="J78" s="174">
        <v>73</v>
      </c>
      <c r="K78" s="173">
        <v>217347</v>
      </c>
    </row>
    <row r="79" spans="1:22" ht="14.25" x14ac:dyDescent="0.2">
      <c r="A79" s="179"/>
      <c r="B79" s="178"/>
      <c r="C79" s="178" t="s">
        <v>193</v>
      </c>
      <c r="D79" s="177" t="s">
        <v>187</v>
      </c>
      <c r="E79" s="174">
        <v>70</v>
      </c>
      <c r="F79" s="176"/>
      <c r="G79" s="175"/>
      <c r="H79" s="174"/>
      <c r="I79" s="173">
        <v>8925.69</v>
      </c>
      <c r="J79" s="174">
        <v>41</v>
      </c>
      <c r="K79" s="173">
        <v>122071.6</v>
      </c>
    </row>
    <row r="80" spans="1:22" ht="14.25" x14ac:dyDescent="0.2">
      <c r="A80" s="179"/>
      <c r="B80" s="178"/>
      <c r="C80" s="178" t="s">
        <v>188</v>
      </c>
      <c r="D80" s="177" t="s">
        <v>187</v>
      </c>
      <c r="E80" s="174">
        <v>175</v>
      </c>
      <c r="F80" s="176"/>
      <c r="G80" s="175"/>
      <c r="H80" s="174"/>
      <c r="I80" s="173">
        <v>155.72999999999999</v>
      </c>
      <c r="J80" s="174">
        <v>157</v>
      </c>
      <c r="K80" s="173">
        <v>3262.33</v>
      </c>
    </row>
    <row r="81" spans="1:22" ht="14.25" x14ac:dyDescent="0.2">
      <c r="A81" s="172"/>
      <c r="B81" s="171"/>
      <c r="C81" s="171" t="s">
        <v>192</v>
      </c>
      <c r="D81" s="170" t="s">
        <v>191</v>
      </c>
      <c r="E81" s="167">
        <v>24.72</v>
      </c>
      <c r="F81" s="169"/>
      <c r="G81" s="168" t="s">
        <v>195</v>
      </c>
      <c r="H81" s="167">
        <v>1</v>
      </c>
      <c r="I81" s="166">
        <v>1018.46</v>
      </c>
      <c r="J81" s="167"/>
      <c r="K81" s="166"/>
    </row>
    <row r="82" spans="1:22" ht="15" x14ac:dyDescent="0.25">
      <c r="A82" s="164"/>
      <c r="B82" s="164"/>
      <c r="C82" s="165" t="s">
        <v>183</v>
      </c>
      <c r="D82" s="164"/>
      <c r="E82" s="164"/>
      <c r="F82" s="164"/>
      <c r="G82" s="164"/>
      <c r="H82" s="414">
        <v>35008</v>
      </c>
      <c r="I82" s="414"/>
      <c r="J82" s="414">
        <v>646343.71</v>
      </c>
      <c r="K82" s="414"/>
      <c r="O82" s="163">
        <f>I75+I76+I78+I79+I80</f>
        <v>35008</v>
      </c>
      <c r="P82" s="163">
        <f>K75+K76+K78+K79+K80</f>
        <v>646343.71</v>
      </c>
    </row>
    <row r="84" spans="1:22" ht="71.25" x14ac:dyDescent="0.2">
      <c r="A84" s="179" t="s">
        <v>105</v>
      </c>
      <c r="B84" s="178" t="s">
        <v>2376</v>
      </c>
      <c r="C84" s="178" t="s">
        <v>610</v>
      </c>
      <c r="D84" s="177" t="s">
        <v>2377</v>
      </c>
      <c r="E84" s="174">
        <v>1240</v>
      </c>
      <c r="F84" s="176"/>
      <c r="G84" s="175"/>
      <c r="H84" s="174"/>
      <c r="I84" s="173"/>
      <c r="J84" s="174"/>
      <c r="K84" s="173"/>
      <c r="Q84" s="160">
        <f>[5]Source!X73</f>
        <v>14624.06</v>
      </c>
      <c r="R84" s="160">
        <f>[5]Source!X74</f>
        <v>273928</v>
      </c>
      <c r="S84" s="160">
        <f>[5]Source!Y73</f>
        <v>11249.28</v>
      </c>
      <c r="T84" s="160">
        <f>[5]Source!Y74</f>
        <v>153849.97</v>
      </c>
      <c r="U84" s="160">
        <f>ROUND((175/100)*ROUND([5]Source!R73, 2), 2)</f>
        <v>2300.1999999999998</v>
      </c>
      <c r="V84" s="160">
        <f>ROUND((157/100)*ROUND([5]Source!R74, 2), 2)</f>
        <v>48185.25</v>
      </c>
    </row>
    <row r="85" spans="1:22" x14ac:dyDescent="0.2">
      <c r="C85" s="181" t="s">
        <v>2384</v>
      </c>
    </row>
    <row r="86" spans="1:22" ht="14.25" x14ac:dyDescent="0.2">
      <c r="A86" s="179"/>
      <c r="B86" s="178"/>
      <c r="C86" s="178" t="s">
        <v>197</v>
      </c>
      <c r="D86" s="177"/>
      <c r="E86" s="174"/>
      <c r="F86" s="176">
        <v>12.96</v>
      </c>
      <c r="G86" s="175" t="s">
        <v>195</v>
      </c>
      <c r="H86" s="174">
        <v>1</v>
      </c>
      <c r="I86" s="173">
        <v>16070.4</v>
      </c>
      <c r="J86" s="174">
        <v>23.35</v>
      </c>
      <c r="K86" s="173">
        <v>375243.84</v>
      </c>
    </row>
    <row r="87" spans="1:22" ht="14.25" x14ac:dyDescent="0.2">
      <c r="A87" s="179"/>
      <c r="B87" s="178"/>
      <c r="C87" s="178" t="s">
        <v>184</v>
      </c>
      <c r="D87" s="177"/>
      <c r="E87" s="174"/>
      <c r="F87" s="176">
        <v>4.24</v>
      </c>
      <c r="G87" s="175" t="s">
        <v>195</v>
      </c>
      <c r="H87" s="174">
        <v>1</v>
      </c>
      <c r="I87" s="173">
        <v>5257.6</v>
      </c>
      <c r="J87" s="174">
        <v>9.68</v>
      </c>
      <c r="K87" s="173">
        <v>50893.57</v>
      </c>
    </row>
    <row r="88" spans="1:22" ht="14.25" x14ac:dyDescent="0.2">
      <c r="A88" s="179"/>
      <c r="B88" s="178"/>
      <c r="C88" s="178" t="s">
        <v>189</v>
      </c>
      <c r="D88" s="177"/>
      <c r="E88" s="174"/>
      <c r="F88" s="176">
        <v>1.06</v>
      </c>
      <c r="G88" s="175" t="s">
        <v>195</v>
      </c>
      <c r="H88" s="174">
        <v>1</v>
      </c>
      <c r="I88" s="180">
        <v>1314.4</v>
      </c>
      <c r="J88" s="174">
        <v>23.35</v>
      </c>
      <c r="K88" s="180">
        <v>30691.24</v>
      </c>
    </row>
    <row r="89" spans="1:22" ht="14.25" x14ac:dyDescent="0.2">
      <c r="A89" s="179"/>
      <c r="B89" s="178"/>
      <c r="C89" s="178" t="s">
        <v>205</v>
      </c>
      <c r="D89" s="177"/>
      <c r="E89" s="174"/>
      <c r="F89" s="176">
        <v>16.989999999999998</v>
      </c>
      <c r="G89" s="175" t="s">
        <v>195</v>
      </c>
      <c r="H89" s="174">
        <v>1</v>
      </c>
      <c r="I89" s="173">
        <v>21067.599999999999</v>
      </c>
      <c r="J89" s="174">
        <v>10.18</v>
      </c>
      <c r="K89" s="173">
        <v>214468.17</v>
      </c>
    </row>
    <row r="90" spans="1:22" ht="14.25" x14ac:dyDescent="0.2">
      <c r="A90" s="179"/>
      <c r="B90" s="178"/>
      <c r="C90" s="178" t="s">
        <v>194</v>
      </c>
      <c r="D90" s="177" t="s">
        <v>187</v>
      </c>
      <c r="E90" s="174">
        <v>91</v>
      </c>
      <c r="F90" s="176"/>
      <c r="G90" s="175"/>
      <c r="H90" s="174"/>
      <c r="I90" s="173">
        <v>14624.06</v>
      </c>
      <c r="J90" s="174">
        <v>73</v>
      </c>
      <c r="K90" s="173">
        <v>273928</v>
      </c>
    </row>
    <row r="91" spans="1:22" ht="14.25" x14ac:dyDescent="0.2">
      <c r="A91" s="179"/>
      <c r="B91" s="178"/>
      <c r="C91" s="178" t="s">
        <v>193</v>
      </c>
      <c r="D91" s="177" t="s">
        <v>187</v>
      </c>
      <c r="E91" s="174">
        <v>70</v>
      </c>
      <c r="F91" s="176"/>
      <c r="G91" s="175"/>
      <c r="H91" s="174"/>
      <c r="I91" s="173">
        <v>11249.28</v>
      </c>
      <c r="J91" s="174">
        <v>41</v>
      </c>
      <c r="K91" s="173">
        <v>153849.97</v>
      </c>
    </row>
    <row r="92" spans="1:22" ht="14.25" x14ac:dyDescent="0.2">
      <c r="A92" s="179"/>
      <c r="B92" s="178"/>
      <c r="C92" s="178" t="s">
        <v>188</v>
      </c>
      <c r="D92" s="177" t="s">
        <v>187</v>
      </c>
      <c r="E92" s="174">
        <v>175</v>
      </c>
      <c r="F92" s="176"/>
      <c r="G92" s="175"/>
      <c r="H92" s="174"/>
      <c r="I92" s="173">
        <v>2300.1999999999998</v>
      </c>
      <c r="J92" s="174">
        <v>157</v>
      </c>
      <c r="K92" s="173">
        <v>48185.25</v>
      </c>
    </row>
    <row r="93" spans="1:22" ht="14.25" x14ac:dyDescent="0.2">
      <c r="A93" s="172"/>
      <c r="B93" s="171"/>
      <c r="C93" s="171" t="s">
        <v>192</v>
      </c>
      <c r="D93" s="170" t="s">
        <v>191</v>
      </c>
      <c r="E93" s="167">
        <v>1.03</v>
      </c>
      <c r="F93" s="169"/>
      <c r="G93" s="168" t="s">
        <v>195</v>
      </c>
      <c r="H93" s="167">
        <v>1</v>
      </c>
      <c r="I93" s="166">
        <v>1277.2</v>
      </c>
      <c r="J93" s="167"/>
      <c r="K93" s="166"/>
    </row>
    <row r="94" spans="1:22" ht="15" x14ac:dyDescent="0.25">
      <c r="A94" s="164"/>
      <c r="B94" s="164"/>
      <c r="C94" s="165" t="s">
        <v>183</v>
      </c>
      <c r="D94" s="164"/>
      <c r="E94" s="164"/>
      <c r="F94" s="164"/>
      <c r="G94" s="164"/>
      <c r="H94" s="414">
        <v>70569.14</v>
      </c>
      <c r="I94" s="414"/>
      <c r="J94" s="414">
        <v>1116568.8</v>
      </c>
      <c r="K94" s="414"/>
      <c r="O94" s="163">
        <f>I86+I87+I89+I90+I91+I92</f>
        <v>70569.14</v>
      </c>
      <c r="P94" s="163">
        <f>K86+K87+K89+K90+K91+K92</f>
        <v>1116568.8</v>
      </c>
    </row>
    <row r="96" spans="1:22" ht="57" x14ac:dyDescent="0.2">
      <c r="A96" s="179" t="s">
        <v>1560</v>
      </c>
      <c r="B96" s="178" t="s">
        <v>2379</v>
      </c>
      <c r="C96" s="178" t="s">
        <v>609</v>
      </c>
      <c r="D96" s="177" t="s">
        <v>2380</v>
      </c>
      <c r="E96" s="174">
        <v>412</v>
      </c>
      <c r="F96" s="176"/>
      <c r="G96" s="175"/>
      <c r="H96" s="174"/>
      <c r="I96" s="173"/>
      <c r="J96" s="174"/>
      <c r="K96" s="173"/>
      <c r="Q96" s="160">
        <f>[5]Source!X75</f>
        <v>5916.24</v>
      </c>
      <c r="R96" s="160">
        <f>[5]Source!X76</f>
        <v>110818.93</v>
      </c>
      <c r="S96" s="160">
        <f>[5]Source!Y75</f>
        <v>4550.95</v>
      </c>
      <c r="T96" s="160">
        <f>[5]Source!Y76</f>
        <v>62240.77</v>
      </c>
      <c r="U96" s="160">
        <f>ROUND((175/100)*ROUND([5]Source!R75, 2), 2)</f>
        <v>0</v>
      </c>
      <c r="V96" s="160">
        <f>ROUND((157/100)*ROUND([5]Source!R76, 2), 2)</f>
        <v>0</v>
      </c>
    </row>
    <row r="97" spans="1:22" ht="14.25" x14ac:dyDescent="0.2">
      <c r="A97" s="179"/>
      <c r="B97" s="178"/>
      <c r="C97" s="178" t="s">
        <v>197</v>
      </c>
      <c r="D97" s="177"/>
      <c r="E97" s="174"/>
      <c r="F97" s="176">
        <v>15.78</v>
      </c>
      <c r="G97" s="175" t="s">
        <v>195</v>
      </c>
      <c r="H97" s="174">
        <v>1</v>
      </c>
      <c r="I97" s="173">
        <v>6501.36</v>
      </c>
      <c r="J97" s="174">
        <v>23.35</v>
      </c>
      <c r="K97" s="173">
        <v>151806.76</v>
      </c>
    </row>
    <row r="98" spans="1:22" ht="14.25" x14ac:dyDescent="0.2">
      <c r="A98" s="179"/>
      <c r="B98" s="178"/>
      <c r="C98" s="178" t="s">
        <v>205</v>
      </c>
      <c r="D98" s="177"/>
      <c r="E98" s="174"/>
      <c r="F98" s="176">
        <v>3.71</v>
      </c>
      <c r="G98" s="175" t="s">
        <v>195</v>
      </c>
      <c r="H98" s="174">
        <v>1</v>
      </c>
      <c r="I98" s="173">
        <v>1528.52</v>
      </c>
      <c r="J98" s="174">
        <v>3.16</v>
      </c>
      <c r="K98" s="173">
        <v>4830.12</v>
      </c>
    </row>
    <row r="99" spans="1:22" ht="42.75" x14ac:dyDescent="0.2">
      <c r="A99" s="179" t="s">
        <v>1562</v>
      </c>
      <c r="B99" s="178" t="s">
        <v>2381</v>
      </c>
      <c r="C99" s="178" t="s">
        <v>608</v>
      </c>
      <c r="D99" s="177" t="s">
        <v>1661</v>
      </c>
      <c r="E99" s="174">
        <v>138</v>
      </c>
      <c r="F99" s="176">
        <v>136.13999999999999</v>
      </c>
      <c r="G99" s="182" t="s">
        <v>195</v>
      </c>
      <c r="H99" s="174">
        <v>1</v>
      </c>
      <c r="I99" s="173">
        <v>18787.32</v>
      </c>
      <c r="J99" s="174">
        <v>1.01</v>
      </c>
      <c r="K99" s="173">
        <v>18975.189999999999</v>
      </c>
      <c r="Q99" s="160">
        <f>[5]Source!X77</f>
        <v>0</v>
      </c>
      <c r="R99" s="160">
        <f>[5]Source!X78</f>
        <v>0</v>
      </c>
      <c r="S99" s="160">
        <f>[5]Source!Y77</f>
        <v>0</v>
      </c>
      <c r="T99" s="160">
        <f>[5]Source!Y78</f>
        <v>0</v>
      </c>
      <c r="U99" s="160">
        <f>ROUND((175/100)*ROUND([5]Source!R77, 2), 2)</f>
        <v>0</v>
      </c>
      <c r="V99" s="160">
        <f>ROUND((157/100)*ROUND([5]Source!R78, 2), 2)</f>
        <v>0</v>
      </c>
    </row>
    <row r="100" spans="1:22" ht="14.25" x14ac:dyDescent="0.2">
      <c r="A100" s="179"/>
      <c r="B100" s="178"/>
      <c r="C100" s="178" t="s">
        <v>194</v>
      </c>
      <c r="D100" s="177" t="s">
        <v>187</v>
      </c>
      <c r="E100" s="174">
        <v>91</v>
      </c>
      <c r="F100" s="176"/>
      <c r="G100" s="175"/>
      <c r="H100" s="174"/>
      <c r="I100" s="173">
        <v>5916.24</v>
      </c>
      <c r="J100" s="174">
        <v>73</v>
      </c>
      <c r="K100" s="173">
        <v>110818.93</v>
      </c>
    </row>
    <row r="101" spans="1:22" ht="14.25" x14ac:dyDescent="0.2">
      <c r="A101" s="179"/>
      <c r="B101" s="178"/>
      <c r="C101" s="178" t="s">
        <v>193</v>
      </c>
      <c r="D101" s="177" t="s">
        <v>187</v>
      </c>
      <c r="E101" s="174">
        <v>70</v>
      </c>
      <c r="F101" s="176"/>
      <c r="G101" s="175"/>
      <c r="H101" s="174"/>
      <c r="I101" s="173">
        <v>4550.95</v>
      </c>
      <c r="J101" s="174">
        <v>41</v>
      </c>
      <c r="K101" s="173">
        <v>62240.77</v>
      </c>
    </row>
    <row r="102" spans="1:22" ht="14.25" x14ac:dyDescent="0.2">
      <c r="A102" s="172"/>
      <c r="B102" s="171"/>
      <c r="C102" s="171" t="s">
        <v>192</v>
      </c>
      <c r="D102" s="170" t="s">
        <v>191</v>
      </c>
      <c r="E102" s="167">
        <v>1.21</v>
      </c>
      <c r="F102" s="169"/>
      <c r="G102" s="168" t="s">
        <v>195</v>
      </c>
      <c r="H102" s="167">
        <v>1</v>
      </c>
      <c r="I102" s="166">
        <v>498.52</v>
      </c>
      <c r="J102" s="167"/>
      <c r="K102" s="166"/>
    </row>
    <row r="103" spans="1:22" ht="15" x14ac:dyDescent="0.25">
      <c r="A103" s="164"/>
      <c r="B103" s="164"/>
      <c r="C103" s="165" t="s">
        <v>183</v>
      </c>
      <c r="D103" s="164"/>
      <c r="E103" s="164"/>
      <c r="F103" s="164"/>
      <c r="G103" s="164"/>
      <c r="H103" s="414">
        <v>37284.39</v>
      </c>
      <c r="I103" s="414"/>
      <c r="J103" s="414">
        <v>348671.77</v>
      </c>
      <c r="K103" s="414"/>
      <c r="O103" s="163">
        <f>I97+I98+I100+I101+SUM(I99:I99)</f>
        <v>37284.39</v>
      </c>
      <c r="P103" s="163">
        <f>K97+K98+K100+K101+SUM(K99:K99)</f>
        <v>348671.77</v>
      </c>
    </row>
    <row r="106" spans="1:22" ht="15" x14ac:dyDescent="0.25">
      <c r="A106" s="417" t="s">
        <v>2385</v>
      </c>
      <c r="B106" s="417"/>
      <c r="C106" s="417"/>
      <c r="D106" s="417"/>
      <c r="E106" s="417"/>
      <c r="F106" s="417"/>
      <c r="G106" s="417"/>
      <c r="H106" s="415">
        <v>142861.53</v>
      </c>
      <c r="I106" s="416"/>
      <c r="J106" s="415">
        <v>2111584.2799999998</v>
      </c>
      <c r="K106" s="416"/>
    </row>
    <row r="107" spans="1:22" hidden="1" x14ac:dyDescent="0.2">
      <c r="A107" s="160" t="s">
        <v>182</v>
      </c>
      <c r="I107" s="160">
        <v>0</v>
      </c>
      <c r="J107" s="160">
        <v>0</v>
      </c>
    </row>
    <row r="108" spans="1:22" hidden="1" x14ac:dyDescent="0.2">
      <c r="A108" s="160" t="s">
        <v>181</v>
      </c>
      <c r="I108" s="160">
        <v>0</v>
      </c>
      <c r="J108" s="160">
        <v>0</v>
      </c>
    </row>
    <row r="110" spans="1:22" ht="16.5" x14ac:dyDescent="0.25">
      <c r="A110" s="413" t="s">
        <v>2386</v>
      </c>
      <c r="B110" s="413"/>
      <c r="C110" s="413"/>
      <c r="D110" s="413"/>
      <c r="E110" s="413"/>
      <c r="F110" s="413"/>
      <c r="G110" s="413"/>
      <c r="H110" s="413"/>
      <c r="I110" s="413"/>
      <c r="J110" s="413"/>
      <c r="K110" s="413"/>
    </row>
    <row r="111" spans="1:22" ht="14.25" x14ac:dyDescent="0.2">
      <c r="A111" s="179" t="s">
        <v>1565</v>
      </c>
      <c r="B111" s="178" t="s">
        <v>2347</v>
      </c>
      <c r="C111" s="178" t="s">
        <v>480</v>
      </c>
      <c r="D111" s="177" t="s">
        <v>2348</v>
      </c>
      <c r="E111" s="174">
        <v>67</v>
      </c>
      <c r="F111" s="176"/>
      <c r="G111" s="175"/>
      <c r="H111" s="174"/>
      <c r="I111" s="173"/>
      <c r="J111" s="174"/>
      <c r="K111" s="173"/>
      <c r="Q111" s="160">
        <f>[5]Source!X114</f>
        <v>958.9</v>
      </c>
      <c r="R111" s="160">
        <f>[5]Source!X115</f>
        <v>19031.849999999999</v>
      </c>
      <c r="S111" s="160">
        <f>[5]Source!Y114</f>
        <v>659.25</v>
      </c>
      <c r="T111" s="160">
        <f>[5]Source!Y115</f>
        <v>11475.08</v>
      </c>
      <c r="U111" s="160">
        <f>ROUND((175/100)*ROUND([5]Source!R114, 2), 2)</f>
        <v>0</v>
      </c>
      <c r="V111" s="160">
        <f>ROUND((157/100)*ROUND([5]Source!R115, 2), 2)</f>
        <v>0</v>
      </c>
    </row>
    <row r="112" spans="1:22" ht="14.25" x14ac:dyDescent="0.2">
      <c r="A112" s="179"/>
      <c r="B112" s="178"/>
      <c r="C112" s="178" t="s">
        <v>197</v>
      </c>
      <c r="D112" s="177"/>
      <c r="E112" s="174"/>
      <c r="F112" s="176">
        <v>17.89</v>
      </c>
      <c r="G112" s="175" t="s">
        <v>195</v>
      </c>
      <c r="H112" s="174">
        <v>1</v>
      </c>
      <c r="I112" s="173">
        <v>1198.6300000000001</v>
      </c>
      <c r="J112" s="174">
        <v>23.35</v>
      </c>
      <c r="K112" s="173">
        <v>27988.01</v>
      </c>
    </row>
    <row r="113" spans="1:22" ht="28.5" x14ac:dyDescent="0.2">
      <c r="A113" s="179" t="s">
        <v>1568</v>
      </c>
      <c r="B113" s="178" t="s">
        <v>1532</v>
      </c>
      <c r="C113" s="178" t="s">
        <v>351</v>
      </c>
      <c r="D113" s="177" t="s">
        <v>1533</v>
      </c>
      <c r="E113" s="174">
        <v>-8.0399999999999991</v>
      </c>
      <c r="F113" s="176">
        <v>0</v>
      </c>
      <c r="G113" s="182" t="s">
        <v>195</v>
      </c>
      <c r="H113" s="174">
        <v>1</v>
      </c>
      <c r="I113" s="173">
        <v>0</v>
      </c>
      <c r="J113" s="174">
        <v>1</v>
      </c>
      <c r="K113" s="173">
        <v>0</v>
      </c>
      <c r="Q113" s="160">
        <f>[5]Source!X116</f>
        <v>0</v>
      </c>
      <c r="R113" s="160">
        <f>[5]Source!X117</f>
        <v>0</v>
      </c>
      <c r="S113" s="160">
        <f>[5]Source!Y116</f>
        <v>0</v>
      </c>
      <c r="T113" s="160">
        <f>[5]Source!Y117</f>
        <v>0</v>
      </c>
      <c r="U113" s="160">
        <f>ROUND((175/100)*ROUND([5]Source!R116, 2), 2)</f>
        <v>0</v>
      </c>
      <c r="V113" s="160">
        <f>ROUND((157/100)*ROUND([5]Source!R117, 2), 2)</f>
        <v>0</v>
      </c>
    </row>
    <row r="114" spans="1:22" ht="14.25" x14ac:dyDescent="0.2">
      <c r="A114" s="179"/>
      <c r="B114" s="178"/>
      <c r="C114" s="178" t="s">
        <v>194</v>
      </c>
      <c r="D114" s="177" t="s">
        <v>187</v>
      </c>
      <c r="E114" s="174">
        <v>80</v>
      </c>
      <c r="F114" s="176"/>
      <c r="G114" s="175"/>
      <c r="H114" s="174"/>
      <c r="I114" s="173">
        <v>958.9</v>
      </c>
      <c r="J114" s="174">
        <v>68</v>
      </c>
      <c r="K114" s="173">
        <v>19031.849999999999</v>
      </c>
    </row>
    <row r="115" spans="1:22" ht="14.25" x14ac:dyDescent="0.2">
      <c r="A115" s="179"/>
      <c r="B115" s="178"/>
      <c r="C115" s="178" t="s">
        <v>193</v>
      </c>
      <c r="D115" s="177" t="s">
        <v>187</v>
      </c>
      <c r="E115" s="174">
        <v>55</v>
      </c>
      <c r="F115" s="176"/>
      <c r="G115" s="175"/>
      <c r="H115" s="174"/>
      <c r="I115" s="173">
        <v>659.25</v>
      </c>
      <c r="J115" s="174">
        <v>41</v>
      </c>
      <c r="K115" s="173">
        <v>11475.08</v>
      </c>
    </row>
    <row r="116" spans="1:22" ht="14.25" x14ac:dyDescent="0.2">
      <c r="A116" s="172"/>
      <c r="B116" s="171"/>
      <c r="C116" s="171" t="s">
        <v>192</v>
      </c>
      <c r="D116" s="170" t="s">
        <v>191</v>
      </c>
      <c r="E116" s="167">
        <v>1.58</v>
      </c>
      <c r="F116" s="169"/>
      <c r="G116" s="168" t="s">
        <v>195</v>
      </c>
      <c r="H116" s="167">
        <v>1</v>
      </c>
      <c r="I116" s="166">
        <v>105.86</v>
      </c>
      <c r="J116" s="167"/>
      <c r="K116" s="166"/>
    </row>
    <row r="117" spans="1:22" ht="15" x14ac:dyDescent="0.25">
      <c r="A117" s="164"/>
      <c r="B117" s="164"/>
      <c r="C117" s="165" t="s">
        <v>183</v>
      </c>
      <c r="D117" s="164"/>
      <c r="E117" s="164"/>
      <c r="F117" s="164"/>
      <c r="G117" s="164"/>
      <c r="H117" s="414">
        <v>2816.78</v>
      </c>
      <c r="I117" s="414"/>
      <c r="J117" s="414">
        <v>58494.94</v>
      </c>
      <c r="K117" s="414"/>
      <c r="O117" s="163">
        <f>I112+I114+I115+SUM(I113:I113)</f>
        <v>2816.78</v>
      </c>
      <c r="P117" s="163">
        <f>K112+K114+K115+SUM(K113:K113)</f>
        <v>58494.94</v>
      </c>
    </row>
    <row r="119" spans="1:22" ht="52.5" x14ac:dyDescent="0.2">
      <c r="A119" s="179" t="s">
        <v>1572</v>
      </c>
      <c r="B119" s="178" t="s">
        <v>607</v>
      </c>
      <c r="C119" s="178" t="s">
        <v>606</v>
      </c>
      <c r="D119" s="177" t="s">
        <v>2387</v>
      </c>
      <c r="E119" s="174">
        <v>0.8</v>
      </c>
      <c r="F119" s="176"/>
      <c r="G119" s="175"/>
      <c r="H119" s="174"/>
      <c r="I119" s="173"/>
      <c r="J119" s="174"/>
      <c r="K119" s="173"/>
      <c r="Q119" s="160">
        <f>[5]Source!X118</f>
        <v>8.5500000000000007</v>
      </c>
      <c r="R119" s="160">
        <f>[5]Source!X119</f>
        <v>138.75</v>
      </c>
      <c r="S119" s="160">
        <f>[5]Source!Y118</f>
        <v>6.27</v>
      </c>
      <c r="T119" s="160">
        <f>[5]Source!Y119</f>
        <v>77.930000000000007</v>
      </c>
      <c r="U119" s="160">
        <f>ROUND((175/100)*ROUND([5]Source!R118, 2), 2)</f>
        <v>7.09</v>
      </c>
      <c r="V119" s="160">
        <f>ROUND((157/100)*ROUND([5]Source!R119, 2), 2)</f>
        <v>148.47</v>
      </c>
    </row>
    <row r="120" spans="1:22" ht="14.25" x14ac:dyDescent="0.2">
      <c r="A120" s="179"/>
      <c r="B120" s="178"/>
      <c r="C120" s="178" t="s">
        <v>197</v>
      </c>
      <c r="D120" s="177"/>
      <c r="E120" s="174"/>
      <c r="F120" s="176">
        <v>8.85</v>
      </c>
      <c r="G120" s="175" t="s">
        <v>1548</v>
      </c>
      <c r="H120" s="174">
        <v>1</v>
      </c>
      <c r="I120" s="173">
        <v>8.14</v>
      </c>
      <c r="J120" s="174">
        <v>23.35</v>
      </c>
      <c r="K120" s="173">
        <v>190.07</v>
      </c>
    </row>
    <row r="121" spans="1:22" ht="14.25" x14ac:dyDescent="0.2">
      <c r="A121" s="179"/>
      <c r="B121" s="178"/>
      <c r="C121" s="178" t="s">
        <v>184</v>
      </c>
      <c r="D121" s="177"/>
      <c r="E121" s="174"/>
      <c r="F121" s="176">
        <v>16.02</v>
      </c>
      <c r="G121" s="175" t="s">
        <v>1549</v>
      </c>
      <c r="H121" s="174">
        <v>1</v>
      </c>
      <c r="I121" s="173">
        <v>16.02</v>
      </c>
      <c r="J121" s="174">
        <v>10.59</v>
      </c>
      <c r="K121" s="173">
        <v>169.65</v>
      </c>
    </row>
    <row r="122" spans="1:22" ht="14.25" x14ac:dyDescent="0.2">
      <c r="A122" s="179"/>
      <c r="B122" s="178"/>
      <c r="C122" s="178" t="s">
        <v>189</v>
      </c>
      <c r="D122" s="177"/>
      <c r="E122" s="174"/>
      <c r="F122" s="176">
        <v>4.05</v>
      </c>
      <c r="G122" s="175" t="s">
        <v>1549</v>
      </c>
      <c r="H122" s="174">
        <v>1</v>
      </c>
      <c r="I122" s="180">
        <v>4.05</v>
      </c>
      <c r="J122" s="174">
        <v>23.35</v>
      </c>
      <c r="K122" s="180">
        <v>94.57</v>
      </c>
    </row>
    <row r="123" spans="1:22" ht="14.25" x14ac:dyDescent="0.2">
      <c r="A123" s="179"/>
      <c r="B123" s="178"/>
      <c r="C123" s="178" t="s">
        <v>205</v>
      </c>
      <c r="D123" s="177"/>
      <c r="E123" s="174"/>
      <c r="F123" s="176">
        <v>1.06</v>
      </c>
      <c r="G123" s="175" t="s">
        <v>195</v>
      </c>
      <c r="H123" s="174">
        <v>1</v>
      </c>
      <c r="I123" s="173">
        <v>0.85</v>
      </c>
      <c r="J123" s="174">
        <v>4.7699999999999996</v>
      </c>
      <c r="K123" s="173">
        <v>4.05</v>
      </c>
    </row>
    <row r="124" spans="1:22" ht="42.75" x14ac:dyDescent="0.2">
      <c r="A124" s="179" t="s">
        <v>1574</v>
      </c>
      <c r="B124" s="178" t="s">
        <v>2388</v>
      </c>
      <c r="C124" s="178" t="s">
        <v>605</v>
      </c>
      <c r="D124" s="177" t="s">
        <v>1594</v>
      </c>
      <c r="E124" s="174">
        <v>0.92</v>
      </c>
      <c r="F124" s="176">
        <v>266.02</v>
      </c>
      <c r="G124" s="182" t="s">
        <v>195</v>
      </c>
      <c r="H124" s="174">
        <v>1</v>
      </c>
      <c r="I124" s="173">
        <v>244.74</v>
      </c>
      <c r="J124" s="174">
        <v>8.73</v>
      </c>
      <c r="K124" s="173">
        <v>2136.58</v>
      </c>
      <c r="Q124" s="160">
        <f>[5]Source!X120</f>
        <v>0</v>
      </c>
      <c r="R124" s="160">
        <f>[5]Source!X121</f>
        <v>0</v>
      </c>
      <c r="S124" s="160">
        <f>[5]Source!Y120</f>
        <v>0</v>
      </c>
      <c r="T124" s="160">
        <f>[5]Source!Y121</f>
        <v>0</v>
      </c>
      <c r="U124" s="160">
        <f>ROUND((175/100)*ROUND([5]Source!R120, 2), 2)</f>
        <v>0</v>
      </c>
      <c r="V124" s="160">
        <f>ROUND((157/100)*ROUND([5]Source!R121, 2), 2)</f>
        <v>0</v>
      </c>
    </row>
    <row r="125" spans="1:22" ht="14.25" x14ac:dyDescent="0.2">
      <c r="A125" s="179"/>
      <c r="B125" s="178"/>
      <c r="C125" s="178" t="s">
        <v>194</v>
      </c>
      <c r="D125" s="177" t="s">
        <v>187</v>
      </c>
      <c r="E125" s="174">
        <v>105</v>
      </c>
      <c r="F125" s="176"/>
      <c r="G125" s="175"/>
      <c r="H125" s="174"/>
      <c r="I125" s="173">
        <v>8.5500000000000007</v>
      </c>
      <c r="J125" s="174">
        <v>73</v>
      </c>
      <c r="K125" s="173">
        <v>138.75</v>
      </c>
    </row>
    <row r="126" spans="1:22" ht="14.25" x14ac:dyDescent="0.2">
      <c r="A126" s="179"/>
      <c r="B126" s="178"/>
      <c r="C126" s="178" t="s">
        <v>193</v>
      </c>
      <c r="D126" s="177" t="s">
        <v>187</v>
      </c>
      <c r="E126" s="174">
        <v>77</v>
      </c>
      <c r="F126" s="176"/>
      <c r="G126" s="175"/>
      <c r="H126" s="174"/>
      <c r="I126" s="173">
        <v>6.27</v>
      </c>
      <c r="J126" s="174">
        <v>41</v>
      </c>
      <c r="K126" s="173">
        <v>77.930000000000007</v>
      </c>
    </row>
    <row r="127" spans="1:22" ht="14.25" x14ac:dyDescent="0.2">
      <c r="A127" s="179"/>
      <c r="B127" s="178"/>
      <c r="C127" s="178" t="s">
        <v>188</v>
      </c>
      <c r="D127" s="177" t="s">
        <v>187</v>
      </c>
      <c r="E127" s="174">
        <v>175</v>
      </c>
      <c r="F127" s="176"/>
      <c r="G127" s="175"/>
      <c r="H127" s="174"/>
      <c r="I127" s="173">
        <v>7.09</v>
      </c>
      <c r="J127" s="174">
        <v>157</v>
      </c>
      <c r="K127" s="173">
        <v>148.47</v>
      </c>
    </row>
    <row r="128" spans="1:22" ht="14.25" x14ac:dyDescent="0.2">
      <c r="A128" s="172"/>
      <c r="B128" s="171"/>
      <c r="C128" s="171" t="s">
        <v>192</v>
      </c>
      <c r="D128" s="170" t="s">
        <v>191</v>
      </c>
      <c r="E128" s="167">
        <v>0.85</v>
      </c>
      <c r="F128" s="169"/>
      <c r="G128" s="168" t="s">
        <v>1548</v>
      </c>
      <c r="H128" s="167">
        <v>1</v>
      </c>
      <c r="I128" s="166">
        <v>0.78</v>
      </c>
      <c r="J128" s="167"/>
      <c r="K128" s="166"/>
    </row>
    <row r="129" spans="1:22" ht="15" x14ac:dyDescent="0.25">
      <c r="A129" s="164"/>
      <c r="B129" s="164"/>
      <c r="C129" s="165" t="s">
        <v>183</v>
      </c>
      <c r="D129" s="164"/>
      <c r="E129" s="164"/>
      <c r="F129" s="164"/>
      <c r="G129" s="164"/>
      <c r="H129" s="414">
        <v>291.66000000000003</v>
      </c>
      <c r="I129" s="414"/>
      <c r="J129" s="414">
        <v>2865.5</v>
      </c>
      <c r="K129" s="414"/>
      <c r="O129" s="163">
        <f>I120+I121+I123+I125+I126+I127+SUM(I124:I124)</f>
        <v>291.66000000000003</v>
      </c>
      <c r="P129" s="163">
        <f>K120+K121+K123+K125+K126+K127+SUM(K124:K124)</f>
        <v>2865.5</v>
      </c>
    </row>
    <row r="131" spans="1:22" ht="65.25" x14ac:dyDescent="0.2">
      <c r="A131" s="179" t="s">
        <v>1578</v>
      </c>
      <c r="B131" s="178" t="s">
        <v>604</v>
      </c>
      <c r="C131" s="178" t="s">
        <v>262</v>
      </c>
      <c r="D131" s="177" t="s">
        <v>1749</v>
      </c>
      <c r="E131" s="174">
        <v>8.0000000000000002E-3</v>
      </c>
      <c r="F131" s="176"/>
      <c r="G131" s="175"/>
      <c r="H131" s="174"/>
      <c r="I131" s="173"/>
      <c r="J131" s="174"/>
      <c r="K131" s="173"/>
      <c r="Q131" s="160">
        <f>[5]Source!X122</f>
        <v>12.44</v>
      </c>
      <c r="R131" s="160">
        <f>[5]Source!X123</f>
        <v>201.49</v>
      </c>
      <c r="S131" s="160">
        <f>[5]Source!Y122</f>
        <v>8.8800000000000008</v>
      </c>
      <c r="T131" s="160">
        <f>[5]Source!Y123</f>
        <v>121.49</v>
      </c>
      <c r="U131" s="160">
        <f>ROUND((175/100)*ROUND([5]Source!R122, 2), 2)</f>
        <v>0.04</v>
      </c>
      <c r="V131" s="160">
        <f>ROUND((157/100)*ROUND([5]Source!R123, 2), 2)</f>
        <v>0.74</v>
      </c>
    </row>
    <row r="132" spans="1:22" ht="14.25" x14ac:dyDescent="0.2">
      <c r="A132" s="179"/>
      <c r="B132" s="178"/>
      <c r="C132" s="178" t="s">
        <v>197</v>
      </c>
      <c r="D132" s="177"/>
      <c r="E132" s="174"/>
      <c r="F132" s="176">
        <v>1379.7</v>
      </c>
      <c r="G132" s="175" t="s">
        <v>1548</v>
      </c>
      <c r="H132" s="174">
        <v>1</v>
      </c>
      <c r="I132" s="173">
        <v>12.69</v>
      </c>
      <c r="J132" s="174">
        <v>23.35</v>
      </c>
      <c r="K132" s="173">
        <v>296.31</v>
      </c>
    </row>
    <row r="133" spans="1:22" ht="14.25" x14ac:dyDescent="0.2">
      <c r="A133" s="179"/>
      <c r="B133" s="178"/>
      <c r="C133" s="178" t="s">
        <v>184</v>
      </c>
      <c r="D133" s="177"/>
      <c r="E133" s="174"/>
      <c r="F133" s="176">
        <v>22.6</v>
      </c>
      <c r="G133" s="175" t="s">
        <v>1549</v>
      </c>
      <c r="H133" s="174">
        <v>1</v>
      </c>
      <c r="I133" s="173">
        <v>0.23</v>
      </c>
      <c r="J133" s="174">
        <v>5.49</v>
      </c>
      <c r="K133" s="173">
        <v>1.26</v>
      </c>
    </row>
    <row r="134" spans="1:22" ht="14.25" x14ac:dyDescent="0.2">
      <c r="A134" s="179"/>
      <c r="B134" s="178"/>
      <c r="C134" s="178" t="s">
        <v>189</v>
      </c>
      <c r="D134" s="177"/>
      <c r="E134" s="174"/>
      <c r="F134" s="176">
        <v>2.09</v>
      </c>
      <c r="G134" s="175" t="s">
        <v>1549</v>
      </c>
      <c r="H134" s="174">
        <v>1</v>
      </c>
      <c r="I134" s="180">
        <v>0.02</v>
      </c>
      <c r="J134" s="174">
        <v>23.35</v>
      </c>
      <c r="K134" s="180">
        <v>0.47</v>
      </c>
    </row>
    <row r="135" spans="1:22" ht="14.25" x14ac:dyDescent="0.2">
      <c r="A135" s="179"/>
      <c r="B135" s="178"/>
      <c r="C135" s="178" t="s">
        <v>205</v>
      </c>
      <c r="D135" s="177"/>
      <c r="E135" s="174"/>
      <c r="F135" s="176">
        <v>1859.87</v>
      </c>
      <c r="G135" s="175" t="s">
        <v>195</v>
      </c>
      <c r="H135" s="174">
        <v>1</v>
      </c>
      <c r="I135" s="173">
        <v>14.88</v>
      </c>
      <c r="J135" s="174">
        <v>3.05</v>
      </c>
      <c r="K135" s="173">
        <v>45.38</v>
      </c>
    </row>
    <row r="136" spans="1:22" ht="57" x14ac:dyDescent="0.2">
      <c r="A136" s="179" t="s">
        <v>1581</v>
      </c>
      <c r="B136" s="178" t="s">
        <v>1743</v>
      </c>
      <c r="C136" s="178" t="s">
        <v>250</v>
      </c>
      <c r="D136" s="177" t="s">
        <v>1594</v>
      </c>
      <c r="E136" s="174">
        <v>0.82</v>
      </c>
      <c r="F136" s="176">
        <v>494.49</v>
      </c>
      <c r="G136" s="182" t="s">
        <v>195</v>
      </c>
      <c r="H136" s="174">
        <v>1</v>
      </c>
      <c r="I136" s="173">
        <v>405.48</v>
      </c>
      <c r="J136" s="174">
        <v>6.62</v>
      </c>
      <c r="K136" s="173">
        <v>2684.28</v>
      </c>
      <c r="Q136" s="160">
        <f>[5]Source!X124</f>
        <v>0</v>
      </c>
      <c r="R136" s="160">
        <f>[5]Source!X125</f>
        <v>0</v>
      </c>
      <c r="S136" s="160">
        <f>[5]Source!Y124</f>
        <v>0</v>
      </c>
      <c r="T136" s="160">
        <f>[5]Source!Y125</f>
        <v>0</v>
      </c>
      <c r="U136" s="160">
        <f>ROUND((175/100)*ROUND([5]Source!R124, 2), 2)</f>
        <v>0</v>
      </c>
      <c r="V136" s="160">
        <f>ROUND((157/100)*ROUND([5]Source!R125, 2), 2)</f>
        <v>0</v>
      </c>
    </row>
    <row r="137" spans="1:22" ht="14.25" x14ac:dyDescent="0.2">
      <c r="A137" s="179"/>
      <c r="B137" s="178"/>
      <c r="C137" s="178" t="s">
        <v>194</v>
      </c>
      <c r="D137" s="177" t="s">
        <v>187</v>
      </c>
      <c r="E137" s="174">
        <v>98</v>
      </c>
      <c r="F137" s="176"/>
      <c r="G137" s="175"/>
      <c r="H137" s="174"/>
      <c r="I137" s="173">
        <v>12.44</v>
      </c>
      <c r="J137" s="174">
        <v>68</v>
      </c>
      <c r="K137" s="173">
        <v>201.49</v>
      </c>
    </row>
    <row r="138" spans="1:22" ht="14.25" x14ac:dyDescent="0.2">
      <c r="A138" s="179"/>
      <c r="B138" s="178"/>
      <c r="C138" s="178" t="s">
        <v>193</v>
      </c>
      <c r="D138" s="177" t="s">
        <v>187</v>
      </c>
      <c r="E138" s="174">
        <v>70</v>
      </c>
      <c r="F138" s="176"/>
      <c r="G138" s="175"/>
      <c r="H138" s="174"/>
      <c r="I138" s="173">
        <v>8.8800000000000008</v>
      </c>
      <c r="J138" s="174">
        <v>41</v>
      </c>
      <c r="K138" s="173">
        <v>121.49</v>
      </c>
    </row>
    <row r="139" spans="1:22" ht="14.25" x14ac:dyDescent="0.2">
      <c r="A139" s="179"/>
      <c r="B139" s="178"/>
      <c r="C139" s="178" t="s">
        <v>188</v>
      </c>
      <c r="D139" s="177" t="s">
        <v>187</v>
      </c>
      <c r="E139" s="174">
        <v>175</v>
      </c>
      <c r="F139" s="176"/>
      <c r="G139" s="175"/>
      <c r="H139" s="174"/>
      <c r="I139" s="173">
        <v>0.04</v>
      </c>
      <c r="J139" s="174">
        <v>157</v>
      </c>
      <c r="K139" s="173">
        <v>0.74</v>
      </c>
    </row>
    <row r="140" spans="1:22" ht="14.25" x14ac:dyDescent="0.2">
      <c r="A140" s="172"/>
      <c r="B140" s="171"/>
      <c r="C140" s="171" t="s">
        <v>192</v>
      </c>
      <c r="D140" s="170" t="s">
        <v>191</v>
      </c>
      <c r="E140" s="167">
        <v>135</v>
      </c>
      <c r="F140" s="169"/>
      <c r="G140" s="168" t="s">
        <v>1548</v>
      </c>
      <c r="H140" s="167">
        <v>1</v>
      </c>
      <c r="I140" s="166">
        <v>1.24</v>
      </c>
      <c r="J140" s="167"/>
      <c r="K140" s="166"/>
    </row>
    <row r="141" spans="1:22" ht="15" x14ac:dyDescent="0.25">
      <c r="A141" s="164"/>
      <c r="B141" s="164"/>
      <c r="C141" s="165" t="s">
        <v>183</v>
      </c>
      <c r="D141" s="164"/>
      <c r="E141" s="164"/>
      <c r="F141" s="164"/>
      <c r="G141" s="164"/>
      <c r="H141" s="414">
        <v>454.64</v>
      </c>
      <c r="I141" s="414"/>
      <c r="J141" s="414">
        <v>3350.95</v>
      </c>
      <c r="K141" s="414"/>
      <c r="O141" s="163">
        <f>I132+I133+I135+I137+I138+I139+SUM(I136:I136)</f>
        <v>454.64</v>
      </c>
      <c r="P141" s="163">
        <f>K132+K133+K135+K137+K138+K139+SUM(K136:K136)</f>
        <v>3350.95</v>
      </c>
    </row>
    <row r="143" spans="1:22" ht="52.5" x14ac:dyDescent="0.2">
      <c r="A143" s="179" t="s">
        <v>1587</v>
      </c>
      <c r="B143" s="178" t="s">
        <v>603</v>
      </c>
      <c r="C143" s="178" t="s">
        <v>602</v>
      </c>
      <c r="D143" s="177" t="s">
        <v>1749</v>
      </c>
      <c r="E143" s="174">
        <v>4.4999999999999998E-2</v>
      </c>
      <c r="F143" s="176"/>
      <c r="G143" s="175"/>
      <c r="H143" s="174"/>
      <c r="I143" s="173"/>
      <c r="J143" s="174"/>
      <c r="K143" s="173"/>
      <c r="Q143" s="160">
        <f>[5]Source!X126</f>
        <v>250.05</v>
      </c>
      <c r="R143" s="160">
        <f>[5]Source!X127</f>
        <v>4051.27</v>
      </c>
      <c r="S143" s="160">
        <f>[5]Source!Y126</f>
        <v>178.61</v>
      </c>
      <c r="T143" s="160">
        <f>[5]Source!Y127</f>
        <v>2442.6799999999998</v>
      </c>
      <c r="U143" s="160">
        <f>ROUND((175/100)*ROUND([5]Source!R126, 2), 2)</f>
        <v>1.96</v>
      </c>
      <c r="V143" s="160">
        <f>ROUND((157/100)*ROUND([5]Source!R127, 2), 2)</f>
        <v>41.06</v>
      </c>
    </row>
    <row r="144" spans="1:22" ht="14.25" x14ac:dyDescent="0.2">
      <c r="A144" s="179"/>
      <c r="B144" s="178"/>
      <c r="C144" s="178" t="s">
        <v>197</v>
      </c>
      <c r="D144" s="177"/>
      <c r="E144" s="174"/>
      <c r="F144" s="176">
        <v>4930.38</v>
      </c>
      <c r="G144" s="175" t="s">
        <v>1548</v>
      </c>
      <c r="H144" s="174">
        <v>1</v>
      </c>
      <c r="I144" s="173">
        <v>255.15</v>
      </c>
      <c r="J144" s="174">
        <v>23.35</v>
      </c>
      <c r="K144" s="173">
        <v>5957.75</v>
      </c>
    </row>
    <row r="145" spans="1:22" ht="14.25" x14ac:dyDescent="0.2">
      <c r="A145" s="179"/>
      <c r="B145" s="178"/>
      <c r="C145" s="178" t="s">
        <v>184</v>
      </c>
      <c r="D145" s="177"/>
      <c r="E145" s="174"/>
      <c r="F145" s="176">
        <v>177.56</v>
      </c>
      <c r="G145" s="175" t="s">
        <v>1549</v>
      </c>
      <c r="H145" s="174">
        <v>1</v>
      </c>
      <c r="I145" s="173">
        <v>9.99</v>
      </c>
      <c r="J145" s="174">
        <v>7.44</v>
      </c>
      <c r="K145" s="173">
        <v>74.33</v>
      </c>
    </row>
    <row r="146" spans="1:22" ht="14.25" x14ac:dyDescent="0.2">
      <c r="A146" s="179"/>
      <c r="B146" s="178"/>
      <c r="C146" s="178" t="s">
        <v>189</v>
      </c>
      <c r="D146" s="177"/>
      <c r="E146" s="174"/>
      <c r="F146" s="176">
        <v>19.850000000000001</v>
      </c>
      <c r="G146" s="175" t="s">
        <v>1549</v>
      </c>
      <c r="H146" s="174">
        <v>1</v>
      </c>
      <c r="I146" s="180">
        <v>1.1200000000000001</v>
      </c>
      <c r="J146" s="174">
        <v>23.35</v>
      </c>
      <c r="K146" s="180">
        <v>26.15</v>
      </c>
    </row>
    <row r="147" spans="1:22" ht="14.25" x14ac:dyDescent="0.2">
      <c r="A147" s="179"/>
      <c r="B147" s="178"/>
      <c r="C147" s="178" t="s">
        <v>205</v>
      </c>
      <c r="D147" s="177"/>
      <c r="E147" s="174"/>
      <c r="F147" s="176">
        <v>6633.91</v>
      </c>
      <c r="G147" s="175" t="s">
        <v>195</v>
      </c>
      <c r="H147" s="174">
        <v>1</v>
      </c>
      <c r="I147" s="173">
        <v>298.52999999999997</v>
      </c>
      <c r="J147" s="174">
        <v>3.75</v>
      </c>
      <c r="K147" s="173">
        <v>1119.49</v>
      </c>
    </row>
    <row r="148" spans="1:22" ht="57" x14ac:dyDescent="0.2">
      <c r="A148" s="179" t="s">
        <v>1588</v>
      </c>
      <c r="B148" s="178" t="s">
        <v>2138</v>
      </c>
      <c r="C148" s="178" t="s">
        <v>554</v>
      </c>
      <c r="D148" s="177" t="s">
        <v>1594</v>
      </c>
      <c r="E148" s="174">
        <v>4.59</v>
      </c>
      <c r="F148" s="176">
        <v>745.24</v>
      </c>
      <c r="G148" s="182" t="s">
        <v>195</v>
      </c>
      <c r="H148" s="174">
        <v>1</v>
      </c>
      <c r="I148" s="173">
        <v>3420.65</v>
      </c>
      <c r="J148" s="174">
        <v>5.92</v>
      </c>
      <c r="K148" s="173">
        <v>20250.25</v>
      </c>
      <c r="Q148" s="160">
        <f>[5]Source!X128</f>
        <v>0</v>
      </c>
      <c r="R148" s="160">
        <f>[5]Source!X129</f>
        <v>0</v>
      </c>
      <c r="S148" s="160">
        <f>[5]Source!Y128</f>
        <v>0</v>
      </c>
      <c r="T148" s="160">
        <f>[5]Source!Y129</f>
        <v>0</v>
      </c>
      <c r="U148" s="160">
        <f>ROUND((175/100)*ROUND([5]Source!R128, 2), 2)</f>
        <v>0</v>
      </c>
      <c r="V148" s="160">
        <f>ROUND((157/100)*ROUND([5]Source!R129, 2), 2)</f>
        <v>0</v>
      </c>
    </row>
    <row r="149" spans="1:22" ht="14.25" x14ac:dyDescent="0.2">
      <c r="A149" s="179"/>
      <c r="B149" s="178"/>
      <c r="C149" s="178" t="s">
        <v>194</v>
      </c>
      <c r="D149" s="177" t="s">
        <v>187</v>
      </c>
      <c r="E149" s="174">
        <v>98</v>
      </c>
      <c r="F149" s="176"/>
      <c r="G149" s="175"/>
      <c r="H149" s="174"/>
      <c r="I149" s="173">
        <v>250.05</v>
      </c>
      <c r="J149" s="174">
        <v>68</v>
      </c>
      <c r="K149" s="173">
        <v>4051.27</v>
      </c>
    </row>
    <row r="150" spans="1:22" ht="14.25" x14ac:dyDescent="0.2">
      <c r="A150" s="179"/>
      <c r="B150" s="178"/>
      <c r="C150" s="178" t="s">
        <v>193</v>
      </c>
      <c r="D150" s="177" t="s">
        <v>187</v>
      </c>
      <c r="E150" s="174">
        <v>70</v>
      </c>
      <c r="F150" s="176"/>
      <c r="G150" s="175"/>
      <c r="H150" s="174"/>
      <c r="I150" s="173">
        <v>178.61</v>
      </c>
      <c r="J150" s="174">
        <v>41</v>
      </c>
      <c r="K150" s="173">
        <v>2442.6799999999998</v>
      </c>
    </row>
    <row r="151" spans="1:22" ht="14.25" x14ac:dyDescent="0.2">
      <c r="A151" s="179"/>
      <c r="B151" s="178"/>
      <c r="C151" s="178" t="s">
        <v>188</v>
      </c>
      <c r="D151" s="177" t="s">
        <v>187</v>
      </c>
      <c r="E151" s="174">
        <v>175</v>
      </c>
      <c r="F151" s="176"/>
      <c r="G151" s="175"/>
      <c r="H151" s="174"/>
      <c r="I151" s="173">
        <v>1.96</v>
      </c>
      <c r="J151" s="174">
        <v>157</v>
      </c>
      <c r="K151" s="173">
        <v>41.06</v>
      </c>
    </row>
    <row r="152" spans="1:22" ht="14.25" x14ac:dyDescent="0.2">
      <c r="A152" s="172"/>
      <c r="B152" s="171"/>
      <c r="C152" s="171" t="s">
        <v>192</v>
      </c>
      <c r="D152" s="170" t="s">
        <v>191</v>
      </c>
      <c r="E152" s="167">
        <v>441</v>
      </c>
      <c r="F152" s="169"/>
      <c r="G152" s="168" t="s">
        <v>1548</v>
      </c>
      <c r="H152" s="167">
        <v>1</v>
      </c>
      <c r="I152" s="166">
        <v>22.82</v>
      </c>
      <c r="J152" s="167"/>
      <c r="K152" s="166"/>
    </row>
    <row r="153" spans="1:22" ht="15" x14ac:dyDescent="0.25">
      <c r="A153" s="164"/>
      <c r="B153" s="164"/>
      <c r="C153" s="165" t="s">
        <v>183</v>
      </c>
      <c r="D153" s="164"/>
      <c r="E153" s="164"/>
      <c r="F153" s="164"/>
      <c r="G153" s="164"/>
      <c r="H153" s="414">
        <v>4414.9399999999996</v>
      </c>
      <c r="I153" s="414"/>
      <c r="J153" s="414">
        <v>33936.83</v>
      </c>
      <c r="K153" s="414"/>
      <c r="O153" s="163">
        <f>I144+I145+I147+I149+I150+I151+SUM(I148:I148)</f>
        <v>4414.9399999999996</v>
      </c>
      <c r="P153" s="163">
        <f>K144+K145+K147+K149+K150+K151+SUM(K148:K148)</f>
        <v>33936.83</v>
      </c>
    </row>
    <row r="155" spans="1:22" ht="52.5" x14ac:dyDescent="0.2">
      <c r="A155" s="179" t="s">
        <v>1589</v>
      </c>
      <c r="B155" s="178" t="s">
        <v>230</v>
      </c>
      <c r="C155" s="178" t="s">
        <v>229</v>
      </c>
      <c r="D155" s="177" t="s">
        <v>1785</v>
      </c>
      <c r="E155" s="174">
        <v>0.36</v>
      </c>
      <c r="F155" s="176"/>
      <c r="G155" s="175"/>
      <c r="H155" s="174"/>
      <c r="I155" s="173"/>
      <c r="J155" s="174"/>
      <c r="K155" s="173"/>
      <c r="Q155" s="160">
        <f>[5]Source!X130</f>
        <v>54.64</v>
      </c>
      <c r="R155" s="160">
        <f>[5]Source!X131</f>
        <v>885.36</v>
      </c>
      <c r="S155" s="160">
        <f>[5]Source!Y130</f>
        <v>39.03</v>
      </c>
      <c r="T155" s="160">
        <f>[5]Source!Y131</f>
        <v>533.82000000000005</v>
      </c>
      <c r="U155" s="160">
        <f>ROUND((175/100)*ROUND([5]Source!R130, 2), 2)</f>
        <v>4.41</v>
      </c>
      <c r="V155" s="160">
        <f>ROUND((157/100)*ROUND([5]Source!R131, 2), 2)</f>
        <v>92.38</v>
      </c>
    </row>
    <row r="156" spans="1:22" ht="14.25" x14ac:dyDescent="0.2">
      <c r="A156" s="179"/>
      <c r="B156" s="178"/>
      <c r="C156" s="178" t="s">
        <v>197</v>
      </c>
      <c r="D156" s="177"/>
      <c r="E156" s="174"/>
      <c r="F156" s="176">
        <v>134.68</v>
      </c>
      <c r="G156" s="175" t="s">
        <v>1548</v>
      </c>
      <c r="H156" s="174">
        <v>1</v>
      </c>
      <c r="I156" s="173">
        <v>55.76</v>
      </c>
      <c r="J156" s="174">
        <v>23.35</v>
      </c>
      <c r="K156" s="173">
        <v>1302</v>
      </c>
    </row>
    <row r="157" spans="1:22" ht="14.25" x14ac:dyDescent="0.2">
      <c r="A157" s="179"/>
      <c r="B157" s="178"/>
      <c r="C157" s="178" t="s">
        <v>184</v>
      </c>
      <c r="D157" s="177"/>
      <c r="E157" s="174"/>
      <c r="F157" s="176">
        <v>44</v>
      </c>
      <c r="G157" s="175" t="s">
        <v>1549</v>
      </c>
      <c r="H157" s="174">
        <v>1</v>
      </c>
      <c r="I157" s="173">
        <v>19.8</v>
      </c>
      <c r="J157" s="174">
        <v>8.19</v>
      </c>
      <c r="K157" s="173">
        <v>162.16</v>
      </c>
    </row>
    <row r="158" spans="1:22" ht="14.25" x14ac:dyDescent="0.2">
      <c r="A158" s="179"/>
      <c r="B158" s="178"/>
      <c r="C158" s="178" t="s">
        <v>189</v>
      </c>
      <c r="D158" s="177"/>
      <c r="E158" s="174"/>
      <c r="F158" s="176">
        <v>5.59</v>
      </c>
      <c r="G158" s="175" t="s">
        <v>1549</v>
      </c>
      <c r="H158" s="174">
        <v>1</v>
      </c>
      <c r="I158" s="180">
        <v>2.52</v>
      </c>
      <c r="J158" s="174">
        <v>23.35</v>
      </c>
      <c r="K158" s="180">
        <v>58.84</v>
      </c>
    </row>
    <row r="159" spans="1:22" ht="14.25" x14ac:dyDescent="0.2">
      <c r="A159" s="179"/>
      <c r="B159" s="178"/>
      <c r="C159" s="178" t="s">
        <v>205</v>
      </c>
      <c r="D159" s="177"/>
      <c r="E159" s="174"/>
      <c r="F159" s="176">
        <v>258.91000000000003</v>
      </c>
      <c r="G159" s="175" t="s">
        <v>195</v>
      </c>
      <c r="H159" s="174">
        <v>1</v>
      </c>
      <c r="I159" s="173">
        <v>93.21</v>
      </c>
      <c r="J159" s="174">
        <v>5.54</v>
      </c>
      <c r="K159" s="173">
        <v>516.38</v>
      </c>
    </row>
    <row r="160" spans="1:22" ht="57" x14ac:dyDescent="0.2">
      <c r="A160" s="179" t="s">
        <v>1592</v>
      </c>
      <c r="B160" s="178" t="s">
        <v>2389</v>
      </c>
      <c r="C160" s="178" t="s">
        <v>601</v>
      </c>
      <c r="D160" s="177" t="s">
        <v>1533</v>
      </c>
      <c r="E160" s="174">
        <v>0.36</v>
      </c>
      <c r="F160" s="176">
        <v>6340.75</v>
      </c>
      <c r="G160" s="182" t="s">
        <v>195</v>
      </c>
      <c r="H160" s="174">
        <v>1</v>
      </c>
      <c r="I160" s="173">
        <v>2282.67</v>
      </c>
      <c r="J160" s="174">
        <v>7.1</v>
      </c>
      <c r="K160" s="173">
        <v>16206.96</v>
      </c>
      <c r="Q160" s="160">
        <f>[5]Source!X132</f>
        <v>0</v>
      </c>
      <c r="R160" s="160">
        <f>[5]Source!X133</f>
        <v>0</v>
      </c>
      <c r="S160" s="160">
        <f>[5]Source!Y132</f>
        <v>0</v>
      </c>
      <c r="T160" s="160">
        <f>[5]Source!Y133</f>
        <v>0</v>
      </c>
      <c r="U160" s="160">
        <f>ROUND((175/100)*ROUND([5]Source!R132, 2), 2)</f>
        <v>0</v>
      </c>
      <c r="V160" s="160">
        <f>ROUND((157/100)*ROUND([5]Source!R133, 2), 2)</f>
        <v>0</v>
      </c>
    </row>
    <row r="161" spans="1:22" ht="14.25" x14ac:dyDescent="0.2">
      <c r="A161" s="179"/>
      <c r="B161" s="178"/>
      <c r="C161" s="178" t="s">
        <v>194</v>
      </c>
      <c r="D161" s="177" t="s">
        <v>187</v>
      </c>
      <c r="E161" s="174">
        <v>98</v>
      </c>
      <c r="F161" s="176"/>
      <c r="G161" s="175"/>
      <c r="H161" s="174"/>
      <c r="I161" s="173">
        <v>54.64</v>
      </c>
      <c r="J161" s="174">
        <v>68</v>
      </c>
      <c r="K161" s="173">
        <v>885.36</v>
      </c>
    </row>
    <row r="162" spans="1:22" ht="14.25" x14ac:dyDescent="0.2">
      <c r="A162" s="179"/>
      <c r="B162" s="178"/>
      <c r="C162" s="178" t="s">
        <v>193</v>
      </c>
      <c r="D162" s="177" t="s">
        <v>187</v>
      </c>
      <c r="E162" s="174">
        <v>70</v>
      </c>
      <c r="F162" s="176"/>
      <c r="G162" s="175"/>
      <c r="H162" s="174"/>
      <c r="I162" s="173">
        <v>39.03</v>
      </c>
      <c r="J162" s="174">
        <v>41</v>
      </c>
      <c r="K162" s="173">
        <v>533.82000000000005</v>
      </c>
    </row>
    <row r="163" spans="1:22" ht="14.25" x14ac:dyDescent="0.2">
      <c r="A163" s="179"/>
      <c r="B163" s="178"/>
      <c r="C163" s="178" t="s">
        <v>188</v>
      </c>
      <c r="D163" s="177" t="s">
        <v>187</v>
      </c>
      <c r="E163" s="174">
        <v>175</v>
      </c>
      <c r="F163" s="176"/>
      <c r="G163" s="175"/>
      <c r="H163" s="174"/>
      <c r="I163" s="173">
        <v>4.41</v>
      </c>
      <c r="J163" s="174">
        <v>157</v>
      </c>
      <c r="K163" s="173">
        <v>92.38</v>
      </c>
    </row>
    <row r="164" spans="1:22" ht="14.25" x14ac:dyDescent="0.2">
      <c r="A164" s="172"/>
      <c r="B164" s="171"/>
      <c r="C164" s="171" t="s">
        <v>192</v>
      </c>
      <c r="D164" s="170" t="s">
        <v>191</v>
      </c>
      <c r="E164" s="167">
        <v>11.6</v>
      </c>
      <c r="F164" s="169"/>
      <c r="G164" s="168" t="s">
        <v>1548</v>
      </c>
      <c r="H164" s="167">
        <v>1</v>
      </c>
      <c r="I164" s="166">
        <v>4.8</v>
      </c>
      <c r="J164" s="167"/>
      <c r="K164" s="166"/>
    </row>
    <row r="165" spans="1:22" ht="15" x14ac:dyDescent="0.25">
      <c r="A165" s="164"/>
      <c r="B165" s="164"/>
      <c r="C165" s="165" t="s">
        <v>183</v>
      </c>
      <c r="D165" s="164"/>
      <c r="E165" s="164"/>
      <c r="F165" s="164"/>
      <c r="G165" s="164"/>
      <c r="H165" s="414">
        <v>2549.52</v>
      </c>
      <c r="I165" s="414"/>
      <c r="J165" s="414">
        <v>19699.060000000001</v>
      </c>
      <c r="K165" s="414"/>
      <c r="O165" s="163">
        <f>I156+I157+I159+I161+I162+I163+SUM(I160:I160)</f>
        <v>2549.52</v>
      </c>
      <c r="P165" s="163">
        <f>K156+K157+K159+K161+K162+K163+SUM(K160:K160)</f>
        <v>19699.060000000001</v>
      </c>
    </row>
    <row r="167" spans="1:22" ht="71.25" x14ac:dyDescent="0.2">
      <c r="A167" s="179" t="s">
        <v>1599</v>
      </c>
      <c r="B167" s="178" t="s">
        <v>600</v>
      </c>
      <c r="C167" s="178" t="s">
        <v>599</v>
      </c>
      <c r="D167" s="177" t="s">
        <v>1855</v>
      </c>
      <c r="E167" s="174">
        <v>0.3</v>
      </c>
      <c r="F167" s="176"/>
      <c r="G167" s="175"/>
      <c r="H167" s="174"/>
      <c r="I167" s="173"/>
      <c r="J167" s="174"/>
      <c r="K167" s="173"/>
      <c r="Q167" s="160">
        <f>[5]Source!X134</f>
        <v>176.45</v>
      </c>
      <c r="R167" s="160">
        <f>[5]Source!X135</f>
        <v>2864.5</v>
      </c>
      <c r="S167" s="160">
        <f>[5]Source!Y134</f>
        <v>129.4</v>
      </c>
      <c r="T167" s="160">
        <f>[5]Source!Y135</f>
        <v>1608.83</v>
      </c>
      <c r="U167" s="160">
        <f>ROUND((175/100)*ROUND([5]Source!R134, 2), 2)</f>
        <v>8.77</v>
      </c>
      <c r="V167" s="160">
        <f>ROUND((157/100)*ROUND([5]Source!R135, 2), 2)</f>
        <v>183.66</v>
      </c>
    </row>
    <row r="168" spans="1:22" ht="14.25" x14ac:dyDescent="0.2">
      <c r="A168" s="179"/>
      <c r="B168" s="178"/>
      <c r="C168" s="178" t="s">
        <v>197</v>
      </c>
      <c r="D168" s="177"/>
      <c r="E168" s="174"/>
      <c r="F168" s="176">
        <v>487.11</v>
      </c>
      <c r="G168" s="175" t="s">
        <v>1548</v>
      </c>
      <c r="H168" s="174">
        <v>1</v>
      </c>
      <c r="I168" s="173">
        <v>168.05</v>
      </c>
      <c r="J168" s="174">
        <v>23.35</v>
      </c>
      <c r="K168" s="173">
        <v>3923.97</v>
      </c>
    </row>
    <row r="169" spans="1:22" ht="14.25" x14ac:dyDescent="0.2">
      <c r="A169" s="179"/>
      <c r="B169" s="178"/>
      <c r="C169" s="178" t="s">
        <v>184</v>
      </c>
      <c r="D169" s="177"/>
      <c r="E169" s="174"/>
      <c r="F169" s="176">
        <v>71.290000000000006</v>
      </c>
      <c r="G169" s="175" t="s">
        <v>1549</v>
      </c>
      <c r="H169" s="174">
        <v>1</v>
      </c>
      <c r="I169" s="173">
        <v>26.73</v>
      </c>
      <c r="J169" s="174">
        <v>8.7200000000000006</v>
      </c>
      <c r="K169" s="173">
        <v>233.09</v>
      </c>
    </row>
    <row r="170" spans="1:22" ht="14.25" x14ac:dyDescent="0.2">
      <c r="A170" s="179"/>
      <c r="B170" s="178"/>
      <c r="C170" s="178" t="s">
        <v>189</v>
      </c>
      <c r="D170" s="177"/>
      <c r="E170" s="174"/>
      <c r="F170" s="176">
        <v>13.35</v>
      </c>
      <c r="G170" s="175" t="s">
        <v>1549</v>
      </c>
      <c r="H170" s="174">
        <v>1</v>
      </c>
      <c r="I170" s="180">
        <v>5.01</v>
      </c>
      <c r="J170" s="174">
        <v>23.35</v>
      </c>
      <c r="K170" s="180">
        <v>116.98</v>
      </c>
    </row>
    <row r="171" spans="1:22" ht="14.25" x14ac:dyDescent="0.2">
      <c r="A171" s="179"/>
      <c r="B171" s="178"/>
      <c r="C171" s="178" t="s">
        <v>205</v>
      </c>
      <c r="D171" s="177"/>
      <c r="E171" s="174"/>
      <c r="F171" s="176">
        <v>27.72</v>
      </c>
      <c r="G171" s="175" t="s">
        <v>195</v>
      </c>
      <c r="H171" s="174">
        <v>1</v>
      </c>
      <c r="I171" s="173">
        <v>8.32</v>
      </c>
      <c r="J171" s="174">
        <v>5.42</v>
      </c>
      <c r="K171" s="173">
        <v>45.09</v>
      </c>
    </row>
    <row r="172" spans="1:22" ht="142.5" x14ac:dyDescent="0.2">
      <c r="A172" s="179" t="s">
        <v>1600</v>
      </c>
      <c r="B172" s="178" t="s">
        <v>2390</v>
      </c>
      <c r="C172" s="178" t="s">
        <v>598</v>
      </c>
      <c r="D172" s="177" t="s">
        <v>1533</v>
      </c>
      <c r="E172" s="174">
        <v>7.0000000000000007E-2</v>
      </c>
      <c r="F172" s="176">
        <v>11626.84</v>
      </c>
      <c r="G172" s="182" t="s">
        <v>195</v>
      </c>
      <c r="H172" s="174">
        <v>1</v>
      </c>
      <c r="I172" s="173">
        <v>813.88</v>
      </c>
      <c r="J172" s="174">
        <v>2.1</v>
      </c>
      <c r="K172" s="173">
        <v>1709.15</v>
      </c>
      <c r="Q172" s="160">
        <f>[5]Source!X136</f>
        <v>0</v>
      </c>
      <c r="R172" s="160">
        <f>[5]Source!X137</f>
        <v>0</v>
      </c>
      <c r="S172" s="160">
        <f>[5]Source!Y136</f>
        <v>0</v>
      </c>
      <c r="T172" s="160">
        <f>[5]Source!Y137</f>
        <v>0</v>
      </c>
      <c r="U172" s="160">
        <f>ROUND((175/100)*ROUND([5]Source!R136, 2), 2)</f>
        <v>0</v>
      </c>
      <c r="V172" s="160">
        <f>ROUND((157/100)*ROUND([5]Source!R137, 2), 2)</f>
        <v>0</v>
      </c>
    </row>
    <row r="173" spans="1:22" ht="14.25" x14ac:dyDescent="0.2">
      <c r="A173" s="179"/>
      <c r="B173" s="178"/>
      <c r="C173" s="178" t="s">
        <v>194</v>
      </c>
      <c r="D173" s="177" t="s">
        <v>187</v>
      </c>
      <c r="E173" s="174">
        <v>105</v>
      </c>
      <c r="F173" s="176"/>
      <c r="G173" s="175"/>
      <c r="H173" s="174"/>
      <c r="I173" s="173">
        <v>176.45</v>
      </c>
      <c r="J173" s="174">
        <v>73</v>
      </c>
      <c r="K173" s="173">
        <v>2864.5</v>
      </c>
    </row>
    <row r="174" spans="1:22" ht="14.25" x14ac:dyDescent="0.2">
      <c r="A174" s="179"/>
      <c r="B174" s="178"/>
      <c r="C174" s="178" t="s">
        <v>193</v>
      </c>
      <c r="D174" s="177" t="s">
        <v>187</v>
      </c>
      <c r="E174" s="174">
        <v>77</v>
      </c>
      <c r="F174" s="176"/>
      <c r="G174" s="175"/>
      <c r="H174" s="174"/>
      <c r="I174" s="173">
        <v>129.4</v>
      </c>
      <c r="J174" s="174">
        <v>41</v>
      </c>
      <c r="K174" s="173">
        <v>1608.83</v>
      </c>
    </row>
    <row r="175" spans="1:22" ht="14.25" x14ac:dyDescent="0.2">
      <c r="A175" s="179"/>
      <c r="B175" s="178"/>
      <c r="C175" s="178" t="s">
        <v>188</v>
      </c>
      <c r="D175" s="177" t="s">
        <v>187</v>
      </c>
      <c r="E175" s="174">
        <v>175</v>
      </c>
      <c r="F175" s="176"/>
      <c r="G175" s="175"/>
      <c r="H175" s="174"/>
      <c r="I175" s="173">
        <v>8.77</v>
      </c>
      <c r="J175" s="174">
        <v>157</v>
      </c>
      <c r="K175" s="173">
        <v>183.66</v>
      </c>
    </row>
    <row r="176" spans="1:22" ht="14.25" x14ac:dyDescent="0.2">
      <c r="A176" s="172"/>
      <c r="B176" s="171"/>
      <c r="C176" s="171" t="s">
        <v>192</v>
      </c>
      <c r="D176" s="170" t="s">
        <v>191</v>
      </c>
      <c r="E176" s="167">
        <v>39</v>
      </c>
      <c r="F176" s="169"/>
      <c r="G176" s="168" t="s">
        <v>1548</v>
      </c>
      <c r="H176" s="167">
        <v>1</v>
      </c>
      <c r="I176" s="166">
        <v>13.46</v>
      </c>
      <c r="J176" s="167"/>
      <c r="K176" s="166"/>
    </row>
    <row r="177" spans="1:22" ht="15" x14ac:dyDescent="0.25">
      <c r="A177" s="164"/>
      <c r="B177" s="164"/>
      <c r="C177" s="165" t="s">
        <v>183</v>
      </c>
      <c r="D177" s="164"/>
      <c r="E177" s="164"/>
      <c r="F177" s="164"/>
      <c r="G177" s="164"/>
      <c r="H177" s="414">
        <v>1331.6</v>
      </c>
      <c r="I177" s="414"/>
      <c r="J177" s="414">
        <v>10568.29</v>
      </c>
      <c r="K177" s="414"/>
      <c r="O177" s="163">
        <f>I168+I169+I171+I173+I174+I175+SUM(I172:I172)</f>
        <v>1331.6</v>
      </c>
      <c r="P177" s="163">
        <f>K168+K169+K171+K173+K174+K175+SUM(K172:K172)</f>
        <v>10568.29</v>
      </c>
    </row>
    <row r="179" spans="1:22" ht="52.5" x14ac:dyDescent="0.2">
      <c r="A179" s="179" t="s">
        <v>1602</v>
      </c>
      <c r="B179" s="178" t="s">
        <v>559</v>
      </c>
      <c r="C179" s="178" t="s">
        <v>564</v>
      </c>
      <c r="D179" s="177" t="s">
        <v>1785</v>
      </c>
      <c r="E179" s="174">
        <v>0.47</v>
      </c>
      <c r="F179" s="176"/>
      <c r="G179" s="175"/>
      <c r="H179" s="174"/>
      <c r="I179" s="173"/>
      <c r="J179" s="174"/>
      <c r="K179" s="173"/>
      <c r="Q179" s="160">
        <f>[5]Source!X138</f>
        <v>365.59</v>
      </c>
      <c r="R179" s="160">
        <f>[5]Source!X139</f>
        <v>5923.29</v>
      </c>
      <c r="S179" s="160">
        <f>[5]Source!Y138</f>
        <v>261.14</v>
      </c>
      <c r="T179" s="160">
        <f>[5]Source!Y139</f>
        <v>3571.4</v>
      </c>
      <c r="U179" s="160">
        <f>ROUND((175/100)*ROUND([5]Source!R138, 2), 2)</f>
        <v>5.43</v>
      </c>
      <c r="V179" s="160">
        <f>ROUND((157/100)*ROUND([5]Source!R139, 2), 2)</f>
        <v>113.65</v>
      </c>
    </row>
    <row r="180" spans="1:22" ht="14.25" x14ac:dyDescent="0.2">
      <c r="A180" s="179"/>
      <c r="B180" s="178"/>
      <c r="C180" s="178" t="s">
        <v>197</v>
      </c>
      <c r="D180" s="177"/>
      <c r="E180" s="174"/>
      <c r="F180" s="176">
        <v>690.2</v>
      </c>
      <c r="G180" s="175" t="s">
        <v>1548</v>
      </c>
      <c r="H180" s="174">
        <v>1</v>
      </c>
      <c r="I180" s="173">
        <v>373.05</v>
      </c>
      <c r="J180" s="174">
        <v>23.35</v>
      </c>
      <c r="K180" s="173">
        <v>8710.7199999999993</v>
      </c>
    </row>
    <row r="181" spans="1:22" ht="14.25" x14ac:dyDescent="0.2">
      <c r="A181" s="179"/>
      <c r="B181" s="178"/>
      <c r="C181" s="178" t="s">
        <v>184</v>
      </c>
      <c r="D181" s="177"/>
      <c r="E181" s="174"/>
      <c r="F181" s="176">
        <v>41.32</v>
      </c>
      <c r="G181" s="175" t="s">
        <v>1549</v>
      </c>
      <c r="H181" s="174">
        <v>1</v>
      </c>
      <c r="I181" s="173">
        <v>24.28</v>
      </c>
      <c r="J181" s="174">
        <v>8.1999999999999993</v>
      </c>
      <c r="K181" s="173">
        <v>199.1</v>
      </c>
    </row>
    <row r="182" spans="1:22" ht="14.25" x14ac:dyDescent="0.2">
      <c r="A182" s="179"/>
      <c r="B182" s="178"/>
      <c r="C182" s="178" t="s">
        <v>189</v>
      </c>
      <c r="D182" s="177"/>
      <c r="E182" s="174"/>
      <c r="F182" s="176">
        <v>5.27</v>
      </c>
      <c r="G182" s="175" t="s">
        <v>1549</v>
      </c>
      <c r="H182" s="174">
        <v>1</v>
      </c>
      <c r="I182" s="180">
        <v>3.1</v>
      </c>
      <c r="J182" s="174">
        <v>23.35</v>
      </c>
      <c r="K182" s="180">
        <v>72.39</v>
      </c>
    </row>
    <row r="183" spans="1:22" ht="57" x14ac:dyDescent="0.2">
      <c r="A183" s="179" t="s">
        <v>1604</v>
      </c>
      <c r="B183" s="178" t="s">
        <v>1571</v>
      </c>
      <c r="C183" s="178" t="s">
        <v>340</v>
      </c>
      <c r="D183" s="177" t="s">
        <v>1533</v>
      </c>
      <c r="E183" s="174">
        <v>0.47</v>
      </c>
      <c r="F183" s="176">
        <v>20268.29</v>
      </c>
      <c r="G183" s="182" t="s">
        <v>195</v>
      </c>
      <c r="H183" s="174">
        <v>1</v>
      </c>
      <c r="I183" s="173">
        <v>9526.1</v>
      </c>
      <c r="J183" s="174">
        <v>5.13</v>
      </c>
      <c r="K183" s="173">
        <v>48868.89</v>
      </c>
      <c r="Q183" s="160">
        <f>[5]Source!X140</f>
        <v>0</v>
      </c>
      <c r="R183" s="160">
        <f>[5]Source!X141</f>
        <v>0</v>
      </c>
      <c r="S183" s="160">
        <f>[5]Source!Y140</f>
        <v>0</v>
      </c>
      <c r="T183" s="160">
        <f>[5]Source!Y141</f>
        <v>0</v>
      </c>
      <c r="U183" s="160">
        <f>ROUND((175/100)*ROUND([5]Source!R140, 2), 2)</f>
        <v>0</v>
      </c>
      <c r="V183" s="160">
        <f>ROUND((157/100)*ROUND([5]Source!R141, 2), 2)</f>
        <v>0</v>
      </c>
    </row>
    <row r="184" spans="1:22" ht="14.25" x14ac:dyDescent="0.2">
      <c r="A184" s="179"/>
      <c r="B184" s="178"/>
      <c r="C184" s="178" t="s">
        <v>194</v>
      </c>
      <c r="D184" s="177" t="s">
        <v>187</v>
      </c>
      <c r="E184" s="174">
        <v>98</v>
      </c>
      <c r="F184" s="176"/>
      <c r="G184" s="175"/>
      <c r="H184" s="174"/>
      <c r="I184" s="173">
        <v>365.59</v>
      </c>
      <c r="J184" s="174">
        <v>68</v>
      </c>
      <c r="K184" s="173">
        <v>5923.29</v>
      </c>
    </row>
    <row r="185" spans="1:22" ht="14.25" x14ac:dyDescent="0.2">
      <c r="A185" s="179"/>
      <c r="B185" s="178"/>
      <c r="C185" s="178" t="s">
        <v>193</v>
      </c>
      <c r="D185" s="177" t="s">
        <v>187</v>
      </c>
      <c r="E185" s="174">
        <v>70</v>
      </c>
      <c r="F185" s="176"/>
      <c r="G185" s="175"/>
      <c r="H185" s="174"/>
      <c r="I185" s="173">
        <v>261.14</v>
      </c>
      <c r="J185" s="174">
        <v>41</v>
      </c>
      <c r="K185" s="173">
        <v>3571.4</v>
      </c>
    </row>
    <row r="186" spans="1:22" ht="14.25" x14ac:dyDescent="0.2">
      <c r="A186" s="179"/>
      <c r="B186" s="178"/>
      <c r="C186" s="178" t="s">
        <v>188</v>
      </c>
      <c r="D186" s="177" t="s">
        <v>187</v>
      </c>
      <c r="E186" s="174">
        <v>175</v>
      </c>
      <c r="F186" s="176"/>
      <c r="G186" s="175"/>
      <c r="H186" s="174"/>
      <c r="I186" s="173">
        <v>5.43</v>
      </c>
      <c r="J186" s="174">
        <v>157</v>
      </c>
      <c r="K186" s="173">
        <v>113.65</v>
      </c>
    </row>
    <row r="187" spans="1:22" ht="14.25" x14ac:dyDescent="0.2">
      <c r="A187" s="172"/>
      <c r="B187" s="171"/>
      <c r="C187" s="171" t="s">
        <v>192</v>
      </c>
      <c r="D187" s="170" t="s">
        <v>191</v>
      </c>
      <c r="E187" s="167">
        <v>58</v>
      </c>
      <c r="F187" s="169"/>
      <c r="G187" s="168" t="s">
        <v>1548</v>
      </c>
      <c r="H187" s="167">
        <v>1</v>
      </c>
      <c r="I187" s="166">
        <v>31.35</v>
      </c>
      <c r="J187" s="167"/>
      <c r="K187" s="166"/>
    </row>
    <row r="188" spans="1:22" ht="15" x14ac:dyDescent="0.25">
      <c r="A188" s="164"/>
      <c r="B188" s="164"/>
      <c r="C188" s="165" t="s">
        <v>183</v>
      </c>
      <c r="D188" s="164"/>
      <c r="E188" s="164"/>
      <c r="F188" s="164"/>
      <c r="G188" s="164"/>
      <c r="H188" s="414">
        <v>10555.59</v>
      </c>
      <c r="I188" s="414"/>
      <c r="J188" s="414">
        <v>67387.05</v>
      </c>
      <c r="K188" s="414"/>
      <c r="O188" s="163">
        <f>I180+I181+I184+I185+I186+SUM(I183:I183)</f>
        <v>10555.59</v>
      </c>
      <c r="P188" s="163">
        <f>K180+K181+K184+K185+K186+SUM(K183:K183)</f>
        <v>67387.05</v>
      </c>
    </row>
    <row r="190" spans="1:22" ht="57" x14ac:dyDescent="0.2">
      <c r="A190" s="179" t="s">
        <v>1607</v>
      </c>
      <c r="B190" s="178" t="s">
        <v>597</v>
      </c>
      <c r="C190" s="178" t="s">
        <v>596</v>
      </c>
      <c r="D190" s="177" t="s">
        <v>2175</v>
      </c>
      <c r="E190" s="174">
        <v>8.59</v>
      </c>
      <c r="F190" s="176"/>
      <c r="G190" s="175"/>
      <c r="H190" s="174"/>
      <c r="I190" s="173"/>
      <c r="J190" s="174"/>
      <c r="K190" s="173"/>
      <c r="Q190" s="160">
        <f>[5]Source!X142</f>
        <v>1769.74</v>
      </c>
      <c r="R190" s="160">
        <f>[5]Source!X143</f>
        <v>32298.71</v>
      </c>
      <c r="S190" s="160">
        <f>[5]Source!Y142</f>
        <v>2135.89</v>
      </c>
      <c r="T190" s="160">
        <f>[5]Source!Y143</f>
        <v>19474.22</v>
      </c>
      <c r="U190" s="160">
        <f>ROUND((175/100)*ROUND([5]Source!R142, 2), 2)</f>
        <v>19.55</v>
      </c>
      <c r="V190" s="160">
        <f>ROUND((157/100)*ROUND([5]Source!R143, 2), 2)</f>
        <v>409.49</v>
      </c>
    </row>
    <row r="191" spans="1:22" ht="38.25" x14ac:dyDescent="0.2">
      <c r="C191" s="181" t="s">
        <v>2391</v>
      </c>
    </row>
    <row r="192" spans="1:22" ht="14.25" x14ac:dyDescent="0.2">
      <c r="A192" s="179"/>
      <c r="B192" s="178"/>
      <c r="C192" s="178" t="s">
        <v>197</v>
      </c>
      <c r="D192" s="177"/>
      <c r="E192" s="174"/>
      <c r="F192" s="176">
        <v>205.92</v>
      </c>
      <c r="G192" s="175" t="s">
        <v>1548</v>
      </c>
      <c r="H192" s="174">
        <v>1</v>
      </c>
      <c r="I192" s="173">
        <v>2034.18</v>
      </c>
      <c r="J192" s="174">
        <v>23.35</v>
      </c>
      <c r="K192" s="173">
        <v>47498.1</v>
      </c>
    </row>
    <row r="193" spans="1:22" ht="14.25" x14ac:dyDescent="0.2">
      <c r="A193" s="179"/>
      <c r="B193" s="178"/>
      <c r="C193" s="178" t="s">
        <v>184</v>
      </c>
      <c r="D193" s="177"/>
      <c r="E193" s="174"/>
      <c r="F193" s="176">
        <v>14.6</v>
      </c>
      <c r="G193" s="175" t="s">
        <v>1549</v>
      </c>
      <c r="H193" s="174">
        <v>1</v>
      </c>
      <c r="I193" s="173">
        <v>156.77000000000001</v>
      </c>
      <c r="J193" s="174">
        <v>6.63</v>
      </c>
      <c r="K193" s="173">
        <v>1039.3900000000001</v>
      </c>
    </row>
    <row r="194" spans="1:22" ht="14.25" x14ac:dyDescent="0.2">
      <c r="A194" s="179"/>
      <c r="B194" s="178"/>
      <c r="C194" s="178" t="s">
        <v>189</v>
      </c>
      <c r="D194" s="177"/>
      <c r="E194" s="174"/>
      <c r="F194" s="176">
        <v>1.04</v>
      </c>
      <c r="G194" s="175" t="s">
        <v>1549</v>
      </c>
      <c r="H194" s="174">
        <v>1</v>
      </c>
      <c r="I194" s="180">
        <v>11.17</v>
      </c>
      <c r="J194" s="174">
        <v>23.35</v>
      </c>
      <c r="K194" s="180">
        <v>260.82</v>
      </c>
    </row>
    <row r="195" spans="1:22" ht="14.25" x14ac:dyDescent="0.2">
      <c r="A195" s="179"/>
      <c r="B195" s="178"/>
      <c r="C195" s="178" t="s">
        <v>205</v>
      </c>
      <c r="D195" s="177"/>
      <c r="E195" s="174"/>
      <c r="F195" s="176">
        <v>110.71</v>
      </c>
      <c r="G195" s="175" t="s">
        <v>195</v>
      </c>
      <c r="H195" s="174">
        <v>1</v>
      </c>
      <c r="I195" s="173">
        <v>951</v>
      </c>
      <c r="J195" s="174">
        <v>6.08</v>
      </c>
      <c r="K195" s="173">
        <v>5782.08</v>
      </c>
    </row>
    <row r="196" spans="1:22" ht="42.75" x14ac:dyDescent="0.2">
      <c r="A196" s="179" t="s">
        <v>1608</v>
      </c>
      <c r="B196" s="178" t="s">
        <v>2179</v>
      </c>
      <c r="C196" s="178" t="s">
        <v>565</v>
      </c>
      <c r="D196" s="177" t="s">
        <v>1533</v>
      </c>
      <c r="E196" s="174">
        <v>8.59</v>
      </c>
      <c r="F196" s="176">
        <v>13876.75</v>
      </c>
      <c r="G196" s="182" t="s">
        <v>195</v>
      </c>
      <c r="H196" s="174">
        <v>1</v>
      </c>
      <c r="I196" s="173">
        <v>119201.28</v>
      </c>
      <c r="J196" s="174">
        <v>5.14</v>
      </c>
      <c r="K196" s="173">
        <v>612694.57999999996</v>
      </c>
      <c r="Q196" s="160">
        <f>[5]Source!X144</f>
        <v>0</v>
      </c>
      <c r="R196" s="160">
        <f>[5]Source!X145</f>
        <v>0</v>
      </c>
      <c r="S196" s="160">
        <f>[5]Source!Y144</f>
        <v>0</v>
      </c>
      <c r="T196" s="160">
        <f>[5]Source!Y145</f>
        <v>0</v>
      </c>
      <c r="U196" s="160">
        <f>ROUND((175/100)*ROUND([5]Source!R144, 2), 2)</f>
        <v>0</v>
      </c>
      <c r="V196" s="160">
        <f>ROUND((157/100)*ROUND([5]Source!R145, 2), 2)</f>
        <v>0</v>
      </c>
    </row>
    <row r="197" spans="1:22" ht="14.25" x14ac:dyDescent="0.2">
      <c r="A197" s="179"/>
      <c r="B197" s="178"/>
      <c r="C197" s="178" t="s">
        <v>194</v>
      </c>
      <c r="D197" s="177" t="s">
        <v>187</v>
      </c>
      <c r="E197" s="174">
        <v>87</v>
      </c>
      <c r="F197" s="176"/>
      <c r="G197" s="175"/>
      <c r="H197" s="174"/>
      <c r="I197" s="173">
        <v>1769.74</v>
      </c>
      <c r="J197" s="174">
        <v>68</v>
      </c>
      <c r="K197" s="173">
        <v>32298.71</v>
      </c>
    </row>
    <row r="198" spans="1:22" ht="14.25" x14ac:dyDescent="0.2">
      <c r="A198" s="179"/>
      <c r="B198" s="178"/>
      <c r="C198" s="178" t="s">
        <v>193</v>
      </c>
      <c r="D198" s="177" t="s">
        <v>187</v>
      </c>
      <c r="E198" s="174">
        <v>105</v>
      </c>
      <c r="F198" s="176"/>
      <c r="G198" s="175"/>
      <c r="H198" s="174"/>
      <c r="I198" s="173">
        <v>2135.89</v>
      </c>
      <c r="J198" s="174">
        <v>41</v>
      </c>
      <c r="K198" s="173">
        <v>19474.22</v>
      </c>
    </row>
    <row r="199" spans="1:22" ht="14.25" x14ac:dyDescent="0.2">
      <c r="A199" s="179"/>
      <c r="B199" s="178"/>
      <c r="C199" s="178" t="s">
        <v>188</v>
      </c>
      <c r="D199" s="177" t="s">
        <v>187</v>
      </c>
      <c r="E199" s="174">
        <v>175</v>
      </c>
      <c r="F199" s="176"/>
      <c r="G199" s="175"/>
      <c r="H199" s="174"/>
      <c r="I199" s="173">
        <v>19.55</v>
      </c>
      <c r="J199" s="174">
        <v>157</v>
      </c>
      <c r="K199" s="173">
        <v>409.49</v>
      </c>
    </row>
    <row r="200" spans="1:22" ht="14.25" x14ac:dyDescent="0.2">
      <c r="A200" s="172"/>
      <c r="B200" s="171"/>
      <c r="C200" s="171" t="s">
        <v>192</v>
      </c>
      <c r="D200" s="170" t="s">
        <v>191</v>
      </c>
      <c r="E200" s="167">
        <v>15.6</v>
      </c>
      <c r="F200" s="169"/>
      <c r="G200" s="168" t="s">
        <v>1548</v>
      </c>
      <c r="H200" s="167">
        <v>1</v>
      </c>
      <c r="I200" s="166">
        <v>154.1</v>
      </c>
      <c r="J200" s="167"/>
      <c r="K200" s="166"/>
    </row>
    <row r="201" spans="1:22" ht="15" x14ac:dyDescent="0.25">
      <c r="A201" s="164"/>
      <c r="B201" s="164"/>
      <c r="C201" s="165" t="s">
        <v>183</v>
      </c>
      <c r="D201" s="164"/>
      <c r="E201" s="164"/>
      <c r="F201" s="164"/>
      <c r="G201" s="164"/>
      <c r="H201" s="414">
        <v>126268.41</v>
      </c>
      <c r="I201" s="414"/>
      <c r="J201" s="414">
        <v>719196.57</v>
      </c>
      <c r="K201" s="414"/>
      <c r="O201" s="163">
        <f>I192+I193+I195+I197+I198+I199+SUM(I196:I196)</f>
        <v>126268.41</v>
      </c>
      <c r="P201" s="163">
        <f>K192+K193+K195+K197+K198+K199+SUM(K196:K196)</f>
        <v>719196.57</v>
      </c>
    </row>
    <row r="203" spans="1:22" ht="52.5" x14ac:dyDescent="0.2">
      <c r="A203" s="179" t="s">
        <v>1609</v>
      </c>
      <c r="B203" s="178" t="s">
        <v>519</v>
      </c>
      <c r="C203" s="178" t="s">
        <v>518</v>
      </c>
      <c r="D203" s="177" t="s">
        <v>2141</v>
      </c>
      <c r="E203" s="174">
        <v>42</v>
      </c>
      <c r="F203" s="176"/>
      <c r="G203" s="175"/>
      <c r="H203" s="174"/>
      <c r="I203" s="173"/>
      <c r="J203" s="174"/>
      <c r="K203" s="173"/>
      <c r="Q203" s="160">
        <f>[5]Source!X146</f>
        <v>2136.98</v>
      </c>
      <c r="R203" s="160">
        <f>[5]Source!X147</f>
        <v>35344.83</v>
      </c>
      <c r="S203" s="160">
        <f>[5]Source!Y146</f>
        <v>1495.89</v>
      </c>
      <c r="T203" s="160">
        <f>[5]Source!Y147</f>
        <v>17048.68</v>
      </c>
      <c r="U203" s="160">
        <f>ROUND((175/100)*ROUND([5]Source!R146, 2), 2)</f>
        <v>826.88</v>
      </c>
      <c r="V203" s="160">
        <f>ROUND((157/100)*ROUND([5]Source!R147, 2), 2)</f>
        <v>17321.62</v>
      </c>
    </row>
    <row r="204" spans="1:22" ht="14.25" x14ac:dyDescent="0.2">
      <c r="A204" s="179"/>
      <c r="B204" s="178"/>
      <c r="C204" s="178" t="s">
        <v>197</v>
      </c>
      <c r="D204" s="177"/>
      <c r="E204" s="174"/>
      <c r="F204" s="176">
        <v>36.869999999999997</v>
      </c>
      <c r="G204" s="175" t="s">
        <v>1548</v>
      </c>
      <c r="H204" s="174">
        <v>1</v>
      </c>
      <c r="I204" s="173">
        <v>1780.82</v>
      </c>
      <c r="J204" s="174">
        <v>23.35</v>
      </c>
      <c r="K204" s="173">
        <v>41582.15</v>
      </c>
    </row>
    <row r="205" spans="1:22" ht="14.25" x14ac:dyDescent="0.2">
      <c r="A205" s="179"/>
      <c r="B205" s="178"/>
      <c r="C205" s="178" t="s">
        <v>184</v>
      </c>
      <c r="D205" s="177"/>
      <c r="E205" s="174"/>
      <c r="F205" s="176">
        <v>36.61</v>
      </c>
      <c r="G205" s="175" t="s">
        <v>1549</v>
      </c>
      <c r="H205" s="174">
        <v>1</v>
      </c>
      <c r="I205" s="173">
        <v>1922.03</v>
      </c>
      <c r="J205" s="174">
        <v>9.77</v>
      </c>
      <c r="K205" s="173">
        <v>18778.23</v>
      </c>
    </row>
    <row r="206" spans="1:22" ht="14.25" x14ac:dyDescent="0.2">
      <c r="A206" s="179"/>
      <c r="B206" s="178"/>
      <c r="C206" s="178" t="s">
        <v>189</v>
      </c>
      <c r="D206" s="177"/>
      <c r="E206" s="174"/>
      <c r="F206" s="176">
        <v>9</v>
      </c>
      <c r="G206" s="175" t="s">
        <v>1549</v>
      </c>
      <c r="H206" s="174">
        <v>1</v>
      </c>
      <c r="I206" s="180">
        <v>472.5</v>
      </c>
      <c r="J206" s="174">
        <v>23.35</v>
      </c>
      <c r="K206" s="180">
        <v>11032.88</v>
      </c>
    </row>
    <row r="207" spans="1:22" ht="14.25" x14ac:dyDescent="0.2">
      <c r="A207" s="179"/>
      <c r="B207" s="178"/>
      <c r="C207" s="178" t="s">
        <v>205</v>
      </c>
      <c r="D207" s="177"/>
      <c r="E207" s="174"/>
      <c r="F207" s="176">
        <v>397.67</v>
      </c>
      <c r="G207" s="175" t="s">
        <v>195</v>
      </c>
      <c r="H207" s="174">
        <v>1</v>
      </c>
      <c r="I207" s="173">
        <v>16702.14</v>
      </c>
      <c r="J207" s="174">
        <v>5.53</v>
      </c>
      <c r="K207" s="173">
        <v>92362.83</v>
      </c>
    </row>
    <row r="208" spans="1:22" ht="14.25" x14ac:dyDescent="0.2">
      <c r="A208" s="179"/>
      <c r="B208" s="178"/>
      <c r="C208" s="178" t="s">
        <v>194</v>
      </c>
      <c r="D208" s="177" t="s">
        <v>187</v>
      </c>
      <c r="E208" s="174">
        <v>120</v>
      </c>
      <c r="F208" s="176"/>
      <c r="G208" s="175"/>
      <c r="H208" s="174"/>
      <c r="I208" s="173">
        <v>2136.98</v>
      </c>
      <c r="J208" s="174">
        <v>85</v>
      </c>
      <c r="K208" s="173">
        <v>35344.83</v>
      </c>
    </row>
    <row r="209" spans="1:22" ht="14.25" x14ac:dyDescent="0.2">
      <c r="A209" s="179"/>
      <c r="B209" s="178"/>
      <c r="C209" s="178" t="s">
        <v>193</v>
      </c>
      <c r="D209" s="177" t="s">
        <v>187</v>
      </c>
      <c r="E209" s="174">
        <v>84</v>
      </c>
      <c r="F209" s="176"/>
      <c r="G209" s="175"/>
      <c r="H209" s="174"/>
      <c r="I209" s="173">
        <v>1495.89</v>
      </c>
      <c r="J209" s="174">
        <v>41</v>
      </c>
      <c r="K209" s="173">
        <v>17048.68</v>
      </c>
    </row>
    <row r="210" spans="1:22" ht="14.25" x14ac:dyDescent="0.2">
      <c r="A210" s="179"/>
      <c r="B210" s="178"/>
      <c r="C210" s="178" t="s">
        <v>188</v>
      </c>
      <c r="D210" s="177" t="s">
        <v>187</v>
      </c>
      <c r="E210" s="174">
        <v>175</v>
      </c>
      <c r="F210" s="176"/>
      <c r="G210" s="175"/>
      <c r="H210" s="174"/>
      <c r="I210" s="173">
        <v>826.88</v>
      </c>
      <c r="J210" s="174">
        <v>157</v>
      </c>
      <c r="K210" s="173">
        <v>17321.62</v>
      </c>
    </row>
    <row r="211" spans="1:22" ht="14.25" x14ac:dyDescent="0.2">
      <c r="A211" s="172"/>
      <c r="B211" s="171"/>
      <c r="C211" s="171" t="s">
        <v>192</v>
      </c>
      <c r="D211" s="170" t="s">
        <v>191</v>
      </c>
      <c r="E211" s="167">
        <v>3.58</v>
      </c>
      <c r="F211" s="169"/>
      <c r="G211" s="168" t="s">
        <v>1548</v>
      </c>
      <c r="H211" s="167">
        <v>1</v>
      </c>
      <c r="I211" s="166">
        <v>172.91</v>
      </c>
      <c r="J211" s="167"/>
      <c r="K211" s="166"/>
    </row>
    <row r="212" spans="1:22" ht="15" x14ac:dyDescent="0.25">
      <c r="A212" s="164"/>
      <c r="B212" s="164"/>
      <c r="C212" s="165" t="s">
        <v>183</v>
      </c>
      <c r="D212" s="164"/>
      <c r="E212" s="164"/>
      <c r="F212" s="164"/>
      <c r="G212" s="164"/>
      <c r="H212" s="414">
        <v>24864.74</v>
      </c>
      <c r="I212" s="414"/>
      <c r="J212" s="414">
        <v>222438.34</v>
      </c>
      <c r="K212" s="414"/>
      <c r="O212" s="163">
        <f>I204+I205+I207+I208+I209+I210</f>
        <v>24864.74</v>
      </c>
      <c r="P212" s="163">
        <f>K204+K205+K207+K208+K209+K210</f>
        <v>222438.34</v>
      </c>
    </row>
    <row r="214" spans="1:22" ht="52.5" x14ac:dyDescent="0.2">
      <c r="A214" s="179" t="s">
        <v>1617</v>
      </c>
      <c r="B214" s="178" t="s">
        <v>237</v>
      </c>
      <c r="C214" s="178" t="s">
        <v>236</v>
      </c>
      <c r="D214" s="177" t="s">
        <v>1741</v>
      </c>
      <c r="E214" s="174">
        <v>4.2</v>
      </c>
      <c r="F214" s="176"/>
      <c r="G214" s="175"/>
      <c r="H214" s="174"/>
      <c r="I214" s="173"/>
      <c r="J214" s="174"/>
      <c r="K214" s="173"/>
      <c r="Q214" s="160">
        <f>[5]Source!X148</f>
        <v>1219.98</v>
      </c>
      <c r="R214" s="160">
        <f>[5]Source!X149</f>
        <v>23282.31</v>
      </c>
      <c r="S214" s="160">
        <f>[5]Source!Y148</f>
        <v>821.14</v>
      </c>
      <c r="T214" s="160">
        <f>[5]Source!Y149</f>
        <v>11230.29</v>
      </c>
      <c r="U214" s="160">
        <f>ROUND((175/100)*ROUND([5]Source!R148, 2), 2)</f>
        <v>2.85</v>
      </c>
      <c r="V214" s="160">
        <f>ROUND((157/100)*ROUND([5]Source!R149, 2), 2)</f>
        <v>59.75</v>
      </c>
    </row>
    <row r="215" spans="1:22" ht="14.25" x14ac:dyDescent="0.2">
      <c r="A215" s="179"/>
      <c r="B215" s="178"/>
      <c r="C215" s="178" t="s">
        <v>197</v>
      </c>
      <c r="D215" s="177"/>
      <c r="E215" s="174"/>
      <c r="F215" s="176">
        <v>242.87</v>
      </c>
      <c r="G215" s="175" t="s">
        <v>1548</v>
      </c>
      <c r="H215" s="174">
        <v>1</v>
      </c>
      <c r="I215" s="173">
        <v>1173.06</v>
      </c>
      <c r="J215" s="174">
        <v>23.35</v>
      </c>
      <c r="K215" s="173">
        <v>27390.95</v>
      </c>
    </row>
    <row r="216" spans="1:22" ht="14.25" x14ac:dyDescent="0.2">
      <c r="A216" s="179"/>
      <c r="B216" s="178"/>
      <c r="C216" s="178" t="s">
        <v>184</v>
      </c>
      <c r="D216" s="177"/>
      <c r="E216" s="174"/>
      <c r="F216" s="176">
        <v>12.59</v>
      </c>
      <c r="G216" s="175" t="s">
        <v>1549</v>
      </c>
      <c r="H216" s="174">
        <v>1</v>
      </c>
      <c r="I216" s="173">
        <v>66.099999999999994</v>
      </c>
      <c r="J216" s="174">
        <v>1.58</v>
      </c>
      <c r="K216" s="173">
        <v>104.44</v>
      </c>
    </row>
    <row r="217" spans="1:22" ht="14.25" x14ac:dyDescent="0.2">
      <c r="A217" s="179"/>
      <c r="B217" s="178"/>
      <c r="C217" s="178" t="s">
        <v>189</v>
      </c>
      <c r="D217" s="177"/>
      <c r="E217" s="174"/>
      <c r="F217" s="176">
        <v>0.31</v>
      </c>
      <c r="G217" s="175" t="s">
        <v>1549</v>
      </c>
      <c r="H217" s="174">
        <v>1</v>
      </c>
      <c r="I217" s="180">
        <v>1.63</v>
      </c>
      <c r="J217" s="174">
        <v>23.35</v>
      </c>
      <c r="K217" s="180">
        <v>38.06</v>
      </c>
    </row>
    <row r="218" spans="1:22" ht="14.25" x14ac:dyDescent="0.2">
      <c r="A218" s="179"/>
      <c r="B218" s="178"/>
      <c r="C218" s="178" t="s">
        <v>205</v>
      </c>
      <c r="D218" s="177"/>
      <c r="E218" s="174"/>
      <c r="F218" s="176">
        <v>24.75</v>
      </c>
      <c r="G218" s="175" t="s">
        <v>195</v>
      </c>
      <c r="H218" s="174">
        <v>1</v>
      </c>
      <c r="I218" s="173">
        <v>103.95</v>
      </c>
      <c r="J218" s="174">
        <v>4.7699999999999996</v>
      </c>
      <c r="K218" s="173">
        <v>495.84</v>
      </c>
    </row>
    <row r="219" spans="1:22" ht="14.25" x14ac:dyDescent="0.2">
      <c r="A219" s="179" t="s">
        <v>1619</v>
      </c>
      <c r="B219" s="178" t="s">
        <v>1755</v>
      </c>
      <c r="C219" s="178" t="s">
        <v>232</v>
      </c>
      <c r="D219" s="177" t="s">
        <v>1594</v>
      </c>
      <c r="E219" s="174">
        <v>8.5679999999999996</v>
      </c>
      <c r="F219" s="176">
        <v>478.96</v>
      </c>
      <c r="G219" s="182" t="s">
        <v>195</v>
      </c>
      <c r="H219" s="174">
        <v>1</v>
      </c>
      <c r="I219" s="173">
        <v>4103.7299999999996</v>
      </c>
      <c r="J219" s="174">
        <v>6.89</v>
      </c>
      <c r="K219" s="173">
        <v>28274.7</v>
      </c>
      <c r="Q219" s="160">
        <f>[5]Source!X150</f>
        <v>0</v>
      </c>
      <c r="R219" s="160">
        <f>[5]Source!X151</f>
        <v>0</v>
      </c>
      <c r="S219" s="160">
        <f>[5]Source!Y150</f>
        <v>0</v>
      </c>
      <c r="T219" s="160">
        <f>[5]Source!Y151</f>
        <v>0</v>
      </c>
      <c r="U219" s="160">
        <f>ROUND((175/100)*ROUND([5]Source!R150, 2), 2)</f>
        <v>0</v>
      </c>
      <c r="V219" s="160">
        <f>ROUND((157/100)*ROUND([5]Source!R151, 2), 2)</f>
        <v>0</v>
      </c>
    </row>
    <row r="220" spans="1:22" ht="14.25" x14ac:dyDescent="0.2">
      <c r="A220" s="179"/>
      <c r="B220" s="178"/>
      <c r="C220" s="178" t="s">
        <v>194</v>
      </c>
      <c r="D220" s="177" t="s">
        <v>187</v>
      </c>
      <c r="E220" s="174">
        <v>104</v>
      </c>
      <c r="F220" s="176"/>
      <c r="G220" s="175"/>
      <c r="H220" s="174"/>
      <c r="I220" s="173">
        <v>1219.98</v>
      </c>
      <c r="J220" s="174">
        <v>85</v>
      </c>
      <c r="K220" s="173">
        <v>23282.31</v>
      </c>
    </row>
    <row r="221" spans="1:22" ht="14.25" x14ac:dyDescent="0.2">
      <c r="A221" s="179"/>
      <c r="B221" s="178"/>
      <c r="C221" s="178" t="s">
        <v>193</v>
      </c>
      <c r="D221" s="177" t="s">
        <v>187</v>
      </c>
      <c r="E221" s="174">
        <v>70</v>
      </c>
      <c r="F221" s="176"/>
      <c r="G221" s="175"/>
      <c r="H221" s="174"/>
      <c r="I221" s="173">
        <v>821.14</v>
      </c>
      <c r="J221" s="174">
        <v>41</v>
      </c>
      <c r="K221" s="173">
        <v>11230.29</v>
      </c>
    </row>
    <row r="222" spans="1:22" ht="14.25" x14ac:dyDescent="0.2">
      <c r="A222" s="179"/>
      <c r="B222" s="178"/>
      <c r="C222" s="178" t="s">
        <v>188</v>
      </c>
      <c r="D222" s="177" t="s">
        <v>187</v>
      </c>
      <c r="E222" s="174">
        <v>175</v>
      </c>
      <c r="F222" s="176"/>
      <c r="G222" s="175"/>
      <c r="H222" s="174"/>
      <c r="I222" s="173">
        <v>2.85</v>
      </c>
      <c r="J222" s="174">
        <v>157</v>
      </c>
      <c r="K222" s="173">
        <v>59.75</v>
      </c>
    </row>
    <row r="223" spans="1:22" ht="14.25" x14ac:dyDescent="0.2">
      <c r="A223" s="172"/>
      <c r="B223" s="171"/>
      <c r="C223" s="171" t="s">
        <v>192</v>
      </c>
      <c r="D223" s="170" t="s">
        <v>191</v>
      </c>
      <c r="E223" s="167">
        <v>23.33</v>
      </c>
      <c r="F223" s="169"/>
      <c r="G223" s="168" t="s">
        <v>1548</v>
      </c>
      <c r="H223" s="167">
        <v>1</v>
      </c>
      <c r="I223" s="166">
        <v>112.68</v>
      </c>
      <c r="J223" s="167"/>
      <c r="K223" s="166"/>
    </row>
    <row r="224" spans="1:22" ht="15" x14ac:dyDescent="0.25">
      <c r="A224" s="164"/>
      <c r="B224" s="164"/>
      <c r="C224" s="165" t="s">
        <v>183</v>
      </c>
      <c r="D224" s="164"/>
      <c r="E224" s="164"/>
      <c r="F224" s="164"/>
      <c r="G224" s="164"/>
      <c r="H224" s="414">
        <v>7490.81</v>
      </c>
      <c r="I224" s="414"/>
      <c r="J224" s="414">
        <v>90838.28</v>
      </c>
      <c r="K224" s="414"/>
      <c r="O224" s="163">
        <f>I215+I216+I218+I220+I221+I222+SUM(I219:I219)</f>
        <v>7490.81</v>
      </c>
      <c r="P224" s="163">
        <f>K215+K216+K218+K220+K221+K222+SUM(K219:K219)</f>
        <v>90838.28</v>
      </c>
    </row>
    <row r="226" spans="1:22" ht="52.5" x14ac:dyDescent="0.2">
      <c r="A226" s="179" t="s">
        <v>1622</v>
      </c>
      <c r="B226" s="178" t="s">
        <v>235</v>
      </c>
      <c r="C226" s="178" t="s">
        <v>234</v>
      </c>
      <c r="D226" s="177" t="s">
        <v>1741</v>
      </c>
      <c r="E226" s="174">
        <v>4.2</v>
      </c>
      <c r="F226" s="176"/>
      <c r="G226" s="175"/>
      <c r="H226" s="174"/>
      <c r="I226" s="173"/>
      <c r="J226" s="174"/>
      <c r="K226" s="173"/>
      <c r="Q226" s="160">
        <f>[5]Source!X152</f>
        <v>135.63</v>
      </c>
      <c r="R226" s="160">
        <f>[5]Source!X153</f>
        <v>2588.31</v>
      </c>
      <c r="S226" s="160">
        <f>[5]Source!Y152</f>
        <v>91.29</v>
      </c>
      <c r="T226" s="160">
        <f>[5]Source!Y153</f>
        <v>1248.48</v>
      </c>
      <c r="U226" s="160">
        <f>ROUND((175/100)*ROUND([5]Source!R152, 2), 2)</f>
        <v>4.41</v>
      </c>
      <c r="V226" s="160">
        <f>ROUND((157/100)*ROUND([5]Source!R153, 2), 2)</f>
        <v>92.38</v>
      </c>
    </row>
    <row r="227" spans="1:22" x14ac:dyDescent="0.2">
      <c r="C227" s="181" t="s">
        <v>2392</v>
      </c>
    </row>
    <row r="228" spans="1:22" ht="14.25" x14ac:dyDescent="0.2">
      <c r="A228" s="179"/>
      <c r="B228" s="178"/>
      <c r="C228" s="178" t="s">
        <v>197</v>
      </c>
      <c r="D228" s="177"/>
      <c r="E228" s="174"/>
      <c r="F228" s="176">
        <v>4.5</v>
      </c>
      <c r="G228" s="175" t="s">
        <v>1781</v>
      </c>
      <c r="H228" s="174">
        <v>1</v>
      </c>
      <c r="I228" s="173">
        <v>130.41</v>
      </c>
      <c r="J228" s="174">
        <v>23.35</v>
      </c>
      <c r="K228" s="173">
        <v>3045.07</v>
      </c>
    </row>
    <row r="229" spans="1:22" ht="14.25" x14ac:dyDescent="0.2">
      <c r="A229" s="179"/>
      <c r="B229" s="178"/>
      <c r="C229" s="178" t="s">
        <v>184</v>
      </c>
      <c r="D229" s="177"/>
      <c r="E229" s="174"/>
      <c r="F229" s="176">
        <v>3.22</v>
      </c>
      <c r="G229" s="175" t="s">
        <v>1782</v>
      </c>
      <c r="H229" s="174">
        <v>1</v>
      </c>
      <c r="I229" s="173">
        <v>101.43</v>
      </c>
      <c r="J229" s="174">
        <v>1.58</v>
      </c>
      <c r="K229" s="173">
        <v>160.26</v>
      </c>
    </row>
    <row r="230" spans="1:22" ht="14.25" x14ac:dyDescent="0.2">
      <c r="A230" s="179"/>
      <c r="B230" s="178"/>
      <c r="C230" s="178" t="s">
        <v>189</v>
      </c>
      <c r="D230" s="177"/>
      <c r="E230" s="174"/>
      <c r="F230" s="176">
        <v>0.08</v>
      </c>
      <c r="G230" s="175" t="s">
        <v>1782</v>
      </c>
      <c r="H230" s="174">
        <v>1</v>
      </c>
      <c r="I230" s="180">
        <v>2.52</v>
      </c>
      <c r="J230" s="174">
        <v>23.35</v>
      </c>
      <c r="K230" s="180">
        <v>58.84</v>
      </c>
    </row>
    <row r="231" spans="1:22" ht="52.5" x14ac:dyDescent="0.2">
      <c r="A231" s="179" t="s">
        <v>1623</v>
      </c>
      <c r="B231" s="178" t="s">
        <v>233</v>
      </c>
      <c r="C231" s="178" t="s">
        <v>232</v>
      </c>
      <c r="D231" s="177" t="s">
        <v>1594</v>
      </c>
      <c r="E231" s="174">
        <v>12.852</v>
      </c>
      <c r="F231" s="176">
        <v>478.96</v>
      </c>
      <c r="G231" s="182" t="s">
        <v>248</v>
      </c>
      <c r="H231" s="174">
        <v>1</v>
      </c>
      <c r="I231" s="173">
        <v>6155.59</v>
      </c>
      <c r="J231" s="174">
        <v>6.89</v>
      </c>
      <c r="K231" s="173">
        <v>42412.02</v>
      </c>
      <c r="Q231" s="160">
        <f>[5]Source!X154</f>
        <v>0</v>
      </c>
      <c r="R231" s="160">
        <f>[5]Source!X155</f>
        <v>0</v>
      </c>
      <c r="S231" s="160">
        <f>[5]Source!Y154</f>
        <v>0</v>
      </c>
      <c r="T231" s="160">
        <f>[5]Source!Y155</f>
        <v>0</v>
      </c>
      <c r="U231" s="160">
        <f>ROUND((175/100)*ROUND([5]Source!R154, 2), 2)</f>
        <v>0</v>
      </c>
      <c r="V231" s="160">
        <f>ROUND((157/100)*ROUND([5]Source!R155, 2), 2)</f>
        <v>0</v>
      </c>
    </row>
    <row r="232" spans="1:22" ht="14.25" x14ac:dyDescent="0.2">
      <c r="A232" s="179"/>
      <c r="B232" s="178"/>
      <c r="C232" s="178" t="s">
        <v>194</v>
      </c>
      <c r="D232" s="177" t="s">
        <v>187</v>
      </c>
      <c r="E232" s="174">
        <v>104</v>
      </c>
      <c r="F232" s="176"/>
      <c r="G232" s="175"/>
      <c r="H232" s="174"/>
      <c r="I232" s="173">
        <v>135.63</v>
      </c>
      <c r="J232" s="174">
        <v>85</v>
      </c>
      <c r="K232" s="173">
        <v>2588.31</v>
      </c>
    </row>
    <row r="233" spans="1:22" ht="14.25" x14ac:dyDescent="0.2">
      <c r="A233" s="179"/>
      <c r="B233" s="178"/>
      <c r="C233" s="178" t="s">
        <v>193</v>
      </c>
      <c r="D233" s="177" t="s">
        <v>187</v>
      </c>
      <c r="E233" s="174">
        <v>70</v>
      </c>
      <c r="F233" s="176"/>
      <c r="G233" s="175"/>
      <c r="H233" s="174"/>
      <c r="I233" s="173">
        <v>91.29</v>
      </c>
      <c r="J233" s="174">
        <v>41</v>
      </c>
      <c r="K233" s="173">
        <v>1248.48</v>
      </c>
    </row>
    <row r="234" spans="1:22" ht="14.25" x14ac:dyDescent="0.2">
      <c r="A234" s="179"/>
      <c r="B234" s="178"/>
      <c r="C234" s="178" t="s">
        <v>188</v>
      </c>
      <c r="D234" s="177" t="s">
        <v>187</v>
      </c>
      <c r="E234" s="174">
        <v>175</v>
      </c>
      <c r="F234" s="176"/>
      <c r="G234" s="175"/>
      <c r="H234" s="174"/>
      <c r="I234" s="173">
        <v>4.41</v>
      </c>
      <c r="J234" s="174">
        <v>157</v>
      </c>
      <c r="K234" s="173">
        <v>92.38</v>
      </c>
    </row>
    <row r="235" spans="1:22" ht="14.25" x14ac:dyDescent="0.2">
      <c r="A235" s="172"/>
      <c r="B235" s="171"/>
      <c r="C235" s="171" t="s">
        <v>192</v>
      </c>
      <c r="D235" s="170" t="s">
        <v>191</v>
      </c>
      <c r="E235" s="167">
        <v>0.44</v>
      </c>
      <c r="F235" s="169"/>
      <c r="G235" s="168" t="s">
        <v>1781</v>
      </c>
      <c r="H235" s="167">
        <v>1</v>
      </c>
      <c r="I235" s="166">
        <v>12.75</v>
      </c>
      <c r="J235" s="167"/>
      <c r="K235" s="166"/>
    </row>
    <row r="236" spans="1:22" ht="15" x14ac:dyDescent="0.25">
      <c r="A236" s="164"/>
      <c r="B236" s="164"/>
      <c r="C236" s="165" t="s">
        <v>183</v>
      </c>
      <c r="D236" s="164"/>
      <c r="E236" s="164"/>
      <c r="F236" s="164"/>
      <c r="G236" s="164"/>
      <c r="H236" s="414">
        <v>6618.76</v>
      </c>
      <c r="I236" s="414"/>
      <c r="J236" s="414">
        <v>49546.52</v>
      </c>
      <c r="K236" s="414"/>
      <c r="O236" s="163">
        <f>I228+I229+I232+I233+I234+SUM(I231:I231)</f>
        <v>6618.76</v>
      </c>
      <c r="P236" s="163">
        <f>K228+K229+K232+K233+K234+SUM(K231:K231)</f>
        <v>49546.52</v>
      </c>
    </row>
    <row r="238" spans="1:22" ht="52.5" x14ac:dyDescent="0.2">
      <c r="A238" s="179" t="s">
        <v>1625</v>
      </c>
      <c r="B238" s="178" t="s">
        <v>230</v>
      </c>
      <c r="C238" s="178" t="s">
        <v>229</v>
      </c>
      <c r="D238" s="177" t="s">
        <v>1785</v>
      </c>
      <c r="E238" s="174">
        <v>2.5499999999999998</v>
      </c>
      <c r="F238" s="176"/>
      <c r="G238" s="175"/>
      <c r="H238" s="174"/>
      <c r="I238" s="173"/>
      <c r="J238" s="174"/>
      <c r="K238" s="173"/>
      <c r="Q238" s="160">
        <f>[5]Source!X156</f>
        <v>387.05</v>
      </c>
      <c r="R238" s="160">
        <f>[5]Source!X157</f>
        <v>6271.01</v>
      </c>
      <c r="S238" s="160">
        <f>[5]Source!Y156</f>
        <v>276.47000000000003</v>
      </c>
      <c r="T238" s="160">
        <f>[5]Source!Y157</f>
        <v>3781.05</v>
      </c>
      <c r="U238" s="160">
        <f>ROUND((175/100)*ROUND([5]Source!R156, 2), 2)</f>
        <v>31.19</v>
      </c>
      <c r="V238" s="160">
        <f>ROUND((157/100)*ROUND([5]Source!R157, 2), 2)</f>
        <v>653.28</v>
      </c>
    </row>
    <row r="239" spans="1:22" ht="14.25" x14ac:dyDescent="0.2">
      <c r="A239" s="179"/>
      <c r="B239" s="178"/>
      <c r="C239" s="178" t="s">
        <v>197</v>
      </c>
      <c r="D239" s="177"/>
      <c r="E239" s="174"/>
      <c r="F239" s="176">
        <v>134.68</v>
      </c>
      <c r="G239" s="175" t="s">
        <v>1548</v>
      </c>
      <c r="H239" s="174">
        <v>1</v>
      </c>
      <c r="I239" s="173">
        <v>394.95</v>
      </c>
      <c r="J239" s="174">
        <v>23.35</v>
      </c>
      <c r="K239" s="173">
        <v>9222.08</v>
      </c>
    </row>
    <row r="240" spans="1:22" ht="14.25" x14ac:dyDescent="0.2">
      <c r="A240" s="179"/>
      <c r="B240" s="178"/>
      <c r="C240" s="178" t="s">
        <v>184</v>
      </c>
      <c r="D240" s="177"/>
      <c r="E240" s="174"/>
      <c r="F240" s="176">
        <v>44</v>
      </c>
      <c r="G240" s="175" t="s">
        <v>1549</v>
      </c>
      <c r="H240" s="174">
        <v>1</v>
      </c>
      <c r="I240" s="173">
        <v>140.25</v>
      </c>
      <c r="J240" s="174">
        <v>8.19</v>
      </c>
      <c r="K240" s="173">
        <v>1148.6500000000001</v>
      </c>
    </row>
    <row r="241" spans="1:22" ht="14.25" x14ac:dyDescent="0.2">
      <c r="A241" s="179"/>
      <c r="B241" s="178"/>
      <c r="C241" s="178" t="s">
        <v>189</v>
      </c>
      <c r="D241" s="177"/>
      <c r="E241" s="174"/>
      <c r="F241" s="176">
        <v>5.59</v>
      </c>
      <c r="G241" s="175" t="s">
        <v>1549</v>
      </c>
      <c r="H241" s="174">
        <v>1</v>
      </c>
      <c r="I241" s="180">
        <v>17.82</v>
      </c>
      <c r="J241" s="174">
        <v>23.35</v>
      </c>
      <c r="K241" s="180">
        <v>416.1</v>
      </c>
    </row>
    <row r="242" spans="1:22" ht="14.25" x14ac:dyDescent="0.2">
      <c r="A242" s="179"/>
      <c r="B242" s="178"/>
      <c r="C242" s="178" t="s">
        <v>205</v>
      </c>
      <c r="D242" s="177"/>
      <c r="E242" s="174"/>
      <c r="F242" s="176">
        <v>258.91000000000003</v>
      </c>
      <c r="G242" s="175" t="s">
        <v>195</v>
      </c>
      <c r="H242" s="174">
        <v>1</v>
      </c>
      <c r="I242" s="173">
        <v>660.22</v>
      </c>
      <c r="J242" s="174">
        <v>5.54</v>
      </c>
      <c r="K242" s="173">
        <v>3657.62</v>
      </c>
    </row>
    <row r="243" spans="1:22" ht="57" x14ac:dyDescent="0.2">
      <c r="A243" s="179" t="s">
        <v>1627</v>
      </c>
      <c r="B243" s="178" t="s">
        <v>2393</v>
      </c>
      <c r="C243" s="178" t="s">
        <v>595</v>
      </c>
      <c r="D243" s="177" t="s">
        <v>1533</v>
      </c>
      <c r="E243" s="174">
        <v>2.5499999999999998</v>
      </c>
      <c r="F243" s="176">
        <v>6340.75</v>
      </c>
      <c r="G243" s="182" t="s">
        <v>195</v>
      </c>
      <c r="H243" s="174">
        <v>1</v>
      </c>
      <c r="I243" s="173">
        <v>16168.91</v>
      </c>
      <c r="J243" s="174">
        <v>7.22</v>
      </c>
      <c r="K243" s="173">
        <v>116739.53</v>
      </c>
      <c r="Q243" s="160">
        <f>[5]Source!X158</f>
        <v>0</v>
      </c>
      <c r="R243" s="160">
        <f>[5]Source!X159</f>
        <v>0</v>
      </c>
      <c r="S243" s="160">
        <f>[5]Source!Y158</f>
        <v>0</v>
      </c>
      <c r="T243" s="160">
        <f>[5]Source!Y159</f>
        <v>0</v>
      </c>
      <c r="U243" s="160">
        <f>ROUND((175/100)*ROUND([5]Source!R158, 2), 2)</f>
        <v>0</v>
      </c>
      <c r="V243" s="160">
        <f>ROUND((157/100)*ROUND([5]Source!R159, 2), 2)</f>
        <v>0</v>
      </c>
    </row>
    <row r="244" spans="1:22" ht="14.25" x14ac:dyDescent="0.2">
      <c r="A244" s="179"/>
      <c r="B244" s="178"/>
      <c r="C244" s="178" t="s">
        <v>194</v>
      </c>
      <c r="D244" s="177" t="s">
        <v>187</v>
      </c>
      <c r="E244" s="174">
        <v>98</v>
      </c>
      <c r="F244" s="176"/>
      <c r="G244" s="175"/>
      <c r="H244" s="174"/>
      <c r="I244" s="173">
        <v>387.05</v>
      </c>
      <c r="J244" s="174">
        <v>68</v>
      </c>
      <c r="K244" s="173">
        <v>6271.01</v>
      </c>
    </row>
    <row r="245" spans="1:22" ht="14.25" x14ac:dyDescent="0.2">
      <c r="A245" s="179"/>
      <c r="B245" s="178"/>
      <c r="C245" s="178" t="s">
        <v>193</v>
      </c>
      <c r="D245" s="177" t="s">
        <v>187</v>
      </c>
      <c r="E245" s="174">
        <v>70</v>
      </c>
      <c r="F245" s="176"/>
      <c r="G245" s="175"/>
      <c r="H245" s="174"/>
      <c r="I245" s="173">
        <v>276.47000000000003</v>
      </c>
      <c r="J245" s="174">
        <v>41</v>
      </c>
      <c r="K245" s="173">
        <v>3781.05</v>
      </c>
    </row>
    <row r="246" spans="1:22" ht="14.25" x14ac:dyDescent="0.2">
      <c r="A246" s="179"/>
      <c r="B246" s="178"/>
      <c r="C246" s="178" t="s">
        <v>188</v>
      </c>
      <c r="D246" s="177" t="s">
        <v>187</v>
      </c>
      <c r="E246" s="174">
        <v>175</v>
      </c>
      <c r="F246" s="176"/>
      <c r="G246" s="175"/>
      <c r="H246" s="174"/>
      <c r="I246" s="173">
        <v>31.19</v>
      </c>
      <c r="J246" s="174">
        <v>157</v>
      </c>
      <c r="K246" s="173">
        <v>653.28</v>
      </c>
    </row>
    <row r="247" spans="1:22" ht="14.25" x14ac:dyDescent="0.2">
      <c r="A247" s="172"/>
      <c r="B247" s="171"/>
      <c r="C247" s="171" t="s">
        <v>192</v>
      </c>
      <c r="D247" s="170" t="s">
        <v>191</v>
      </c>
      <c r="E247" s="167">
        <v>11.6</v>
      </c>
      <c r="F247" s="169"/>
      <c r="G247" s="168" t="s">
        <v>1548</v>
      </c>
      <c r="H247" s="167">
        <v>1</v>
      </c>
      <c r="I247" s="166">
        <v>34.020000000000003</v>
      </c>
      <c r="J247" s="167"/>
      <c r="K247" s="166"/>
    </row>
    <row r="248" spans="1:22" ht="15" x14ac:dyDescent="0.25">
      <c r="A248" s="164"/>
      <c r="B248" s="164"/>
      <c r="C248" s="165" t="s">
        <v>183</v>
      </c>
      <c r="D248" s="164"/>
      <c r="E248" s="164"/>
      <c r="F248" s="164"/>
      <c r="G248" s="164"/>
      <c r="H248" s="414">
        <v>18059.04</v>
      </c>
      <c r="I248" s="414"/>
      <c r="J248" s="414">
        <v>141473.22</v>
      </c>
      <c r="K248" s="414"/>
      <c r="O248" s="163">
        <f>I239+I240+I242+I244+I245+I246+SUM(I243:I243)</f>
        <v>18059.04</v>
      </c>
      <c r="P248" s="163">
        <f>K239+K240+K242+K244+K245+K246+SUM(K243:K243)</f>
        <v>141473.22</v>
      </c>
    </row>
    <row r="250" spans="1:22" ht="71.25" x14ac:dyDescent="0.2">
      <c r="A250" s="179" t="s">
        <v>1629</v>
      </c>
      <c r="B250" s="178" t="s">
        <v>549</v>
      </c>
      <c r="C250" s="178" t="s">
        <v>548</v>
      </c>
      <c r="D250" s="177" t="s">
        <v>1855</v>
      </c>
      <c r="E250" s="174">
        <v>4.2</v>
      </c>
      <c r="F250" s="176"/>
      <c r="G250" s="175"/>
      <c r="H250" s="174"/>
      <c r="I250" s="173"/>
      <c r="J250" s="174"/>
      <c r="K250" s="173"/>
      <c r="Q250" s="160">
        <f>[5]Source!X160</f>
        <v>2181.16</v>
      </c>
      <c r="R250" s="160">
        <f>[5]Source!X161</f>
        <v>36075.410000000003</v>
      </c>
      <c r="S250" s="160">
        <f>[5]Source!Y160</f>
        <v>1526.81</v>
      </c>
      <c r="T250" s="160">
        <f>[5]Source!Y161</f>
        <v>17401.080000000002</v>
      </c>
      <c r="U250" s="160">
        <f>ROUND((175/100)*ROUND([5]Source!R160, 2), 2)</f>
        <v>589.66</v>
      </c>
      <c r="V250" s="160">
        <f>ROUND((157/100)*ROUND([5]Source!R161, 2), 2)</f>
        <v>12352.41</v>
      </c>
    </row>
    <row r="251" spans="1:22" ht="14.25" x14ac:dyDescent="0.2">
      <c r="A251" s="179"/>
      <c r="B251" s="178"/>
      <c r="C251" s="178" t="s">
        <v>197</v>
      </c>
      <c r="D251" s="177"/>
      <c r="E251" s="174"/>
      <c r="F251" s="176">
        <v>376.32</v>
      </c>
      <c r="G251" s="175" t="s">
        <v>1548</v>
      </c>
      <c r="H251" s="174">
        <v>1</v>
      </c>
      <c r="I251" s="173">
        <v>1817.63</v>
      </c>
      <c r="J251" s="174">
        <v>23.35</v>
      </c>
      <c r="K251" s="173">
        <v>42441.66</v>
      </c>
    </row>
    <row r="252" spans="1:22" ht="14.25" x14ac:dyDescent="0.2">
      <c r="A252" s="179"/>
      <c r="B252" s="178"/>
      <c r="C252" s="178" t="s">
        <v>184</v>
      </c>
      <c r="D252" s="177"/>
      <c r="E252" s="174"/>
      <c r="F252" s="176">
        <v>403.01</v>
      </c>
      <c r="G252" s="175" t="s">
        <v>1549</v>
      </c>
      <c r="H252" s="174">
        <v>1</v>
      </c>
      <c r="I252" s="173">
        <v>2115.8000000000002</v>
      </c>
      <c r="J252" s="174">
        <v>8.2200000000000006</v>
      </c>
      <c r="K252" s="173">
        <v>17391.88</v>
      </c>
    </row>
    <row r="253" spans="1:22" ht="14.25" x14ac:dyDescent="0.2">
      <c r="A253" s="179"/>
      <c r="B253" s="178"/>
      <c r="C253" s="178" t="s">
        <v>189</v>
      </c>
      <c r="D253" s="177"/>
      <c r="E253" s="174"/>
      <c r="F253" s="176">
        <v>64.180000000000007</v>
      </c>
      <c r="G253" s="175" t="s">
        <v>1549</v>
      </c>
      <c r="H253" s="174">
        <v>1</v>
      </c>
      <c r="I253" s="180">
        <v>336.95</v>
      </c>
      <c r="J253" s="174">
        <v>23.35</v>
      </c>
      <c r="K253" s="180">
        <v>7867.78</v>
      </c>
    </row>
    <row r="254" spans="1:22" ht="14.25" x14ac:dyDescent="0.2">
      <c r="A254" s="179"/>
      <c r="B254" s="178"/>
      <c r="C254" s="178" t="s">
        <v>205</v>
      </c>
      <c r="D254" s="177"/>
      <c r="E254" s="174"/>
      <c r="F254" s="176">
        <v>10508.86</v>
      </c>
      <c r="G254" s="175" t="s">
        <v>195</v>
      </c>
      <c r="H254" s="174">
        <v>1</v>
      </c>
      <c r="I254" s="173">
        <v>44137.21</v>
      </c>
      <c r="J254" s="174">
        <v>2.58</v>
      </c>
      <c r="K254" s="173">
        <v>113874</v>
      </c>
    </row>
    <row r="255" spans="1:22" ht="185.25" x14ac:dyDescent="0.2">
      <c r="A255" s="179" t="s">
        <v>1630</v>
      </c>
      <c r="B255" s="178" t="s">
        <v>2202</v>
      </c>
      <c r="C255" s="178" t="s">
        <v>547</v>
      </c>
      <c r="D255" s="177" t="s">
        <v>1557</v>
      </c>
      <c r="E255" s="174">
        <v>470.4</v>
      </c>
      <c r="F255" s="176">
        <v>40.380000000000003</v>
      </c>
      <c r="G255" s="182" t="s">
        <v>195</v>
      </c>
      <c r="H255" s="174">
        <v>1</v>
      </c>
      <c r="I255" s="173">
        <v>18994.75</v>
      </c>
      <c r="J255" s="174">
        <v>4.37</v>
      </c>
      <c r="K255" s="173">
        <v>83007.06</v>
      </c>
      <c r="Q255" s="160">
        <f>[5]Source!X162</f>
        <v>0</v>
      </c>
      <c r="R255" s="160">
        <f>[5]Source!X163</f>
        <v>0</v>
      </c>
      <c r="S255" s="160">
        <f>[5]Source!Y162</f>
        <v>0</v>
      </c>
      <c r="T255" s="160">
        <f>[5]Source!Y163</f>
        <v>0</v>
      </c>
      <c r="U255" s="160">
        <f>ROUND((175/100)*ROUND([5]Source!R162, 2), 2)</f>
        <v>0</v>
      </c>
      <c r="V255" s="160">
        <f>ROUND((157/100)*ROUND([5]Source!R163, 2), 2)</f>
        <v>0</v>
      </c>
    </row>
    <row r="256" spans="1:22" ht="14.25" x14ac:dyDescent="0.2">
      <c r="A256" s="179"/>
      <c r="B256" s="178"/>
      <c r="C256" s="178" t="s">
        <v>194</v>
      </c>
      <c r="D256" s="177" t="s">
        <v>187</v>
      </c>
      <c r="E256" s="174">
        <v>120</v>
      </c>
      <c r="F256" s="176"/>
      <c r="G256" s="175"/>
      <c r="H256" s="174"/>
      <c r="I256" s="173">
        <v>2181.16</v>
      </c>
      <c r="J256" s="174">
        <v>85</v>
      </c>
      <c r="K256" s="173">
        <v>36075.410000000003</v>
      </c>
    </row>
    <row r="257" spans="1:22" ht="14.25" x14ac:dyDescent="0.2">
      <c r="A257" s="179"/>
      <c r="B257" s="178"/>
      <c r="C257" s="178" t="s">
        <v>193</v>
      </c>
      <c r="D257" s="177" t="s">
        <v>187</v>
      </c>
      <c r="E257" s="174">
        <v>84</v>
      </c>
      <c r="F257" s="176"/>
      <c r="G257" s="175"/>
      <c r="H257" s="174"/>
      <c r="I257" s="173">
        <v>1526.81</v>
      </c>
      <c r="J257" s="174">
        <v>41</v>
      </c>
      <c r="K257" s="173">
        <v>17401.080000000002</v>
      </c>
    </row>
    <row r="258" spans="1:22" ht="14.25" x14ac:dyDescent="0.2">
      <c r="A258" s="179"/>
      <c r="B258" s="178"/>
      <c r="C258" s="178" t="s">
        <v>188</v>
      </c>
      <c r="D258" s="177" t="s">
        <v>187</v>
      </c>
      <c r="E258" s="174">
        <v>175</v>
      </c>
      <c r="F258" s="176"/>
      <c r="G258" s="175"/>
      <c r="H258" s="174"/>
      <c r="I258" s="173">
        <v>589.66</v>
      </c>
      <c r="J258" s="174">
        <v>157</v>
      </c>
      <c r="K258" s="173">
        <v>12352.41</v>
      </c>
    </row>
    <row r="259" spans="1:22" ht="14.25" x14ac:dyDescent="0.2">
      <c r="A259" s="172"/>
      <c r="B259" s="171"/>
      <c r="C259" s="171" t="s">
        <v>192</v>
      </c>
      <c r="D259" s="170" t="s">
        <v>191</v>
      </c>
      <c r="E259" s="167">
        <v>32</v>
      </c>
      <c r="F259" s="169"/>
      <c r="G259" s="168" t="s">
        <v>1548</v>
      </c>
      <c r="H259" s="167">
        <v>1</v>
      </c>
      <c r="I259" s="166">
        <v>154.56</v>
      </c>
      <c r="J259" s="167"/>
      <c r="K259" s="166"/>
    </row>
    <row r="260" spans="1:22" ht="15" x14ac:dyDescent="0.25">
      <c r="A260" s="164"/>
      <c r="B260" s="164"/>
      <c r="C260" s="165" t="s">
        <v>183</v>
      </c>
      <c r="D260" s="164"/>
      <c r="E260" s="164"/>
      <c r="F260" s="164"/>
      <c r="G260" s="164"/>
      <c r="H260" s="414">
        <v>71363.02</v>
      </c>
      <c r="I260" s="414"/>
      <c r="J260" s="414">
        <v>322543.5</v>
      </c>
      <c r="K260" s="414"/>
      <c r="O260" s="163">
        <f>I251+I252+I254+I256+I257+I258+SUM(I255:I255)</f>
        <v>71363.02</v>
      </c>
      <c r="P260" s="163">
        <f>K251+K252+K254+K256+K257+K258+SUM(K255:K255)</f>
        <v>322543.5</v>
      </c>
    </row>
    <row r="262" spans="1:22" ht="71.25" x14ac:dyDescent="0.2">
      <c r="A262" s="179" t="s">
        <v>1633</v>
      </c>
      <c r="B262" s="178" t="s">
        <v>584</v>
      </c>
      <c r="C262" s="178" t="s">
        <v>583</v>
      </c>
      <c r="D262" s="177" t="s">
        <v>1855</v>
      </c>
      <c r="E262" s="174">
        <v>4.2</v>
      </c>
      <c r="F262" s="176"/>
      <c r="G262" s="175"/>
      <c r="H262" s="174"/>
      <c r="I262" s="173"/>
      <c r="J262" s="174"/>
      <c r="K262" s="173"/>
      <c r="Q262" s="160">
        <f>[5]Source!X164</f>
        <v>1363.22</v>
      </c>
      <c r="R262" s="160">
        <f>[5]Source!X165</f>
        <v>22547.16</v>
      </c>
      <c r="S262" s="160">
        <f>[5]Source!Y164</f>
        <v>954.26</v>
      </c>
      <c r="T262" s="160">
        <f>[5]Source!Y165</f>
        <v>10875.69</v>
      </c>
      <c r="U262" s="160">
        <f>ROUND((175/100)*ROUND([5]Source!R164, 2), 2)</f>
        <v>289.95999999999998</v>
      </c>
      <c r="V262" s="160">
        <f>ROUND((157/100)*ROUND([5]Source!R165, 2), 2)</f>
        <v>6074.11</v>
      </c>
    </row>
    <row r="263" spans="1:22" ht="14.25" x14ac:dyDescent="0.2">
      <c r="A263" s="179"/>
      <c r="B263" s="178"/>
      <c r="C263" s="178" t="s">
        <v>197</v>
      </c>
      <c r="D263" s="177"/>
      <c r="E263" s="174"/>
      <c r="F263" s="176">
        <v>235.2</v>
      </c>
      <c r="G263" s="175" t="s">
        <v>1548</v>
      </c>
      <c r="H263" s="174">
        <v>1</v>
      </c>
      <c r="I263" s="173">
        <v>1136.02</v>
      </c>
      <c r="J263" s="174">
        <v>23.35</v>
      </c>
      <c r="K263" s="173">
        <v>26526.07</v>
      </c>
    </row>
    <row r="264" spans="1:22" ht="14.25" x14ac:dyDescent="0.2">
      <c r="A264" s="179"/>
      <c r="B264" s="178"/>
      <c r="C264" s="178" t="s">
        <v>184</v>
      </c>
      <c r="D264" s="177"/>
      <c r="E264" s="174"/>
      <c r="F264" s="176">
        <v>214.16</v>
      </c>
      <c r="G264" s="175" t="s">
        <v>1549</v>
      </c>
      <c r="H264" s="174">
        <v>1</v>
      </c>
      <c r="I264" s="173">
        <v>1124.3399999999999</v>
      </c>
      <c r="J264" s="174">
        <v>8</v>
      </c>
      <c r="K264" s="173">
        <v>8994.7199999999993</v>
      </c>
    </row>
    <row r="265" spans="1:22" ht="14.25" x14ac:dyDescent="0.2">
      <c r="A265" s="179"/>
      <c r="B265" s="178"/>
      <c r="C265" s="178" t="s">
        <v>189</v>
      </c>
      <c r="D265" s="177"/>
      <c r="E265" s="174"/>
      <c r="F265" s="176">
        <v>31.56</v>
      </c>
      <c r="G265" s="175" t="s">
        <v>1549</v>
      </c>
      <c r="H265" s="174">
        <v>1</v>
      </c>
      <c r="I265" s="180">
        <v>165.69</v>
      </c>
      <c r="J265" s="174">
        <v>23.35</v>
      </c>
      <c r="K265" s="180">
        <v>3868.86</v>
      </c>
    </row>
    <row r="266" spans="1:22" ht="14.25" x14ac:dyDescent="0.2">
      <c r="A266" s="179"/>
      <c r="B266" s="178"/>
      <c r="C266" s="178" t="s">
        <v>205</v>
      </c>
      <c r="D266" s="177"/>
      <c r="E266" s="174"/>
      <c r="F266" s="176">
        <v>4538.59</v>
      </c>
      <c r="G266" s="175" t="s">
        <v>195</v>
      </c>
      <c r="H266" s="174">
        <v>1</v>
      </c>
      <c r="I266" s="173">
        <v>19062.080000000002</v>
      </c>
      <c r="J266" s="174">
        <v>2.44</v>
      </c>
      <c r="K266" s="173">
        <v>46511.48</v>
      </c>
    </row>
    <row r="267" spans="1:22" ht="185.25" x14ac:dyDescent="0.2">
      <c r="A267" s="179" t="s">
        <v>1634</v>
      </c>
      <c r="B267" s="178" t="s">
        <v>2202</v>
      </c>
      <c r="C267" s="178" t="s">
        <v>547</v>
      </c>
      <c r="D267" s="177" t="s">
        <v>1557</v>
      </c>
      <c r="E267" s="174">
        <v>470.4</v>
      </c>
      <c r="F267" s="176">
        <v>40.380000000000003</v>
      </c>
      <c r="G267" s="182" t="s">
        <v>195</v>
      </c>
      <c r="H267" s="174">
        <v>1</v>
      </c>
      <c r="I267" s="173">
        <v>18994.75</v>
      </c>
      <c r="J267" s="174">
        <v>4.37</v>
      </c>
      <c r="K267" s="173">
        <v>83007.06</v>
      </c>
      <c r="Q267" s="160">
        <f>[5]Source!X166</f>
        <v>0</v>
      </c>
      <c r="R267" s="160">
        <f>[5]Source!X167</f>
        <v>0</v>
      </c>
      <c r="S267" s="160">
        <f>[5]Source!Y166</f>
        <v>0</v>
      </c>
      <c r="T267" s="160">
        <f>[5]Source!Y167</f>
        <v>0</v>
      </c>
      <c r="U267" s="160">
        <f>ROUND((175/100)*ROUND([5]Source!R166, 2), 2)</f>
        <v>0</v>
      </c>
      <c r="V267" s="160">
        <f>ROUND((157/100)*ROUND([5]Source!R167, 2), 2)</f>
        <v>0</v>
      </c>
    </row>
    <row r="268" spans="1:22" ht="14.25" x14ac:dyDescent="0.2">
      <c r="A268" s="179"/>
      <c r="B268" s="178"/>
      <c r="C268" s="178" t="s">
        <v>194</v>
      </c>
      <c r="D268" s="177" t="s">
        <v>187</v>
      </c>
      <c r="E268" s="174">
        <v>120</v>
      </c>
      <c r="F268" s="176"/>
      <c r="G268" s="175"/>
      <c r="H268" s="174"/>
      <c r="I268" s="173">
        <v>1363.22</v>
      </c>
      <c r="J268" s="174">
        <v>85</v>
      </c>
      <c r="K268" s="173">
        <v>22547.16</v>
      </c>
    </row>
    <row r="269" spans="1:22" ht="14.25" x14ac:dyDescent="0.2">
      <c r="A269" s="179"/>
      <c r="B269" s="178"/>
      <c r="C269" s="178" t="s">
        <v>193</v>
      </c>
      <c r="D269" s="177" t="s">
        <v>187</v>
      </c>
      <c r="E269" s="174">
        <v>84</v>
      </c>
      <c r="F269" s="176"/>
      <c r="G269" s="175"/>
      <c r="H269" s="174"/>
      <c r="I269" s="173">
        <v>954.26</v>
      </c>
      <c r="J269" s="174">
        <v>41</v>
      </c>
      <c r="K269" s="173">
        <v>10875.69</v>
      </c>
    </row>
    <row r="270" spans="1:22" ht="14.25" x14ac:dyDescent="0.2">
      <c r="A270" s="179"/>
      <c r="B270" s="178"/>
      <c r="C270" s="178" t="s">
        <v>188</v>
      </c>
      <c r="D270" s="177" t="s">
        <v>187</v>
      </c>
      <c r="E270" s="174">
        <v>175</v>
      </c>
      <c r="F270" s="176"/>
      <c r="G270" s="175"/>
      <c r="H270" s="174"/>
      <c r="I270" s="173">
        <v>289.95999999999998</v>
      </c>
      <c r="J270" s="174">
        <v>157</v>
      </c>
      <c r="K270" s="173">
        <v>6074.11</v>
      </c>
    </row>
    <row r="271" spans="1:22" ht="14.25" x14ac:dyDescent="0.2">
      <c r="A271" s="172"/>
      <c r="B271" s="171"/>
      <c r="C271" s="171" t="s">
        <v>192</v>
      </c>
      <c r="D271" s="170" t="s">
        <v>191</v>
      </c>
      <c r="E271" s="167">
        <v>20</v>
      </c>
      <c r="F271" s="169"/>
      <c r="G271" s="168" t="s">
        <v>1548</v>
      </c>
      <c r="H271" s="167">
        <v>1</v>
      </c>
      <c r="I271" s="166">
        <v>96.6</v>
      </c>
      <c r="J271" s="167"/>
      <c r="K271" s="166"/>
    </row>
    <row r="272" spans="1:22" ht="15" x14ac:dyDescent="0.25">
      <c r="A272" s="164"/>
      <c r="B272" s="164"/>
      <c r="C272" s="165" t="s">
        <v>183</v>
      </c>
      <c r="D272" s="164"/>
      <c r="E272" s="164"/>
      <c r="F272" s="164"/>
      <c r="G272" s="164"/>
      <c r="H272" s="414">
        <v>42924.63</v>
      </c>
      <c r="I272" s="414"/>
      <c r="J272" s="414">
        <v>204536.29</v>
      </c>
      <c r="K272" s="414"/>
      <c r="O272" s="163">
        <f>I263+I264+I266+I268+I269+I270+SUM(I267:I267)</f>
        <v>42924.63</v>
      </c>
      <c r="P272" s="163">
        <f>K263+K264+K266+K268+K269+K270+SUM(K267:K267)</f>
        <v>204536.29</v>
      </c>
    </row>
    <row r="274" spans="1:32" ht="71.25" x14ac:dyDescent="0.2">
      <c r="A274" s="179" t="s">
        <v>1635</v>
      </c>
      <c r="B274" s="178" t="s">
        <v>2394</v>
      </c>
      <c r="C274" s="178" t="s">
        <v>594</v>
      </c>
      <c r="D274" s="177" t="s">
        <v>1529</v>
      </c>
      <c r="E274" s="174">
        <v>33</v>
      </c>
      <c r="F274" s="176"/>
      <c r="G274" s="175"/>
      <c r="H274" s="174"/>
      <c r="I274" s="173"/>
      <c r="J274" s="174"/>
      <c r="K274" s="173"/>
      <c r="Q274" s="160">
        <f>[5]Source!X168</f>
        <v>8033.93</v>
      </c>
      <c r="R274" s="160">
        <f>[5]Source!X169</f>
        <v>150486.03</v>
      </c>
      <c r="S274" s="160">
        <f>[5]Source!Y168</f>
        <v>6179.94</v>
      </c>
      <c r="T274" s="160">
        <f>[5]Source!Y169</f>
        <v>84519.55</v>
      </c>
      <c r="U274" s="160">
        <f>ROUND((175/100)*ROUND([5]Source!R168, 2), 2)</f>
        <v>0</v>
      </c>
      <c r="V274" s="160">
        <f>ROUND((157/100)*ROUND([5]Source!R169, 2), 2)</f>
        <v>0</v>
      </c>
    </row>
    <row r="275" spans="1:32" ht="14.25" x14ac:dyDescent="0.2">
      <c r="A275" s="179"/>
      <c r="B275" s="178"/>
      <c r="C275" s="178" t="s">
        <v>197</v>
      </c>
      <c r="D275" s="177"/>
      <c r="E275" s="174"/>
      <c r="F275" s="176">
        <v>267.52999999999997</v>
      </c>
      <c r="G275" s="175" t="s">
        <v>195</v>
      </c>
      <c r="H275" s="174">
        <v>1</v>
      </c>
      <c r="I275" s="173">
        <v>8828.49</v>
      </c>
      <c r="J275" s="174">
        <v>23.35</v>
      </c>
      <c r="K275" s="173">
        <v>206145.24</v>
      </c>
    </row>
    <row r="276" spans="1:32" ht="28.5" x14ac:dyDescent="0.2">
      <c r="A276" s="179" t="s">
        <v>1638</v>
      </c>
      <c r="B276" s="178" t="s">
        <v>2395</v>
      </c>
      <c r="C276" s="178" t="s">
        <v>593</v>
      </c>
      <c r="D276" s="177" t="s">
        <v>2396</v>
      </c>
      <c r="E276" s="174">
        <v>14.52</v>
      </c>
      <c r="F276" s="176">
        <v>1067.1400000000001</v>
      </c>
      <c r="G276" s="182" t="s">
        <v>195</v>
      </c>
      <c r="H276" s="174">
        <v>1</v>
      </c>
      <c r="I276" s="173">
        <v>15494.87</v>
      </c>
      <c r="J276" s="174">
        <v>9.0299999999999994</v>
      </c>
      <c r="K276" s="173">
        <v>139918.68</v>
      </c>
      <c r="Q276" s="160">
        <f>[5]Source!X170</f>
        <v>0</v>
      </c>
      <c r="R276" s="160">
        <f>[5]Source!X171</f>
        <v>0</v>
      </c>
      <c r="S276" s="160">
        <f>[5]Source!Y170</f>
        <v>0</v>
      </c>
      <c r="T276" s="160">
        <f>[5]Source!Y171</f>
        <v>0</v>
      </c>
      <c r="U276" s="160">
        <f>ROUND((175/100)*ROUND([5]Source!R170, 2), 2)</f>
        <v>0</v>
      </c>
      <c r="V276" s="160">
        <f>ROUND((157/100)*ROUND([5]Source!R171, 2), 2)</f>
        <v>0</v>
      </c>
    </row>
    <row r="277" spans="1:32" ht="28.5" x14ac:dyDescent="0.2">
      <c r="A277" s="179" t="s">
        <v>1639</v>
      </c>
      <c r="B277" s="178" t="s">
        <v>1598</v>
      </c>
      <c r="C277" s="178" t="s">
        <v>272</v>
      </c>
      <c r="D277" s="177" t="s">
        <v>1594</v>
      </c>
      <c r="E277" s="174">
        <v>7.36</v>
      </c>
      <c r="F277" s="176">
        <v>481.69</v>
      </c>
      <c r="G277" s="182" t="s">
        <v>195</v>
      </c>
      <c r="H277" s="174">
        <v>1</v>
      </c>
      <c r="I277" s="173">
        <v>3545.24</v>
      </c>
      <c r="J277" s="174">
        <v>6.45</v>
      </c>
      <c r="K277" s="173">
        <v>22866.799999999999</v>
      </c>
      <c r="Q277" s="160">
        <f>[5]Source!X172</f>
        <v>0</v>
      </c>
      <c r="R277" s="160">
        <f>[5]Source!X173</f>
        <v>0</v>
      </c>
      <c r="S277" s="160">
        <f>[5]Source!Y172</f>
        <v>0</v>
      </c>
      <c r="T277" s="160">
        <f>[5]Source!Y173</f>
        <v>0</v>
      </c>
      <c r="U277" s="160">
        <f>ROUND((175/100)*ROUND([5]Source!R172, 2), 2)</f>
        <v>0</v>
      </c>
      <c r="V277" s="160">
        <f>ROUND((157/100)*ROUND([5]Source!R173, 2), 2)</f>
        <v>0</v>
      </c>
    </row>
    <row r="278" spans="1:32" ht="14.25" x14ac:dyDescent="0.2">
      <c r="A278" s="179"/>
      <c r="B278" s="178"/>
      <c r="C278" s="178" t="s">
        <v>194</v>
      </c>
      <c r="D278" s="177" t="s">
        <v>187</v>
      </c>
      <c r="E278" s="174">
        <v>91</v>
      </c>
      <c r="F278" s="176"/>
      <c r="G278" s="175"/>
      <c r="H278" s="174"/>
      <c r="I278" s="173">
        <v>8033.93</v>
      </c>
      <c r="J278" s="174">
        <v>73</v>
      </c>
      <c r="K278" s="173">
        <v>150486.03</v>
      </c>
    </row>
    <row r="279" spans="1:32" ht="14.25" x14ac:dyDescent="0.2">
      <c r="A279" s="179"/>
      <c r="B279" s="178"/>
      <c r="C279" s="178" t="s">
        <v>193</v>
      </c>
      <c r="D279" s="177" t="s">
        <v>187</v>
      </c>
      <c r="E279" s="174">
        <v>70</v>
      </c>
      <c r="F279" s="176"/>
      <c r="G279" s="175"/>
      <c r="H279" s="174"/>
      <c r="I279" s="173">
        <v>6179.94</v>
      </c>
      <c r="J279" s="174">
        <v>41</v>
      </c>
      <c r="K279" s="173">
        <v>84519.55</v>
      </c>
    </row>
    <row r="280" spans="1:32" ht="14.25" x14ac:dyDescent="0.2">
      <c r="A280" s="172"/>
      <c r="B280" s="171"/>
      <c r="C280" s="171" t="s">
        <v>192</v>
      </c>
      <c r="D280" s="170" t="s">
        <v>191</v>
      </c>
      <c r="E280" s="167">
        <v>18.149999999999999</v>
      </c>
      <c r="F280" s="169"/>
      <c r="G280" s="168" t="s">
        <v>195</v>
      </c>
      <c r="H280" s="167">
        <v>1</v>
      </c>
      <c r="I280" s="166">
        <v>598.95000000000005</v>
      </c>
      <c r="J280" s="167"/>
      <c r="K280" s="166"/>
    </row>
    <row r="281" spans="1:32" ht="15" x14ac:dyDescent="0.25">
      <c r="A281" s="164"/>
      <c r="B281" s="164"/>
      <c r="C281" s="165" t="s">
        <v>183</v>
      </c>
      <c r="D281" s="164"/>
      <c r="E281" s="164"/>
      <c r="F281" s="164"/>
      <c r="G281" s="164"/>
      <c r="H281" s="414">
        <v>42082.47</v>
      </c>
      <c r="I281" s="414"/>
      <c r="J281" s="414">
        <v>603936.30000000005</v>
      </c>
      <c r="K281" s="414"/>
      <c r="O281" s="163">
        <f>I275+I278+I279+SUM(I276:I277)</f>
        <v>42082.47</v>
      </c>
      <c r="P281" s="163">
        <f>K275+K278+K279+SUM(K276:K277)</f>
        <v>603936.30000000005</v>
      </c>
    </row>
    <row r="284" spans="1:32" ht="15" x14ac:dyDescent="0.25">
      <c r="A284" s="417" t="s">
        <v>2397</v>
      </c>
      <c r="B284" s="417"/>
      <c r="C284" s="417"/>
      <c r="D284" s="417"/>
      <c r="E284" s="417"/>
      <c r="F284" s="417"/>
      <c r="G284" s="417"/>
      <c r="H284" s="415">
        <v>362086.61</v>
      </c>
      <c r="I284" s="416"/>
      <c r="J284" s="415">
        <v>2550811.64</v>
      </c>
      <c r="K284" s="416"/>
      <c r="AF284" s="201" t="str">
        <f>CONCATENATE("Итого по разделу: ",IF([5]Source!G175&lt;&gt;"Новый раздел", [5]Source!G175, ""))</f>
        <v>Итого по разделу: Перекрытие над подвалом в осях В-Г/2-5 и В-Г/8-11. 023/18КН-КР 4.4 лист2</v>
      </c>
    </row>
    <row r="285" spans="1:32" hidden="1" x14ac:dyDescent="0.2">
      <c r="A285" s="160" t="s">
        <v>182</v>
      </c>
      <c r="I285" s="160">
        <v>0</v>
      </c>
      <c r="J285" s="160">
        <v>0</v>
      </c>
    </row>
    <row r="286" spans="1:32" hidden="1" x14ac:dyDescent="0.2">
      <c r="A286" s="160" t="s">
        <v>181</v>
      </c>
      <c r="I286" s="160">
        <v>0</v>
      </c>
      <c r="J286" s="160">
        <v>0</v>
      </c>
    </row>
    <row r="288" spans="1:32" ht="16.5" x14ac:dyDescent="0.25">
      <c r="A288" s="413" t="s">
        <v>1921</v>
      </c>
      <c r="B288" s="413"/>
      <c r="C288" s="413"/>
      <c r="D288" s="413"/>
      <c r="E288" s="413"/>
      <c r="F288" s="413"/>
      <c r="G288" s="413"/>
      <c r="H288" s="413"/>
      <c r="I288" s="413"/>
      <c r="J288" s="413"/>
      <c r="K288" s="413"/>
    </row>
    <row r="289" spans="1:22" ht="42.75" x14ac:dyDescent="0.2">
      <c r="A289" s="179" t="s">
        <v>1645</v>
      </c>
      <c r="B289" s="178" t="s">
        <v>1923</v>
      </c>
      <c r="C289" s="178" t="s">
        <v>190</v>
      </c>
      <c r="D289" s="177" t="s">
        <v>1785</v>
      </c>
      <c r="E289" s="174">
        <v>8.0399999999999991</v>
      </c>
      <c r="F289" s="176"/>
      <c r="G289" s="175"/>
      <c r="H289" s="174"/>
      <c r="I289" s="173"/>
      <c r="J289" s="174"/>
      <c r="K289" s="173"/>
      <c r="Q289" s="160">
        <f>[5]Source!X209</f>
        <v>0</v>
      </c>
      <c r="R289" s="160">
        <f>[5]Source!X210</f>
        <v>0</v>
      </c>
      <c r="S289" s="160">
        <f>[5]Source!Y209</f>
        <v>0</v>
      </c>
      <c r="T289" s="160">
        <f>[5]Source!Y210</f>
        <v>0</v>
      </c>
      <c r="U289" s="160">
        <f>ROUND((175/100)*ROUND([5]Source!R209, 2), 2)</f>
        <v>20.83</v>
      </c>
      <c r="V289" s="160">
        <f>ROUND((157/100)*ROUND([5]Source!R210, 2), 2)</f>
        <v>436.26</v>
      </c>
    </row>
    <row r="290" spans="1:22" ht="14.25" x14ac:dyDescent="0.2">
      <c r="A290" s="179"/>
      <c r="B290" s="178"/>
      <c r="C290" s="178" t="s">
        <v>184</v>
      </c>
      <c r="D290" s="177"/>
      <c r="E290" s="174"/>
      <c r="F290" s="176">
        <v>8.86</v>
      </c>
      <c r="G290" s="175" t="s">
        <v>195</v>
      </c>
      <c r="H290" s="174">
        <v>1</v>
      </c>
      <c r="I290" s="173">
        <v>71.23</v>
      </c>
      <c r="J290" s="174">
        <v>8.36</v>
      </c>
      <c r="K290" s="173">
        <v>595.48</v>
      </c>
    </row>
    <row r="291" spans="1:22" ht="14.25" x14ac:dyDescent="0.2">
      <c r="A291" s="179"/>
      <c r="B291" s="178"/>
      <c r="C291" s="178" t="s">
        <v>189</v>
      </c>
      <c r="D291" s="177"/>
      <c r="E291" s="174"/>
      <c r="F291" s="176">
        <v>1.48</v>
      </c>
      <c r="G291" s="175" t="s">
        <v>195</v>
      </c>
      <c r="H291" s="174">
        <v>1</v>
      </c>
      <c r="I291" s="180">
        <v>11.9</v>
      </c>
      <c r="J291" s="174">
        <v>23.35</v>
      </c>
      <c r="K291" s="180">
        <v>277.87</v>
      </c>
    </row>
    <row r="292" spans="1:22" ht="14.25" x14ac:dyDescent="0.2">
      <c r="A292" s="172"/>
      <c r="B292" s="171"/>
      <c r="C292" s="171" t="s">
        <v>188</v>
      </c>
      <c r="D292" s="170" t="s">
        <v>187</v>
      </c>
      <c r="E292" s="167">
        <v>175</v>
      </c>
      <c r="F292" s="169"/>
      <c r="G292" s="168"/>
      <c r="H292" s="167"/>
      <c r="I292" s="166">
        <v>20.83</v>
      </c>
      <c r="J292" s="167">
        <v>157</v>
      </c>
      <c r="K292" s="166">
        <v>436.26</v>
      </c>
    </row>
    <row r="293" spans="1:22" ht="15" x14ac:dyDescent="0.25">
      <c r="A293" s="164"/>
      <c r="B293" s="164"/>
      <c r="C293" s="165" t="s">
        <v>183</v>
      </c>
      <c r="D293" s="164"/>
      <c r="E293" s="164"/>
      <c r="F293" s="164"/>
      <c r="G293" s="164"/>
      <c r="H293" s="414">
        <v>92.06</v>
      </c>
      <c r="I293" s="414"/>
      <c r="J293" s="414">
        <v>1031.74</v>
      </c>
      <c r="K293" s="414"/>
      <c r="O293" s="163">
        <f>I290+I292</f>
        <v>92.06</v>
      </c>
      <c r="P293" s="163">
        <f>K290+K292</f>
        <v>1031.74</v>
      </c>
    </row>
    <row r="296" spans="1:22" ht="15" x14ac:dyDescent="0.25">
      <c r="A296" s="417" t="s">
        <v>1925</v>
      </c>
      <c r="B296" s="417"/>
      <c r="C296" s="417"/>
      <c r="D296" s="417"/>
      <c r="E296" s="417"/>
      <c r="F296" s="417"/>
      <c r="G296" s="417"/>
      <c r="H296" s="415">
        <v>92.06</v>
      </c>
      <c r="I296" s="416"/>
      <c r="J296" s="415">
        <v>1031.74</v>
      </c>
      <c r="K296" s="416"/>
    </row>
    <row r="297" spans="1:22" hidden="1" x14ac:dyDescent="0.2">
      <c r="A297" s="160" t="s">
        <v>182</v>
      </c>
      <c r="I297" s="160">
        <v>0</v>
      </c>
      <c r="J297" s="160">
        <v>0</v>
      </c>
    </row>
    <row r="298" spans="1:22" hidden="1" x14ac:dyDescent="0.2">
      <c r="A298" s="160" t="s">
        <v>181</v>
      </c>
      <c r="I298" s="160">
        <v>0</v>
      </c>
      <c r="J298" s="160">
        <v>0</v>
      </c>
    </row>
    <row r="300" spans="1:22" ht="16.5" x14ac:dyDescent="0.25">
      <c r="A300" s="413" t="s">
        <v>1926</v>
      </c>
      <c r="B300" s="413"/>
      <c r="C300" s="413"/>
      <c r="D300" s="413"/>
      <c r="E300" s="413"/>
      <c r="F300" s="413"/>
      <c r="G300" s="413"/>
      <c r="H300" s="413"/>
      <c r="I300" s="413"/>
      <c r="J300" s="413"/>
      <c r="K300" s="413"/>
    </row>
    <row r="301" spans="1:22" ht="42.75" x14ac:dyDescent="0.2">
      <c r="A301" s="179" t="s">
        <v>1652</v>
      </c>
      <c r="B301" s="178" t="s">
        <v>2120</v>
      </c>
      <c r="C301" s="178" t="s">
        <v>383</v>
      </c>
      <c r="D301" s="177" t="s">
        <v>1533</v>
      </c>
      <c r="E301" s="174">
        <v>8.0399999999999991</v>
      </c>
      <c r="F301" s="176"/>
      <c r="G301" s="175"/>
      <c r="H301" s="174"/>
      <c r="I301" s="173"/>
      <c r="J301" s="174"/>
      <c r="K301" s="173"/>
      <c r="Q301" s="160">
        <f>[5]Source!X246</f>
        <v>0</v>
      </c>
      <c r="R301" s="160">
        <f>[5]Source!X247</f>
        <v>0</v>
      </c>
      <c r="S301" s="160">
        <f>[5]Source!Y246</f>
        <v>0</v>
      </c>
      <c r="T301" s="160">
        <f>[5]Source!Y247</f>
        <v>0</v>
      </c>
      <c r="U301" s="160">
        <f>ROUND((175/100)*ROUND([5]Source!R246, 2), 2)</f>
        <v>0</v>
      </c>
      <c r="V301" s="160">
        <f>ROUND((157/100)*ROUND([5]Source!R247, 2), 2)</f>
        <v>0</v>
      </c>
    </row>
    <row r="302" spans="1:22" ht="14.25" x14ac:dyDescent="0.2">
      <c r="A302" s="172"/>
      <c r="B302" s="171"/>
      <c r="C302" s="171" t="s">
        <v>184</v>
      </c>
      <c r="D302" s="170"/>
      <c r="E302" s="167"/>
      <c r="F302" s="169">
        <v>34.15</v>
      </c>
      <c r="G302" s="168" t="s">
        <v>195</v>
      </c>
      <c r="H302" s="167">
        <v>1</v>
      </c>
      <c r="I302" s="166">
        <v>274.57</v>
      </c>
      <c r="J302" s="167">
        <v>9.57</v>
      </c>
      <c r="K302" s="166">
        <v>2627.63</v>
      </c>
    </row>
    <row r="303" spans="1:22" ht="15" x14ac:dyDescent="0.25">
      <c r="A303" s="164"/>
      <c r="B303" s="164"/>
      <c r="C303" s="165" t="s">
        <v>183</v>
      </c>
      <c r="D303" s="164"/>
      <c r="E303" s="164"/>
      <c r="F303" s="164"/>
      <c r="G303" s="164"/>
      <c r="H303" s="414">
        <v>274.57</v>
      </c>
      <c r="I303" s="414"/>
      <c r="J303" s="414">
        <v>2627.63</v>
      </c>
      <c r="K303" s="414"/>
      <c r="O303" s="163">
        <f>I302</f>
        <v>274.57</v>
      </c>
      <c r="P303" s="163">
        <f>K302</f>
        <v>2627.63</v>
      </c>
    </row>
    <row r="305" spans="1:22" ht="14.25" x14ac:dyDescent="0.2">
      <c r="A305" s="179" t="s">
        <v>1665</v>
      </c>
      <c r="B305" s="178" t="s">
        <v>1930</v>
      </c>
      <c r="C305" s="178" t="s">
        <v>382</v>
      </c>
      <c r="D305" s="177" t="s">
        <v>1533</v>
      </c>
      <c r="E305" s="174">
        <v>8.0399999999999991</v>
      </c>
      <c r="F305" s="176"/>
      <c r="G305" s="175"/>
      <c r="H305" s="174"/>
      <c r="I305" s="173"/>
      <c r="J305" s="174"/>
      <c r="K305" s="173"/>
      <c r="Q305" s="160">
        <f>[5]Source!X248</f>
        <v>0</v>
      </c>
      <c r="R305" s="160">
        <f>[5]Source!X249</f>
        <v>0</v>
      </c>
      <c r="S305" s="160">
        <f>[5]Source!Y248</f>
        <v>0</v>
      </c>
      <c r="T305" s="160">
        <f>[5]Source!Y249</f>
        <v>0</v>
      </c>
      <c r="U305" s="160">
        <f>ROUND((175/100)*ROUND([5]Source!R248, 2), 2)</f>
        <v>0</v>
      </c>
      <c r="V305" s="160">
        <f>ROUND((157/100)*ROUND([5]Source!R249, 2), 2)</f>
        <v>0</v>
      </c>
    </row>
    <row r="306" spans="1:22" ht="14.25" x14ac:dyDescent="0.2">
      <c r="A306" s="172"/>
      <c r="B306" s="171"/>
      <c r="C306" s="171" t="s">
        <v>184</v>
      </c>
      <c r="D306" s="170"/>
      <c r="E306" s="167"/>
      <c r="F306" s="169">
        <v>101</v>
      </c>
      <c r="G306" s="168" t="s">
        <v>195</v>
      </c>
      <c r="H306" s="167">
        <v>1</v>
      </c>
      <c r="I306" s="166">
        <v>812.04</v>
      </c>
      <c r="J306" s="167">
        <v>1.96</v>
      </c>
      <c r="K306" s="166">
        <v>1591.6</v>
      </c>
    </row>
    <row r="307" spans="1:22" ht="15" x14ac:dyDescent="0.25">
      <c r="A307" s="164"/>
      <c r="B307" s="164"/>
      <c r="C307" s="165" t="s">
        <v>183</v>
      </c>
      <c r="D307" s="164"/>
      <c r="E307" s="164"/>
      <c r="F307" s="164"/>
      <c r="G307" s="164"/>
      <c r="H307" s="414">
        <v>812.04</v>
      </c>
      <c r="I307" s="414"/>
      <c r="J307" s="414">
        <v>1591.6</v>
      </c>
      <c r="K307" s="414"/>
      <c r="O307" s="163">
        <f>I306</f>
        <v>812.04</v>
      </c>
      <c r="P307" s="163">
        <f>K306</f>
        <v>1591.6</v>
      </c>
    </row>
    <row r="310" spans="1:22" ht="15" x14ac:dyDescent="0.25">
      <c r="A310" s="417" t="s">
        <v>1931</v>
      </c>
      <c r="B310" s="417"/>
      <c r="C310" s="417"/>
      <c r="D310" s="417"/>
      <c r="E310" s="417"/>
      <c r="F310" s="417"/>
      <c r="G310" s="417"/>
      <c r="H310" s="415">
        <v>1086.6099999999999</v>
      </c>
      <c r="I310" s="416"/>
      <c r="J310" s="415">
        <v>4219.2299999999996</v>
      </c>
      <c r="K310" s="416"/>
    </row>
    <row r="311" spans="1:22" hidden="1" x14ac:dyDescent="0.2">
      <c r="A311" s="160" t="s">
        <v>182</v>
      </c>
      <c r="I311" s="160">
        <v>0</v>
      </c>
      <c r="J311" s="160">
        <v>0</v>
      </c>
    </row>
    <row r="312" spans="1:22" hidden="1" x14ac:dyDescent="0.2">
      <c r="A312" s="160" t="s">
        <v>181</v>
      </c>
      <c r="I312" s="160">
        <v>0</v>
      </c>
      <c r="J312" s="160">
        <v>0</v>
      </c>
    </row>
    <row r="314" spans="1:22" ht="15" x14ac:dyDescent="0.25">
      <c r="A314" s="417" t="s">
        <v>2398</v>
      </c>
      <c r="B314" s="417"/>
      <c r="C314" s="417"/>
      <c r="D314" s="417"/>
      <c r="E314" s="417"/>
      <c r="F314" s="417"/>
      <c r="G314" s="417"/>
      <c r="H314" s="415">
        <v>579536.04</v>
      </c>
      <c r="I314" s="416"/>
      <c r="J314" s="415">
        <v>5736172.9699999997</v>
      </c>
      <c r="K314" s="416"/>
    </row>
    <row r="315" spans="1:22" hidden="1" x14ac:dyDescent="0.2">
      <c r="A315" s="160" t="s">
        <v>182</v>
      </c>
      <c r="I315" s="160">
        <v>0</v>
      </c>
      <c r="J315" s="160">
        <v>0</v>
      </c>
    </row>
    <row r="316" spans="1:22" hidden="1" x14ac:dyDescent="0.2">
      <c r="A316" s="160" t="s">
        <v>181</v>
      </c>
      <c r="I316" s="160">
        <v>0</v>
      </c>
      <c r="J316" s="160">
        <v>0</v>
      </c>
    </row>
    <row r="317" spans="1:22" ht="14.25" x14ac:dyDescent="0.2">
      <c r="C317" s="410" t="s">
        <v>1920</v>
      </c>
      <c r="D317" s="410"/>
      <c r="E317" s="410"/>
      <c r="F317" s="410"/>
      <c r="G317" s="410"/>
      <c r="H317" s="411">
        <v>453861.97</v>
      </c>
      <c r="I317" s="411"/>
      <c r="J317" s="411">
        <v>3666708.38</v>
      </c>
      <c r="K317" s="411"/>
    </row>
    <row r="318" spans="1:22" ht="14.25" x14ac:dyDescent="0.2">
      <c r="C318" s="410" t="s">
        <v>1933</v>
      </c>
      <c r="D318" s="410"/>
      <c r="E318" s="410"/>
      <c r="F318" s="410"/>
      <c r="G318" s="410"/>
      <c r="H318" s="411">
        <v>363921.27</v>
      </c>
      <c r="I318" s="411"/>
      <c r="J318" s="411">
        <v>1824769.72</v>
      </c>
      <c r="K318" s="411"/>
    </row>
    <row r="319" spans="1:22" ht="14.25" x14ac:dyDescent="0.2">
      <c r="C319" s="410" t="s">
        <v>1934</v>
      </c>
      <c r="D319" s="410"/>
      <c r="E319" s="410"/>
      <c r="F319" s="410"/>
      <c r="G319" s="410"/>
      <c r="H319" s="411">
        <v>363921.27</v>
      </c>
      <c r="I319" s="411"/>
      <c r="J319" s="411">
        <v>1824769.72</v>
      </c>
      <c r="K319" s="411"/>
    </row>
    <row r="320" spans="1:22" ht="14.25" x14ac:dyDescent="0.2">
      <c r="C320" s="410" t="s">
        <v>1935</v>
      </c>
      <c r="D320" s="410"/>
      <c r="E320" s="410"/>
      <c r="F320" s="410"/>
      <c r="G320" s="410"/>
      <c r="H320" s="411">
        <v>0</v>
      </c>
      <c r="I320" s="411"/>
      <c r="J320" s="411">
        <v>0</v>
      </c>
      <c r="K320" s="411"/>
    </row>
    <row r="321" spans="1:11" ht="14.25" x14ac:dyDescent="0.2">
      <c r="C321" s="410" t="s">
        <v>1938</v>
      </c>
      <c r="D321" s="410"/>
      <c r="E321" s="410"/>
      <c r="F321" s="410"/>
      <c r="G321" s="410"/>
      <c r="H321" s="411">
        <v>73132.399999999994</v>
      </c>
      <c r="I321" s="411"/>
      <c r="J321" s="411">
        <v>1707641.55</v>
      </c>
      <c r="K321" s="411"/>
    </row>
    <row r="322" spans="1:11" ht="14.25" x14ac:dyDescent="0.2">
      <c r="C322" s="410" t="s">
        <v>1939</v>
      </c>
      <c r="D322" s="410"/>
      <c r="E322" s="410"/>
      <c r="F322" s="410"/>
      <c r="G322" s="410"/>
      <c r="H322" s="411">
        <v>578449.43000000005</v>
      </c>
      <c r="I322" s="411"/>
      <c r="J322" s="411">
        <v>5731953.7400000002</v>
      </c>
      <c r="K322" s="411"/>
    </row>
    <row r="323" spans="1:11" ht="14.25" x14ac:dyDescent="0.2">
      <c r="C323" s="410" t="s">
        <v>1940</v>
      </c>
      <c r="D323" s="410"/>
      <c r="E323" s="410"/>
      <c r="F323" s="410"/>
      <c r="G323" s="410"/>
      <c r="H323" s="411">
        <v>0</v>
      </c>
      <c r="I323" s="411"/>
      <c r="J323" s="411">
        <v>0</v>
      </c>
      <c r="K323" s="411"/>
    </row>
    <row r="324" spans="1:11" ht="14.25" x14ac:dyDescent="0.2">
      <c r="C324" s="410" t="s">
        <v>1941</v>
      </c>
      <c r="D324" s="410"/>
      <c r="E324" s="410"/>
      <c r="F324" s="410"/>
      <c r="G324" s="410"/>
      <c r="H324" s="411">
        <v>1086.6099999999999</v>
      </c>
      <c r="I324" s="411"/>
      <c r="J324" s="411">
        <v>4219.2299999999996</v>
      </c>
      <c r="K324" s="411"/>
    </row>
    <row r="325" spans="1:11" ht="14.25" x14ac:dyDescent="0.2">
      <c r="C325" s="410" t="s">
        <v>1942</v>
      </c>
      <c r="D325" s="410"/>
      <c r="E325" s="410"/>
      <c r="F325" s="410"/>
      <c r="G325" s="410"/>
      <c r="H325" s="411">
        <v>67980.800000000003</v>
      </c>
      <c r="I325" s="411"/>
      <c r="J325" s="411">
        <v>1258447.8899999999</v>
      </c>
      <c r="K325" s="411"/>
    </row>
    <row r="326" spans="1:11" ht="14.25" x14ac:dyDescent="0.2">
      <c r="C326" s="410" t="s">
        <v>1943</v>
      </c>
      <c r="D326" s="410"/>
      <c r="E326" s="410"/>
      <c r="F326" s="410"/>
      <c r="G326" s="410"/>
      <c r="H326" s="411">
        <v>52400.03</v>
      </c>
      <c r="I326" s="411"/>
      <c r="J326" s="411">
        <v>700133.04</v>
      </c>
      <c r="K326" s="411"/>
    </row>
    <row r="327" spans="1:11" ht="14.25" x14ac:dyDescent="0.2">
      <c r="C327" s="410" t="s">
        <v>1944</v>
      </c>
      <c r="D327" s="410"/>
      <c r="E327" s="410"/>
      <c r="F327" s="410"/>
      <c r="G327" s="410"/>
      <c r="H327" s="411">
        <v>579536.04</v>
      </c>
      <c r="I327" s="411"/>
      <c r="J327" s="411">
        <v>5736172.9699999997</v>
      </c>
      <c r="K327" s="411"/>
    </row>
    <row r="330" spans="1:11" ht="14.25" x14ac:dyDescent="0.2">
      <c r="A330" s="412" t="s">
        <v>180</v>
      </c>
      <c r="B330" s="412"/>
      <c r="C330" s="162" t="s">
        <v>107</v>
      </c>
      <c r="D330" s="162"/>
      <c r="E330" s="162"/>
      <c r="F330" s="162"/>
      <c r="G330" s="162"/>
      <c r="H330" s="161" t="s">
        <v>2122</v>
      </c>
      <c r="I330" s="161"/>
      <c r="J330" s="161"/>
      <c r="K330" s="161"/>
    </row>
    <row r="331" spans="1:11" ht="14.25" x14ac:dyDescent="0.2">
      <c r="A331" s="161"/>
      <c r="B331" s="161"/>
      <c r="C331" s="409" t="s">
        <v>72</v>
      </c>
      <c r="D331" s="409"/>
      <c r="E331" s="409"/>
      <c r="F331" s="409"/>
      <c r="G331" s="409"/>
      <c r="H331" s="161"/>
      <c r="I331" s="161"/>
      <c r="J331" s="161"/>
      <c r="K331" s="161"/>
    </row>
    <row r="332" spans="1:11" ht="14.25" x14ac:dyDescent="0.2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</row>
    <row r="333" spans="1:11" ht="14.25" x14ac:dyDescent="0.2">
      <c r="A333" s="412" t="s">
        <v>179</v>
      </c>
      <c r="B333" s="412"/>
      <c r="C333" s="162" t="s">
        <v>107</v>
      </c>
      <c r="D333" s="162"/>
      <c r="E333" s="162"/>
      <c r="F333" s="162"/>
      <c r="G333" s="162"/>
      <c r="H333" s="161" t="s">
        <v>107</v>
      </c>
      <c r="I333" s="161"/>
      <c r="J333" s="161"/>
      <c r="K333" s="161"/>
    </row>
    <row r="334" spans="1:11" ht="14.25" x14ac:dyDescent="0.2">
      <c r="A334" s="161"/>
      <c r="B334" s="161"/>
      <c r="C334" s="409" t="s">
        <v>72</v>
      </c>
      <c r="D334" s="409"/>
      <c r="E334" s="409"/>
      <c r="F334" s="409"/>
      <c r="G334" s="409"/>
      <c r="H334" s="161"/>
      <c r="I334" s="161"/>
      <c r="J334" s="161"/>
      <c r="K334" s="161"/>
    </row>
  </sheetData>
  <mergeCells count="131"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36:K36"/>
    <mergeCell ref="J45:K45"/>
    <mergeCell ref="H45:I45"/>
    <mergeCell ref="J57:K57"/>
    <mergeCell ref="H57:I57"/>
    <mergeCell ref="J66:K66"/>
    <mergeCell ref="H66:I66"/>
    <mergeCell ref="J69:K69"/>
    <mergeCell ref="H69:I69"/>
    <mergeCell ref="A69:G69"/>
    <mergeCell ref="A73:K73"/>
    <mergeCell ref="J82:K82"/>
    <mergeCell ref="H82:I82"/>
    <mergeCell ref="J94:K94"/>
    <mergeCell ref="H94:I94"/>
    <mergeCell ref="J103:K103"/>
    <mergeCell ref="H103:I103"/>
    <mergeCell ref="J106:K106"/>
    <mergeCell ref="H106:I106"/>
    <mergeCell ref="A106:G106"/>
    <mergeCell ref="A110:K110"/>
    <mergeCell ref="J117:K117"/>
    <mergeCell ref="H117:I117"/>
    <mergeCell ref="J129:K129"/>
    <mergeCell ref="H129:I129"/>
    <mergeCell ref="J141:K141"/>
    <mergeCell ref="H141:I141"/>
    <mergeCell ref="J153:K153"/>
    <mergeCell ref="H153:I153"/>
    <mergeCell ref="J165:K165"/>
    <mergeCell ref="H165:I165"/>
    <mergeCell ref="J177:K177"/>
    <mergeCell ref="H177:I177"/>
    <mergeCell ref="J188:K188"/>
    <mergeCell ref="H188:I188"/>
    <mergeCell ref="J201:K201"/>
    <mergeCell ref="H201:I201"/>
    <mergeCell ref="J212:K212"/>
    <mergeCell ref="H212:I212"/>
    <mergeCell ref="J224:K224"/>
    <mergeCell ref="H224:I224"/>
    <mergeCell ref="J236:K236"/>
    <mergeCell ref="H236:I236"/>
    <mergeCell ref="J248:K248"/>
    <mergeCell ref="H248:I248"/>
    <mergeCell ref="J260:K260"/>
    <mergeCell ref="H260:I260"/>
    <mergeCell ref="J272:K272"/>
    <mergeCell ref="H272:I272"/>
    <mergeCell ref="J281:K281"/>
    <mergeCell ref="H281:I281"/>
    <mergeCell ref="J284:K284"/>
    <mergeCell ref="H284:I284"/>
    <mergeCell ref="A284:G284"/>
    <mergeCell ref="A288:K288"/>
    <mergeCell ref="J293:K293"/>
    <mergeCell ref="H293:I293"/>
    <mergeCell ref="J296:K296"/>
    <mergeCell ref="H296:I296"/>
    <mergeCell ref="A296:G296"/>
    <mergeCell ref="A300:K300"/>
    <mergeCell ref="J303:K303"/>
    <mergeCell ref="H303:I303"/>
    <mergeCell ref="J307:K307"/>
    <mergeCell ref="H307:I307"/>
    <mergeCell ref="J310:K310"/>
    <mergeCell ref="H310:I310"/>
    <mergeCell ref="A310:G310"/>
    <mergeCell ref="J314:K314"/>
    <mergeCell ref="H314:I314"/>
    <mergeCell ref="A314:G314"/>
    <mergeCell ref="C317:G317"/>
    <mergeCell ref="H317:I317"/>
    <mergeCell ref="J317:K317"/>
    <mergeCell ref="C318:G318"/>
    <mergeCell ref="H318:I318"/>
    <mergeCell ref="J318:K318"/>
    <mergeCell ref="C319:G319"/>
    <mergeCell ref="H319:I319"/>
    <mergeCell ref="J319:K319"/>
    <mergeCell ref="C320:G320"/>
    <mergeCell ref="H320:I320"/>
    <mergeCell ref="J320:K320"/>
    <mergeCell ref="C324:G324"/>
    <mergeCell ref="H324:I324"/>
    <mergeCell ref="J324:K324"/>
    <mergeCell ref="C325:G325"/>
    <mergeCell ref="H325:I325"/>
    <mergeCell ref="J325:K325"/>
    <mergeCell ref="C321:G321"/>
    <mergeCell ref="H321:I321"/>
    <mergeCell ref="J321:K321"/>
    <mergeCell ref="C322:G322"/>
    <mergeCell ref="H322:I322"/>
    <mergeCell ref="J322:K322"/>
    <mergeCell ref="C323:G323"/>
    <mergeCell ref="H323:I323"/>
    <mergeCell ref="J323:K323"/>
    <mergeCell ref="A330:B330"/>
    <mergeCell ref="C331:G331"/>
    <mergeCell ref="A333:B333"/>
    <mergeCell ref="C334:G334"/>
    <mergeCell ref="C326:G326"/>
    <mergeCell ref="H326:I326"/>
    <mergeCell ref="J326:K326"/>
    <mergeCell ref="C327:G327"/>
    <mergeCell ref="H327:I327"/>
    <mergeCell ref="J327:K327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E306"/>
  <sheetViews>
    <sheetView topLeftCell="A280" zoomScaleNormal="100" workbookViewId="0">
      <selection activeCell="A16" sqref="A16:K16"/>
    </sheetView>
  </sheetViews>
  <sheetFormatPr defaultColWidth="9.140625" defaultRowHeight="12.75" x14ac:dyDescent="0.2"/>
  <cols>
    <col min="1" max="1" width="5.7109375" style="160" customWidth="1"/>
    <col min="2" max="2" width="11.7109375" style="160" customWidth="1"/>
    <col min="3" max="3" width="40.7109375" style="160" customWidth="1"/>
    <col min="4" max="6" width="11.7109375" style="160" customWidth="1"/>
    <col min="7" max="7" width="12.7109375" style="160" customWidth="1"/>
    <col min="8" max="8" width="10.7109375" style="160" customWidth="1"/>
    <col min="9" max="11" width="12.7109375" style="160" customWidth="1"/>
    <col min="12" max="14" width="9.140625" style="160"/>
    <col min="15" max="30" width="0" style="160" hidden="1" customWidth="1"/>
    <col min="31" max="31" width="150.7109375" style="160" hidden="1" customWidth="1"/>
    <col min="32" max="36" width="0" style="160" hidden="1" customWidth="1"/>
    <col min="37" max="16384" width="9.140625" style="160"/>
  </cols>
  <sheetData>
    <row r="1" spans="1:31" x14ac:dyDescent="0.2">
      <c r="A1" s="200" t="s">
        <v>1523</v>
      </c>
    </row>
    <row r="2" spans="1:31" ht="14.25" x14ac:dyDescent="0.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61" t="s">
        <v>381</v>
      </c>
    </row>
    <row r="3" spans="1:31" ht="16.5" x14ac:dyDescent="0.25">
      <c r="A3" s="199"/>
      <c r="B3" s="428" t="s">
        <v>380</v>
      </c>
      <c r="C3" s="428"/>
      <c r="D3" s="428"/>
      <c r="E3" s="428"/>
      <c r="F3" s="161"/>
      <c r="G3" s="428" t="s">
        <v>0</v>
      </c>
      <c r="H3" s="428"/>
      <c r="I3" s="428"/>
      <c r="J3" s="428"/>
      <c r="K3" s="428"/>
    </row>
    <row r="4" spans="1:31" ht="14.25" x14ac:dyDescent="0.2">
      <c r="A4" s="161"/>
      <c r="B4" s="418"/>
      <c r="C4" s="418"/>
      <c r="D4" s="418"/>
      <c r="E4" s="418"/>
      <c r="F4" s="161"/>
      <c r="G4" s="418"/>
      <c r="H4" s="418"/>
      <c r="I4" s="418"/>
      <c r="J4" s="418"/>
      <c r="K4" s="418"/>
    </row>
    <row r="5" spans="1:31" ht="14.25" x14ac:dyDescent="0.2">
      <c r="A5" s="198"/>
      <c r="B5" s="198"/>
      <c r="C5" s="197"/>
      <c r="D5" s="197"/>
      <c r="E5" s="197"/>
      <c r="F5" s="161"/>
      <c r="G5" s="187"/>
      <c r="H5" s="197"/>
      <c r="I5" s="197"/>
      <c r="J5" s="197"/>
      <c r="K5" s="187"/>
    </row>
    <row r="6" spans="1:31" ht="14.25" x14ac:dyDescent="0.2">
      <c r="A6" s="187"/>
      <c r="B6" s="418" t="s">
        <v>1524</v>
      </c>
      <c r="C6" s="418"/>
      <c r="D6" s="418"/>
      <c r="E6" s="418"/>
      <c r="F6" s="161"/>
      <c r="G6" s="418" t="s">
        <v>1524</v>
      </c>
      <c r="H6" s="418"/>
      <c r="I6" s="418"/>
      <c r="J6" s="418"/>
      <c r="K6" s="418"/>
    </row>
    <row r="7" spans="1:31" ht="14.25" x14ac:dyDescent="0.2">
      <c r="A7" s="196"/>
      <c r="B7" s="429" t="s">
        <v>379</v>
      </c>
      <c r="C7" s="429"/>
      <c r="D7" s="429"/>
      <c r="E7" s="429"/>
      <c r="F7" s="161"/>
      <c r="G7" s="429" t="s">
        <v>379</v>
      </c>
      <c r="H7" s="429"/>
      <c r="I7" s="429"/>
      <c r="J7" s="429"/>
      <c r="K7" s="429"/>
    </row>
    <row r="9" spans="1:31" ht="14.25" x14ac:dyDescent="0.2">
      <c r="A9" s="161"/>
      <c r="B9" s="161"/>
      <c r="C9" s="161"/>
      <c r="D9" s="161"/>
      <c r="E9" s="161"/>
      <c r="F9" s="161"/>
      <c r="G9" s="161"/>
      <c r="H9" s="161"/>
      <c r="I9" s="161"/>
      <c r="J9" s="161"/>
      <c r="K9" s="161"/>
    </row>
    <row r="10" spans="1:31" ht="47.25" x14ac:dyDescent="0.25">
      <c r="A10" s="422" t="s">
        <v>3850</v>
      </c>
      <c r="B10" s="422"/>
      <c r="C10" s="422"/>
      <c r="D10" s="422"/>
      <c r="E10" s="422"/>
      <c r="F10" s="422"/>
      <c r="G10" s="422"/>
      <c r="H10" s="422"/>
      <c r="I10" s="422"/>
      <c r="J10" s="422"/>
      <c r="K10" s="422"/>
      <c r="AE10" s="194" t="str">
        <f>IF([6]Source!G12&lt;&gt;"Новый объект", [6]Source!G12,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09" t="s">
        <v>75</v>
      </c>
      <c r="B11" s="409"/>
      <c r="C11" s="409"/>
      <c r="D11" s="409"/>
      <c r="E11" s="409"/>
      <c r="F11" s="409"/>
      <c r="G11" s="409"/>
      <c r="H11" s="409"/>
      <c r="I11" s="409"/>
      <c r="J11" s="409"/>
      <c r="K11" s="409"/>
    </row>
    <row r="12" spans="1:31" ht="14.25" x14ac:dyDescent="0.2">
      <c r="A12" s="161"/>
      <c r="B12" s="161"/>
      <c r="C12" s="161"/>
      <c r="D12" s="161"/>
      <c r="E12" s="161"/>
      <c r="F12" s="161"/>
      <c r="G12" s="161"/>
      <c r="H12" s="161"/>
      <c r="I12" s="161"/>
      <c r="J12" s="161"/>
      <c r="K12" s="161"/>
    </row>
    <row r="13" spans="1:31" ht="15.75" x14ac:dyDescent="0.25">
      <c r="A13" s="422" t="s">
        <v>3885</v>
      </c>
      <c r="B13" s="423"/>
      <c r="C13" s="423"/>
      <c r="D13" s="423"/>
      <c r="E13" s="423"/>
      <c r="F13" s="423"/>
      <c r="G13" s="423"/>
      <c r="H13" s="423"/>
      <c r="I13" s="423"/>
      <c r="J13" s="423"/>
      <c r="K13" s="423"/>
    </row>
    <row r="14" spans="1:31" ht="14.25" x14ac:dyDescent="0.2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</row>
    <row r="15" spans="1:31" ht="18" x14ac:dyDescent="0.25">
      <c r="A15" s="424" t="s">
        <v>168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</row>
    <row r="16" spans="1:31" x14ac:dyDescent="0.2">
      <c r="A16" s="425" t="s">
        <v>378</v>
      </c>
      <c r="B16" s="426"/>
      <c r="C16" s="426"/>
      <c r="D16" s="426"/>
      <c r="E16" s="426"/>
      <c r="F16" s="426"/>
      <c r="G16" s="426"/>
      <c r="H16" s="426"/>
      <c r="I16" s="426"/>
      <c r="J16" s="426"/>
      <c r="K16" s="426"/>
    </row>
    <row r="17" spans="1:31" ht="14.25" x14ac:dyDescent="0.2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</row>
    <row r="18" spans="1:31" ht="14.25" x14ac:dyDescent="0.2">
      <c r="A18" s="421" t="s">
        <v>2399</v>
      </c>
      <c r="B18" s="421"/>
      <c r="C18" s="421"/>
      <c r="D18" s="421"/>
      <c r="E18" s="421"/>
      <c r="F18" s="421"/>
      <c r="G18" s="421"/>
      <c r="H18" s="421"/>
      <c r="I18" s="421"/>
      <c r="J18" s="421"/>
      <c r="K18" s="421"/>
    </row>
    <row r="19" spans="1:31" ht="14.25" x14ac:dyDescent="0.2">
      <c r="A19" s="193"/>
      <c r="B19" s="193"/>
      <c r="C19" s="193"/>
      <c r="D19" s="193"/>
      <c r="E19" s="193"/>
      <c r="F19" s="193"/>
      <c r="G19" s="193"/>
      <c r="H19" s="193"/>
      <c r="I19" s="193"/>
      <c r="J19" s="193"/>
      <c r="K19" s="193"/>
    </row>
    <row r="20" spans="1:31" ht="28.5" x14ac:dyDescent="0.2">
      <c r="A20" s="161"/>
      <c r="B20" s="161"/>
      <c r="C20" s="161"/>
      <c r="D20" s="161"/>
      <c r="E20" s="161"/>
      <c r="F20" s="161"/>
      <c r="G20" s="161"/>
      <c r="H20" s="161"/>
      <c r="I20" s="192" t="s">
        <v>377</v>
      </c>
      <c r="J20" s="192" t="s">
        <v>376</v>
      </c>
      <c r="K20" s="161"/>
    </row>
    <row r="21" spans="1:31" ht="15" x14ac:dyDescent="0.25">
      <c r="A21" s="161"/>
      <c r="B21" s="161"/>
      <c r="C21" s="161"/>
      <c r="D21" s="161"/>
      <c r="E21" s="161"/>
      <c r="F21" s="427" t="s">
        <v>375</v>
      </c>
      <c r="G21" s="427"/>
      <c r="H21" s="427"/>
      <c r="I21" s="191">
        <v>1037.77</v>
      </c>
      <c r="J21" s="191">
        <v>10883.78</v>
      </c>
      <c r="K21" s="190" t="s">
        <v>366</v>
      </c>
    </row>
    <row r="22" spans="1:31" ht="14.25" x14ac:dyDescent="0.2">
      <c r="A22" s="161"/>
      <c r="B22" s="161"/>
      <c r="C22" s="161"/>
      <c r="D22" s="161"/>
      <c r="E22" s="161"/>
      <c r="F22" s="418" t="s">
        <v>374</v>
      </c>
      <c r="G22" s="418"/>
      <c r="H22" s="418"/>
      <c r="I22" s="186">
        <v>1029.8800000000001</v>
      </c>
      <c r="J22" s="186">
        <v>10851.2</v>
      </c>
      <c r="K22" s="161" t="s">
        <v>366</v>
      </c>
    </row>
    <row r="23" spans="1:31" ht="14.25" x14ac:dyDescent="0.2">
      <c r="A23" s="161"/>
      <c r="B23" s="161"/>
      <c r="C23" s="161"/>
      <c r="D23" s="161"/>
      <c r="E23" s="161"/>
      <c r="F23" s="418" t="s">
        <v>373</v>
      </c>
      <c r="G23" s="418"/>
      <c r="H23" s="418"/>
      <c r="I23" s="186">
        <v>0</v>
      </c>
      <c r="J23" s="186">
        <v>0</v>
      </c>
      <c r="K23" s="161" t="s">
        <v>366</v>
      </c>
    </row>
    <row r="24" spans="1:31" ht="14.25" x14ac:dyDescent="0.2">
      <c r="A24" s="161"/>
      <c r="B24" s="161"/>
      <c r="C24" s="161"/>
      <c r="D24" s="161"/>
      <c r="E24" s="161"/>
      <c r="F24" s="418" t="s">
        <v>106</v>
      </c>
      <c r="G24" s="418"/>
      <c r="H24" s="418"/>
      <c r="I24" s="186">
        <v>0</v>
      </c>
      <c r="J24" s="186">
        <v>0</v>
      </c>
      <c r="K24" s="161" t="s">
        <v>366</v>
      </c>
    </row>
    <row r="25" spans="1:31" ht="14.25" x14ac:dyDescent="0.2">
      <c r="A25" s="161"/>
      <c r="B25" s="161"/>
      <c r="C25" s="161"/>
      <c r="D25" s="161"/>
      <c r="E25" s="161"/>
      <c r="F25" s="418" t="s">
        <v>372</v>
      </c>
      <c r="G25" s="418"/>
      <c r="H25" s="418"/>
      <c r="I25" s="186">
        <v>7.89</v>
      </c>
      <c r="J25" s="186">
        <v>32.58</v>
      </c>
      <c r="K25" s="161" t="s">
        <v>366</v>
      </c>
    </row>
    <row r="26" spans="1:31" ht="14.25" x14ac:dyDescent="0.2">
      <c r="A26" s="161"/>
      <c r="B26" s="161"/>
      <c r="C26" s="161"/>
      <c r="D26" s="161"/>
      <c r="E26" s="161"/>
      <c r="F26" s="418" t="s">
        <v>371</v>
      </c>
      <c r="G26" s="418"/>
      <c r="H26" s="418"/>
      <c r="I26" s="186">
        <v>165.21</v>
      </c>
      <c r="J26" s="186">
        <v>3857.68</v>
      </c>
      <c r="K26" s="161" t="s">
        <v>366</v>
      </c>
    </row>
    <row r="27" spans="1:31" ht="14.25" x14ac:dyDescent="0.2">
      <c r="A27" s="161"/>
      <c r="B27" s="161"/>
      <c r="C27" s="161"/>
      <c r="D27" s="161"/>
      <c r="E27" s="161"/>
      <c r="F27" s="418" t="s">
        <v>370</v>
      </c>
      <c r="G27" s="418"/>
      <c r="H27" s="418"/>
      <c r="I27" s="186">
        <v>10184.9</v>
      </c>
      <c r="J27" s="186"/>
      <c r="K27" s="161" t="s">
        <v>369</v>
      </c>
    </row>
    <row r="28" spans="1:31" ht="14.25" x14ac:dyDescent="0.2">
      <c r="A28" s="161"/>
      <c r="B28" s="161"/>
      <c r="C28" s="161"/>
      <c r="D28" s="161"/>
      <c r="E28" s="161"/>
      <c r="F28" s="188" t="s">
        <v>368</v>
      </c>
      <c r="G28" s="188"/>
      <c r="H28" s="188"/>
      <c r="I28" s="186"/>
      <c r="J28" s="186"/>
      <c r="K28" s="161"/>
    </row>
    <row r="29" spans="1:31" ht="14.25" x14ac:dyDescent="0.2">
      <c r="A29" s="161"/>
      <c r="B29" s="161"/>
      <c r="C29" s="161"/>
      <c r="D29" s="161"/>
      <c r="E29" s="161"/>
      <c r="F29" s="419" t="s">
        <v>367</v>
      </c>
      <c r="G29" s="420"/>
      <c r="H29" s="420"/>
      <c r="I29" s="186">
        <v>18.45</v>
      </c>
      <c r="J29" s="186">
        <v>95.4</v>
      </c>
      <c r="K29" s="161" t="s">
        <v>366</v>
      </c>
    </row>
    <row r="30" spans="1:31" ht="14.25" x14ac:dyDescent="0.2">
      <c r="A30" s="161"/>
      <c r="B30" s="161"/>
      <c r="C30" s="161"/>
      <c r="D30" s="161"/>
      <c r="E30" s="161"/>
      <c r="F30" s="187"/>
      <c r="G30" s="187"/>
      <c r="H30" s="187"/>
      <c r="I30" s="186"/>
      <c r="J30" s="186"/>
      <c r="K30" s="161"/>
    </row>
    <row r="31" spans="1:31" ht="14.25" x14ac:dyDescent="0.2">
      <c r="A31" s="161" t="s">
        <v>365</v>
      </c>
      <c r="B31" s="161"/>
      <c r="C31" s="161"/>
      <c r="D31" s="161"/>
      <c r="E31" s="161"/>
      <c r="F31" s="187"/>
      <c r="G31" s="187"/>
      <c r="H31" s="187"/>
      <c r="I31" s="186"/>
      <c r="J31" s="186"/>
      <c r="K31" s="161"/>
    </row>
    <row r="32" spans="1:31" ht="28.5" x14ac:dyDescent="0.2">
      <c r="A32" s="421" t="s">
        <v>364</v>
      </c>
      <c r="B32" s="421"/>
      <c r="C32" s="421"/>
      <c r="D32" s="421"/>
      <c r="E32" s="421"/>
      <c r="F32" s="421"/>
      <c r="G32" s="421"/>
      <c r="H32" s="421"/>
      <c r="I32" s="421"/>
      <c r="J32" s="421"/>
      <c r="K32" s="421"/>
      <c r="AE32" s="185" t="s">
        <v>364</v>
      </c>
    </row>
    <row r="33" spans="1:22" ht="85.5" x14ac:dyDescent="0.2">
      <c r="A33" s="183" t="s">
        <v>81</v>
      </c>
      <c r="B33" s="183" t="s">
        <v>363</v>
      </c>
      <c r="C33" s="183" t="s">
        <v>83</v>
      </c>
      <c r="D33" s="183" t="s">
        <v>362</v>
      </c>
      <c r="E33" s="183" t="s">
        <v>361</v>
      </c>
      <c r="F33" s="183" t="s">
        <v>360</v>
      </c>
      <c r="G33" s="184" t="s">
        <v>359</v>
      </c>
      <c r="H33" s="184" t="s">
        <v>358</v>
      </c>
      <c r="I33" s="183" t="s">
        <v>357</v>
      </c>
      <c r="J33" s="183" t="s">
        <v>356</v>
      </c>
      <c r="K33" s="183" t="s">
        <v>355</v>
      </c>
    </row>
    <row r="34" spans="1:22" ht="14.25" x14ac:dyDescent="0.2">
      <c r="A34" s="183">
        <v>1</v>
      </c>
      <c r="B34" s="183">
        <v>2</v>
      </c>
      <c r="C34" s="183">
        <v>3</v>
      </c>
      <c r="D34" s="183">
        <v>4</v>
      </c>
      <c r="E34" s="183">
        <v>5</v>
      </c>
      <c r="F34" s="183">
        <v>6</v>
      </c>
      <c r="G34" s="183">
        <v>7</v>
      </c>
      <c r="H34" s="183">
        <v>8</v>
      </c>
      <c r="I34" s="183">
        <v>9</v>
      </c>
      <c r="J34" s="183">
        <v>10</v>
      </c>
      <c r="K34" s="183">
        <v>11</v>
      </c>
    </row>
    <row r="36" spans="1:22" ht="16.5" x14ac:dyDescent="0.25">
      <c r="A36" s="413" t="s">
        <v>2400</v>
      </c>
      <c r="B36" s="413"/>
      <c r="C36" s="413"/>
      <c r="D36" s="413"/>
      <c r="E36" s="413"/>
      <c r="F36" s="413"/>
      <c r="G36" s="413"/>
      <c r="H36" s="413"/>
      <c r="I36" s="413"/>
      <c r="J36" s="413"/>
      <c r="K36" s="413"/>
    </row>
    <row r="38" spans="1:22" ht="16.5" x14ac:dyDescent="0.25">
      <c r="A38" s="413" t="s">
        <v>2401</v>
      </c>
      <c r="B38" s="413"/>
      <c r="C38" s="413"/>
      <c r="D38" s="413"/>
      <c r="E38" s="413"/>
      <c r="F38" s="413"/>
      <c r="G38" s="413"/>
      <c r="H38" s="413"/>
      <c r="I38" s="413"/>
      <c r="J38" s="413"/>
      <c r="K38" s="413"/>
    </row>
    <row r="39" spans="1:22" ht="28.5" x14ac:dyDescent="0.2">
      <c r="A39" s="179" t="s">
        <v>719</v>
      </c>
      <c r="B39" s="178" t="s">
        <v>2402</v>
      </c>
      <c r="C39" s="178" t="s">
        <v>643</v>
      </c>
      <c r="D39" s="177" t="s">
        <v>1540</v>
      </c>
      <c r="E39" s="174">
        <v>14.371</v>
      </c>
      <c r="F39" s="176"/>
      <c r="G39" s="175"/>
      <c r="H39" s="174"/>
      <c r="I39" s="173"/>
      <c r="J39" s="174"/>
      <c r="K39" s="173"/>
      <c r="Q39" s="160">
        <f>[6]Source!X32</f>
        <v>1232.57</v>
      </c>
      <c r="R39" s="160">
        <f>[6]Source!X33</f>
        <v>24463.39</v>
      </c>
      <c r="S39" s="160">
        <f>[6]Source!Y32</f>
        <v>847.39</v>
      </c>
      <c r="T39" s="160">
        <f>[6]Source!Y33</f>
        <v>14749.99</v>
      </c>
      <c r="U39" s="160">
        <f>ROUND((175/100)*ROUND([6]Source!R32, 2), 2)</f>
        <v>0</v>
      </c>
      <c r="V39" s="160">
        <f>ROUND((157/100)*ROUND([6]Source!R33, 2), 2)</f>
        <v>0</v>
      </c>
    </row>
    <row r="40" spans="1:22" x14ac:dyDescent="0.2">
      <c r="C40" s="181" t="s">
        <v>2403</v>
      </c>
    </row>
    <row r="41" spans="1:22" ht="14.25" x14ac:dyDescent="0.2">
      <c r="A41" s="179"/>
      <c r="B41" s="178"/>
      <c r="C41" s="178" t="s">
        <v>197</v>
      </c>
      <c r="D41" s="177"/>
      <c r="E41" s="174"/>
      <c r="F41" s="176">
        <v>107.21</v>
      </c>
      <c r="G41" s="175" t="s">
        <v>195</v>
      </c>
      <c r="H41" s="174">
        <v>1</v>
      </c>
      <c r="I41" s="173">
        <v>1540.71</v>
      </c>
      <c r="J41" s="174">
        <v>23.35</v>
      </c>
      <c r="K41" s="173">
        <v>35975.58</v>
      </c>
    </row>
    <row r="42" spans="1:22" ht="28.5" x14ac:dyDescent="0.2">
      <c r="A42" s="179" t="s">
        <v>1531</v>
      </c>
      <c r="B42" s="178" t="s">
        <v>1532</v>
      </c>
      <c r="C42" s="178" t="s">
        <v>351</v>
      </c>
      <c r="D42" s="177" t="s">
        <v>1533</v>
      </c>
      <c r="E42" s="174">
        <v>7.4729200000000002</v>
      </c>
      <c r="F42" s="176">
        <v>0</v>
      </c>
      <c r="G42" s="182" t="s">
        <v>195</v>
      </c>
      <c r="H42" s="174">
        <v>1</v>
      </c>
      <c r="I42" s="173">
        <v>0</v>
      </c>
      <c r="J42" s="174">
        <v>1</v>
      </c>
      <c r="K42" s="173">
        <v>0</v>
      </c>
      <c r="Q42" s="160">
        <f>[6]Source!X34</f>
        <v>0</v>
      </c>
      <c r="R42" s="160">
        <f>[6]Source!X35</f>
        <v>0</v>
      </c>
      <c r="S42" s="160">
        <f>[6]Source!Y34</f>
        <v>0</v>
      </c>
      <c r="T42" s="160">
        <f>[6]Source!Y35</f>
        <v>0</v>
      </c>
      <c r="U42" s="160">
        <f>ROUND((175/100)*ROUND([6]Source!R34, 2), 2)</f>
        <v>0</v>
      </c>
      <c r="V42" s="160">
        <f>ROUND((157/100)*ROUND([6]Source!R35, 2), 2)</f>
        <v>0</v>
      </c>
    </row>
    <row r="43" spans="1:22" ht="14.25" x14ac:dyDescent="0.2">
      <c r="A43" s="179"/>
      <c r="B43" s="178"/>
      <c r="C43" s="178" t="s">
        <v>194</v>
      </c>
      <c r="D43" s="177" t="s">
        <v>187</v>
      </c>
      <c r="E43" s="174">
        <v>80</v>
      </c>
      <c r="F43" s="176"/>
      <c r="G43" s="175"/>
      <c r="H43" s="174"/>
      <c r="I43" s="173">
        <v>1232.57</v>
      </c>
      <c r="J43" s="174">
        <v>68</v>
      </c>
      <c r="K43" s="173">
        <v>24463.39</v>
      </c>
    </row>
    <row r="44" spans="1:22" ht="14.25" x14ac:dyDescent="0.2">
      <c r="A44" s="179"/>
      <c r="B44" s="178"/>
      <c r="C44" s="178" t="s">
        <v>193</v>
      </c>
      <c r="D44" s="177" t="s">
        <v>187</v>
      </c>
      <c r="E44" s="174">
        <v>55</v>
      </c>
      <c r="F44" s="176"/>
      <c r="G44" s="175"/>
      <c r="H44" s="174"/>
      <c r="I44" s="173">
        <v>847.39</v>
      </c>
      <c r="J44" s="174">
        <v>41</v>
      </c>
      <c r="K44" s="173">
        <v>14749.99</v>
      </c>
    </row>
    <row r="45" spans="1:22" ht="14.25" x14ac:dyDescent="0.2">
      <c r="A45" s="172"/>
      <c r="B45" s="171"/>
      <c r="C45" s="171" t="s">
        <v>192</v>
      </c>
      <c r="D45" s="170" t="s">
        <v>191</v>
      </c>
      <c r="E45" s="167">
        <v>10.49</v>
      </c>
      <c r="F45" s="169"/>
      <c r="G45" s="168" t="s">
        <v>195</v>
      </c>
      <c r="H45" s="167">
        <v>1</v>
      </c>
      <c r="I45" s="166">
        <v>150.75</v>
      </c>
      <c r="J45" s="167"/>
      <c r="K45" s="166"/>
    </row>
    <row r="46" spans="1:22" ht="15" x14ac:dyDescent="0.25">
      <c r="A46" s="164"/>
      <c r="B46" s="164"/>
      <c r="C46" s="165" t="s">
        <v>183</v>
      </c>
      <c r="D46" s="164"/>
      <c r="E46" s="164"/>
      <c r="F46" s="164"/>
      <c r="G46" s="164"/>
      <c r="H46" s="414">
        <v>3620.67</v>
      </c>
      <c r="I46" s="414"/>
      <c r="J46" s="414">
        <v>75188.960000000006</v>
      </c>
      <c r="K46" s="414"/>
      <c r="O46" s="163">
        <f>I41+I43+I44+SUM(I42:I42)</f>
        <v>3620.67</v>
      </c>
      <c r="P46" s="163">
        <f>K41+K43+K44+SUM(K42:K42)</f>
        <v>75188.960000000006</v>
      </c>
    </row>
    <row r="48" spans="1:22" ht="42.75" x14ac:dyDescent="0.2">
      <c r="A48" s="179" t="s">
        <v>1534</v>
      </c>
      <c r="B48" s="178" t="s">
        <v>2404</v>
      </c>
      <c r="C48" s="178" t="s">
        <v>642</v>
      </c>
      <c r="D48" s="177" t="s">
        <v>1686</v>
      </c>
      <c r="E48" s="174">
        <v>10.945499999999999</v>
      </c>
      <c r="F48" s="176"/>
      <c r="G48" s="175"/>
      <c r="H48" s="174"/>
      <c r="I48" s="173"/>
      <c r="J48" s="174"/>
      <c r="K48" s="173"/>
      <c r="Q48" s="160">
        <f>[6]Source!X36</f>
        <v>814.34</v>
      </c>
      <c r="R48" s="160">
        <f>[6]Source!X37</f>
        <v>16162.7</v>
      </c>
      <c r="S48" s="160">
        <f>[6]Source!Y36</f>
        <v>559.86</v>
      </c>
      <c r="T48" s="160">
        <f>[6]Source!Y37</f>
        <v>9745.15</v>
      </c>
      <c r="U48" s="160">
        <f>ROUND((175/100)*ROUND([6]Source!R36, 2), 2)</f>
        <v>0</v>
      </c>
      <c r="V48" s="160">
        <f>ROUND((157/100)*ROUND([6]Source!R37, 2), 2)</f>
        <v>0</v>
      </c>
    </row>
    <row r="49" spans="1:22" ht="25.5" x14ac:dyDescent="0.2">
      <c r="C49" s="181" t="s">
        <v>2405</v>
      </c>
    </row>
    <row r="50" spans="1:22" ht="14.25" x14ac:dyDescent="0.2">
      <c r="A50" s="179"/>
      <c r="B50" s="178"/>
      <c r="C50" s="178" t="s">
        <v>197</v>
      </c>
      <c r="D50" s="177"/>
      <c r="E50" s="174"/>
      <c r="F50" s="176">
        <v>93</v>
      </c>
      <c r="G50" s="175" t="s">
        <v>195</v>
      </c>
      <c r="H50" s="174">
        <v>1</v>
      </c>
      <c r="I50" s="173">
        <v>1017.93</v>
      </c>
      <c r="J50" s="174">
        <v>23.35</v>
      </c>
      <c r="K50" s="173">
        <v>23768.67</v>
      </c>
    </row>
    <row r="51" spans="1:22" ht="28.5" x14ac:dyDescent="0.2">
      <c r="A51" s="179" t="s">
        <v>1538</v>
      </c>
      <c r="B51" s="178" t="s">
        <v>1532</v>
      </c>
      <c r="C51" s="178" t="s">
        <v>351</v>
      </c>
      <c r="D51" s="177" t="s">
        <v>1533</v>
      </c>
      <c r="E51" s="174">
        <v>2.1890999999999998</v>
      </c>
      <c r="F51" s="176">
        <v>0</v>
      </c>
      <c r="G51" s="182" t="s">
        <v>195</v>
      </c>
      <c r="H51" s="174">
        <v>1</v>
      </c>
      <c r="I51" s="173">
        <v>0</v>
      </c>
      <c r="J51" s="174">
        <v>1</v>
      </c>
      <c r="K51" s="173">
        <v>0</v>
      </c>
      <c r="Q51" s="160">
        <f>[6]Source!X38</f>
        <v>0</v>
      </c>
      <c r="R51" s="160">
        <f>[6]Source!X39</f>
        <v>0</v>
      </c>
      <c r="S51" s="160">
        <f>[6]Source!Y38</f>
        <v>0</v>
      </c>
      <c r="T51" s="160">
        <f>[6]Source!Y39</f>
        <v>0</v>
      </c>
      <c r="U51" s="160">
        <f>ROUND((175/100)*ROUND([6]Source!R38, 2), 2)</f>
        <v>0</v>
      </c>
      <c r="V51" s="160">
        <f>ROUND((157/100)*ROUND([6]Source!R39, 2), 2)</f>
        <v>0</v>
      </c>
    </row>
    <row r="52" spans="1:22" ht="14.25" x14ac:dyDescent="0.2">
      <c r="A52" s="179"/>
      <c r="B52" s="178"/>
      <c r="C52" s="178" t="s">
        <v>194</v>
      </c>
      <c r="D52" s="177" t="s">
        <v>187</v>
      </c>
      <c r="E52" s="174">
        <v>80</v>
      </c>
      <c r="F52" s="176"/>
      <c r="G52" s="175"/>
      <c r="H52" s="174"/>
      <c r="I52" s="173">
        <v>814.34</v>
      </c>
      <c r="J52" s="174">
        <v>68</v>
      </c>
      <c r="K52" s="173">
        <v>16162.7</v>
      </c>
    </row>
    <row r="53" spans="1:22" ht="14.25" x14ac:dyDescent="0.2">
      <c r="A53" s="179"/>
      <c r="B53" s="178"/>
      <c r="C53" s="178" t="s">
        <v>193</v>
      </c>
      <c r="D53" s="177" t="s">
        <v>187</v>
      </c>
      <c r="E53" s="174">
        <v>55</v>
      </c>
      <c r="F53" s="176"/>
      <c r="G53" s="175"/>
      <c r="H53" s="174"/>
      <c r="I53" s="173">
        <v>559.86</v>
      </c>
      <c r="J53" s="174">
        <v>41</v>
      </c>
      <c r="K53" s="173">
        <v>9745.15</v>
      </c>
    </row>
    <row r="54" spans="1:22" ht="14.25" x14ac:dyDescent="0.2">
      <c r="A54" s="172"/>
      <c r="B54" s="171"/>
      <c r="C54" s="171" t="s">
        <v>192</v>
      </c>
      <c r="D54" s="170" t="s">
        <v>191</v>
      </c>
      <c r="E54" s="167">
        <v>9.1</v>
      </c>
      <c r="F54" s="169"/>
      <c r="G54" s="168" t="s">
        <v>195</v>
      </c>
      <c r="H54" s="167">
        <v>1</v>
      </c>
      <c r="I54" s="166">
        <v>99.6</v>
      </c>
      <c r="J54" s="167"/>
      <c r="K54" s="166"/>
    </row>
    <row r="55" spans="1:22" ht="15" x14ac:dyDescent="0.25">
      <c r="A55" s="164"/>
      <c r="B55" s="164"/>
      <c r="C55" s="165" t="s">
        <v>183</v>
      </c>
      <c r="D55" s="164"/>
      <c r="E55" s="164"/>
      <c r="F55" s="164"/>
      <c r="G55" s="164"/>
      <c r="H55" s="414">
        <v>2392.13</v>
      </c>
      <c r="I55" s="414"/>
      <c r="J55" s="414">
        <v>49676.52</v>
      </c>
      <c r="K55" s="414"/>
      <c r="O55" s="163">
        <f>I50+I52+I53+SUM(I51:I51)</f>
        <v>2392.13</v>
      </c>
      <c r="P55" s="163">
        <f>K50+K52+K53+SUM(K51:K51)</f>
        <v>49676.52</v>
      </c>
    </row>
    <row r="57" spans="1:22" ht="42.75" x14ac:dyDescent="0.2">
      <c r="A57" s="179" t="s">
        <v>1546</v>
      </c>
      <c r="B57" s="178" t="s">
        <v>2406</v>
      </c>
      <c r="C57" s="178" t="s">
        <v>641</v>
      </c>
      <c r="D57" s="177" t="s">
        <v>2407</v>
      </c>
      <c r="E57" s="174">
        <v>1712.1</v>
      </c>
      <c r="F57" s="176"/>
      <c r="G57" s="175"/>
      <c r="H57" s="174"/>
      <c r="I57" s="173"/>
      <c r="J57" s="174"/>
      <c r="K57" s="173"/>
      <c r="Q57" s="160">
        <f>[6]Source!X42</f>
        <v>17307.27</v>
      </c>
      <c r="R57" s="160">
        <f>[6]Source!X43</f>
        <v>330294.34999999998</v>
      </c>
      <c r="S57" s="160">
        <f>[6]Source!Y42</f>
        <v>13146.87</v>
      </c>
      <c r="T57" s="160">
        <f>[6]Source!Y43</f>
        <v>159318.45000000001</v>
      </c>
      <c r="U57" s="160">
        <f>ROUND((175/100)*ROUND([6]Source!R42, 2), 2)</f>
        <v>0</v>
      </c>
      <c r="V57" s="160">
        <f>ROUND((157/100)*ROUND([6]Source!R43, 2), 2)</f>
        <v>0</v>
      </c>
    </row>
    <row r="58" spans="1:22" ht="14.25" x14ac:dyDescent="0.2">
      <c r="A58" s="179"/>
      <c r="B58" s="178"/>
      <c r="C58" s="178" t="s">
        <v>197</v>
      </c>
      <c r="D58" s="177"/>
      <c r="E58" s="174"/>
      <c r="F58" s="176">
        <v>9.7200000000000006</v>
      </c>
      <c r="G58" s="175" t="s">
        <v>195</v>
      </c>
      <c r="H58" s="174">
        <v>1</v>
      </c>
      <c r="I58" s="173">
        <v>16641.61</v>
      </c>
      <c r="J58" s="174">
        <v>23.35</v>
      </c>
      <c r="K58" s="173">
        <v>388581.59</v>
      </c>
    </row>
    <row r="59" spans="1:22" ht="14.25" x14ac:dyDescent="0.2">
      <c r="A59" s="179"/>
      <c r="B59" s="178"/>
      <c r="C59" s="178" t="s">
        <v>205</v>
      </c>
      <c r="D59" s="177"/>
      <c r="E59" s="174"/>
      <c r="F59" s="176">
        <v>6.86</v>
      </c>
      <c r="G59" s="175" t="s">
        <v>195</v>
      </c>
      <c r="H59" s="174">
        <v>1</v>
      </c>
      <c r="I59" s="173">
        <v>11745.01</v>
      </c>
      <c r="J59" s="174">
        <v>9.16</v>
      </c>
      <c r="K59" s="173">
        <v>107584.29</v>
      </c>
    </row>
    <row r="60" spans="1:22" ht="28.5" x14ac:dyDescent="0.2">
      <c r="A60" s="179" t="s">
        <v>1550</v>
      </c>
      <c r="B60" s="178" t="s">
        <v>2408</v>
      </c>
      <c r="C60" s="178" t="s">
        <v>635</v>
      </c>
      <c r="D60" s="177" t="s">
        <v>1533</v>
      </c>
      <c r="E60" s="174">
        <v>11.47</v>
      </c>
      <c r="F60" s="176">
        <v>14739.12</v>
      </c>
      <c r="G60" s="182" t="s">
        <v>195</v>
      </c>
      <c r="H60" s="174">
        <v>1</v>
      </c>
      <c r="I60" s="173">
        <v>169057.71</v>
      </c>
      <c r="J60" s="174">
        <v>3.5</v>
      </c>
      <c r="K60" s="173">
        <v>591701.99</v>
      </c>
      <c r="Q60" s="160">
        <f>[6]Source!X44</f>
        <v>0</v>
      </c>
      <c r="R60" s="160">
        <f>[6]Source!X45</f>
        <v>0</v>
      </c>
      <c r="S60" s="160">
        <f>[6]Source!Y44</f>
        <v>0</v>
      </c>
      <c r="T60" s="160">
        <f>[6]Source!Y45</f>
        <v>0</v>
      </c>
      <c r="U60" s="160">
        <f>ROUND((175/100)*ROUND([6]Source!R44, 2), 2)</f>
        <v>0</v>
      </c>
      <c r="V60" s="160">
        <f>ROUND((157/100)*ROUND([6]Source!R45, 2), 2)</f>
        <v>0</v>
      </c>
    </row>
    <row r="61" spans="1:22" ht="14.25" x14ac:dyDescent="0.2">
      <c r="A61" s="179"/>
      <c r="B61" s="178"/>
      <c r="C61" s="178" t="s">
        <v>194</v>
      </c>
      <c r="D61" s="177" t="s">
        <v>187</v>
      </c>
      <c r="E61" s="174">
        <v>104</v>
      </c>
      <c r="F61" s="176"/>
      <c r="G61" s="175"/>
      <c r="H61" s="174"/>
      <c r="I61" s="173">
        <v>17307.27</v>
      </c>
      <c r="J61" s="174">
        <v>85</v>
      </c>
      <c r="K61" s="173">
        <v>330294.34999999998</v>
      </c>
    </row>
    <row r="62" spans="1:22" ht="14.25" x14ac:dyDescent="0.2">
      <c r="A62" s="172"/>
      <c r="B62" s="171"/>
      <c r="C62" s="171" t="s">
        <v>193</v>
      </c>
      <c r="D62" s="170" t="s">
        <v>187</v>
      </c>
      <c r="E62" s="167">
        <v>79</v>
      </c>
      <c r="F62" s="169"/>
      <c r="G62" s="168"/>
      <c r="H62" s="167"/>
      <c r="I62" s="166">
        <v>13146.87</v>
      </c>
      <c r="J62" s="167">
        <v>41</v>
      </c>
      <c r="K62" s="166">
        <v>159318.45000000001</v>
      </c>
    </row>
    <row r="63" spans="1:22" ht="15" x14ac:dyDescent="0.25">
      <c r="A63" s="164"/>
      <c r="B63" s="164"/>
      <c r="C63" s="165" t="s">
        <v>183</v>
      </c>
      <c r="D63" s="164"/>
      <c r="E63" s="164"/>
      <c r="F63" s="164"/>
      <c r="G63" s="164"/>
      <c r="H63" s="414">
        <v>227898.47</v>
      </c>
      <c r="I63" s="414"/>
      <c r="J63" s="414">
        <v>1577480.67</v>
      </c>
      <c r="K63" s="414"/>
      <c r="O63" s="163">
        <f>I58+I59+I61+I62+SUM(I60:I60)</f>
        <v>227898.47</v>
      </c>
      <c r="P63" s="163">
        <f>K58+K59+K61+K62+SUM(K60:K60)</f>
        <v>1577480.67</v>
      </c>
    </row>
    <row r="65" spans="1:22" ht="85.5" x14ac:dyDescent="0.2">
      <c r="A65" s="179" t="s">
        <v>105</v>
      </c>
      <c r="B65" s="178" t="s">
        <v>2409</v>
      </c>
      <c r="C65" s="178" t="s">
        <v>640</v>
      </c>
      <c r="D65" s="177" t="s">
        <v>2410</v>
      </c>
      <c r="E65" s="174">
        <v>306.14999999999998</v>
      </c>
      <c r="F65" s="176"/>
      <c r="G65" s="175"/>
      <c r="H65" s="174"/>
      <c r="I65" s="173"/>
      <c r="J65" s="174"/>
      <c r="K65" s="173"/>
      <c r="Q65" s="160">
        <f>[6]Source!X46</f>
        <v>2483.4899999999998</v>
      </c>
      <c r="R65" s="160">
        <f>[6]Source!X47</f>
        <v>47395.24</v>
      </c>
      <c r="S65" s="160">
        <f>[6]Source!Y46</f>
        <v>1886.5</v>
      </c>
      <c r="T65" s="160">
        <f>[6]Source!Y47</f>
        <v>22861.23</v>
      </c>
      <c r="U65" s="160">
        <f>ROUND((175/100)*ROUND([6]Source!R46, 2), 2)</f>
        <v>0</v>
      </c>
      <c r="V65" s="160">
        <f>ROUND((157/100)*ROUND([6]Source!R47, 2), 2)</f>
        <v>0</v>
      </c>
    </row>
    <row r="66" spans="1:22" x14ac:dyDescent="0.2">
      <c r="C66" s="181" t="s">
        <v>2411</v>
      </c>
    </row>
    <row r="67" spans="1:22" ht="14.25" x14ac:dyDescent="0.2">
      <c r="A67" s="179"/>
      <c r="B67" s="178"/>
      <c r="C67" s="178" t="s">
        <v>197</v>
      </c>
      <c r="D67" s="177"/>
      <c r="E67" s="174"/>
      <c r="F67" s="176">
        <v>7.8</v>
      </c>
      <c r="G67" s="175" t="s">
        <v>195</v>
      </c>
      <c r="H67" s="174">
        <v>1</v>
      </c>
      <c r="I67" s="173">
        <v>2387.9699999999998</v>
      </c>
      <c r="J67" s="174">
        <v>23.35</v>
      </c>
      <c r="K67" s="173">
        <v>55759.1</v>
      </c>
    </row>
    <row r="68" spans="1:22" ht="14.25" x14ac:dyDescent="0.2">
      <c r="A68" s="179"/>
      <c r="B68" s="178"/>
      <c r="C68" s="178" t="s">
        <v>205</v>
      </c>
      <c r="D68" s="177"/>
      <c r="E68" s="174"/>
      <c r="F68" s="176">
        <v>0.88</v>
      </c>
      <c r="G68" s="175" t="s">
        <v>195</v>
      </c>
      <c r="H68" s="174">
        <v>1</v>
      </c>
      <c r="I68" s="173">
        <v>269.41000000000003</v>
      </c>
      <c r="J68" s="174">
        <v>6.67</v>
      </c>
      <c r="K68" s="173">
        <v>1796.96</v>
      </c>
    </row>
    <row r="69" spans="1:22" ht="28.5" x14ac:dyDescent="0.2">
      <c r="A69" s="179" t="s">
        <v>1558</v>
      </c>
      <c r="B69" s="178" t="s">
        <v>2408</v>
      </c>
      <c r="C69" s="178" t="s">
        <v>635</v>
      </c>
      <c r="D69" s="177" t="s">
        <v>1533</v>
      </c>
      <c r="E69" s="174">
        <v>0.70873699999999995</v>
      </c>
      <c r="F69" s="176">
        <v>14739.12</v>
      </c>
      <c r="G69" s="182" t="s">
        <v>195</v>
      </c>
      <c r="H69" s="174">
        <v>1</v>
      </c>
      <c r="I69" s="173">
        <v>10446.16</v>
      </c>
      <c r="J69" s="174">
        <v>3.5</v>
      </c>
      <c r="K69" s="173">
        <v>36561.56</v>
      </c>
      <c r="Q69" s="160">
        <f>[6]Source!X48</f>
        <v>0</v>
      </c>
      <c r="R69" s="160">
        <f>[6]Source!X49</f>
        <v>0</v>
      </c>
      <c r="S69" s="160">
        <f>[6]Source!Y48</f>
        <v>0</v>
      </c>
      <c r="T69" s="160">
        <f>[6]Source!Y49</f>
        <v>0</v>
      </c>
      <c r="U69" s="160">
        <f>ROUND((175/100)*ROUND([6]Source!R48, 2), 2)</f>
        <v>0</v>
      </c>
      <c r="V69" s="160">
        <f>ROUND((157/100)*ROUND([6]Source!R49, 2), 2)</f>
        <v>0</v>
      </c>
    </row>
    <row r="70" spans="1:22" ht="14.25" x14ac:dyDescent="0.2">
      <c r="A70" s="179"/>
      <c r="B70" s="178"/>
      <c r="C70" s="178" t="s">
        <v>194</v>
      </c>
      <c r="D70" s="177" t="s">
        <v>187</v>
      </c>
      <c r="E70" s="174">
        <v>104</v>
      </c>
      <c r="F70" s="176"/>
      <c r="G70" s="175"/>
      <c r="H70" s="174"/>
      <c r="I70" s="173">
        <v>2483.4899999999998</v>
      </c>
      <c r="J70" s="174">
        <v>85</v>
      </c>
      <c r="K70" s="173">
        <v>47395.24</v>
      </c>
    </row>
    <row r="71" spans="1:22" ht="14.25" x14ac:dyDescent="0.2">
      <c r="A71" s="172"/>
      <c r="B71" s="171"/>
      <c r="C71" s="171" t="s">
        <v>193</v>
      </c>
      <c r="D71" s="170" t="s">
        <v>187</v>
      </c>
      <c r="E71" s="167">
        <v>79</v>
      </c>
      <c r="F71" s="169"/>
      <c r="G71" s="168"/>
      <c r="H71" s="167"/>
      <c r="I71" s="166">
        <v>1886.5</v>
      </c>
      <c r="J71" s="167">
        <v>41</v>
      </c>
      <c r="K71" s="166">
        <v>22861.23</v>
      </c>
    </row>
    <row r="72" spans="1:22" ht="15" x14ac:dyDescent="0.25">
      <c r="A72" s="164"/>
      <c r="B72" s="164"/>
      <c r="C72" s="165" t="s">
        <v>183</v>
      </c>
      <c r="D72" s="164"/>
      <c r="E72" s="164"/>
      <c r="F72" s="164"/>
      <c r="G72" s="164"/>
      <c r="H72" s="414">
        <v>17473.53</v>
      </c>
      <c r="I72" s="414"/>
      <c r="J72" s="414">
        <v>164374.09</v>
      </c>
      <c r="K72" s="414"/>
      <c r="O72" s="163">
        <f>I67+I68+I70+I71+SUM(I69:I69)</f>
        <v>17473.53</v>
      </c>
      <c r="P72" s="163">
        <f>K67+K68+K70+K71+SUM(K69:K69)</f>
        <v>164374.09</v>
      </c>
    </row>
    <row r="75" spans="1:22" ht="15" x14ac:dyDescent="0.25">
      <c r="A75" s="417" t="s">
        <v>2412</v>
      </c>
      <c r="B75" s="417"/>
      <c r="C75" s="417"/>
      <c r="D75" s="417"/>
      <c r="E75" s="417"/>
      <c r="F75" s="417"/>
      <c r="G75" s="417"/>
      <c r="H75" s="415">
        <v>251384.8</v>
      </c>
      <c r="I75" s="416"/>
      <c r="J75" s="415">
        <v>1866720.24</v>
      </c>
      <c r="K75" s="416"/>
    </row>
    <row r="76" spans="1:22" hidden="1" x14ac:dyDescent="0.2">
      <c r="A76" s="160" t="s">
        <v>182</v>
      </c>
      <c r="I76" s="160">
        <v>0</v>
      </c>
      <c r="J76" s="160">
        <v>0</v>
      </c>
    </row>
    <row r="77" spans="1:22" hidden="1" x14ac:dyDescent="0.2">
      <c r="A77" s="160" t="s">
        <v>181</v>
      </c>
      <c r="I77" s="160">
        <v>0</v>
      </c>
      <c r="J77" s="160">
        <v>0</v>
      </c>
    </row>
    <row r="79" spans="1:22" ht="16.5" x14ac:dyDescent="0.25">
      <c r="A79" s="413" t="s">
        <v>2413</v>
      </c>
      <c r="B79" s="413"/>
      <c r="C79" s="413"/>
      <c r="D79" s="413"/>
      <c r="E79" s="413"/>
      <c r="F79" s="413"/>
      <c r="G79" s="413"/>
      <c r="H79" s="413"/>
      <c r="I79" s="413"/>
      <c r="J79" s="413"/>
      <c r="K79" s="413"/>
    </row>
    <row r="80" spans="1:22" ht="71.25" x14ac:dyDescent="0.2">
      <c r="A80" s="179" t="s">
        <v>1560</v>
      </c>
      <c r="B80" s="178" t="s">
        <v>2414</v>
      </c>
      <c r="C80" s="178" t="s">
        <v>639</v>
      </c>
      <c r="D80" s="177" t="s">
        <v>2415</v>
      </c>
      <c r="E80" s="174">
        <v>124.3</v>
      </c>
      <c r="F80" s="176"/>
      <c r="G80" s="175"/>
      <c r="H80" s="174"/>
      <c r="I80" s="173"/>
      <c r="J80" s="174"/>
      <c r="K80" s="173"/>
      <c r="Q80" s="160">
        <f>[6]Source!X85</f>
        <v>819.58</v>
      </c>
      <c r="R80" s="160">
        <f>[6]Source!X86</f>
        <v>15641.02</v>
      </c>
      <c r="S80" s="160">
        <f>[6]Source!Y85</f>
        <v>622.57000000000005</v>
      </c>
      <c r="T80" s="160">
        <f>[6]Source!Y86</f>
        <v>7544.49</v>
      </c>
      <c r="U80" s="160">
        <f>ROUND((175/100)*ROUND([6]Source!R85, 2), 2)</f>
        <v>0</v>
      </c>
      <c r="V80" s="160">
        <f>ROUND((157/100)*ROUND([6]Source!R86, 2), 2)</f>
        <v>0</v>
      </c>
    </row>
    <row r="81" spans="1:22" ht="14.25" x14ac:dyDescent="0.2">
      <c r="A81" s="179"/>
      <c r="B81" s="178"/>
      <c r="C81" s="178" t="s">
        <v>197</v>
      </c>
      <c r="D81" s="177"/>
      <c r="E81" s="174"/>
      <c r="F81" s="176">
        <v>6.34</v>
      </c>
      <c r="G81" s="175" t="s">
        <v>195</v>
      </c>
      <c r="H81" s="174">
        <v>1</v>
      </c>
      <c r="I81" s="173">
        <v>788.06</v>
      </c>
      <c r="J81" s="174">
        <v>23.35</v>
      </c>
      <c r="K81" s="173">
        <v>18401.2</v>
      </c>
    </row>
    <row r="82" spans="1:22" ht="28.5" x14ac:dyDescent="0.2">
      <c r="A82" s="179" t="s">
        <v>1562</v>
      </c>
      <c r="B82" s="178" t="s">
        <v>2408</v>
      </c>
      <c r="C82" s="178" t="s">
        <v>635</v>
      </c>
      <c r="D82" s="177" t="s">
        <v>1533</v>
      </c>
      <c r="E82" s="174">
        <v>0.27</v>
      </c>
      <c r="F82" s="176">
        <v>14739.12</v>
      </c>
      <c r="G82" s="182" t="s">
        <v>195</v>
      </c>
      <c r="H82" s="174">
        <v>1</v>
      </c>
      <c r="I82" s="173">
        <v>3979.56</v>
      </c>
      <c r="J82" s="174">
        <v>3.5</v>
      </c>
      <c r="K82" s="173">
        <v>13928.46</v>
      </c>
      <c r="Q82" s="160">
        <f>[6]Source!X87</f>
        <v>0</v>
      </c>
      <c r="R82" s="160">
        <f>[6]Source!X88</f>
        <v>0</v>
      </c>
      <c r="S82" s="160">
        <f>[6]Source!Y87</f>
        <v>0</v>
      </c>
      <c r="T82" s="160">
        <f>[6]Source!Y88</f>
        <v>0</v>
      </c>
      <c r="U82" s="160">
        <f>ROUND((175/100)*ROUND([6]Source!R87, 2), 2)</f>
        <v>0</v>
      </c>
      <c r="V82" s="160">
        <f>ROUND((157/100)*ROUND([6]Source!R88, 2), 2)</f>
        <v>0</v>
      </c>
    </row>
    <row r="83" spans="1:22" ht="28.5" x14ac:dyDescent="0.2">
      <c r="A83" s="179" t="s">
        <v>1563</v>
      </c>
      <c r="B83" s="178" t="s">
        <v>1532</v>
      </c>
      <c r="C83" s="178" t="s">
        <v>351</v>
      </c>
      <c r="D83" s="177" t="s">
        <v>1533</v>
      </c>
      <c r="E83" s="174">
        <v>0.21640000000000001</v>
      </c>
      <c r="F83" s="176">
        <v>0</v>
      </c>
      <c r="G83" s="182" t="s">
        <v>195</v>
      </c>
      <c r="H83" s="174">
        <v>1</v>
      </c>
      <c r="I83" s="173">
        <v>0</v>
      </c>
      <c r="J83" s="174">
        <v>1</v>
      </c>
      <c r="K83" s="173">
        <v>0</v>
      </c>
      <c r="Q83" s="160">
        <f>[6]Source!X89</f>
        <v>0</v>
      </c>
      <c r="R83" s="160">
        <f>[6]Source!X90</f>
        <v>0</v>
      </c>
      <c r="S83" s="160">
        <f>[6]Source!Y89</f>
        <v>0</v>
      </c>
      <c r="T83" s="160">
        <f>[6]Source!Y90</f>
        <v>0</v>
      </c>
      <c r="U83" s="160">
        <f>ROUND((175/100)*ROUND([6]Source!R89, 2), 2)</f>
        <v>0</v>
      </c>
      <c r="V83" s="160">
        <f>ROUND((157/100)*ROUND([6]Source!R90, 2), 2)</f>
        <v>0</v>
      </c>
    </row>
    <row r="84" spans="1:22" ht="14.25" x14ac:dyDescent="0.2">
      <c r="A84" s="179"/>
      <c r="B84" s="178"/>
      <c r="C84" s="178" t="s">
        <v>194</v>
      </c>
      <c r="D84" s="177" t="s">
        <v>187</v>
      </c>
      <c r="E84" s="174">
        <v>104</v>
      </c>
      <c r="F84" s="176"/>
      <c r="G84" s="175"/>
      <c r="H84" s="174"/>
      <c r="I84" s="173">
        <v>819.58</v>
      </c>
      <c r="J84" s="174">
        <v>85</v>
      </c>
      <c r="K84" s="173">
        <v>15641.02</v>
      </c>
    </row>
    <row r="85" spans="1:22" ht="14.25" x14ac:dyDescent="0.2">
      <c r="A85" s="172"/>
      <c r="B85" s="171"/>
      <c r="C85" s="171" t="s">
        <v>193</v>
      </c>
      <c r="D85" s="170" t="s">
        <v>187</v>
      </c>
      <c r="E85" s="167">
        <v>79</v>
      </c>
      <c r="F85" s="169"/>
      <c r="G85" s="168"/>
      <c r="H85" s="167"/>
      <c r="I85" s="166">
        <v>622.57000000000005</v>
      </c>
      <c r="J85" s="167">
        <v>41</v>
      </c>
      <c r="K85" s="166">
        <v>7544.49</v>
      </c>
    </row>
    <row r="86" spans="1:22" ht="15" x14ac:dyDescent="0.25">
      <c r="A86" s="164"/>
      <c r="B86" s="164"/>
      <c r="C86" s="165" t="s">
        <v>183</v>
      </c>
      <c r="D86" s="164"/>
      <c r="E86" s="164"/>
      <c r="F86" s="164"/>
      <c r="G86" s="164"/>
      <c r="H86" s="414">
        <v>6209.77</v>
      </c>
      <c r="I86" s="414"/>
      <c r="J86" s="414">
        <v>55515.17</v>
      </c>
      <c r="K86" s="414"/>
      <c r="O86" s="163">
        <f>I81+I84+I85+SUM(I82:I83)</f>
        <v>6209.77</v>
      </c>
      <c r="P86" s="163">
        <f>K81+K84+K85+SUM(K82:K83)</f>
        <v>55515.17</v>
      </c>
    </row>
    <row r="88" spans="1:22" ht="71.25" x14ac:dyDescent="0.2">
      <c r="A88" s="179" t="s">
        <v>1565</v>
      </c>
      <c r="B88" s="178" t="s">
        <v>2416</v>
      </c>
      <c r="C88" s="178" t="s">
        <v>638</v>
      </c>
      <c r="D88" s="177" t="s">
        <v>1903</v>
      </c>
      <c r="E88" s="174">
        <v>11</v>
      </c>
      <c r="F88" s="176"/>
      <c r="G88" s="175"/>
      <c r="H88" s="174"/>
      <c r="I88" s="173"/>
      <c r="J88" s="174"/>
      <c r="K88" s="173"/>
      <c r="Q88" s="160">
        <f>[6]Source!X91</f>
        <v>152.94999999999999</v>
      </c>
      <c r="R88" s="160">
        <f>[6]Source!X92</f>
        <v>2918.97</v>
      </c>
      <c r="S88" s="160">
        <f>[6]Source!Y91</f>
        <v>116.19</v>
      </c>
      <c r="T88" s="160">
        <f>[6]Source!Y92</f>
        <v>1407.97</v>
      </c>
      <c r="U88" s="160">
        <f>ROUND((175/100)*ROUND([6]Source!R91, 2), 2)</f>
        <v>0</v>
      </c>
      <c r="V88" s="160">
        <f>ROUND((157/100)*ROUND([6]Source!R92, 2), 2)</f>
        <v>0</v>
      </c>
    </row>
    <row r="89" spans="1:22" ht="14.25" x14ac:dyDescent="0.2">
      <c r="A89" s="179"/>
      <c r="B89" s="178"/>
      <c r="C89" s="178" t="s">
        <v>197</v>
      </c>
      <c r="D89" s="177"/>
      <c r="E89" s="174"/>
      <c r="F89" s="176">
        <v>13.37</v>
      </c>
      <c r="G89" s="175" t="s">
        <v>195</v>
      </c>
      <c r="H89" s="174">
        <v>1</v>
      </c>
      <c r="I89" s="173">
        <v>147.07</v>
      </c>
      <c r="J89" s="174">
        <v>23.35</v>
      </c>
      <c r="K89" s="173">
        <v>3434.08</v>
      </c>
    </row>
    <row r="90" spans="1:22" ht="28.5" x14ac:dyDescent="0.2">
      <c r="A90" s="179" t="s">
        <v>1568</v>
      </c>
      <c r="B90" s="178" t="s">
        <v>2408</v>
      </c>
      <c r="C90" s="178" t="s">
        <v>635</v>
      </c>
      <c r="D90" s="177" t="s">
        <v>1533</v>
      </c>
      <c r="E90" s="174">
        <v>0.03</v>
      </c>
      <c r="F90" s="176">
        <v>14739.12</v>
      </c>
      <c r="G90" s="182" t="s">
        <v>195</v>
      </c>
      <c r="H90" s="174">
        <v>1</v>
      </c>
      <c r="I90" s="173">
        <v>442.17</v>
      </c>
      <c r="J90" s="174">
        <v>3.5</v>
      </c>
      <c r="K90" s="173">
        <v>1547.6</v>
      </c>
      <c r="Q90" s="160">
        <f>[6]Source!X93</f>
        <v>0</v>
      </c>
      <c r="R90" s="160">
        <f>[6]Source!X94</f>
        <v>0</v>
      </c>
      <c r="S90" s="160">
        <f>[6]Source!Y93</f>
        <v>0</v>
      </c>
      <c r="T90" s="160">
        <f>[6]Source!Y94</f>
        <v>0</v>
      </c>
      <c r="U90" s="160">
        <f>ROUND((175/100)*ROUND([6]Source!R93, 2), 2)</f>
        <v>0</v>
      </c>
      <c r="V90" s="160">
        <f>ROUND((157/100)*ROUND([6]Source!R94, 2), 2)</f>
        <v>0</v>
      </c>
    </row>
    <row r="91" spans="1:22" ht="28.5" x14ac:dyDescent="0.2">
      <c r="A91" s="179" t="s">
        <v>1570</v>
      </c>
      <c r="B91" s="178" t="s">
        <v>1532</v>
      </c>
      <c r="C91" s="178" t="s">
        <v>351</v>
      </c>
      <c r="D91" s="177" t="s">
        <v>1533</v>
      </c>
      <c r="E91" s="174">
        <v>1.9151000000000001E-2</v>
      </c>
      <c r="F91" s="176">
        <v>0</v>
      </c>
      <c r="G91" s="182" t="s">
        <v>195</v>
      </c>
      <c r="H91" s="174">
        <v>1</v>
      </c>
      <c r="I91" s="173">
        <v>0</v>
      </c>
      <c r="J91" s="174">
        <v>1</v>
      </c>
      <c r="K91" s="173">
        <v>0</v>
      </c>
      <c r="Q91" s="160">
        <f>[6]Source!X95</f>
        <v>0</v>
      </c>
      <c r="R91" s="160">
        <f>[6]Source!X96</f>
        <v>0</v>
      </c>
      <c r="S91" s="160">
        <f>[6]Source!Y95</f>
        <v>0</v>
      </c>
      <c r="T91" s="160">
        <f>[6]Source!Y96</f>
        <v>0</v>
      </c>
      <c r="U91" s="160">
        <f>ROUND((175/100)*ROUND([6]Source!R95, 2), 2)</f>
        <v>0</v>
      </c>
      <c r="V91" s="160">
        <f>ROUND((157/100)*ROUND([6]Source!R96, 2), 2)</f>
        <v>0</v>
      </c>
    </row>
    <row r="92" spans="1:22" ht="14.25" x14ac:dyDescent="0.2">
      <c r="A92" s="179"/>
      <c r="B92" s="178"/>
      <c r="C92" s="178" t="s">
        <v>194</v>
      </c>
      <c r="D92" s="177" t="s">
        <v>187</v>
      </c>
      <c r="E92" s="174">
        <v>104</v>
      </c>
      <c r="F92" s="176"/>
      <c r="G92" s="175"/>
      <c r="H92" s="174"/>
      <c r="I92" s="173">
        <v>152.94999999999999</v>
      </c>
      <c r="J92" s="174">
        <v>85</v>
      </c>
      <c r="K92" s="173">
        <v>2918.97</v>
      </c>
    </row>
    <row r="93" spans="1:22" ht="14.25" x14ac:dyDescent="0.2">
      <c r="A93" s="172"/>
      <c r="B93" s="171"/>
      <c r="C93" s="171" t="s">
        <v>193</v>
      </c>
      <c r="D93" s="170" t="s">
        <v>187</v>
      </c>
      <c r="E93" s="167">
        <v>79</v>
      </c>
      <c r="F93" s="169"/>
      <c r="G93" s="168"/>
      <c r="H93" s="167"/>
      <c r="I93" s="166">
        <v>116.19</v>
      </c>
      <c r="J93" s="167">
        <v>41</v>
      </c>
      <c r="K93" s="166">
        <v>1407.97</v>
      </c>
    </row>
    <row r="94" spans="1:22" ht="15" x14ac:dyDescent="0.25">
      <c r="A94" s="164"/>
      <c r="B94" s="164"/>
      <c r="C94" s="165" t="s">
        <v>183</v>
      </c>
      <c r="D94" s="164"/>
      <c r="E94" s="164"/>
      <c r="F94" s="164"/>
      <c r="G94" s="164"/>
      <c r="H94" s="414">
        <v>858.38</v>
      </c>
      <c r="I94" s="414"/>
      <c r="J94" s="414">
        <v>9308.6200000000008</v>
      </c>
      <c r="K94" s="414"/>
      <c r="O94" s="163">
        <f>I89+I92+I93+SUM(I90:I91)</f>
        <v>858.38</v>
      </c>
      <c r="P94" s="163">
        <f>K89+K92+K93+SUM(K90:K91)</f>
        <v>9308.6200000000008</v>
      </c>
    </row>
    <row r="96" spans="1:22" ht="71.25" x14ac:dyDescent="0.2">
      <c r="A96" s="179" t="s">
        <v>1572</v>
      </c>
      <c r="B96" s="178" t="s">
        <v>2417</v>
      </c>
      <c r="C96" s="178" t="s">
        <v>637</v>
      </c>
      <c r="D96" s="177" t="s">
        <v>1903</v>
      </c>
      <c r="E96" s="174">
        <v>11</v>
      </c>
      <c r="F96" s="176"/>
      <c r="G96" s="175"/>
      <c r="H96" s="174"/>
      <c r="I96" s="173"/>
      <c r="J96" s="174"/>
      <c r="K96" s="173"/>
      <c r="Q96" s="160">
        <f>[6]Source!X97</f>
        <v>118.86</v>
      </c>
      <c r="R96" s="160">
        <f>[6]Source!X98</f>
        <v>2268.37</v>
      </c>
      <c r="S96" s="160">
        <f>[6]Source!Y97</f>
        <v>90.29</v>
      </c>
      <c r="T96" s="160">
        <f>[6]Source!Y98</f>
        <v>1094.1500000000001</v>
      </c>
      <c r="U96" s="160">
        <f>ROUND((175/100)*ROUND([6]Source!R97, 2), 2)</f>
        <v>0</v>
      </c>
      <c r="V96" s="160">
        <f>ROUND((157/100)*ROUND([6]Source!R98, 2), 2)</f>
        <v>0</v>
      </c>
    </row>
    <row r="97" spans="1:22" ht="14.25" x14ac:dyDescent="0.2">
      <c r="A97" s="179"/>
      <c r="B97" s="178"/>
      <c r="C97" s="178" t="s">
        <v>197</v>
      </c>
      <c r="D97" s="177"/>
      <c r="E97" s="174"/>
      <c r="F97" s="176">
        <v>10.39</v>
      </c>
      <c r="G97" s="175" t="s">
        <v>195</v>
      </c>
      <c r="H97" s="174">
        <v>1</v>
      </c>
      <c r="I97" s="173">
        <v>114.29</v>
      </c>
      <c r="J97" s="174">
        <v>23.35</v>
      </c>
      <c r="K97" s="173">
        <v>2668.67</v>
      </c>
    </row>
    <row r="98" spans="1:22" ht="28.5" x14ac:dyDescent="0.2">
      <c r="A98" s="179" t="s">
        <v>1574</v>
      </c>
      <c r="B98" s="178" t="s">
        <v>2408</v>
      </c>
      <c r="C98" s="178" t="s">
        <v>635</v>
      </c>
      <c r="D98" s="177" t="s">
        <v>1533</v>
      </c>
      <c r="E98" s="174">
        <v>0.03</v>
      </c>
      <c r="F98" s="176">
        <v>14739.12</v>
      </c>
      <c r="G98" s="182" t="s">
        <v>195</v>
      </c>
      <c r="H98" s="174">
        <v>1</v>
      </c>
      <c r="I98" s="173">
        <v>442.17</v>
      </c>
      <c r="J98" s="174">
        <v>3.5</v>
      </c>
      <c r="K98" s="173">
        <v>1547.6</v>
      </c>
      <c r="Q98" s="160">
        <f>[6]Source!X99</f>
        <v>0</v>
      </c>
      <c r="R98" s="160">
        <f>[6]Source!X100</f>
        <v>0</v>
      </c>
      <c r="S98" s="160">
        <f>[6]Source!Y99</f>
        <v>0</v>
      </c>
      <c r="T98" s="160">
        <f>[6]Source!Y100</f>
        <v>0</v>
      </c>
      <c r="U98" s="160">
        <f>ROUND((175/100)*ROUND([6]Source!R99, 2), 2)</f>
        <v>0</v>
      </c>
      <c r="V98" s="160">
        <f>ROUND((157/100)*ROUND([6]Source!R100, 2), 2)</f>
        <v>0</v>
      </c>
    </row>
    <row r="99" spans="1:22" ht="28.5" x14ac:dyDescent="0.2">
      <c r="A99" s="179" t="s">
        <v>1575</v>
      </c>
      <c r="B99" s="178" t="s">
        <v>1532</v>
      </c>
      <c r="C99" s="178" t="s">
        <v>351</v>
      </c>
      <c r="D99" s="177" t="s">
        <v>1533</v>
      </c>
      <c r="E99" s="174">
        <v>1.9151000000000001E-2</v>
      </c>
      <c r="F99" s="176">
        <v>0</v>
      </c>
      <c r="G99" s="182" t="s">
        <v>195</v>
      </c>
      <c r="H99" s="174">
        <v>1</v>
      </c>
      <c r="I99" s="173">
        <v>0</v>
      </c>
      <c r="J99" s="174">
        <v>1</v>
      </c>
      <c r="K99" s="173">
        <v>0</v>
      </c>
      <c r="Q99" s="160">
        <f>[6]Source!X101</f>
        <v>0</v>
      </c>
      <c r="R99" s="160">
        <f>[6]Source!X102</f>
        <v>0</v>
      </c>
      <c r="S99" s="160">
        <f>[6]Source!Y101</f>
        <v>0</v>
      </c>
      <c r="T99" s="160">
        <f>[6]Source!Y102</f>
        <v>0</v>
      </c>
      <c r="U99" s="160">
        <f>ROUND((175/100)*ROUND([6]Source!R101, 2), 2)</f>
        <v>0</v>
      </c>
      <c r="V99" s="160">
        <f>ROUND((157/100)*ROUND([6]Source!R102, 2), 2)</f>
        <v>0</v>
      </c>
    </row>
    <row r="100" spans="1:22" ht="14.25" x14ac:dyDescent="0.2">
      <c r="A100" s="179"/>
      <c r="B100" s="178"/>
      <c r="C100" s="178" t="s">
        <v>194</v>
      </c>
      <c r="D100" s="177" t="s">
        <v>187</v>
      </c>
      <c r="E100" s="174">
        <v>104</v>
      </c>
      <c r="F100" s="176"/>
      <c r="G100" s="175"/>
      <c r="H100" s="174"/>
      <c r="I100" s="173">
        <v>118.86</v>
      </c>
      <c r="J100" s="174">
        <v>85</v>
      </c>
      <c r="K100" s="173">
        <v>2268.37</v>
      </c>
    </row>
    <row r="101" spans="1:22" ht="14.25" x14ac:dyDescent="0.2">
      <c r="A101" s="172"/>
      <c r="B101" s="171"/>
      <c r="C101" s="171" t="s">
        <v>193</v>
      </c>
      <c r="D101" s="170" t="s">
        <v>187</v>
      </c>
      <c r="E101" s="167">
        <v>79</v>
      </c>
      <c r="F101" s="169"/>
      <c r="G101" s="168"/>
      <c r="H101" s="167"/>
      <c r="I101" s="166">
        <v>90.29</v>
      </c>
      <c r="J101" s="167">
        <v>41</v>
      </c>
      <c r="K101" s="166">
        <v>1094.1500000000001</v>
      </c>
    </row>
    <row r="102" spans="1:22" ht="15" x14ac:dyDescent="0.25">
      <c r="A102" s="164"/>
      <c r="B102" s="164"/>
      <c r="C102" s="165" t="s">
        <v>183</v>
      </c>
      <c r="D102" s="164"/>
      <c r="E102" s="164"/>
      <c r="F102" s="164"/>
      <c r="G102" s="164"/>
      <c r="H102" s="414">
        <v>765.61</v>
      </c>
      <c r="I102" s="414"/>
      <c r="J102" s="414">
        <v>7578.79</v>
      </c>
      <c r="K102" s="414"/>
      <c r="O102" s="163">
        <f>I97+I100+I101+SUM(I98:I99)</f>
        <v>765.61</v>
      </c>
      <c r="P102" s="163">
        <f>K97+K100+K101+SUM(K98:K99)</f>
        <v>7578.79</v>
      </c>
    </row>
    <row r="104" spans="1:22" ht="71.25" x14ac:dyDescent="0.2">
      <c r="A104" s="179" t="s">
        <v>1578</v>
      </c>
      <c r="B104" s="178" t="s">
        <v>2418</v>
      </c>
      <c r="C104" s="178" t="s">
        <v>636</v>
      </c>
      <c r="D104" s="177" t="s">
        <v>1903</v>
      </c>
      <c r="E104" s="174">
        <v>22</v>
      </c>
      <c r="F104" s="176"/>
      <c r="G104" s="175"/>
      <c r="H104" s="174"/>
      <c r="I104" s="173"/>
      <c r="J104" s="174"/>
      <c r="K104" s="173"/>
      <c r="Q104" s="160">
        <f>[6]Source!X103</f>
        <v>321.24</v>
      </c>
      <c r="R104" s="160">
        <f>[6]Source!X104</f>
        <v>6130.5</v>
      </c>
      <c r="S104" s="160">
        <f>[6]Source!Y103</f>
        <v>244.02</v>
      </c>
      <c r="T104" s="160">
        <f>[6]Source!Y104</f>
        <v>2957.06</v>
      </c>
      <c r="U104" s="160">
        <f>ROUND((175/100)*ROUND([6]Source!R103, 2), 2)</f>
        <v>0</v>
      </c>
      <c r="V104" s="160">
        <f>ROUND((157/100)*ROUND([6]Source!R104, 2), 2)</f>
        <v>0</v>
      </c>
    </row>
    <row r="105" spans="1:22" ht="14.25" x14ac:dyDescent="0.2">
      <c r="A105" s="179"/>
      <c r="B105" s="178"/>
      <c r="C105" s="178" t="s">
        <v>197</v>
      </c>
      <c r="D105" s="177"/>
      <c r="E105" s="174"/>
      <c r="F105" s="176">
        <v>14.04</v>
      </c>
      <c r="G105" s="175" t="s">
        <v>195</v>
      </c>
      <c r="H105" s="174">
        <v>1</v>
      </c>
      <c r="I105" s="173">
        <v>308.88</v>
      </c>
      <c r="J105" s="174">
        <v>23.35</v>
      </c>
      <c r="K105" s="173">
        <v>7212.35</v>
      </c>
    </row>
    <row r="106" spans="1:22" ht="28.5" x14ac:dyDescent="0.2">
      <c r="A106" s="179" t="s">
        <v>1581</v>
      </c>
      <c r="B106" s="178" t="s">
        <v>2408</v>
      </c>
      <c r="C106" s="178" t="s">
        <v>635</v>
      </c>
      <c r="D106" s="177" t="s">
        <v>1533</v>
      </c>
      <c r="E106" s="174">
        <v>0.05</v>
      </c>
      <c r="F106" s="176">
        <v>14739.12</v>
      </c>
      <c r="G106" s="182" t="s">
        <v>195</v>
      </c>
      <c r="H106" s="174">
        <v>1</v>
      </c>
      <c r="I106" s="173">
        <v>736.96</v>
      </c>
      <c r="J106" s="174">
        <v>3.5</v>
      </c>
      <c r="K106" s="173">
        <v>2579.36</v>
      </c>
      <c r="Q106" s="160">
        <f>[6]Source!X105</f>
        <v>0</v>
      </c>
      <c r="R106" s="160">
        <f>[6]Source!X106</f>
        <v>0</v>
      </c>
      <c r="S106" s="160">
        <f>[6]Source!Y105</f>
        <v>0</v>
      </c>
      <c r="T106" s="160">
        <f>[6]Source!Y106</f>
        <v>0</v>
      </c>
      <c r="U106" s="160">
        <f>ROUND((175/100)*ROUND([6]Source!R105, 2), 2)</f>
        <v>0</v>
      </c>
      <c r="V106" s="160">
        <f>ROUND((157/100)*ROUND([6]Source!R106, 2), 2)</f>
        <v>0</v>
      </c>
    </row>
    <row r="107" spans="1:22" ht="28.5" x14ac:dyDescent="0.2">
      <c r="A107" s="179" t="s">
        <v>1582</v>
      </c>
      <c r="B107" s="178" t="s">
        <v>1532</v>
      </c>
      <c r="C107" s="178" t="s">
        <v>351</v>
      </c>
      <c r="D107" s="177" t="s">
        <v>1533</v>
      </c>
      <c r="E107" s="174">
        <v>3.8302000000000003E-2</v>
      </c>
      <c r="F107" s="176">
        <v>0</v>
      </c>
      <c r="G107" s="182" t="s">
        <v>195</v>
      </c>
      <c r="H107" s="174">
        <v>1</v>
      </c>
      <c r="I107" s="173">
        <v>0</v>
      </c>
      <c r="J107" s="174">
        <v>1</v>
      </c>
      <c r="K107" s="173">
        <v>0</v>
      </c>
      <c r="Q107" s="160">
        <f>[6]Source!X107</f>
        <v>0</v>
      </c>
      <c r="R107" s="160">
        <f>[6]Source!X108</f>
        <v>0</v>
      </c>
      <c r="S107" s="160">
        <f>[6]Source!Y107</f>
        <v>0</v>
      </c>
      <c r="T107" s="160">
        <f>[6]Source!Y108</f>
        <v>0</v>
      </c>
      <c r="U107" s="160">
        <f>ROUND((175/100)*ROUND([6]Source!R107, 2), 2)</f>
        <v>0</v>
      </c>
      <c r="V107" s="160">
        <f>ROUND((157/100)*ROUND([6]Source!R108, 2), 2)</f>
        <v>0</v>
      </c>
    </row>
    <row r="108" spans="1:22" ht="14.25" x14ac:dyDescent="0.2">
      <c r="A108" s="179"/>
      <c r="B108" s="178"/>
      <c r="C108" s="178" t="s">
        <v>194</v>
      </c>
      <c r="D108" s="177" t="s">
        <v>187</v>
      </c>
      <c r="E108" s="174">
        <v>104</v>
      </c>
      <c r="F108" s="176"/>
      <c r="G108" s="175"/>
      <c r="H108" s="174"/>
      <c r="I108" s="173">
        <v>321.24</v>
      </c>
      <c r="J108" s="174">
        <v>85</v>
      </c>
      <c r="K108" s="173">
        <v>6130.5</v>
      </c>
    </row>
    <row r="109" spans="1:22" ht="14.25" x14ac:dyDescent="0.2">
      <c r="A109" s="172"/>
      <c r="B109" s="171"/>
      <c r="C109" s="171" t="s">
        <v>193</v>
      </c>
      <c r="D109" s="170" t="s">
        <v>187</v>
      </c>
      <c r="E109" s="167">
        <v>79</v>
      </c>
      <c r="F109" s="169"/>
      <c r="G109" s="168"/>
      <c r="H109" s="167"/>
      <c r="I109" s="166">
        <v>244.02</v>
      </c>
      <c r="J109" s="167">
        <v>41</v>
      </c>
      <c r="K109" s="166">
        <v>2957.06</v>
      </c>
    </row>
    <row r="110" spans="1:22" ht="15" x14ac:dyDescent="0.25">
      <c r="A110" s="164"/>
      <c r="B110" s="164"/>
      <c r="C110" s="165" t="s">
        <v>183</v>
      </c>
      <c r="D110" s="164"/>
      <c r="E110" s="164"/>
      <c r="F110" s="164"/>
      <c r="G110" s="164"/>
      <c r="H110" s="414">
        <v>1611.1</v>
      </c>
      <c r="I110" s="414"/>
      <c r="J110" s="414">
        <v>18879.27</v>
      </c>
      <c r="K110" s="414"/>
      <c r="O110" s="163">
        <f>I105+I108+I109+SUM(I106:I107)</f>
        <v>1611.1</v>
      </c>
      <c r="P110" s="163">
        <f>K105+K108+K109+SUM(K106:K107)</f>
        <v>18879.27</v>
      </c>
    </row>
    <row r="113" spans="1:22" ht="15" x14ac:dyDescent="0.25">
      <c r="A113" s="417" t="s">
        <v>2419</v>
      </c>
      <c r="B113" s="417"/>
      <c r="C113" s="417"/>
      <c r="D113" s="417"/>
      <c r="E113" s="417"/>
      <c r="F113" s="417"/>
      <c r="G113" s="417"/>
      <c r="H113" s="415">
        <v>9444.86</v>
      </c>
      <c r="I113" s="416"/>
      <c r="J113" s="415">
        <v>91281.85</v>
      </c>
      <c r="K113" s="416"/>
    </row>
    <row r="114" spans="1:22" hidden="1" x14ac:dyDescent="0.2">
      <c r="A114" s="160" t="s">
        <v>182</v>
      </c>
      <c r="I114" s="160">
        <v>0</v>
      </c>
      <c r="J114" s="160">
        <v>0</v>
      </c>
    </row>
    <row r="115" spans="1:22" hidden="1" x14ac:dyDescent="0.2">
      <c r="A115" s="160" t="s">
        <v>181</v>
      </c>
      <c r="I115" s="160">
        <v>0</v>
      </c>
      <c r="J115" s="160">
        <v>0</v>
      </c>
    </row>
    <row r="117" spans="1:22" ht="16.5" x14ac:dyDescent="0.25">
      <c r="A117" s="413" t="s">
        <v>2420</v>
      </c>
      <c r="B117" s="413"/>
      <c r="C117" s="413"/>
      <c r="D117" s="413"/>
      <c r="E117" s="413"/>
      <c r="F117" s="413"/>
      <c r="G117" s="413"/>
      <c r="H117" s="413"/>
      <c r="I117" s="413"/>
      <c r="J117" s="413"/>
      <c r="K117" s="413"/>
    </row>
    <row r="118" spans="1:22" ht="57" x14ac:dyDescent="0.2">
      <c r="A118" s="179" t="s">
        <v>1587</v>
      </c>
      <c r="B118" s="178" t="s">
        <v>2421</v>
      </c>
      <c r="C118" s="178" t="s">
        <v>634</v>
      </c>
      <c r="D118" s="177" t="s">
        <v>2422</v>
      </c>
      <c r="E118" s="174">
        <v>710.9</v>
      </c>
      <c r="F118" s="176"/>
      <c r="G118" s="175"/>
      <c r="H118" s="174"/>
      <c r="I118" s="173"/>
      <c r="J118" s="174"/>
      <c r="K118" s="173"/>
      <c r="Q118" s="160">
        <f>[6]Source!X150</f>
        <v>64380.89</v>
      </c>
      <c r="R118" s="160">
        <f>[6]Source!X151</f>
        <v>1216952.05</v>
      </c>
      <c r="S118" s="160">
        <f>[6]Source!Y150</f>
        <v>42920.59</v>
      </c>
      <c r="T118" s="160">
        <f>[6]Source!Y151</f>
        <v>587000.4</v>
      </c>
      <c r="U118" s="160">
        <f>ROUND((175/100)*ROUND([6]Source!R150, 2), 2)</f>
        <v>174.18</v>
      </c>
      <c r="V118" s="160">
        <f>ROUND((157/100)*ROUND([6]Source!R151, 2), 2)</f>
        <v>3648.73</v>
      </c>
    </row>
    <row r="119" spans="1:22" ht="38.25" x14ac:dyDescent="0.2">
      <c r="C119" s="181" t="s">
        <v>2423</v>
      </c>
    </row>
    <row r="120" spans="1:22" ht="14.25" x14ac:dyDescent="0.2">
      <c r="A120" s="179"/>
      <c r="B120" s="178"/>
      <c r="C120" s="178" t="s">
        <v>197</v>
      </c>
      <c r="D120" s="177"/>
      <c r="E120" s="174"/>
      <c r="F120" s="176">
        <v>86.25</v>
      </c>
      <c r="G120" s="175" t="s">
        <v>195</v>
      </c>
      <c r="H120" s="174">
        <v>1</v>
      </c>
      <c r="I120" s="173">
        <v>61315.13</v>
      </c>
      <c r="J120" s="174">
        <v>23.35</v>
      </c>
      <c r="K120" s="173">
        <v>1431708.29</v>
      </c>
    </row>
    <row r="121" spans="1:22" ht="14.25" x14ac:dyDescent="0.2">
      <c r="A121" s="179"/>
      <c r="B121" s="178"/>
      <c r="C121" s="178" t="s">
        <v>184</v>
      </c>
      <c r="D121" s="177"/>
      <c r="E121" s="174"/>
      <c r="F121" s="176">
        <v>0.7</v>
      </c>
      <c r="G121" s="175" t="s">
        <v>195</v>
      </c>
      <c r="H121" s="174">
        <v>1</v>
      </c>
      <c r="I121" s="173">
        <v>497.63</v>
      </c>
      <c r="J121" s="174">
        <v>8.9600000000000009</v>
      </c>
      <c r="K121" s="173">
        <v>4458.76</v>
      </c>
    </row>
    <row r="122" spans="1:22" ht="14.25" x14ac:dyDescent="0.2">
      <c r="A122" s="179"/>
      <c r="B122" s="178"/>
      <c r="C122" s="178" t="s">
        <v>189</v>
      </c>
      <c r="D122" s="177"/>
      <c r="E122" s="174"/>
      <c r="F122" s="176">
        <v>0.14000000000000001</v>
      </c>
      <c r="G122" s="175" t="s">
        <v>195</v>
      </c>
      <c r="H122" s="174">
        <v>1</v>
      </c>
      <c r="I122" s="180">
        <v>99.53</v>
      </c>
      <c r="J122" s="174">
        <v>23.35</v>
      </c>
      <c r="K122" s="180">
        <v>2324.0300000000002</v>
      </c>
    </row>
    <row r="123" spans="1:22" ht="14.25" x14ac:dyDescent="0.2">
      <c r="A123" s="179"/>
      <c r="B123" s="178"/>
      <c r="C123" s="178" t="s">
        <v>205</v>
      </c>
      <c r="D123" s="177"/>
      <c r="E123" s="174"/>
      <c r="F123" s="176">
        <v>4.47</v>
      </c>
      <c r="G123" s="175" t="s">
        <v>195</v>
      </c>
      <c r="H123" s="174">
        <v>1</v>
      </c>
      <c r="I123" s="173">
        <v>3177.72</v>
      </c>
      <c r="J123" s="174">
        <v>10.96</v>
      </c>
      <c r="K123" s="173">
        <v>34827.81</v>
      </c>
    </row>
    <row r="124" spans="1:22" ht="42.75" x14ac:dyDescent="0.2">
      <c r="A124" s="179" t="s">
        <v>1588</v>
      </c>
      <c r="B124" s="178" t="s">
        <v>2424</v>
      </c>
      <c r="C124" s="178" t="s">
        <v>633</v>
      </c>
      <c r="D124" s="177" t="s">
        <v>1594</v>
      </c>
      <c r="E124" s="174">
        <v>5</v>
      </c>
      <c r="F124" s="176">
        <v>670.5</v>
      </c>
      <c r="G124" s="182" t="s">
        <v>195</v>
      </c>
      <c r="H124" s="174">
        <v>1</v>
      </c>
      <c r="I124" s="173">
        <v>3352.5</v>
      </c>
      <c r="J124" s="174">
        <v>12.63</v>
      </c>
      <c r="K124" s="173">
        <v>42342.080000000002</v>
      </c>
      <c r="Q124" s="160">
        <f>[6]Source!X152</f>
        <v>0</v>
      </c>
      <c r="R124" s="160">
        <f>[6]Source!X153</f>
        <v>0</v>
      </c>
      <c r="S124" s="160">
        <f>[6]Source!Y152</f>
        <v>0</v>
      </c>
      <c r="T124" s="160">
        <f>[6]Source!Y153</f>
        <v>0</v>
      </c>
      <c r="U124" s="160">
        <f>ROUND((175/100)*ROUND([6]Source!R152, 2), 2)</f>
        <v>0</v>
      </c>
      <c r="V124" s="160">
        <f>ROUND((157/100)*ROUND([6]Source!R153, 2), 2)</f>
        <v>0</v>
      </c>
    </row>
    <row r="125" spans="1:22" ht="42.75" x14ac:dyDescent="0.2">
      <c r="A125" s="179" t="s">
        <v>1967</v>
      </c>
      <c r="B125" s="178" t="s">
        <v>2425</v>
      </c>
      <c r="C125" s="178" t="s">
        <v>628</v>
      </c>
      <c r="D125" s="177" t="s">
        <v>1594</v>
      </c>
      <c r="E125" s="174">
        <v>21.4</v>
      </c>
      <c r="F125" s="176">
        <v>2621.95</v>
      </c>
      <c r="G125" s="182" t="s">
        <v>195</v>
      </c>
      <c r="H125" s="174">
        <v>1</v>
      </c>
      <c r="I125" s="173">
        <v>56109.73</v>
      </c>
      <c r="J125" s="174">
        <v>3.05</v>
      </c>
      <c r="K125" s="173">
        <v>171134.68</v>
      </c>
      <c r="Q125" s="160">
        <f>[6]Source!X154</f>
        <v>0</v>
      </c>
      <c r="R125" s="160">
        <f>[6]Source!X155</f>
        <v>0</v>
      </c>
      <c r="S125" s="160">
        <f>[6]Source!Y154</f>
        <v>0</v>
      </c>
      <c r="T125" s="160">
        <f>[6]Source!Y155</f>
        <v>0</v>
      </c>
      <c r="U125" s="160">
        <f>ROUND((175/100)*ROUND([6]Source!R154, 2), 2)</f>
        <v>0</v>
      </c>
      <c r="V125" s="160">
        <f>ROUND((157/100)*ROUND([6]Source!R155, 2), 2)</f>
        <v>0</v>
      </c>
    </row>
    <row r="126" spans="1:22" ht="42.75" x14ac:dyDescent="0.2">
      <c r="A126" s="179" t="s">
        <v>1968</v>
      </c>
      <c r="B126" s="178" t="s">
        <v>2426</v>
      </c>
      <c r="C126" s="178" t="s">
        <v>632</v>
      </c>
      <c r="D126" s="177" t="s">
        <v>1594</v>
      </c>
      <c r="E126" s="174">
        <v>4.3</v>
      </c>
      <c r="F126" s="176">
        <v>2831.71</v>
      </c>
      <c r="G126" s="182" t="s">
        <v>195</v>
      </c>
      <c r="H126" s="174">
        <v>1</v>
      </c>
      <c r="I126" s="173">
        <v>12176.35</v>
      </c>
      <c r="J126" s="174">
        <v>2.82</v>
      </c>
      <c r="K126" s="173">
        <v>34337.31</v>
      </c>
      <c r="Q126" s="160">
        <f>[6]Source!X156</f>
        <v>0</v>
      </c>
      <c r="R126" s="160">
        <f>[6]Source!X157</f>
        <v>0</v>
      </c>
      <c r="S126" s="160">
        <f>[6]Source!Y156</f>
        <v>0</v>
      </c>
      <c r="T126" s="160">
        <f>[6]Source!Y157</f>
        <v>0</v>
      </c>
      <c r="U126" s="160">
        <f>ROUND((175/100)*ROUND([6]Source!R156, 2), 2)</f>
        <v>0</v>
      </c>
      <c r="V126" s="160">
        <f>ROUND((157/100)*ROUND([6]Source!R157, 2), 2)</f>
        <v>0</v>
      </c>
    </row>
    <row r="127" spans="1:22" ht="28.5" x14ac:dyDescent="0.2">
      <c r="A127" s="179" t="s">
        <v>2427</v>
      </c>
      <c r="B127" s="178" t="s">
        <v>1532</v>
      </c>
      <c r="C127" s="178" t="s">
        <v>351</v>
      </c>
      <c r="D127" s="177" t="s">
        <v>1533</v>
      </c>
      <c r="E127" s="174">
        <v>26.402000000000001</v>
      </c>
      <c r="F127" s="176">
        <v>0</v>
      </c>
      <c r="G127" s="182" t="s">
        <v>195</v>
      </c>
      <c r="H127" s="174">
        <v>1</v>
      </c>
      <c r="I127" s="173">
        <v>0</v>
      </c>
      <c r="J127" s="174">
        <v>1</v>
      </c>
      <c r="K127" s="173">
        <v>0</v>
      </c>
      <c r="Q127" s="160">
        <f>[6]Source!X158</f>
        <v>0</v>
      </c>
      <c r="R127" s="160">
        <f>[6]Source!X159</f>
        <v>0</v>
      </c>
      <c r="S127" s="160">
        <f>[6]Source!Y158</f>
        <v>0</v>
      </c>
      <c r="T127" s="160">
        <f>[6]Source!Y159</f>
        <v>0</v>
      </c>
      <c r="U127" s="160">
        <f>ROUND((175/100)*ROUND([6]Source!R158, 2), 2)</f>
        <v>0</v>
      </c>
      <c r="V127" s="160">
        <f>ROUND((157/100)*ROUND([6]Source!R159, 2), 2)</f>
        <v>0</v>
      </c>
    </row>
    <row r="128" spans="1:22" ht="14.25" x14ac:dyDescent="0.2">
      <c r="A128" s="179"/>
      <c r="B128" s="178"/>
      <c r="C128" s="178" t="s">
        <v>194</v>
      </c>
      <c r="D128" s="177" t="s">
        <v>187</v>
      </c>
      <c r="E128" s="174">
        <v>105</v>
      </c>
      <c r="F128" s="176"/>
      <c r="G128" s="175"/>
      <c r="H128" s="174"/>
      <c r="I128" s="173">
        <v>64380.89</v>
      </c>
      <c r="J128" s="174">
        <v>85</v>
      </c>
      <c r="K128" s="173">
        <v>1216952.05</v>
      </c>
    </row>
    <row r="129" spans="1:22" ht="14.25" x14ac:dyDescent="0.2">
      <c r="A129" s="179"/>
      <c r="B129" s="178"/>
      <c r="C129" s="178" t="s">
        <v>193</v>
      </c>
      <c r="D129" s="177" t="s">
        <v>187</v>
      </c>
      <c r="E129" s="174">
        <v>70</v>
      </c>
      <c r="F129" s="176"/>
      <c r="G129" s="175"/>
      <c r="H129" s="174"/>
      <c r="I129" s="173">
        <v>42920.59</v>
      </c>
      <c r="J129" s="174">
        <v>41</v>
      </c>
      <c r="K129" s="173">
        <v>587000.4</v>
      </c>
    </row>
    <row r="130" spans="1:22" ht="14.25" x14ac:dyDescent="0.2">
      <c r="A130" s="179"/>
      <c r="B130" s="178"/>
      <c r="C130" s="178" t="s">
        <v>188</v>
      </c>
      <c r="D130" s="177" t="s">
        <v>187</v>
      </c>
      <c r="E130" s="174">
        <v>175</v>
      </c>
      <c r="F130" s="176"/>
      <c r="G130" s="175"/>
      <c r="H130" s="174"/>
      <c r="I130" s="173">
        <v>174.18</v>
      </c>
      <c r="J130" s="174">
        <v>157</v>
      </c>
      <c r="K130" s="173">
        <v>3648.73</v>
      </c>
    </row>
    <row r="131" spans="1:22" ht="14.25" x14ac:dyDescent="0.2">
      <c r="A131" s="172"/>
      <c r="B131" s="171"/>
      <c r="C131" s="171" t="s">
        <v>192</v>
      </c>
      <c r="D131" s="170" t="s">
        <v>191</v>
      </c>
      <c r="E131" s="167">
        <v>5.94</v>
      </c>
      <c r="F131" s="169"/>
      <c r="G131" s="168" t="s">
        <v>195</v>
      </c>
      <c r="H131" s="167">
        <v>1</v>
      </c>
      <c r="I131" s="166">
        <v>4222.75</v>
      </c>
      <c r="J131" s="167"/>
      <c r="K131" s="166"/>
    </row>
    <row r="132" spans="1:22" ht="15" x14ac:dyDescent="0.25">
      <c r="A132" s="164"/>
      <c r="B132" s="164"/>
      <c r="C132" s="165" t="s">
        <v>183</v>
      </c>
      <c r="D132" s="164"/>
      <c r="E132" s="164"/>
      <c r="F132" s="164"/>
      <c r="G132" s="164"/>
      <c r="H132" s="414">
        <v>244104.72</v>
      </c>
      <c r="I132" s="414"/>
      <c r="J132" s="414">
        <v>3526410.11</v>
      </c>
      <c r="K132" s="414"/>
      <c r="O132" s="163">
        <f>I120+I121+I123+I128+I129+I130+SUM(I124:I127)</f>
        <v>244104.72</v>
      </c>
      <c r="P132" s="163">
        <f>K120+K121+K123+K128+K129+K130+SUM(K124:K127)</f>
        <v>3526410.11</v>
      </c>
    </row>
    <row r="134" spans="1:22" ht="71.25" x14ac:dyDescent="0.2">
      <c r="A134" s="179" t="s">
        <v>1589</v>
      </c>
      <c r="B134" s="178" t="s">
        <v>2428</v>
      </c>
      <c r="C134" s="178" t="s">
        <v>631</v>
      </c>
      <c r="D134" s="177" t="s">
        <v>2422</v>
      </c>
      <c r="E134" s="174">
        <v>85</v>
      </c>
      <c r="F134" s="176"/>
      <c r="G134" s="175"/>
      <c r="H134" s="174"/>
      <c r="I134" s="173"/>
      <c r="J134" s="174"/>
      <c r="K134" s="173"/>
      <c r="Q134" s="160">
        <f>[6]Source!X164</f>
        <v>6738.38</v>
      </c>
      <c r="R134" s="160">
        <f>[6]Source!X165</f>
        <v>127371.34</v>
      </c>
      <c r="S134" s="160">
        <f>[6]Source!Y164</f>
        <v>4492.25</v>
      </c>
      <c r="T134" s="160">
        <f>[6]Source!Y165</f>
        <v>61437.94</v>
      </c>
      <c r="U134" s="160">
        <f>ROUND((175/100)*ROUND([6]Source!R164, 2), 2)</f>
        <v>20.83</v>
      </c>
      <c r="V134" s="160">
        <f>ROUND((157/100)*ROUND([6]Source!R165, 2), 2)</f>
        <v>436.26</v>
      </c>
    </row>
    <row r="135" spans="1:22" ht="14.25" x14ac:dyDescent="0.2">
      <c r="A135" s="179"/>
      <c r="B135" s="178"/>
      <c r="C135" s="178" t="s">
        <v>197</v>
      </c>
      <c r="D135" s="177"/>
      <c r="E135" s="174"/>
      <c r="F135" s="176">
        <v>75.5</v>
      </c>
      <c r="G135" s="175" t="s">
        <v>195</v>
      </c>
      <c r="H135" s="174">
        <v>1</v>
      </c>
      <c r="I135" s="173">
        <v>6417.5</v>
      </c>
      <c r="J135" s="174">
        <v>23.35</v>
      </c>
      <c r="K135" s="173">
        <v>149848.63</v>
      </c>
    </row>
    <row r="136" spans="1:22" ht="14.25" x14ac:dyDescent="0.2">
      <c r="A136" s="179"/>
      <c r="B136" s="178"/>
      <c r="C136" s="178" t="s">
        <v>184</v>
      </c>
      <c r="D136" s="177"/>
      <c r="E136" s="174"/>
      <c r="F136" s="176">
        <v>0.7</v>
      </c>
      <c r="G136" s="175" t="s">
        <v>195</v>
      </c>
      <c r="H136" s="174">
        <v>1</v>
      </c>
      <c r="I136" s="173">
        <v>59.5</v>
      </c>
      <c r="J136" s="174">
        <v>8.9600000000000009</v>
      </c>
      <c r="K136" s="173">
        <v>533.12</v>
      </c>
    </row>
    <row r="137" spans="1:22" ht="14.25" x14ac:dyDescent="0.2">
      <c r="A137" s="179"/>
      <c r="B137" s="178"/>
      <c r="C137" s="178" t="s">
        <v>189</v>
      </c>
      <c r="D137" s="177"/>
      <c r="E137" s="174"/>
      <c r="F137" s="176">
        <v>0.14000000000000001</v>
      </c>
      <c r="G137" s="175" t="s">
        <v>195</v>
      </c>
      <c r="H137" s="174">
        <v>1</v>
      </c>
      <c r="I137" s="180">
        <v>11.9</v>
      </c>
      <c r="J137" s="174">
        <v>23.35</v>
      </c>
      <c r="K137" s="180">
        <v>277.87</v>
      </c>
    </row>
    <row r="138" spans="1:22" ht="14.25" x14ac:dyDescent="0.2">
      <c r="A138" s="179"/>
      <c r="B138" s="178"/>
      <c r="C138" s="178" t="s">
        <v>205</v>
      </c>
      <c r="D138" s="177"/>
      <c r="E138" s="174"/>
      <c r="F138" s="176">
        <v>5.48</v>
      </c>
      <c r="G138" s="175" t="s">
        <v>195</v>
      </c>
      <c r="H138" s="174">
        <v>1</v>
      </c>
      <c r="I138" s="173">
        <v>465.8</v>
      </c>
      <c r="J138" s="174">
        <v>11.94</v>
      </c>
      <c r="K138" s="173">
        <v>5561.65</v>
      </c>
    </row>
    <row r="139" spans="1:22" ht="42.75" x14ac:dyDescent="0.2">
      <c r="A139" s="179" t="s">
        <v>1595</v>
      </c>
      <c r="B139" s="178" t="s">
        <v>2425</v>
      </c>
      <c r="C139" s="178" t="s">
        <v>628</v>
      </c>
      <c r="D139" s="177" t="s">
        <v>1594</v>
      </c>
      <c r="E139" s="174">
        <v>4.3</v>
      </c>
      <c r="F139" s="176">
        <v>2621.95</v>
      </c>
      <c r="G139" s="182" t="s">
        <v>195</v>
      </c>
      <c r="H139" s="174">
        <v>1</v>
      </c>
      <c r="I139" s="173">
        <v>11274.39</v>
      </c>
      <c r="J139" s="174">
        <v>3.05</v>
      </c>
      <c r="K139" s="173">
        <v>34386.89</v>
      </c>
      <c r="Q139" s="160">
        <f>[6]Source!X168</f>
        <v>0</v>
      </c>
      <c r="R139" s="160">
        <f>[6]Source!X169</f>
        <v>0</v>
      </c>
      <c r="S139" s="160">
        <f>[6]Source!Y168</f>
        <v>0</v>
      </c>
      <c r="T139" s="160">
        <f>[6]Source!Y169</f>
        <v>0</v>
      </c>
      <c r="U139" s="160">
        <f>ROUND((175/100)*ROUND([6]Source!R168, 2), 2)</f>
        <v>0</v>
      </c>
      <c r="V139" s="160">
        <f>ROUND((157/100)*ROUND([6]Source!R169, 2), 2)</f>
        <v>0</v>
      </c>
    </row>
    <row r="140" spans="1:22" ht="28.5" x14ac:dyDescent="0.2">
      <c r="A140" s="179" t="s">
        <v>1597</v>
      </c>
      <c r="B140" s="178" t="s">
        <v>1532</v>
      </c>
      <c r="C140" s="178" t="s">
        <v>351</v>
      </c>
      <c r="D140" s="177" t="s">
        <v>1533</v>
      </c>
      <c r="E140" s="174">
        <v>3.698</v>
      </c>
      <c r="F140" s="176">
        <v>0</v>
      </c>
      <c r="G140" s="182" t="s">
        <v>195</v>
      </c>
      <c r="H140" s="174">
        <v>1</v>
      </c>
      <c r="I140" s="173">
        <v>0</v>
      </c>
      <c r="J140" s="174">
        <v>1</v>
      </c>
      <c r="K140" s="173">
        <v>0</v>
      </c>
      <c r="Q140" s="160">
        <f>[6]Source!X170</f>
        <v>0</v>
      </c>
      <c r="R140" s="160">
        <f>[6]Source!X171</f>
        <v>0</v>
      </c>
      <c r="S140" s="160">
        <f>[6]Source!Y170</f>
        <v>0</v>
      </c>
      <c r="T140" s="160">
        <f>[6]Source!Y171</f>
        <v>0</v>
      </c>
      <c r="U140" s="160">
        <f>ROUND((175/100)*ROUND([6]Source!R170, 2), 2)</f>
        <v>0</v>
      </c>
      <c r="V140" s="160">
        <f>ROUND((157/100)*ROUND([6]Source!R171, 2), 2)</f>
        <v>0</v>
      </c>
    </row>
    <row r="141" spans="1:22" ht="14.25" x14ac:dyDescent="0.2">
      <c r="A141" s="179"/>
      <c r="B141" s="178"/>
      <c r="C141" s="178" t="s">
        <v>194</v>
      </c>
      <c r="D141" s="177" t="s">
        <v>187</v>
      </c>
      <c r="E141" s="174">
        <v>105</v>
      </c>
      <c r="F141" s="176"/>
      <c r="G141" s="175"/>
      <c r="H141" s="174"/>
      <c r="I141" s="173">
        <v>6738.38</v>
      </c>
      <c r="J141" s="174">
        <v>85</v>
      </c>
      <c r="K141" s="173">
        <v>127371.34</v>
      </c>
    </row>
    <row r="142" spans="1:22" ht="14.25" x14ac:dyDescent="0.2">
      <c r="A142" s="179"/>
      <c r="B142" s="178"/>
      <c r="C142" s="178" t="s">
        <v>193</v>
      </c>
      <c r="D142" s="177" t="s">
        <v>187</v>
      </c>
      <c r="E142" s="174">
        <v>70</v>
      </c>
      <c r="F142" s="176"/>
      <c r="G142" s="175"/>
      <c r="H142" s="174"/>
      <c r="I142" s="173">
        <v>4492.25</v>
      </c>
      <c r="J142" s="174">
        <v>41</v>
      </c>
      <c r="K142" s="173">
        <v>61437.94</v>
      </c>
    </row>
    <row r="143" spans="1:22" ht="14.25" x14ac:dyDescent="0.2">
      <c r="A143" s="172"/>
      <c r="B143" s="171"/>
      <c r="C143" s="171" t="s">
        <v>188</v>
      </c>
      <c r="D143" s="170" t="s">
        <v>187</v>
      </c>
      <c r="E143" s="167">
        <v>175</v>
      </c>
      <c r="F143" s="169"/>
      <c r="G143" s="168"/>
      <c r="H143" s="167"/>
      <c r="I143" s="166">
        <v>20.83</v>
      </c>
      <c r="J143" s="167">
        <v>157</v>
      </c>
      <c r="K143" s="166">
        <v>436.26</v>
      </c>
    </row>
    <row r="144" spans="1:22" ht="15" x14ac:dyDescent="0.25">
      <c r="A144" s="164"/>
      <c r="B144" s="164"/>
      <c r="C144" s="165" t="s">
        <v>183</v>
      </c>
      <c r="D144" s="164"/>
      <c r="E144" s="164"/>
      <c r="F144" s="164"/>
      <c r="G144" s="164"/>
      <c r="H144" s="414">
        <v>29468.65</v>
      </c>
      <c r="I144" s="414"/>
      <c r="J144" s="414">
        <v>379575.83</v>
      </c>
      <c r="K144" s="414"/>
      <c r="O144" s="163">
        <f>I135+I136+I138+I141+I142+I143+SUM(I139:I140)</f>
        <v>29468.65</v>
      </c>
      <c r="P144" s="163">
        <f>K135+K136+K138+K141+K142+K143+SUM(K139:K140)</f>
        <v>379575.83</v>
      </c>
    </row>
    <row r="146" spans="1:22" ht="71.25" x14ac:dyDescent="0.2">
      <c r="A146" s="179" t="s">
        <v>1599</v>
      </c>
      <c r="B146" s="178" t="s">
        <v>2429</v>
      </c>
      <c r="C146" s="178" t="s">
        <v>630</v>
      </c>
      <c r="D146" s="177" t="s">
        <v>2430</v>
      </c>
      <c r="E146" s="174">
        <v>2.62</v>
      </c>
      <c r="F146" s="176"/>
      <c r="G146" s="175"/>
      <c r="H146" s="174"/>
      <c r="I146" s="173"/>
      <c r="J146" s="174"/>
      <c r="K146" s="173"/>
      <c r="Q146" s="160">
        <f>[6]Source!X172</f>
        <v>1193.93</v>
      </c>
      <c r="R146" s="160">
        <f>[6]Source!X173</f>
        <v>22785.13</v>
      </c>
      <c r="S146" s="160">
        <f>[6]Source!Y172</f>
        <v>906.93</v>
      </c>
      <c r="T146" s="160">
        <f>[6]Source!Y173</f>
        <v>10990.47</v>
      </c>
      <c r="U146" s="160">
        <f>ROUND((175/100)*ROUND([6]Source!R172, 2), 2)</f>
        <v>117.01</v>
      </c>
      <c r="V146" s="160">
        <f>ROUND((157/100)*ROUND([6]Source!R173, 2), 2)</f>
        <v>2451.0500000000002</v>
      </c>
    </row>
    <row r="147" spans="1:22" x14ac:dyDescent="0.2">
      <c r="C147" s="181" t="s">
        <v>2431</v>
      </c>
    </row>
    <row r="148" spans="1:22" ht="14.25" x14ac:dyDescent="0.2">
      <c r="A148" s="179"/>
      <c r="B148" s="178"/>
      <c r="C148" s="178" t="s">
        <v>197</v>
      </c>
      <c r="D148" s="177"/>
      <c r="E148" s="174"/>
      <c r="F148" s="176">
        <v>438.17</v>
      </c>
      <c r="G148" s="175" t="s">
        <v>195</v>
      </c>
      <c r="H148" s="174">
        <v>1</v>
      </c>
      <c r="I148" s="173">
        <v>1148.01</v>
      </c>
      <c r="J148" s="174">
        <v>23.35</v>
      </c>
      <c r="K148" s="173">
        <v>26806.03</v>
      </c>
    </row>
    <row r="149" spans="1:22" ht="14.25" x14ac:dyDescent="0.2">
      <c r="A149" s="179"/>
      <c r="B149" s="178"/>
      <c r="C149" s="178" t="s">
        <v>184</v>
      </c>
      <c r="D149" s="177"/>
      <c r="E149" s="174"/>
      <c r="F149" s="176">
        <v>100.73</v>
      </c>
      <c r="G149" s="175" t="s">
        <v>195</v>
      </c>
      <c r="H149" s="174">
        <v>1</v>
      </c>
      <c r="I149" s="173">
        <v>263.91000000000003</v>
      </c>
      <c r="J149" s="174">
        <v>9.91</v>
      </c>
      <c r="K149" s="173">
        <v>2615.35</v>
      </c>
    </row>
    <row r="150" spans="1:22" ht="14.25" x14ac:dyDescent="0.2">
      <c r="A150" s="179"/>
      <c r="B150" s="178"/>
      <c r="C150" s="178" t="s">
        <v>189</v>
      </c>
      <c r="D150" s="177"/>
      <c r="E150" s="174"/>
      <c r="F150" s="176">
        <v>25.52</v>
      </c>
      <c r="G150" s="175" t="s">
        <v>195</v>
      </c>
      <c r="H150" s="174">
        <v>1</v>
      </c>
      <c r="I150" s="180">
        <v>66.86</v>
      </c>
      <c r="J150" s="174">
        <v>23.35</v>
      </c>
      <c r="K150" s="180">
        <v>1561.18</v>
      </c>
    </row>
    <row r="151" spans="1:22" ht="14.25" x14ac:dyDescent="0.2">
      <c r="A151" s="179"/>
      <c r="B151" s="178"/>
      <c r="C151" s="178" t="s">
        <v>205</v>
      </c>
      <c r="D151" s="177"/>
      <c r="E151" s="174"/>
      <c r="F151" s="176">
        <v>143.47</v>
      </c>
      <c r="G151" s="175" t="s">
        <v>195</v>
      </c>
      <c r="H151" s="174">
        <v>1</v>
      </c>
      <c r="I151" s="173">
        <v>375.89</v>
      </c>
      <c r="J151" s="174">
        <v>8.94</v>
      </c>
      <c r="K151" s="173">
        <v>3360.46</v>
      </c>
    </row>
    <row r="152" spans="1:22" ht="42.75" x14ac:dyDescent="0.2">
      <c r="A152" s="179" t="s">
        <v>1600</v>
      </c>
      <c r="B152" s="178" t="s">
        <v>2425</v>
      </c>
      <c r="C152" s="178" t="s">
        <v>628</v>
      </c>
      <c r="D152" s="177" t="s">
        <v>1594</v>
      </c>
      <c r="E152" s="174">
        <v>2.8</v>
      </c>
      <c r="F152" s="176">
        <v>2621.95</v>
      </c>
      <c r="G152" s="182" t="s">
        <v>195</v>
      </c>
      <c r="H152" s="174">
        <v>1</v>
      </c>
      <c r="I152" s="173">
        <v>7341.46</v>
      </c>
      <c r="J152" s="174">
        <v>3.05</v>
      </c>
      <c r="K152" s="173">
        <v>22391.45</v>
      </c>
      <c r="Q152" s="160">
        <f>[6]Source!X174</f>
        <v>0</v>
      </c>
      <c r="R152" s="160">
        <f>[6]Source!X175</f>
        <v>0</v>
      </c>
      <c r="S152" s="160">
        <f>[6]Source!Y174</f>
        <v>0</v>
      </c>
      <c r="T152" s="160">
        <f>[6]Source!Y175</f>
        <v>0</v>
      </c>
      <c r="U152" s="160">
        <f>ROUND((175/100)*ROUND([6]Source!R174, 2), 2)</f>
        <v>0</v>
      </c>
      <c r="V152" s="160">
        <f>ROUND((157/100)*ROUND([6]Source!R175, 2), 2)</f>
        <v>0</v>
      </c>
    </row>
    <row r="153" spans="1:22" ht="28.5" x14ac:dyDescent="0.2">
      <c r="A153" s="179" t="s">
        <v>1601</v>
      </c>
      <c r="B153" s="178" t="s">
        <v>2090</v>
      </c>
      <c r="C153" s="178" t="s">
        <v>410</v>
      </c>
      <c r="D153" s="177" t="s">
        <v>1594</v>
      </c>
      <c r="E153" s="174">
        <v>0.15</v>
      </c>
      <c r="F153" s="176">
        <v>1828.56</v>
      </c>
      <c r="G153" s="182" t="s">
        <v>195</v>
      </c>
      <c r="H153" s="174">
        <v>1</v>
      </c>
      <c r="I153" s="173">
        <v>274.27999999999997</v>
      </c>
      <c r="J153" s="174">
        <v>2.79</v>
      </c>
      <c r="K153" s="173">
        <v>765.24</v>
      </c>
      <c r="Q153" s="160">
        <f>[6]Source!X176</f>
        <v>0</v>
      </c>
      <c r="R153" s="160">
        <f>[6]Source!X177</f>
        <v>0</v>
      </c>
      <c r="S153" s="160">
        <f>[6]Source!Y176</f>
        <v>0</v>
      </c>
      <c r="T153" s="160">
        <f>[6]Source!Y177</f>
        <v>0</v>
      </c>
      <c r="U153" s="160">
        <f>ROUND((175/100)*ROUND([6]Source!R176, 2), 2)</f>
        <v>0</v>
      </c>
      <c r="V153" s="160">
        <f>ROUND((157/100)*ROUND([6]Source!R177, 2), 2)</f>
        <v>0</v>
      </c>
    </row>
    <row r="154" spans="1:22" ht="14.25" x14ac:dyDescent="0.2">
      <c r="A154" s="179"/>
      <c r="B154" s="178"/>
      <c r="C154" s="178" t="s">
        <v>194</v>
      </c>
      <c r="D154" s="177" t="s">
        <v>187</v>
      </c>
      <c r="E154" s="174">
        <v>104</v>
      </c>
      <c r="F154" s="176"/>
      <c r="G154" s="175"/>
      <c r="H154" s="174"/>
      <c r="I154" s="173">
        <v>1193.93</v>
      </c>
      <c r="J154" s="174">
        <v>85</v>
      </c>
      <c r="K154" s="173">
        <v>22785.13</v>
      </c>
    </row>
    <row r="155" spans="1:22" ht="14.25" x14ac:dyDescent="0.2">
      <c r="A155" s="179"/>
      <c r="B155" s="178"/>
      <c r="C155" s="178" t="s">
        <v>193</v>
      </c>
      <c r="D155" s="177" t="s">
        <v>187</v>
      </c>
      <c r="E155" s="174">
        <v>79</v>
      </c>
      <c r="F155" s="176"/>
      <c r="G155" s="175"/>
      <c r="H155" s="174"/>
      <c r="I155" s="173">
        <v>906.93</v>
      </c>
      <c r="J155" s="174">
        <v>41</v>
      </c>
      <c r="K155" s="173">
        <v>10990.47</v>
      </c>
    </row>
    <row r="156" spans="1:22" ht="14.25" x14ac:dyDescent="0.2">
      <c r="A156" s="179"/>
      <c r="B156" s="178"/>
      <c r="C156" s="178" t="s">
        <v>188</v>
      </c>
      <c r="D156" s="177" t="s">
        <v>187</v>
      </c>
      <c r="E156" s="174">
        <v>175</v>
      </c>
      <c r="F156" s="176"/>
      <c r="G156" s="175"/>
      <c r="H156" s="174"/>
      <c r="I156" s="173">
        <v>117.01</v>
      </c>
      <c r="J156" s="174">
        <v>157</v>
      </c>
      <c r="K156" s="173">
        <v>2451.0500000000002</v>
      </c>
    </row>
    <row r="157" spans="1:22" ht="14.25" x14ac:dyDescent="0.2">
      <c r="A157" s="172"/>
      <c r="B157" s="171"/>
      <c r="C157" s="171" t="s">
        <v>192</v>
      </c>
      <c r="D157" s="170" t="s">
        <v>191</v>
      </c>
      <c r="E157" s="167">
        <v>39.869999999999997</v>
      </c>
      <c r="F157" s="169"/>
      <c r="G157" s="168" t="s">
        <v>195</v>
      </c>
      <c r="H157" s="167">
        <v>1</v>
      </c>
      <c r="I157" s="166">
        <v>104.46</v>
      </c>
      <c r="J157" s="167"/>
      <c r="K157" s="166"/>
    </row>
    <row r="158" spans="1:22" ht="15" x14ac:dyDescent="0.25">
      <c r="A158" s="164"/>
      <c r="B158" s="164"/>
      <c r="C158" s="165" t="s">
        <v>183</v>
      </c>
      <c r="D158" s="164"/>
      <c r="E158" s="164"/>
      <c r="F158" s="164"/>
      <c r="G158" s="164"/>
      <c r="H158" s="414">
        <v>11621.42</v>
      </c>
      <c r="I158" s="414"/>
      <c r="J158" s="414">
        <v>92165.18</v>
      </c>
      <c r="K158" s="414"/>
      <c r="O158" s="163">
        <f>I148+I149+I151+I154+I155+I156+SUM(I152:I153)</f>
        <v>11621.42</v>
      </c>
      <c r="P158" s="163">
        <f>K148+K149+K151+K154+K155+K156+SUM(K152:K153)</f>
        <v>92165.18</v>
      </c>
    </row>
    <row r="160" spans="1:22" ht="42.75" x14ac:dyDescent="0.2">
      <c r="A160" s="179" t="s">
        <v>1602</v>
      </c>
      <c r="B160" s="178" t="s">
        <v>2432</v>
      </c>
      <c r="C160" s="178" t="s">
        <v>629</v>
      </c>
      <c r="D160" s="177" t="s">
        <v>2433</v>
      </c>
      <c r="E160" s="174">
        <v>0.32</v>
      </c>
      <c r="F160" s="176"/>
      <c r="G160" s="175"/>
      <c r="H160" s="174"/>
      <c r="I160" s="173"/>
      <c r="J160" s="174"/>
      <c r="K160" s="173"/>
      <c r="Q160" s="160">
        <f>[6]Source!X178</f>
        <v>1656.31</v>
      </c>
      <c r="R160" s="160">
        <f>[6]Source!X179</f>
        <v>31308.240000000002</v>
      </c>
      <c r="S160" s="160">
        <f>[6]Source!Y178</f>
        <v>1104.21</v>
      </c>
      <c r="T160" s="160">
        <f>[6]Source!Y179</f>
        <v>15101.62</v>
      </c>
      <c r="U160" s="160">
        <f>ROUND((175/100)*ROUND([6]Source!R178, 2), 2)</f>
        <v>0.33</v>
      </c>
      <c r="V160" s="160">
        <f>ROUND((157/100)*ROUND([6]Source!R179, 2), 2)</f>
        <v>6.97</v>
      </c>
    </row>
    <row r="161" spans="1:22" x14ac:dyDescent="0.2">
      <c r="C161" s="181" t="s">
        <v>2434</v>
      </c>
    </row>
    <row r="162" spans="1:22" ht="14.25" x14ac:dyDescent="0.2">
      <c r="A162" s="179"/>
      <c r="B162" s="178"/>
      <c r="C162" s="178" t="s">
        <v>197</v>
      </c>
      <c r="D162" s="177"/>
      <c r="E162" s="174"/>
      <c r="F162" s="176">
        <v>4929.49</v>
      </c>
      <c r="G162" s="175" t="s">
        <v>195</v>
      </c>
      <c r="H162" s="174">
        <v>1</v>
      </c>
      <c r="I162" s="173">
        <v>1577.44</v>
      </c>
      <c r="J162" s="174">
        <v>23.35</v>
      </c>
      <c r="K162" s="173">
        <v>36833.22</v>
      </c>
    </row>
    <row r="163" spans="1:22" ht="14.25" x14ac:dyDescent="0.2">
      <c r="A163" s="179"/>
      <c r="B163" s="178"/>
      <c r="C163" s="178" t="s">
        <v>184</v>
      </c>
      <c r="D163" s="177"/>
      <c r="E163" s="174"/>
      <c r="F163" s="176">
        <v>1.1299999999999999</v>
      </c>
      <c r="G163" s="175" t="s">
        <v>195</v>
      </c>
      <c r="H163" s="174">
        <v>1</v>
      </c>
      <c r="I163" s="173">
        <v>0.36</v>
      </c>
      <c r="J163" s="174">
        <v>14.75</v>
      </c>
      <c r="K163" s="173">
        <v>5.31</v>
      </c>
    </row>
    <row r="164" spans="1:22" ht="14.25" x14ac:dyDescent="0.2">
      <c r="A164" s="179"/>
      <c r="B164" s="178"/>
      <c r="C164" s="178" t="s">
        <v>189</v>
      </c>
      <c r="D164" s="177"/>
      <c r="E164" s="174"/>
      <c r="F164" s="176">
        <v>0.59</v>
      </c>
      <c r="G164" s="175" t="s">
        <v>195</v>
      </c>
      <c r="H164" s="174">
        <v>1</v>
      </c>
      <c r="I164" s="180">
        <v>0.19</v>
      </c>
      <c r="J164" s="174">
        <v>23.35</v>
      </c>
      <c r="K164" s="180">
        <v>4.4400000000000004</v>
      </c>
    </row>
    <row r="165" spans="1:22" ht="14.25" x14ac:dyDescent="0.2">
      <c r="A165" s="179"/>
      <c r="B165" s="178"/>
      <c r="C165" s="178" t="s">
        <v>205</v>
      </c>
      <c r="D165" s="177"/>
      <c r="E165" s="174"/>
      <c r="F165" s="176">
        <v>1383.78</v>
      </c>
      <c r="G165" s="175" t="s">
        <v>195</v>
      </c>
      <c r="H165" s="174">
        <v>1</v>
      </c>
      <c r="I165" s="173">
        <v>442.81</v>
      </c>
      <c r="J165" s="174">
        <v>7.51</v>
      </c>
      <c r="K165" s="173">
        <v>3325.5</v>
      </c>
    </row>
    <row r="166" spans="1:22" ht="42.75" x14ac:dyDescent="0.2">
      <c r="A166" s="179" t="s">
        <v>1604</v>
      </c>
      <c r="B166" s="178" t="s">
        <v>2425</v>
      </c>
      <c r="C166" s="178" t="s">
        <v>628</v>
      </c>
      <c r="D166" s="177" t="s">
        <v>1594</v>
      </c>
      <c r="E166" s="174">
        <v>1.5</v>
      </c>
      <c r="F166" s="176">
        <v>2621.95</v>
      </c>
      <c r="G166" s="182" t="s">
        <v>195</v>
      </c>
      <c r="H166" s="174">
        <v>1</v>
      </c>
      <c r="I166" s="173">
        <v>3932.93</v>
      </c>
      <c r="J166" s="174">
        <v>3.05</v>
      </c>
      <c r="K166" s="173">
        <v>11995.44</v>
      </c>
      <c r="Q166" s="160">
        <f>[6]Source!X180</f>
        <v>0</v>
      </c>
      <c r="R166" s="160">
        <f>[6]Source!X181</f>
        <v>0</v>
      </c>
      <c r="S166" s="160">
        <f>[6]Source!Y180</f>
        <v>0</v>
      </c>
      <c r="T166" s="160">
        <f>[6]Source!Y181</f>
        <v>0</v>
      </c>
      <c r="U166" s="160">
        <f>ROUND((175/100)*ROUND([6]Source!R180, 2), 2)</f>
        <v>0</v>
      </c>
      <c r="V166" s="160">
        <f>ROUND((157/100)*ROUND([6]Source!R181, 2), 2)</f>
        <v>0</v>
      </c>
    </row>
    <row r="167" spans="1:22" ht="28.5" x14ac:dyDescent="0.2">
      <c r="A167" s="179" t="s">
        <v>1605</v>
      </c>
      <c r="B167" s="178" t="s">
        <v>1532</v>
      </c>
      <c r="C167" s="178" t="s">
        <v>351</v>
      </c>
      <c r="D167" s="177" t="s">
        <v>1533</v>
      </c>
      <c r="E167" s="174">
        <v>0.35199999999999998</v>
      </c>
      <c r="F167" s="176">
        <v>0</v>
      </c>
      <c r="G167" s="182" t="s">
        <v>195</v>
      </c>
      <c r="H167" s="174">
        <v>1</v>
      </c>
      <c r="I167" s="173">
        <v>0</v>
      </c>
      <c r="J167" s="174">
        <v>1</v>
      </c>
      <c r="K167" s="173">
        <v>0</v>
      </c>
      <c r="Q167" s="160">
        <f>[6]Source!X182</f>
        <v>0</v>
      </c>
      <c r="R167" s="160">
        <f>[6]Source!X183</f>
        <v>0</v>
      </c>
      <c r="S167" s="160">
        <f>[6]Source!Y182</f>
        <v>0</v>
      </c>
      <c r="T167" s="160">
        <f>[6]Source!Y183</f>
        <v>0</v>
      </c>
      <c r="U167" s="160">
        <f>ROUND((175/100)*ROUND([6]Source!R182, 2), 2)</f>
        <v>0</v>
      </c>
      <c r="V167" s="160">
        <f>ROUND((157/100)*ROUND([6]Source!R183, 2), 2)</f>
        <v>0</v>
      </c>
    </row>
    <row r="168" spans="1:22" ht="14.25" x14ac:dyDescent="0.2">
      <c r="A168" s="179"/>
      <c r="B168" s="178"/>
      <c r="C168" s="178" t="s">
        <v>194</v>
      </c>
      <c r="D168" s="177" t="s">
        <v>187</v>
      </c>
      <c r="E168" s="174">
        <v>105</v>
      </c>
      <c r="F168" s="176"/>
      <c r="G168" s="175"/>
      <c r="H168" s="174"/>
      <c r="I168" s="173">
        <v>1656.31</v>
      </c>
      <c r="J168" s="174">
        <v>85</v>
      </c>
      <c r="K168" s="173">
        <v>31308.240000000002</v>
      </c>
    </row>
    <row r="169" spans="1:22" ht="14.25" x14ac:dyDescent="0.2">
      <c r="A169" s="179"/>
      <c r="B169" s="178"/>
      <c r="C169" s="178" t="s">
        <v>193</v>
      </c>
      <c r="D169" s="177" t="s">
        <v>187</v>
      </c>
      <c r="E169" s="174">
        <v>70</v>
      </c>
      <c r="F169" s="176"/>
      <c r="G169" s="175"/>
      <c r="H169" s="174"/>
      <c r="I169" s="173">
        <v>1104.21</v>
      </c>
      <c r="J169" s="174">
        <v>41</v>
      </c>
      <c r="K169" s="173">
        <v>15101.62</v>
      </c>
    </row>
    <row r="170" spans="1:22" ht="14.25" x14ac:dyDescent="0.2">
      <c r="A170" s="179"/>
      <c r="B170" s="178"/>
      <c r="C170" s="178" t="s">
        <v>188</v>
      </c>
      <c r="D170" s="177" t="s">
        <v>187</v>
      </c>
      <c r="E170" s="174">
        <v>175</v>
      </c>
      <c r="F170" s="176"/>
      <c r="G170" s="175"/>
      <c r="H170" s="174"/>
      <c r="I170" s="173">
        <v>0.33</v>
      </c>
      <c r="J170" s="174">
        <v>157</v>
      </c>
      <c r="K170" s="173">
        <v>6.97</v>
      </c>
    </row>
    <row r="171" spans="1:22" ht="14.25" x14ac:dyDescent="0.2">
      <c r="A171" s="172"/>
      <c r="B171" s="171"/>
      <c r="C171" s="171" t="s">
        <v>192</v>
      </c>
      <c r="D171" s="170" t="s">
        <v>191</v>
      </c>
      <c r="E171" s="167">
        <v>440.92</v>
      </c>
      <c r="F171" s="169"/>
      <c r="G171" s="168" t="s">
        <v>195</v>
      </c>
      <c r="H171" s="167">
        <v>1</v>
      </c>
      <c r="I171" s="166">
        <v>141.09</v>
      </c>
      <c r="J171" s="167"/>
      <c r="K171" s="166"/>
    </row>
    <row r="172" spans="1:22" ht="15" x14ac:dyDescent="0.25">
      <c r="A172" s="164"/>
      <c r="B172" s="164"/>
      <c r="C172" s="165" t="s">
        <v>183</v>
      </c>
      <c r="D172" s="164"/>
      <c r="E172" s="164"/>
      <c r="F172" s="164"/>
      <c r="G172" s="164"/>
      <c r="H172" s="414">
        <v>8714.39</v>
      </c>
      <c r="I172" s="414"/>
      <c r="J172" s="414">
        <v>98576.3</v>
      </c>
      <c r="K172" s="414"/>
      <c r="O172" s="163">
        <f>I162+I163+I165+I168+I169+I170+SUM(I166:I167)</f>
        <v>8714.39</v>
      </c>
      <c r="P172" s="163">
        <f>K162+K163+K165+K168+K169+K170+SUM(K166:K167)</f>
        <v>98576.3</v>
      </c>
    </row>
    <row r="174" spans="1:22" ht="71.25" x14ac:dyDescent="0.2">
      <c r="A174" s="179" t="s">
        <v>1607</v>
      </c>
      <c r="B174" s="178" t="s">
        <v>2435</v>
      </c>
      <c r="C174" s="178" t="s">
        <v>627</v>
      </c>
      <c r="D174" s="177" t="s">
        <v>2375</v>
      </c>
      <c r="E174" s="174">
        <v>13.65</v>
      </c>
      <c r="F174" s="176"/>
      <c r="G174" s="175"/>
      <c r="H174" s="174"/>
      <c r="I174" s="173"/>
      <c r="J174" s="174"/>
      <c r="K174" s="173"/>
      <c r="Q174" s="160">
        <f>[6]Source!X188</f>
        <v>1180.42</v>
      </c>
      <c r="R174" s="160">
        <f>[6]Source!X189</f>
        <v>22110.74</v>
      </c>
      <c r="S174" s="160">
        <f>[6]Source!Y188</f>
        <v>908.01</v>
      </c>
      <c r="T174" s="160">
        <f>[6]Source!Y189</f>
        <v>12418.36</v>
      </c>
      <c r="U174" s="160">
        <f>ROUND((175/100)*ROUND([6]Source!R188, 2), 2)</f>
        <v>18.39</v>
      </c>
      <c r="V174" s="160">
        <f>ROUND((157/100)*ROUND([6]Source!R189, 2), 2)</f>
        <v>385.29</v>
      </c>
    </row>
    <row r="175" spans="1:22" ht="14.25" x14ac:dyDescent="0.2">
      <c r="A175" s="179"/>
      <c r="B175" s="178"/>
      <c r="C175" s="178" t="s">
        <v>197</v>
      </c>
      <c r="D175" s="177"/>
      <c r="E175" s="174"/>
      <c r="F175" s="176">
        <v>95.03</v>
      </c>
      <c r="G175" s="175" t="s">
        <v>195</v>
      </c>
      <c r="H175" s="174">
        <v>1</v>
      </c>
      <c r="I175" s="173">
        <v>1297.1600000000001</v>
      </c>
      <c r="J175" s="174">
        <v>23.35</v>
      </c>
      <c r="K175" s="173">
        <v>30288.69</v>
      </c>
    </row>
    <row r="176" spans="1:22" ht="14.25" x14ac:dyDescent="0.2">
      <c r="A176" s="179"/>
      <c r="B176" s="178"/>
      <c r="C176" s="178" t="s">
        <v>184</v>
      </c>
      <c r="D176" s="177"/>
      <c r="E176" s="174"/>
      <c r="F176" s="176">
        <v>13.52</v>
      </c>
      <c r="G176" s="175" t="s">
        <v>195</v>
      </c>
      <c r="H176" s="174">
        <v>1</v>
      </c>
      <c r="I176" s="173">
        <v>184.55</v>
      </c>
      <c r="J176" s="174">
        <v>3.77</v>
      </c>
      <c r="K176" s="173">
        <v>695.75</v>
      </c>
    </row>
    <row r="177" spans="1:22" ht="14.25" x14ac:dyDescent="0.2">
      <c r="A177" s="179"/>
      <c r="B177" s="178"/>
      <c r="C177" s="178" t="s">
        <v>189</v>
      </c>
      <c r="D177" s="177"/>
      <c r="E177" s="174"/>
      <c r="F177" s="176">
        <v>0.77</v>
      </c>
      <c r="G177" s="175" t="s">
        <v>195</v>
      </c>
      <c r="H177" s="174">
        <v>1</v>
      </c>
      <c r="I177" s="180">
        <v>10.51</v>
      </c>
      <c r="J177" s="174">
        <v>23.35</v>
      </c>
      <c r="K177" s="180">
        <v>245.41</v>
      </c>
    </row>
    <row r="178" spans="1:22" ht="28.5" x14ac:dyDescent="0.2">
      <c r="A178" s="179" t="s">
        <v>1608</v>
      </c>
      <c r="B178" s="178" t="s">
        <v>2436</v>
      </c>
      <c r="C178" s="178" t="s">
        <v>626</v>
      </c>
      <c r="D178" s="177" t="s">
        <v>1661</v>
      </c>
      <c r="E178" s="174">
        <v>136.5</v>
      </c>
      <c r="F178" s="176">
        <v>378.22</v>
      </c>
      <c r="G178" s="182" t="s">
        <v>195</v>
      </c>
      <c r="H178" s="174">
        <v>1</v>
      </c>
      <c r="I178" s="173">
        <v>51627.03</v>
      </c>
      <c r="J178" s="174">
        <v>1.1000000000000001</v>
      </c>
      <c r="K178" s="173">
        <v>56789.73</v>
      </c>
      <c r="Q178" s="160">
        <f>[6]Source!X190</f>
        <v>0</v>
      </c>
      <c r="R178" s="160">
        <f>[6]Source!X191</f>
        <v>0</v>
      </c>
      <c r="S178" s="160">
        <f>[6]Source!Y190</f>
        <v>0</v>
      </c>
      <c r="T178" s="160">
        <f>[6]Source!Y191</f>
        <v>0</v>
      </c>
      <c r="U178" s="160">
        <f>ROUND((175/100)*ROUND([6]Source!R190, 2), 2)</f>
        <v>0</v>
      </c>
      <c r="V178" s="160">
        <f>ROUND((157/100)*ROUND([6]Source!R191, 2), 2)</f>
        <v>0</v>
      </c>
    </row>
    <row r="179" spans="1:22" ht="14.25" x14ac:dyDescent="0.2">
      <c r="A179" s="179"/>
      <c r="B179" s="178"/>
      <c r="C179" s="178" t="s">
        <v>194</v>
      </c>
      <c r="D179" s="177" t="s">
        <v>187</v>
      </c>
      <c r="E179" s="174">
        <v>91</v>
      </c>
      <c r="F179" s="176"/>
      <c r="G179" s="175"/>
      <c r="H179" s="174"/>
      <c r="I179" s="173">
        <v>1180.42</v>
      </c>
      <c r="J179" s="174">
        <v>73</v>
      </c>
      <c r="K179" s="173">
        <v>22110.74</v>
      </c>
    </row>
    <row r="180" spans="1:22" ht="14.25" x14ac:dyDescent="0.2">
      <c r="A180" s="179"/>
      <c r="B180" s="178"/>
      <c r="C180" s="178" t="s">
        <v>193</v>
      </c>
      <c r="D180" s="177" t="s">
        <v>187</v>
      </c>
      <c r="E180" s="174">
        <v>70</v>
      </c>
      <c r="F180" s="176"/>
      <c r="G180" s="175"/>
      <c r="H180" s="174"/>
      <c r="I180" s="173">
        <v>908.01</v>
      </c>
      <c r="J180" s="174">
        <v>41</v>
      </c>
      <c r="K180" s="173">
        <v>12418.36</v>
      </c>
    </row>
    <row r="181" spans="1:22" ht="14.25" x14ac:dyDescent="0.2">
      <c r="A181" s="172"/>
      <c r="B181" s="171"/>
      <c r="C181" s="171" t="s">
        <v>188</v>
      </c>
      <c r="D181" s="170" t="s">
        <v>187</v>
      </c>
      <c r="E181" s="167">
        <v>175</v>
      </c>
      <c r="F181" s="169"/>
      <c r="G181" s="168"/>
      <c r="H181" s="167"/>
      <c r="I181" s="166">
        <v>18.39</v>
      </c>
      <c r="J181" s="167">
        <v>157</v>
      </c>
      <c r="K181" s="166">
        <v>385.29</v>
      </c>
    </row>
    <row r="182" spans="1:22" ht="15" x14ac:dyDescent="0.25">
      <c r="A182" s="164"/>
      <c r="B182" s="164"/>
      <c r="C182" s="165" t="s">
        <v>183</v>
      </c>
      <c r="D182" s="164"/>
      <c r="E182" s="164"/>
      <c r="F182" s="164"/>
      <c r="G182" s="164"/>
      <c r="H182" s="414">
        <v>55215.56</v>
      </c>
      <c r="I182" s="414"/>
      <c r="J182" s="414">
        <v>122688.56</v>
      </c>
      <c r="K182" s="414"/>
      <c r="O182" s="163">
        <f>I175+I176+I179+I180+I181+SUM(I178:I178)</f>
        <v>55215.56</v>
      </c>
      <c r="P182" s="163">
        <f>K175+K176+K179+K180+K181+SUM(K178:K178)</f>
        <v>122688.56</v>
      </c>
    </row>
    <row r="184" spans="1:22" ht="52.5" x14ac:dyDescent="0.2">
      <c r="A184" s="179" t="s">
        <v>1609</v>
      </c>
      <c r="B184" s="178" t="s">
        <v>199</v>
      </c>
      <c r="C184" s="178" t="s">
        <v>198</v>
      </c>
      <c r="D184" s="177" t="s">
        <v>1915</v>
      </c>
      <c r="E184" s="174">
        <v>13.65</v>
      </c>
      <c r="F184" s="176"/>
      <c r="G184" s="175"/>
      <c r="H184" s="174"/>
      <c r="I184" s="173"/>
      <c r="J184" s="174"/>
      <c r="K184" s="173"/>
      <c r="Q184" s="160">
        <f>[6]Source!X192</f>
        <v>2095.9</v>
      </c>
      <c r="R184" s="160">
        <f>[6]Source!X193</f>
        <v>39151.339999999997</v>
      </c>
      <c r="S184" s="160">
        <f>[6]Source!Y192</f>
        <v>1726.03</v>
      </c>
      <c r="T184" s="160">
        <f>[6]Source!Y193</f>
        <v>23605.96</v>
      </c>
      <c r="U184" s="160">
        <f>ROUND((175/100)*ROUND([6]Source!R192, 2), 2)</f>
        <v>11.95</v>
      </c>
      <c r="V184" s="160">
        <f>ROUND((157/100)*ROUND([6]Source!R193, 2), 2)</f>
        <v>250.38</v>
      </c>
    </row>
    <row r="185" spans="1:22" x14ac:dyDescent="0.2">
      <c r="C185" s="181" t="s">
        <v>2437</v>
      </c>
    </row>
    <row r="186" spans="1:22" ht="14.25" x14ac:dyDescent="0.2">
      <c r="A186" s="179"/>
      <c r="B186" s="178"/>
      <c r="C186" s="178" t="s">
        <v>197</v>
      </c>
      <c r="D186" s="177"/>
      <c r="E186" s="174"/>
      <c r="F186" s="176">
        <v>157.08000000000001</v>
      </c>
      <c r="G186" s="175" t="s">
        <v>1548</v>
      </c>
      <c r="H186" s="174">
        <v>1</v>
      </c>
      <c r="I186" s="173">
        <v>2465.7600000000002</v>
      </c>
      <c r="J186" s="174">
        <v>23.35</v>
      </c>
      <c r="K186" s="173">
        <v>57575.5</v>
      </c>
    </row>
    <row r="187" spans="1:22" ht="14.25" x14ac:dyDescent="0.2">
      <c r="A187" s="179"/>
      <c r="B187" s="178"/>
      <c r="C187" s="178" t="s">
        <v>184</v>
      </c>
      <c r="D187" s="177"/>
      <c r="E187" s="174"/>
      <c r="F187" s="176">
        <v>2.15</v>
      </c>
      <c r="G187" s="175" t="s">
        <v>1549</v>
      </c>
      <c r="H187" s="174">
        <v>1</v>
      </c>
      <c r="I187" s="173">
        <v>36.68</v>
      </c>
      <c r="J187" s="174">
        <v>8.89</v>
      </c>
      <c r="K187" s="173">
        <v>326.08999999999997</v>
      </c>
    </row>
    <row r="188" spans="1:22" ht="14.25" x14ac:dyDescent="0.2">
      <c r="A188" s="179"/>
      <c r="B188" s="178"/>
      <c r="C188" s="178" t="s">
        <v>189</v>
      </c>
      <c r="D188" s="177"/>
      <c r="E188" s="174"/>
      <c r="F188" s="176">
        <v>0.4</v>
      </c>
      <c r="G188" s="175" t="s">
        <v>1549</v>
      </c>
      <c r="H188" s="174">
        <v>1</v>
      </c>
      <c r="I188" s="180">
        <v>6.83</v>
      </c>
      <c r="J188" s="174">
        <v>23.35</v>
      </c>
      <c r="K188" s="180">
        <v>159.47999999999999</v>
      </c>
    </row>
    <row r="189" spans="1:22" ht="57" x14ac:dyDescent="0.2">
      <c r="A189" s="179" t="s">
        <v>1611</v>
      </c>
      <c r="B189" s="178" t="s">
        <v>2438</v>
      </c>
      <c r="C189" s="178" t="s">
        <v>625</v>
      </c>
      <c r="D189" s="177" t="s">
        <v>1661</v>
      </c>
      <c r="E189" s="174">
        <v>282</v>
      </c>
      <c r="F189" s="176">
        <v>15.2</v>
      </c>
      <c r="G189" s="182" t="s">
        <v>195</v>
      </c>
      <c r="H189" s="174">
        <v>1</v>
      </c>
      <c r="I189" s="173">
        <v>4286.3999999999996</v>
      </c>
      <c r="J189" s="174">
        <v>4.8499999999999996</v>
      </c>
      <c r="K189" s="173">
        <v>20789.04</v>
      </c>
      <c r="Q189" s="160">
        <f>[6]Source!X194</f>
        <v>0</v>
      </c>
      <c r="R189" s="160">
        <f>[6]Source!X195</f>
        <v>0</v>
      </c>
      <c r="S189" s="160">
        <f>[6]Source!Y194</f>
        <v>0</v>
      </c>
      <c r="T189" s="160">
        <f>[6]Source!Y195</f>
        <v>0</v>
      </c>
      <c r="U189" s="160">
        <f>ROUND((175/100)*ROUND([6]Source!R194, 2), 2)</f>
        <v>0</v>
      </c>
      <c r="V189" s="160">
        <f>ROUND((157/100)*ROUND([6]Source!R195, 2), 2)</f>
        <v>0</v>
      </c>
    </row>
    <row r="190" spans="1:22" ht="57" x14ac:dyDescent="0.2">
      <c r="A190" s="179" t="s">
        <v>1613</v>
      </c>
      <c r="B190" s="178" t="s">
        <v>2439</v>
      </c>
      <c r="C190" s="178" t="s">
        <v>624</v>
      </c>
      <c r="D190" s="177" t="s">
        <v>1661</v>
      </c>
      <c r="E190" s="174">
        <v>605</v>
      </c>
      <c r="F190" s="176">
        <v>29.8</v>
      </c>
      <c r="G190" s="182" t="s">
        <v>195</v>
      </c>
      <c r="H190" s="174">
        <v>1</v>
      </c>
      <c r="I190" s="173">
        <v>18029</v>
      </c>
      <c r="J190" s="174">
        <v>4.0999999999999996</v>
      </c>
      <c r="K190" s="173">
        <v>73918.899999999994</v>
      </c>
      <c r="Q190" s="160">
        <f>[6]Source!X196</f>
        <v>0</v>
      </c>
      <c r="R190" s="160">
        <f>[6]Source!X197</f>
        <v>0</v>
      </c>
      <c r="S190" s="160">
        <f>[6]Source!Y196</f>
        <v>0</v>
      </c>
      <c r="T190" s="160">
        <f>[6]Source!Y197</f>
        <v>0</v>
      </c>
      <c r="U190" s="160">
        <f>ROUND((175/100)*ROUND([6]Source!R196, 2), 2)</f>
        <v>0</v>
      </c>
      <c r="V190" s="160">
        <f>ROUND((157/100)*ROUND([6]Source!R197, 2), 2)</f>
        <v>0</v>
      </c>
    </row>
    <row r="191" spans="1:22" ht="57" x14ac:dyDescent="0.2">
      <c r="A191" s="179" t="s">
        <v>1615</v>
      </c>
      <c r="B191" s="178" t="s">
        <v>2440</v>
      </c>
      <c r="C191" s="178" t="s">
        <v>623</v>
      </c>
      <c r="D191" s="177" t="s">
        <v>1661</v>
      </c>
      <c r="E191" s="174">
        <v>478</v>
      </c>
      <c r="F191" s="176">
        <v>76</v>
      </c>
      <c r="G191" s="182" t="s">
        <v>195</v>
      </c>
      <c r="H191" s="174">
        <v>1</v>
      </c>
      <c r="I191" s="173">
        <v>36328</v>
      </c>
      <c r="J191" s="174">
        <v>4.63</v>
      </c>
      <c r="K191" s="173">
        <v>168198.64</v>
      </c>
      <c r="Q191" s="160">
        <f>[6]Source!X198</f>
        <v>0</v>
      </c>
      <c r="R191" s="160">
        <f>[6]Source!X199</f>
        <v>0</v>
      </c>
      <c r="S191" s="160">
        <f>[6]Source!Y198</f>
        <v>0</v>
      </c>
      <c r="T191" s="160">
        <f>[6]Source!Y199</f>
        <v>0</v>
      </c>
      <c r="U191" s="160">
        <f>ROUND((175/100)*ROUND([6]Source!R198, 2), 2)</f>
        <v>0</v>
      </c>
      <c r="V191" s="160">
        <f>ROUND((157/100)*ROUND([6]Source!R199, 2), 2)</f>
        <v>0</v>
      </c>
    </row>
    <row r="192" spans="1:22" ht="14.25" x14ac:dyDescent="0.2">
      <c r="A192" s="179"/>
      <c r="B192" s="178"/>
      <c r="C192" s="178" t="s">
        <v>194</v>
      </c>
      <c r="D192" s="177" t="s">
        <v>187</v>
      </c>
      <c r="E192" s="174">
        <v>85</v>
      </c>
      <c r="F192" s="176"/>
      <c r="G192" s="175"/>
      <c r="H192" s="174"/>
      <c r="I192" s="173">
        <v>2095.9</v>
      </c>
      <c r="J192" s="174">
        <v>68</v>
      </c>
      <c r="K192" s="173">
        <v>39151.339999999997</v>
      </c>
    </row>
    <row r="193" spans="1:22" ht="14.25" x14ac:dyDescent="0.2">
      <c r="A193" s="179"/>
      <c r="B193" s="178"/>
      <c r="C193" s="178" t="s">
        <v>193</v>
      </c>
      <c r="D193" s="177" t="s">
        <v>187</v>
      </c>
      <c r="E193" s="174">
        <v>70</v>
      </c>
      <c r="F193" s="176"/>
      <c r="G193" s="175"/>
      <c r="H193" s="174"/>
      <c r="I193" s="173">
        <v>1726.03</v>
      </c>
      <c r="J193" s="174">
        <v>41</v>
      </c>
      <c r="K193" s="173">
        <v>23605.96</v>
      </c>
    </row>
    <row r="194" spans="1:22" ht="14.25" x14ac:dyDescent="0.2">
      <c r="A194" s="179"/>
      <c r="B194" s="178"/>
      <c r="C194" s="178" t="s">
        <v>188</v>
      </c>
      <c r="D194" s="177" t="s">
        <v>187</v>
      </c>
      <c r="E194" s="174">
        <v>175</v>
      </c>
      <c r="F194" s="176"/>
      <c r="G194" s="175"/>
      <c r="H194" s="174"/>
      <c r="I194" s="173">
        <v>11.95</v>
      </c>
      <c r="J194" s="174">
        <v>157</v>
      </c>
      <c r="K194" s="173">
        <v>250.38</v>
      </c>
    </row>
    <row r="195" spans="1:22" ht="14.25" x14ac:dyDescent="0.2">
      <c r="A195" s="172"/>
      <c r="B195" s="171"/>
      <c r="C195" s="171" t="s">
        <v>192</v>
      </c>
      <c r="D195" s="170" t="s">
        <v>191</v>
      </c>
      <c r="E195" s="167">
        <v>11.9</v>
      </c>
      <c r="F195" s="169"/>
      <c r="G195" s="168" t="s">
        <v>1548</v>
      </c>
      <c r="H195" s="167">
        <v>1</v>
      </c>
      <c r="I195" s="166">
        <v>186.8</v>
      </c>
      <c r="J195" s="167"/>
      <c r="K195" s="166"/>
    </row>
    <row r="196" spans="1:22" ht="15" x14ac:dyDescent="0.25">
      <c r="A196" s="164"/>
      <c r="B196" s="164"/>
      <c r="C196" s="165" t="s">
        <v>183</v>
      </c>
      <c r="D196" s="164"/>
      <c r="E196" s="164"/>
      <c r="F196" s="164"/>
      <c r="G196" s="164"/>
      <c r="H196" s="414">
        <v>64979.72</v>
      </c>
      <c r="I196" s="414"/>
      <c r="J196" s="414">
        <v>383815.85</v>
      </c>
      <c r="K196" s="414"/>
      <c r="O196" s="163">
        <f>I186+I187+I192+I193+I194+SUM(I189:I191)</f>
        <v>64979.72</v>
      </c>
      <c r="P196" s="163">
        <f>K186+K187+K192+K193+K194+SUM(K189:K191)</f>
        <v>383815.85</v>
      </c>
    </row>
    <row r="198" spans="1:22" ht="52.5" x14ac:dyDescent="0.2">
      <c r="A198" s="179" t="s">
        <v>1617</v>
      </c>
      <c r="B198" s="178" t="s">
        <v>622</v>
      </c>
      <c r="C198" s="178" t="s">
        <v>621</v>
      </c>
      <c r="D198" s="177" t="s">
        <v>1536</v>
      </c>
      <c r="E198" s="174">
        <v>3.32</v>
      </c>
      <c r="F198" s="176"/>
      <c r="G198" s="175"/>
      <c r="H198" s="174"/>
      <c r="I198" s="173"/>
      <c r="J198" s="174"/>
      <c r="K198" s="173"/>
      <c r="Q198" s="160">
        <f>[6]Source!X200</f>
        <v>632.15</v>
      </c>
      <c r="R198" s="160">
        <f>[6]Source!X201</f>
        <v>11808.63</v>
      </c>
      <c r="S198" s="160">
        <f>[6]Source!Y200</f>
        <v>520.6</v>
      </c>
      <c r="T198" s="160">
        <f>[6]Source!Y201</f>
        <v>7119.91</v>
      </c>
      <c r="U198" s="160">
        <f>ROUND((175/100)*ROUND([6]Source!R200, 2), 2)</f>
        <v>0.44</v>
      </c>
      <c r="V198" s="160">
        <f>ROUND((157/100)*ROUND([6]Source!R201, 2), 2)</f>
        <v>9.17</v>
      </c>
    </row>
    <row r="199" spans="1:22" x14ac:dyDescent="0.2">
      <c r="C199" s="181" t="s">
        <v>2441</v>
      </c>
    </row>
    <row r="200" spans="1:22" ht="14.25" x14ac:dyDescent="0.2">
      <c r="A200" s="179"/>
      <c r="B200" s="178"/>
      <c r="C200" s="178" t="s">
        <v>197</v>
      </c>
      <c r="D200" s="177"/>
      <c r="E200" s="174"/>
      <c r="F200" s="176">
        <v>194.79</v>
      </c>
      <c r="G200" s="175" t="s">
        <v>1548</v>
      </c>
      <c r="H200" s="174">
        <v>1</v>
      </c>
      <c r="I200" s="173">
        <v>743.71</v>
      </c>
      <c r="J200" s="174">
        <v>23.35</v>
      </c>
      <c r="K200" s="173">
        <v>17365.63</v>
      </c>
    </row>
    <row r="201" spans="1:22" ht="14.25" x14ac:dyDescent="0.2">
      <c r="A201" s="179"/>
      <c r="B201" s="178"/>
      <c r="C201" s="178" t="s">
        <v>184</v>
      </c>
      <c r="D201" s="177"/>
      <c r="E201" s="174"/>
      <c r="F201" s="176">
        <v>0.3</v>
      </c>
      <c r="G201" s="175" t="s">
        <v>1549</v>
      </c>
      <c r="H201" s="174">
        <v>1</v>
      </c>
      <c r="I201" s="173">
        <v>1.25</v>
      </c>
      <c r="J201" s="174">
        <v>8.9700000000000006</v>
      </c>
      <c r="K201" s="173">
        <v>11.21</v>
      </c>
    </row>
    <row r="202" spans="1:22" ht="14.25" x14ac:dyDescent="0.2">
      <c r="A202" s="179"/>
      <c r="B202" s="178"/>
      <c r="C202" s="178" t="s">
        <v>189</v>
      </c>
      <c r="D202" s="177"/>
      <c r="E202" s="174"/>
      <c r="F202" s="176">
        <v>0.06</v>
      </c>
      <c r="G202" s="175" t="s">
        <v>1549</v>
      </c>
      <c r="H202" s="174">
        <v>1</v>
      </c>
      <c r="I202" s="180">
        <v>0.25</v>
      </c>
      <c r="J202" s="174">
        <v>23.35</v>
      </c>
      <c r="K202" s="180">
        <v>5.84</v>
      </c>
    </row>
    <row r="203" spans="1:22" ht="85.5" x14ac:dyDescent="0.2">
      <c r="A203" s="179" t="s">
        <v>1619</v>
      </c>
      <c r="B203" s="178" t="s">
        <v>2442</v>
      </c>
      <c r="C203" s="178" t="s">
        <v>620</v>
      </c>
      <c r="D203" s="177" t="s">
        <v>1661</v>
      </c>
      <c r="E203" s="174">
        <v>332</v>
      </c>
      <c r="F203" s="176">
        <v>100.47</v>
      </c>
      <c r="G203" s="182" t="s">
        <v>195</v>
      </c>
      <c r="H203" s="174">
        <v>1</v>
      </c>
      <c r="I203" s="173">
        <v>33356.04</v>
      </c>
      <c r="J203" s="174">
        <v>5.17</v>
      </c>
      <c r="K203" s="173">
        <v>172450.73</v>
      </c>
      <c r="Q203" s="160">
        <f>[6]Source!X202</f>
        <v>0</v>
      </c>
      <c r="R203" s="160">
        <f>[6]Source!X203</f>
        <v>0</v>
      </c>
      <c r="S203" s="160">
        <f>[6]Source!Y202</f>
        <v>0</v>
      </c>
      <c r="T203" s="160">
        <f>[6]Source!Y203</f>
        <v>0</v>
      </c>
      <c r="U203" s="160">
        <f>ROUND((175/100)*ROUND([6]Source!R202, 2), 2)</f>
        <v>0</v>
      </c>
      <c r="V203" s="160">
        <f>ROUND((157/100)*ROUND([6]Source!R203, 2), 2)</f>
        <v>0</v>
      </c>
    </row>
    <row r="204" spans="1:22" ht="14.25" x14ac:dyDescent="0.2">
      <c r="A204" s="179"/>
      <c r="B204" s="178"/>
      <c r="C204" s="178" t="s">
        <v>194</v>
      </c>
      <c r="D204" s="177" t="s">
        <v>187</v>
      </c>
      <c r="E204" s="174">
        <v>85</v>
      </c>
      <c r="F204" s="176"/>
      <c r="G204" s="175"/>
      <c r="H204" s="174"/>
      <c r="I204" s="173">
        <v>632.15</v>
      </c>
      <c r="J204" s="174">
        <v>68</v>
      </c>
      <c r="K204" s="173">
        <v>11808.63</v>
      </c>
    </row>
    <row r="205" spans="1:22" ht="14.25" x14ac:dyDescent="0.2">
      <c r="A205" s="179"/>
      <c r="B205" s="178"/>
      <c r="C205" s="178" t="s">
        <v>193</v>
      </c>
      <c r="D205" s="177" t="s">
        <v>187</v>
      </c>
      <c r="E205" s="174">
        <v>70</v>
      </c>
      <c r="F205" s="176"/>
      <c r="G205" s="175"/>
      <c r="H205" s="174"/>
      <c r="I205" s="173">
        <v>520.6</v>
      </c>
      <c r="J205" s="174">
        <v>41</v>
      </c>
      <c r="K205" s="173">
        <v>7119.91</v>
      </c>
    </row>
    <row r="206" spans="1:22" ht="14.25" x14ac:dyDescent="0.2">
      <c r="A206" s="179"/>
      <c r="B206" s="178"/>
      <c r="C206" s="178" t="s">
        <v>188</v>
      </c>
      <c r="D206" s="177" t="s">
        <v>187</v>
      </c>
      <c r="E206" s="174">
        <v>175</v>
      </c>
      <c r="F206" s="176"/>
      <c r="G206" s="175"/>
      <c r="H206" s="174"/>
      <c r="I206" s="173">
        <v>0.44</v>
      </c>
      <c r="J206" s="174">
        <v>157</v>
      </c>
      <c r="K206" s="173">
        <v>9.17</v>
      </c>
    </row>
    <row r="207" spans="1:22" ht="14.25" x14ac:dyDescent="0.2">
      <c r="A207" s="172"/>
      <c r="B207" s="171"/>
      <c r="C207" s="171" t="s">
        <v>192</v>
      </c>
      <c r="D207" s="170" t="s">
        <v>191</v>
      </c>
      <c r="E207" s="167">
        <v>13.4</v>
      </c>
      <c r="F207" s="169"/>
      <c r="G207" s="168" t="s">
        <v>1548</v>
      </c>
      <c r="H207" s="167">
        <v>1</v>
      </c>
      <c r="I207" s="166">
        <v>51.16</v>
      </c>
      <c r="J207" s="167"/>
      <c r="K207" s="166"/>
    </row>
    <row r="208" spans="1:22" ht="15" x14ac:dyDescent="0.25">
      <c r="A208" s="164"/>
      <c r="B208" s="164"/>
      <c r="C208" s="165" t="s">
        <v>183</v>
      </c>
      <c r="D208" s="164"/>
      <c r="E208" s="164"/>
      <c r="F208" s="164"/>
      <c r="G208" s="164"/>
      <c r="H208" s="414">
        <v>35254.19</v>
      </c>
      <c r="I208" s="414"/>
      <c r="J208" s="414">
        <v>208765.28</v>
      </c>
      <c r="K208" s="414"/>
      <c r="O208" s="163">
        <f>I200+I201+I204+I205+I206+SUM(I203:I203)</f>
        <v>35254.19</v>
      </c>
      <c r="P208" s="163">
        <f>K200+K201+K204+K205+K206+SUM(K203:K203)</f>
        <v>208765.28</v>
      </c>
    </row>
    <row r="210" spans="1:22" ht="52.5" x14ac:dyDescent="0.2">
      <c r="A210" s="179" t="s">
        <v>1622</v>
      </c>
      <c r="B210" s="178" t="s">
        <v>619</v>
      </c>
      <c r="C210" s="178" t="s">
        <v>618</v>
      </c>
      <c r="D210" s="177" t="s">
        <v>1785</v>
      </c>
      <c r="E210" s="174">
        <v>1.766</v>
      </c>
      <c r="F210" s="176"/>
      <c r="G210" s="175"/>
      <c r="H210" s="174"/>
      <c r="I210" s="173"/>
      <c r="J210" s="174"/>
      <c r="K210" s="173"/>
      <c r="Q210" s="160">
        <f>[6]Source!X212</f>
        <v>2705.45</v>
      </c>
      <c r="R210" s="160">
        <f>[6]Source!X213</f>
        <v>49375.98</v>
      </c>
      <c r="S210" s="160">
        <f>[6]Source!Y212</f>
        <v>3265.2</v>
      </c>
      <c r="T210" s="160">
        <f>[6]Source!Y213</f>
        <v>29770.81</v>
      </c>
      <c r="U210" s="160">
        <f>ROUND((175/100)*ROUND([6]Source!R212, 2), 2)</f>
        <v>17.05</v>
      </c>
      <c r="V210" s="160">
        <f>ROUND((157/100)*ROUND([6]Source!R213, 2), 2)</f>
        <v>357.07</v>
      </c>
    </row>
    <row r="211" spans="1:22" ht="14.25" x14ac:dyDescent="0.2">
      <c r="A211" s="179"/>
      <c r="B211" s="178"/>
      <c r="C211" s="178" t="s">
        <v>197</v>
      </c>
      <c r="D211" s="177"/>
      <c r="E211" s="174"/>
      <c r="F211" s="176">
        <v>1531.2</v>
      </c>
      <c r="G211" s="175" t="s">
        <v>1548</v>
      </c>
      <c r="H211" s="174">
        <v>1</v>
      </c>
      <c r="I211" s="173">
        <v>3109.71</v>
      </c>
      <c r="J211" s="174">
        <v>23.35</v>
      </c>
      <c r="K211" s="173">
        <v>72611.73</v>
      </c>
    </row>
    <row r="212" spans="1:22" ht="14.25" x14ac:dyDescent="0.2">
      <c r="A212" s="179"/>
      <c r="B212" s="178"/>
      <c r="C212" s="178" t="s">
        <v>184</v>
      </c>
      <c r="D212" s="177"/>
      <c r="E212" s="174"/>
      <c r="F212" s="176">
        <v>64.5</v>
      </c>
      <c r="G212" s="175" t="s">
        <v>1549</v>
      </c>
      <c r="H212" s="174">
        <v>1</v>
      </c>
      <c r="I212" s="173">
        <v>142.38</v>
      </c>
      <c r="J212" s="174">
        <v>4.83</v>
      </c>
      <c r="K212" s="173">
        <v>687.7</v>
      </c>
    </row>
    <row r="213" spans="1:22" ht="14.25" x14ac:dyDescent="0.2">
      <c r="A213" s="179"/>
      <c r="B213" s="178"/>
      <c r="C213" s="178" t="s">
        <v>189</v>
      </c>
      <c r="D213" s="177"/>
      <c r="E213" s="174"/>
      <c r="F213" s="176">
        <v>4.41</v>
      </c>
      <c r="G213" s="175" t="s">
        <v>1549</v>
      </c>
      <c r="H213" s="174">
        <v>1</v>
      </c>
      <c r="I213" s="180">
        <v>9.74</v>
      </c>
      <c r="J213" s="174">
        <v>23.35</v>
      </c>
      <c r="K213" s="180">
        <v>227.43</v>
      </c>
    </row>
    <row r="214" spans="1:22" ht="14.25" x14ac:dyDescent="0.2">
      <c r="A214" s="179"/>
      <c r="B214" s="178"/>
      <c r="C214" s="178" t="s">
        <v>205</v>
      </c>
      <c r="D214" s="177"/>
      <c r="E214" s="174"/>
      <c r="F214" s="176">
        <v>61.06</v>
      </c>
      <c r="G214" s="175" t="s">
        <v>195</v>
      </c>
      <c r="H214" s="174">
        <v>1</v>
      </c>
      <c r="I214" s="173">
        <v>107.83</v>
      </c>
      <c r="J214" s="174">
        <v>7.54</v>
      </c>
      <c r="K214" s="173">
        <v>813.04</v>
      </c>
    </row>
    <row r="215" spans="1:22" ht="28.5" x14ac:dyDescent="0.2">
      <c r="A215" s="179" t="s">
        <v>1623</v>
      </c>
      <c r="B215" s="178" t="s">
        <v>2443</v>
      </c>
      <c r="C215" s="178" t="s">
        <v>617</v>
      </c>
      <c r="D215" s="177" t="s">
        <v>1533</v>
      </c>
      <c r="E215" s="174">
        <v>0.01</v>
      </c>
      <c r="F215" s="176">
        <v>19487.98</v>
      </c>
      <c r="G215" s="182" t="s">
        <v>195</v>
      </c>
      <c r="H215" s="174">
        <v>1</v>
      </c>
      <c r="I215" s="173">
        <v>194.88</v>
      </c>
      <c r="J215" s="174">
        <v>3.36</v>
      </c>
      <c r="K215" s="173">
        <v>654.79999999999995</v>
      </c>
      <c r="Q215" s="160">
        <f>[6]Source!X214</f>
        <v>0</v>
      </c>
      <c r="R215" s="160">
        <f>[6]Source!X215</f>
        <v>0</v>
      </c>
      <c r="S215" s="160">
        <f>[6]Source!Y214</f>
        <v>0</v>
      </c>
      <c r="T215" s="160">
        <f>[6]Source!Y215</f>
        <v>0</v>
      </c>
      <c r="U215" s="160">
        <f>ROUND((175/100)*ROUND([6]Source!R214, 2), 2)</f>
        <v>0</v>
      </c>
      <c r="V215" s="160">
        <f>ROUND((157/100)*ROUND([6]Source!R215, 2), 2)</f>
        <v>0</v>
      </c>
    </row>
    <row r="216" spans="1:22" ht="42.75" x14ac:dyDescent="0.2">
      <c r="A216" s="179" t="s">
        <v>1624</v>
      </c>
      <c r="B216" s="178" t="s">
        <v>2278</v>
      </c>
      <c r="C216" s="178" t="s">
        <v>496</v>
      </c>
      <c r="D216" s="177" t="s">
        <v>1533</v>
      </c>
      <c r="E216" s="174">
        <v>1.5620000000000001</v>
      </c>
      <c r="F216" s="176">
        <v>8416.35</v>
      </c>
      <c r="G216" s="182" t="s">
        <v>195</v>
      </c>
      <c r="H216" s="174">
        <v>1</v>
      </c>
      <c r="I216" s="173">
        <v>13146.34</v>
      </c>
      <c r="J216" s="174">
        <v>5.97</v>
      </c>
      <c r="K216" s="173">
        <v>78483.649999999994</v>
      </c>
      <c r="Q216" s="160">
        <f>[6]Source!X216</f>
        <v>0</v>
      </c>
      <c r="R216" s="160">
        <f>[6]Source!X217</f>
        <v>0</v>
      </c>
      <c r="S216" s="160">
        <f>[6]Source!Y216</f>
        <v>0</v>
      </c>
      <c r="T216" s="160">
        <f>[6]Source!Y217</f>
        <v>0</v>
      </c>
      <c r="U216" s="160">
        <f>ROUND((175/100)*ROUND([6]Source!R216, 2), 2)</f>
        <v>0</v>
      </c>
      <c r="V216" s="160">
        <f>ROUND((157/100)*ROUND([6]Source!R217, 2), 2)</f>
        <v>0</v>
      </c>
    </row>
    <row r="217" spans="1:22" ht="42.75" x14ac:dyDescent="0.2">
      <c r="A217" s="179" t="s">
        <v>2444</v>
      </c>
      <c r="B217" s="178" t="s">
        <v>2445</v>
      </c>
      <c r="C217" s="178" t="s">
        <v>616</v>
      </c>
      <c r="D217" s="177" t="s">
        <v>1533</v>
      </c>
      <c r="E217" s="174">
        <v>0.20399999999999999</v>
      </c>
      <c r="F217" s="176">
        <v>7704.74</v>
      </c>
      <c r="G217" s="182" t="s">
        <v>195</v>
      </c>
      <c r="H217" s="174">
        <v>1</v>
      </c>
      <c r="I217" s="173">
        <v>1571.77</v>
      </c>
      <c r="J217" s="174">
        <v>5.75</v>
      </c>
      <c r="K217" s="173">
        <v>9037.68</v>
      </c>
      <c r="Q217" s="160">
        <f>[6]Source!X218</f>
        <v>0</v>
      </c>
      <c r="R217" s="160">
        <f>[6]Source!X219</f>
        <v>0</v>
      </c>
      <c r="S217" s="160">
        <f>[6]Source!Y218</f>
        <v>0</v>
      </c>
      <c r="T217" s="160">
        <f>[6]Source!Y219</f>
        <v>0</v>
      </c>
      <c r="U217" s="160">
        <f>ROUND((175/100)*ROUND([6]Source!R218, 2), 2)</f>
        <v>0</v>
      </c>
      <c r="V217" s="160">
        <f>ROUND((157/100)*ROUND([6]Source!R219, 2), 2)</f>
        <v>0</v>
      </c>
    </row>
    <row r="218" spans="1:22" ht="14.25" x14ac:dyDescent="0.2">
      <c r="A218" s="179"/>
      <c r="B218" s="178"/>
      <c r="C218" s="178" t="s">
        <v>194</v>
      </c>
      <c r="D218" s="177" t="s">
        <v>187</v>
      </c>
      <c r="E218" s="174">
        <v>87</v>
      </c>
      <c r="F218" s="176"/>
      <c r="G218" s="175"/>
      <c r="H218" s="174"/>
      <c r="I218" s="173">
        <v>2705.45</v>
      </c>
      <c r="J218" s="174">
        <v>68</v>
      </c>
      <c r="K218" s="173">
        <v>49375.98</v>
      </c>
    </row>
    <row r="219" spans="1:22" ht="14.25" x14ac:dyDescent="0.2">
      <c r="A219" s="179"/>
      <c r="B219" s="178"/>
      <c r="C219" s="178" t="s">
        <v>193</v>
      </c>
      <c r="D219" s="177" t="s">
        <v>187</v>
      </c>
      <c r="E219" s="174">
        <v>105</v>
      </c>
      <c r="F219" s="176"/>
      <c r="G219" s="175"/>
      <c r="H219" s="174"/>
      <c r="I219" s="173">
        <v>3265.2</v>
      </c>
      <c r="J219" s="174">
        <v>41</v>
      </c>
      <c r="K219" s="173">
        <v>29770.81</v>
      </c>
    </row>
    <row r="220" spans="1:22" ht="14.25" x14ac:dyDescent="0.2">
      <c r="A220" s="172"/>
      <c r="B220" s="171"/>
      <c r="C220" s="171" t="s">
        <v>188</v>
      </c>
      <c r="D220" s="170" t="s">
        <v>187</v>
      </c>
      <c r="E220" s="167">
        <v>175</v>
      </c>
      <c r="F220" s="169"/>
      <c r="G220" s="168"/>
      <c r="H220" s="167"/>
      <c r="I220" s="166">
        <v>17.05</v>
      </c>
      <c r="J220" s="167">
        <v>157</v>
      </c>
      <c r="K220" s="166">
        <v>357.07</v>
      </c>
    </row>
    <row r="221" spans="1:22" ht="15" x14ac:dyDescent="0.25">
      <c r="A221" s="164"/>
      <c r="B221" s="164"/>
      <c r="C221" s="165" t="s">
        <v>183</v>
      </c>
      <c r="D221" s="164"/>
      <c r="E221" s="164"/>
      <c r="F221" s="164"/>
      <c r="G221" s="164"/>
      <c r="H221" s="414">
        <v>24260.61</v>
      </c>
      <c r="I221" s="414"/>
      <c r="J221" s="414">
        <v>241792.46</v>
      </c>
      <c r="K221" s="414"/>
      <c r="O221" s="163">
        <f>I211+I212+I214+I218+I219+I220+SUM(I215:I217)</f>
        <v>24260.61</v>
      </c>
      <c r="P221" s="163">
        <f>K211+K212+K214+K218+K219+K220+SUM(K215:K217)</f>
        <v>241792.46</v>
      </c>
    </row>
    <row r="223" spans="1:22" ht="42.75" x14ac:dyDescent="0.2">
      <c r="A223" s="179" t="s">
        <v>1625</v>
      </c>
      <c r="B223" s="178" t="s">
        <v>2446</v>
      </c>
      <c r="C223" s="178" t="s">
        <v>615</v>
      </c>
      <c r="D223" s="177" t="s">
        <v>2447</v>
      </c>
      <c r="E223" s="174">
        <v>1700</v>
      </c>
      <c r="F223" s="176"/>
      <c r="G223" s="175"/>
      <c r="H223" s="174"/>
      <c r="I223" s="173"/>
      <c r="J223" s="174"/>
      <c r="K223" s="173"/>
      <c r="Q223" s="160">
        <f>[6]Source!X222</f>
        <v>52978.8</v>
      </c>
      <c r="R223" s="160">
        <f>[6]Source!X223</f>
        <v>1001425.46</v>
      </c>
      <c r="S223" s="160">
        <f>[6]Source!Y222</f>
        <v>35319.199999999997</v>
      </c>
      <c r="T223" s="160">
        <f>[6]Source!Y223</f>
        <v>483040.52</v>
      </c>
      <c r="U223" s="160">
        <f>ROUND((175/100)*ROUND([6]Source!R222, 2), 2)</f>
        <v>59.5</v>
      </c>
      <c r="V223" s="160">
        <f>ROUND((157/100)*ROUND([6]Source!R223, 2), 2)</f>
        <v>1246.42</v>
      </c>
    </row>
    <row r="224" spans="1:22" ht="14.25" x14ac:dyDescent="0.2">
      <c r="A224" s="179"/>
      <c r="B224" s="178"/>
      <c r="C224" s="178" t="s">
        <v>197</v>
      </c>
      <c r="D224" s="177"/>
      <c r="E224" s="174"/>
      <c r="F224" s="176">
        <v>29.68</v>
      </c>
      <c r="G224" s="175" t="s">
        <v>195</v>
      </c>
      <c r="H224" s="174">
        <v>1</v>
      </c>
      <c r="I224" s="173">
        <v>50456</v>
      </c>
      <c r="J224" s="174">
        <v>23.35</v>
      </c>
      <c r="K224" s="173">
        <v>1178147.6000000001</v>
      </c>
    </row>
    <row r="225" spans="1:22" ht="14.25" x14ac:dyDescent="0.2">
      <c r="A225" s="179"/>
      <c r="B225" s="178"/>
      <c r="C225" s="178" t="s">
        <v>184</v>
      </c>
      <c r="D225" s="177"/>
      <c r="E225" s="174"/>
      <c r="F225" s="176">
        <v>0.1</v>
      </c>
      <c r="G225" s="175" t="s">
        <v>195</v>
      </c>
      <c r="H225" s="174">
        <v>1</v>
      </c>
      <c r="I225" s="173">
        <v>170</v>
      </c>
      <c r="J225" s="174">
        <v>9</v>
      </c>
      <c r="K225" s="173">
        <v>1530</v>
      </c>
    </row>
    <row r="226" spans="1:22" ht="14.25" x14ac:dyDescent="0.2">
      <c r="A226" s="179"/>
      <c r="B226" s="178"/>
      <c r="C226" s="178" t="s">
        <v>189</v>
      </c>
      <c r="D226" s="177"/>
      <c r="E226" s="174"/>
      <c r="F226" s="176">
        <v>0.02</v>
      </c>
      <c r="G226" s="175" t="s">
        <v>195</v>
      </c>
      <c r="H226" s="174">
        <v>1</v>
      </c>
      <c r="I226" s="180">
        <v>34</v>
      </c>
      <c r="J226" s="174">
        <v>23.35</v>
      </c>
      <c r="K226" s="180">
        <v>793.9</v>
      </c>
    </row>
    <row r="227" spans="1:22" ht="14.25" x14ac:dyDescent="0.2">
      <c r="A227" s="179"/>
      <c r="B227" s="178"/>
      <c r="C227" s="178" t="s">
        <v>205</v>
      </c>
      <c r="D227" s="177"/>
      <c r="E227" s="174"/>
      <c r="F227" s="176">
        <v>0.39</v>
      </c>
      <c r="G227" s="175" t="s">
        <v>195</v>
      </c>
      <c r="H227" s="174">
        <v>1</v>
      </c>
      <c r="I227" s="173">
        <v>663</v>
      </c>
      <c r="J227" s="174">
        <v>8.9700000000000006</v>
      </c>
      <c r="K227" s="173">
        <v>5947.11</v>
      </c>
    </row>
    <row r="228" spans="1:22" ht="28.5" x14ac:dyDescent="0.2">
      <c r="A228" s="179" t="s">
        <v>1627</v>
      </c>
      <c r="B228" s="178" t="s">
        <v>2448</v>
      </c>
      <c r="C228" s="178" t="s">
        <v>614</v>
      </c>
      <c r="D228" s="177" t="s">
        <v>1594</v>
      </c>
      <c r="E228" s="174">
        <v>17</v>
      </c>
      <c r="F228" s="176">
        <v>2472.13</v>
      </c>
      <c r="G228" s="182" t="s">
        <v>195</v>
      </c>
      <c r="H228" s="174">
        <v>1</v>
      </c>
      <c r="I228" s="173">
        <v>42026.21</v>
      </c>
      <c r="J228" s="174">
        <v>3.23</v>
      </c>
      <c r="K228" s="173">
        <v>135744.66</v>
      </c>
      <c r="Q228" s="160">
        <f>[6]Source!X224</f>
        <v>0</v>
      </c>
      <c r="R228" s="160">
        <f>[6]Source!X225</f>
        <v>0</v>
      </c>
      <c r="S228" s="160">
        <f>[6]Source!Y224</f>
        <v>0</v>
      </c>
      <c r="T228" s="160">
        <f>[6]Source!Y225</f>
        <v>0</v>
      </c>
      <c r="U228" s="160">
        <f>ROUND((175/100)*ROUND([6]Source!R224, 2), 2)</f>
        <v>0</v>
      </c>
      <c r="V228" s="160">
        <f>ROUND((157/100)*ROUND([6]Source!R225, 2), 2)</f>
        <v>0</v>
      </c>
    </row>
    <row r="229" spans="1:22" ht="28.5" x14ac:dyDescent="0.2">
      <c r="A229" s="179" t="s">
        <v>2449</v>
      </c>
      <c r="B229" s="178" t="s">
        <v>2450</v>
      </c>
      <c r="C229" s="178" t="s">
        <v>613</v>
      </c>
      <c r="D229" s="177" t="s">
        <v>1594</v>
      </c>
      <c r="E229" s="174">
        <v>12.58</v>
      </c>
      <c r="F229" s="176">
        <v>1828.56</v>
      </c>
      <c r="G229" s="182" t="s">
        <v>195</v>
      </c>
      <c r="H229" s="174">
        <v>1</v>
      </c>
      <c r="I229" s="173">
        <v>23003.279999999999</v>
      </c>
      <c r="J229" s="174">
        <v>4.37</v>
      </c>
      <c r="K229" s="173">
        <v>100524.33</v>
      </c>
      <c r="Q229" s="160">
        <f>[6]Source!X226</f>
        <v>0</v>
      </c>
      <c r="R229" s="160">
        <f>[6]Source!X227</f>
        <v>0</v>
      </c>
      <c r="S229" s="160">
        <f>[6]Source!Y226</f>
        <v>0</v>
      </c>
      <c r="T229" s="160">
        <f>[6]Source!Y227</f>
        <v>0</v>
      </c>
      <c r="U229" s="160">
        <f>ROUND((175/100)*ROUND([6]Source!R226, 2), 2)</f>
        <v>0</v>
      </c>
      <c r="V229" s="160">
        <f>ROUND((157/100)*ROUND([6]Source!R227, 2), 2)</f>
        <v>0</v>
      </c>
    </row>
    <row r="230" spans="1:22" ht="14.25" x14ac:dyDescent="0.2">
      <c r="A230" s="179"/>
      <c r="B230" s="178"/>
      <c r="C230" s="178" t="s">
        <v>194</v>
      </c>
      <c r="D230" s="177" t="s">
        <v>187</v>
      </c>
      <c r="E230" s="174">
        <v>105</v>
      </c>
      <c r="F230" s="176"/>
      <c r="G230" s="175"/>
      <c r="H230" s="174"/>
      <c r="I230" s="173">
        <v>52978.8</v>
      </c>
      <c r="J230" s="174">
        <v>85</v>
      </c>
      <c r="K230" s="173">
        <v>1001425.46</v>
      </c>
    </row>
    <row r="231" spans="1:22" ht="14.25" x14ac:dyDescent="0.2">
      <c r="A231" s="179"/>
      <c r="B231" s="178"/>
      <c r="C231" s="178" t="s">
        <v>193</v>
      </c>
      <c r="D231" s="177" t="s">
        <v>187</v>
      </c>
      <c r="E231" s="174">
        <v>70</v>
      </c>
      <c r="F231" s="176"/>
      <c r="G231" s="175"/>
      <c r="H231" s="174"/>
      <c r="I231" s="173">
        <v>35319.199999999997</v>
      </c>
      <c r="J231" s="174">
        <v>41</v>
      </c>
      <c r="K231" s="173">
        <v>483040.52</v>
      </c>
    </row>
    <row r="232" spans="1:22" ht="14.25" x14ac:dyDescent="0.2">
      <c r="A232" s="179"/>
      <c r="B232" s="178"/>
      <c r="C232" s="178" t="s">
        <v>188</v>
      </c>
      <c r="D232" s="177" t="s">
        <v>187</v>
      </c>
      <c r="E232" s="174">
        <v>175</v>
      </c>
      <c r="F232" s="176"/>
      <c r="G232" s="175"/>
      <c r="H232" s="174"/>
      <c r="I232" s="173">
        <v>59.5</v>
      </c>
      <c r="J232" s="174">
        <v>157</v>
      </c>
      <c r="K232" s="173">
        <v>1246.42</v>
      </c>
    </row>
    <row r="233" spans="1:22" ht="14.25" x14ac:dyDescent="0.2">
      <c r="A233" s="172"/>
      <c r="B233" s="171"/>
      <c r="C233" s="171" t="s">
        <v>192</v>
      </c>
      <c r="D233" s="170" t="s">
        <v>191</v>
      </c>
      <c r="E233" s="167">
        <v>2.33</v>
      </c>
      <c r="F233" s="169"/>
      <c r="G233" s="168" t="s">
        <v>195</v>
      </c>
      <c r="H233" s="167">
        <v>1</v>
      </c>
      <c r="I233" s="166">
        <v>3961</v>
      </c>
      <c r="J233" s="167"/>
      <c r="K233" s="166"/>
    </row>
    <row r="234" spans="1:22" ht="15" x14ac:dyDescent="0.25">
      <c r="A234" s="164"/>
      <c r="B234" s="164"/>
      <c r="C234" s="165" t="s">
        <v>183</v>
      </c>
      <c r="D234" s="164"/>
      <c r="E234" s="164"/>
      <c r="F234" s="164"/>
      <c r="G234" s="164"/>
      <c r="H234" s="414">
        <v>204675.99</v>
      </c>
      <c r="I234" s="414"/>
      <c r="J234" s="414">
        <v>2907606.1</v>
      </c>
      <c r="K234" s="414"/>
      <c r="O234" s="163">
        <f>I224+I225+I227+I230+I231+I232+SUM(I228:I229)</f>
        <v>204675.99</v>
      </c>
      <c r="P234" s="163">
        <f>K224+K225+K227+K230+K231+K232+SUM(K228:K229)</f>
        <v>2907606.1</v>
      </c>
    </row>
    <row r="236" spans="1:22" ht="42.75" x14ac:dyDescent="0.2">
      <c r="A236" s="179" t="s">
        <v>1629</v>
      </c>
      <c r="B236" s="178" t="s">
        <v>2256</v>
      </c>
      <c r="C236" s="178" t="s">
        <v>508</v>
      </c>
      <c r="D236" s="177" t="s">
        <v>2257</v>
      </c>
      <c r="E236" s="174">
        <v>4526</v>
      </c>
      <c r="F236" s="176"/>
      <c r="G236" s="175"/>
      <c r="H236" s="174"/>
      <c r="I236" s="173"/>
      <c r="J236" s="174"/>
      <c r="K236" s="173"/>
      <c r="Q236" s="160">
        <f>[6]Source!X244</f>
        <v>13396.96</v>
      </c>
      <c r="R236" s="160">
        <f>[6]Source!X245</f>
        <v>253383.41</v>
      </c>
      <c r="S236" s="160">
        <f>[6]Source!Y244</f>
        <v>8574.0499999999993</v>
      </c>
      <c r="T236" s="160">
        <f>[6]Source!Y245</f>
        <v>128255.8</v>
      </c>
      <c r="U236" s="160">
        <f>ROUND((175/100)*ROUND([6]Source!R244, 2), 2)</f>
        <v>0</v>
      </c>
      <c r="V236" s="160">
        <f>ROUND((157/100)*ROUND([6]Source!R245, 2), 2)</f>
        <v>0</v>
      </c>
    </row>
    <row r="237" spans="1:22" ht="14.25" x14ac:dyDescent="0.2">
      <c r="A237" s="179"/>
      <c r="B237" s="178"/>
      <c r="C237" s="178" t="s">
        <v>197</v>
      </c>
      <c r="D237" s="177"/>
      <c r="E237" s="174"/>
      <c r="F237" s="176">
        <v>2.96</v>
      </c>
      <c r="G237" s="175" t="s">
        <v>195</v>
      </c>
      <c r="H237" s="174">
        <v>1</v>
      </c>
      <c r="I237" s="173">
        <v>13396.96</v>
      </c>
      <c r="J237" s="174">
        <v>23.35</v>
      </c>
      <c r="K237" s="173">
        <v>312819.02</v>
      </c>
    </row>
    <row r="238" spans="1:22" ht="14.25" x14ac:dyDescent="0.2">
      <c r="A238" s="179"/>
      <c r="B238" s="178"/>
      <c r="C238" s="178" t="s">
        <v>205</v>
      </c>
      <c r="D238" s="177"/>
      <c r="E238" s="174"/>
      <c r="F238" s="176">
        <v>12.07</v>
      </c>
      <c r="G238" s="175" t="s">
        <v>195</v>
      </c>
      <c r="H238" s="174">
        <v>1</v>
      </c>
      <c r="I238" s="173">
        <v>54628.82</v>
      </c>
      <c r="J238" s="174">
        <v>4.1900000000000004</v>
      </c>
      <c r="K238" s="173">
        <v>228894.76</v>
      </c>
    </row>
    <row r="239" spans="1:22" ht="14.25" x14ac:dyDescent="0.2">
      <c r="A239" s="179"/>
      <c r="B239" s="178"/>
      <c r="C239" s="178" t="s">
        <v>194</v>
      </c>
      <c r="D239" s="177" t="s">
        <v>187</v>
      </c>
      <c r="E239" s="174">
        <v>100</v>
      </c>
      <c r="F239" s="176"/>
      <c r="G239" s="175"/>
      <c r="H239" s="174"/>
      <c r="I239" s="173">
        <v>13396.96</v>
      </c>
      <c r="J239" s="174">
        <v>81</v>
      </c>
      <c r="K239" s="173">
        <v>253383.41</v>
      </c>
    </row>
    <row r="240" spans="1:22" ht="14.25" x14ac:dyDescent="0.2">
      <c r="A240" s="179"/>
      <c r="B240" s="178"/>
      <c r="C240" s="178" t="s">
        <v>193</v>
      </c>
      <c r="D240" s="177" t="s">
        <v>187</v>
      </c>
      <c r="E240" s="174">
        <v>64</v>
      </c>
      <c r="F240" s="176"/>
      <c r="G240" s="175"/>
      <c r="H240" s="174"/>
      <c r="I240" s="173">
        <v>8574.0499999999993</v>
      </c>
      <c r="J240" s="174">
        <v>41</v>
      </c>
      <c r="K240" s="173">
        <v>128255.8</v>
      </c>
    </row>
    <row r="241" spans="1:22" ht="14.25" x14ac:dyDescent="0.2">
      <c r="A241" s="172"/>
      <c r="B241" s="171"/>
      <c r="C241" s="171" t="s">
        <v>192</v>
      </c>
      <c r="D241" s="170" t="s">
        <v>191</v>
      </c>
      <c r="E241" s="167">
        <v>0.28000000000000003</v>
      </c>
      <c r="F241" s="169"/>
      <c r="G241" s="168" t="s">
        <v>195</v>
      </c>
      <c r="H241" s="167">
        <v>1</v>
      </c>
      <c r="I241" s="166">
        <v>1267.28</v>
      </c>
      <c r="J241" s="167"/>
      <c r="K241" s="166"/>
    </row>
    <row r="242" spans="1:22" ht="15" x14ac:dyDescent="0.25">
      <c r="A242" s="164"/>
      <c r="B242" s="164"/>
      <c r="C242" s="165" t="s">
        <v>183</v>
      </c>
      <c r="D242" s="164"/>
      <c r="E242" s="164"/>
      <c r="F242" s="164"/>
      <c r="G242" s="164"/>
      <c r="H242" s="414">
        <v>89996.79</v>
      </c>
      <c r="I242" s="414"/>
      <c r="J242" s="414">
        <v>923352.99</v>
      </c>
      <c r="K242" s="414"/>
      <c r="O242" s="163">
        <f>I237+I238+I239+I240</f>
        <v>89996.79</v>
      </c>
      <c r="P242" s="163">
        <f>K237+K238+K239+K240</f>
        <v>923352.99</v>
      </c>
    </row>
    <row r="245" spans="1:22" ht="15" x14ac:dyDescent="0.25">
      <c r="A245" s="417" t="s">
        <v>2451</v>
      </c>
      <c r="B245" s="417"/>
      <c r="C245" s="417"/>
      <c r="D245" s="417"/>
      <c r="E245" s="417"/>
      <c r="F245" s="417"/>
      <c r="G245" s="417"/>
      <c r="H245" s="415">
        <v>768292.04</v>
      </c>
      <c r="I245" s="416"/>
      <c r="J245" s="415">
        <v>8884748.6600000001</v>
      </c>
      <c r="K245" s="416"/>
    </row>
    <row r="246" spans="1:22" hidden="1" x14ac:dyDescent="0.2">
      <c r="A246" s="160" t="s">
        <v>182</v>
      </c>
      <c r="I246" s="160">
        <v>0</v>
      </c>
      <c r="J246" s="160">
        <v>0</v>
      </c>
    </row>
    <row r="247" spans="1:22" hidden="1" x14ac:dyDescent="0.2">
      <c r="A247" s="160" t="s">
        <v>181</v>
      </c>
      <c r="I247" s="160">
        <v>0</v>
      </c>
      <c r="J247" s="160">
        <v>0</v>
      </c>
    </row>
    <row r="249" spans="1:22" ht="15" x14ac:dyDescent="0.25">
      <c r="A249" s="417" t="s">
        <v>2452</v>
      </c>
      <c r="B249" s="417"/>
      <c r="C249" s="417"/>
      <c r="D249" s="417"/>
      <c r="E249" s="417"/>
      <c r="F249" s="417"/>
      <c r="G249" s="417"/>
      <c r="H249" s="415">
        <v>1029121.7</v>
      </c>
      <c r="I249" s="416"/>
      <c r="J249" s="415">
        <v>10842750.75</v>
      </c>
      <c r="K249" s="416"/>
    </row>
    <row r="250" spans="1:22" hidden="1" x14ac:dyDescent="0.2">
      <c r="A250" s="160" t="s">
        <v>182</v>
      </c>
      <c r="I250" s="160">
        <v>0</v>
      </c>
      <c r="J250" s="160">
        <v>0</v>
      </c>
    </row>
    <row r="251" spans="1:22" hidden="1" x14ac:dyDescent="0.2">
      <c r="A251" s="160" t="s">
        <v>181</v>
      </c>
      <c r="I251" s="160">
        <v>0</v>
      </c>
      <c r="J251" s="160">
        <v>0</v>
      </c>
    </row>
    <row r="253" spans="1:22" ht="16.5" x14ac:dyDescent="0.25">
      <c r="A253" s="413" t="s">
        <v>1921</v>
      </c>
      <c r="B253" s="413"/>
      <c r="C253" s="413"/>
      <c r="D253" s="413"/>
      <c r="E253" s="413"/>
      <c r="F253" s="413"/>
      <c r="G253" s="413"/>
      <c r="H253" s="413"/>
      <c r="I253" s="413"/>
      <c r="J253" s="413"/>
      <c r="K253" s="413"/>
    </row>
    <row r="254" spans="1:22" ht="42.75" x14ac:dyDescent="0.2">
      <c r="A254" s="179" t="s">
        <v>1633</v>
      </c>
      <c r="B254" s="178" t="s">
        <v>1923</v>
      </c>
      <c r="C254" s="178" t="s">
        <v>190</v>
      </c>
      <c r="D254" s="177" t="s">
        <v>1785</v>
      </c>
      <c r="E254" s="174">
        <v>65.845823999999993</v>
      </c>
      <c r="F254" s="176"/>
      <c r="G254" s="175"/>
      <c r="H254" s="174"/>
      <c r="I254" s="173"/>
      <c r="J254" s="174"/>
      <c r="K254" s="173"/>
      <c r="Q254" s="160">
        <f>[6]Source!X315</f>
        <v>0</v>
      </c>
      <c r="R254" s="160">
        <f>[6]Source!X316</f>
        <v>0</v>
      </c>
      <c r="S254" s="160">
        <f>[6]Source!Y315</f>
        <v>0</v>
      </c>
      <c r="T254" s="160">
        <f>[6]Source!Y316</f>
        <v>0</v>
      </c>
      <c r="U254" s="160">
        <f>ROUND((175/100)*ROUND([6]Source!R315, 2), 2)</f>
        <v>170.54</v>
      </c>
      <c r="V254" s="160">
        <f>ROUND((157/100)*ROUND([6]Source!R316, 2), 2)</f>
        <v>3572.47</v>
      </c>
    </row>
    <row r="255" spans="1:22" ht="51" x14ac:dyDescent="0.2">
      <c r="C255" s="181" t="s">
        <v>2453</v>
      </c>
    </row>
    <row r="256" spans="1:22" ht="14.25" x14ac:dyDescent="0.2">
      <c r="A256" s="179"/>
      <c r="B256" s="178"/>
      <c r="C256" s="178" t="s">
        <v>184</v>
      </c>
      <c r="D256" s="177"/>
      <c r="E256" s="174"/>
      <c r="F256" s="176">
        <v>8.86</v>
      </c>
      <c r="G256" s="175" t="s">
        <v>195</v>
      </c>
      <c r="H256" s="174">
        <v>1</v>
      </c>
      <c r="I256" s="173">
        <v>583.39</v>
      </c>
      <c r="J256" s="174">
        <v>8.36</v>
      </c>
      <c r="K256" s="173">
        <v>4877.1400000000003</v>
      </c>
    </row>
    <row r="257" spans="1:26" ht="14.25" x14ac:dyDescent="0.2">
      <c r="A257" s="179"/>
      <c r="B257" s="178"/>
      <c r="C257" s="178" t="s">
        <v>189</v>
      </c>
      <c r="D257" s="177"/>
      <c r="E257" s="174"/>
      <c r="F257" s="176">
        <v>1.48</v>
      </c>
      <c r="G257" s="175" t="s">
        <v>195</v>
      </c>
      <c r="H257" s="174">
        <v>1</v>
      </c>
      <c r="I257" s="180">
        <v>97.45</v>
      </c>
      <c r="J257" s="174">
        <v>23.35</v>
      </c>
      <c r="K257" s="180">
        <v>2275.46</v>
      </c>
    </row>
    <row r="258" spans="1:26" ht="14.25" x14ac:dyDescent="0.2">
      <c r="A258" s="172"/>
      <c r="B258" s="171"/>
      <c r="C258" s="171" t="s">
        <v>188</v>
      </c>
      <c r="D258" s="170" t="s">
        <v>187</v>
      </c>
      <c r="E258" s="167">
        <v>175</v>
      </c>
      <c r="F258" s="169"/>
      <c r="G258" s="168"/>
      <c r="H258" s="167"/>
      <c r="I258" s="166">
        <v>170.54</v>
      </c>
      <c r="J258" s="167">
        <v>157</v>
      </c>
      <c r="K258" s="166">
        <v>3572.47</v>
      </c>
    </row>
    <row r="259" spans="1:26" ht="15" x14ac:dyDescent="0.25">
      <c r="A259" s="164"/>
      <c r="B259" s="164"/>
      <c r="C259" s="165" t="s">
        <v>183</v>
      </c>
      <c r="D259" s="164"/>
      <c r="E259" s="164"/>
      <c r="F259" s="164"/>
      <c r="G259" s="164"/>
      <c r="H259" s="414">
        <v>753.93</v>
      </c>
      <c r="I259" s="414"/>
      <c r="J259" s="414">
        <v>8449.61</v>
      </c>
      <c r="K259" s="414"/>
      <c r="O259" s="163">
        <f>I256+I258</f>
        <v>753.93</v>
      </c>
      <c r="P259" s="163">
        <f>K256+K258</f>
        <v>8449.61</v>
      </c>
    </row>
    <row r="261" spans="1:26" ht="57" x14ac:dyDescent="0.2">
      <c r="A261" s="179" t="s">
        <v>1635</v>
      </c>
      <c r="B261" s="178" t="s">
        <v>2454</v>
      </c>
      <c r="C261" s="178" t="s">
        <v>612</v>
      </c>
      <c r="D261" s="177" t="s">
        <v>1533</v>
      </c>
      <c r="E261" s="174">
        <v>9.9550239999999999</v>
      </c>
      <c r="F261" s="176">
        <v>1853.64</v>
      </c>
      <c r="G261" s="175" t="s">
        <v>195</v>
      </c>
      <c r="H261" s="174">
        <v>1</v>
      </c>
      <c r="I261" s="173">
        <v>18453.03</v>
      </c>
      <c r="J261" s="174">
        <v>5.17</v>
      </c>
      <c r="K261" s="173">
        <v>95402.17</v>
      </c>
      <c r="Q261" s="160">
        <f>[6]Source!X317</f>
        <v>0</v>
      </c>
      <c r="R261" s="160">
        <f>[6]Source!X318</f>
        <v>0</v>
      </c>
      <c r="S261" s="160">
        <f>[6]Source!Y317</f>
        <v>0</v>
      </c>
      <c r="T261" s="160">
        <f>[6]Source!Y318</f>
        <v>0</v>
      </c>
      <c r="U261" s="160">
        <f>ROUND((175/100)*ROUND([6]Source!R317, 2), 2)</f>
        <v>0</v>
      </c>
      <c r="V261" s="160">
        <f>ROUND((157/100)*ROUND([6]Source!R318, 2), 2)</f>
        <v>0</v>
      </c>
      <c r="Y261" s="163">
        <f>I261</f>
        <v>18453.03</v>
      </c>
      <c r="Z261" s="163">
        <f>K261</f>
        <v>95402.17</v>
      </c>
    </row>
    <row r="262" spans="1:26" ht="38.25" x14ac:dyDescent="0.2">
      <c r="A262" s="202"/>
      <c r="B262" s="202"/>
      <c r="C262" s="203" t="s">
        <v>2455</v>
      </c>
      <c r="D262" s="202"/>
      <c r="E262" s="202"/>
      <c r="F262" s="202"/>
      <c r="G262" s="202"/>
      <c r="H262" s="202"/>
      <c r="I262" s="202"/>
      <c r="J262" s="202"/>
      <c r="K262" s="202"/>
    </row>
    <row r="263" spans="1:26" ht="15" x14ac:dyDescent="0.25">
      <c r="A263" s="164"/>
      <c r="B263" s="164"/>
      <c r="C263" s="165" t="s">
        <v>183</v>
      </c>
      <c r="D263" s="164"/>
      <c r="E263" s="164"/>
      <c r="F263" s="164"/>
      <c r="G263" s="164"/>
      <c r="H263" s="414">
        <v>18453.03</v>
      </c>
      <c r="I263" s="414"/>
      <c r="J263" s="414">
        <v>95402.17</v>
      </c>
      <c r="K263" s="414"/>
    </row>
    <row r="266" spans="1:26" ht="15" x14ac:dyDescent="0.25">
      <c r="A266" s="417" t="s">
        <v>1925</v>
      </c>
      <c r="B266" s="417"/>
      <c r="C266" s="417"/>
      <c r="D266" s="417"/>
      <c r="E266" s="417"/>
      <c r="F266" s="417"/>
      <c r="G266" s="417"/>
      <c r="H266" s="415">
        <v>753.93</v>
      </c>
      <c r="I266" s="416"/>
      <c r="J266" s="415">
        <v>8449.61</v>
      </c>
      <c r="K266" s="416"/>
    </row>
    <row r="267" spans="1:26" hidden="1" x14ac:dyDescent="0.2">
      <c r="A267" s="160" t="s">
        <v>182</v>
      </c>
      <c r="I267" s="160">
        <v>0</v>
      </c>
      <c r="J267" s="160">
        <v>0</v>
      </c>
    </row>
    <row r="268" spans="1:26" ht="15" x14ac:dyDescent="0.25">
      <c r="A268" s="417" t="s">
        <v>181</v>
      </c>
      <c r="B268" s="417"/>
      <c r="C268" s="417"/>
      <c r="D268" s="417"/>
      <c r="E268" s="417"/>
      <c r="F268" s="417"/>
      <c r="G268" s="417"/>
      <c r="H268" s="415">
        <v>18453.03</v>
      </c>
      <c r="I268" s="416"/>
      <c r="J268" s="415">
        <v>95402.17</v>
      </c>
      <c r="K268" s="416"/>
    </row>
    <row r="270" spans="1:26" ht="16.5" x14ac:dyDescent="0.25">
      <c r="A270" s="413" t="s">
        <v>1926</v>
      </c>
      <c r="B270" s="413"/>
      <c r="C270" s="413"/>
      <c r="D270" s="413"/>
      <c r="E270" s="413"/>
      <c r="F270" s="413"/>
      <c r="G270" s="413"/>
      <c r="H270" s="413"/>
      <c r="I270" s="413"/>
      <c r="J270" s="413"/>
      <c r="K270" s="413"/>
    </row>
    <row r="271" spans="1:26" ht="42.75" x14ac:dyDescent="0.2">
      <c r="A271" s="179" t="s">
        <v>1645</v>
      </c>
      <c r="B271" s="178" t="s">
        <v>2120</v>
      </c>
      <c r="C271" s="178" t="s">
        <v>383</v>
      </c>
      <c r="D271" s="177" t="s">
        <v>1533</v>
      </c>
      <c r="E271" s="174">
        <v>65.845823999999993</v>
      </c>
      <c r="F271" s="176"/>
      <c r="G271" s="175"/>
      <c r="H271" s="174"/>
      <c r="I271" s="173"/>
      <c r="J271" s="174"/>
      <c r="K271" s="173"/>
      <c r="Q271" s="160">
        <f>[6]Source!X354</f>
        <v>0</v>
      </c>
      <c r="R271" s="160">
        <f>[6]Source!X355</f>
        <v>0</v>
      </c>
      <c r="S271" s="160">
        <f>[6]Source!Y354</f>
        <v>0</v>
      </c>
      <c r="T271" s="160">
        <f>[6]Source!Y355</f>
        <v>0</v>
      </c>
      <c r="U271" s="160">
        <f>ROUND((175/100)*ROUND([6]Source!R354, 2), 2)</f>
        <v>0</v>
      </c>
      <c r="V271" s="160">
        <f>ROUND((157/100)*ROUND([6]Source!R355, 2), 2)</f>
        <v>0</v>
      </c>
    </row>
    <row r="272" spans="1:26" ht="14.25" x14ac:dyDescent="0.2">
      <c r="A272" s="172"/>
      <c r="B272" s="171"/>
      <c r="C272" s="171" t="s">
        <v>184</v>
      </c>
      <c r="D272" s="170"/>
      <c r="E272" s="167"/>
      <c r="F272" s="169">
        <v>34.15</v>
      </c>
      <c r="G272" s="168" t="s">
        <v>195</v>
      </c>
      <c r="H272" s="167">
        <v>1</v>
      </c>
      <c r="I272" s="166">
        <v>2248.63</v>
      </c>
      <c r="J272" s="167">
        <v>9.57</v>
      </c>
      <c r="K272" s="166">
        <v>21519.39</v>
      </c>
    </row>
    <row r="273" spans="1:22" ht="15" x14ac:dyDescent="0.25">
      <c r="A273" s="164"/>
      <c r="B273" s="164"/>
      <c r="C273" s="165" t="s">
        <v>183</v>
      </c>
      <c r="D273" s="164"/>
      <c r="E273" s="164"/>
      <c r="F273" s="164"/>
      <c r="G273" s="164"/>
      <c r="H273" s="414">
        <v>2248.63</v>
      </c>
      <c r="I273" s="414"/>
      <c r="J273" s="414">
        <v>21519.39</v>
      </c>
      <c r="K273" s="414"/>
      <c r="O273" s="163">
        <f>I272</f>
        <v>2248.63</v>
      </c>
      <c r="P273" s="163">
        <f>K272</f>
        <v>21519.39</v>
      </c>
    </row>
    <row r="275" spans="1:22" ht="14.25" x14ac:dyDescent="0.2">
      <c r="A275" s="179" t="s">
        <v>1652</v>
      </c>
      <c r="B275" s="178" t="s">
        <v>1930</v>
      </c>
      <c r="C275" s="178" t="s">
        <v>382</v>
      </c>
      <c r="D275" s="177" t="s">
        <v>1785</v>
      </c>
      <c r="E275" s="174">
        <v>55.890799999999999</v>
      </c>
      <c r="F275" s="176"/>
      <c r="G275" s="175"/>
      <c r="H275" s="174"/>
      <c r="I275" s="173"/>
      <c r="J275" s="174"/>
      <c r="K275" s="173"/>
      <c r="Q275" s="160">
        <f>[6]Source!X356</f>
        <v>0</v>
      </c>
      <c r="R275" s="160">
        <f>[6]Source!X357</f>
        <v>0</v>
      </c>
      <c r="S275" s="160">
        <f>[6]Source!Y356</f>
        <v>0</v>
      </c>
      <c r="T275" s="160">
        <f>[6]Source!Y357</f>
        <v>0</v>
      </c>
      <c r="U275" s="160">
        <f>ROUND((175/100)*ROUND([6]Source!R356, 2), 2)</f>
        <v>0</v>
      </c>
      <c r="V275" s="160">
        <f>ROUND((157/100)*ROUND([6]Source!R357, 2), 2)</f>
        <v>0</v>
      </c>
    </row>
    <row r="276" spans="1:22" x14ac:dyDescent="0.2">
      <c r="C276" s="181" t="s">
        <v>2456</v>
      </c>
    </row>
    <row r="277" spans="1:22" ht="14.25" x14ac:dyDescent="0.2">
      <c r="A277" s="172"/>
      <c r="B277" s="171"/>
      <c r="C277" s="171" t="s">
        <v>184</v>
      </c>
      <c r="D277" s="170"/>
      <c r="E277" s="167"/>
      <c r="F277" s="169">
        <v>101</v>
      </c>
      <c r="G277" s="168" t="s">
        <v>195</v>
      </c>
      <c r="H277" s="167">
        <v>1</v>
      </c>
      <c r="I277" s="166">
        <v>5644.97</v>
      </c>
      <c r="J277" s="167">
        <v>1.96</v>
      </c>
      <c r="K277" s="166">
        <v>11064.14</v>
      </c>
    </row>
    <row r="278" spans="1:22" ht="15" x14ac:dyDescent="0.25">
      <c r="A278" s="164"/>
      <c r="B278" s="164"/>
      <c r="C278" s="165" t="s">
        <v>183</v>
      </c>
      <c r="D278" s="164"/>
      <c r="E278" s="164"/>
      <c r="F278" s="164"/>
      <c r="G278" s="164"/>
      <c r="H278" s="414">
        <v>5644.97</v>
      </c>
      <c r="I278" s="414"/>
      <c r="J278" s="414">
        <v>11064.14</v>
      </c>
      <c r="K278" s="414"/>
      <c r="O278" s="163">
        <f>I277</f>
        <v>5644.97</v>
      </c>
      <c r="P278" s="163">
        <f>K277</f>
        <v>11064.14</v>
      </c>
    </row>
    <row r="281" spans="1:22" ht="15" x14ac:dyDescent="0.25">
      <c r="A281" s="417" t="s">
        <v>1931</v>
      </c>
      <c r="B281" s="417"/>
      <c r="C281" s="417"/>
      <c r="D281" s="417"/>
      <c r="E281" s="417"/>
      <c r="F281" s="417"/>
      <c r="G281" s="417"/>
      <c r="H281" s="415">
        <v>7893.6</v>
      </c>
      <c r="I281" s="416"/>
      <c r="J281" s="415">
        <v>32583.53</v>
      </c>
      <c r="K281" s="416"/>
    </row>
    <row r="282" spans="1:22" hidden="1" x14ac:dyDescent="0.2">
      <c r="A282" s="160" t="s">
        <v>182</v>
      </c>
      <c r="I282" s="160">
        <v>0</v>
      </c>
      <c r="J282" s="160">
        <v>0</v>
      </c>
    </row>
    <row r="283" spans="1:22" hidden="1" x14ac:dyDescent="0.2">
      <c r="A283" s="160" t="s">
        <v>181</v>
      </c>
      <c r="I283" s="160">
        <v>0</v>
      </c>
      <c r="J283" s="160">
        <v>0</v>
      </c>
    </row>
    <row r="285" spans="1:22" ht="15" x14ac:dyDescent="0.25">
      <c r="A285" s="417" t="s">
        <v>2457</v>
      </c>
      <c r="B285" s="417"/>
      <c r="C285" s="417"/>
      <c r="D285" s="417"/>
      <c r="E285" s="417"/>
      <c r="F285" s="417"/>
      <c r="G285" s="417"/>
      <c r="H285" s="415">
        <v>1037769.23</v>
      </c>
      <c r="I285" s="416"/>
      <c r="J285" s="415">
        <v>10883783.890000001</v>
      </c>
      <c r="K285" s="416"/>
    </row>
    <row r="286" spans="1:22" hidden="1" x14ac:dyDescent="0.2">
      <c r="A286" s="160" t="s">
        <v>182</v>
      </c>
      <c r="I286" s="160">
        <v>0</v>
      </c>
      <c r="J286" s="160">
        <v>0</v>
      </c>
    </row>
    <row r="287" spans="1:22" ht="15" x14ac:dyDescent="0.25">
      <c r="A287" s="417" t="s">
        <v>181</v>
      </c>
      <c r="B287" s="417"/>
      <c r="C287" s="417"/>
      <c r="D287" s="417"/>
      <c r="E287" s="417"/>
      <c r="F287" s="417"/>
      <c r="G287" s="417"/>
      <c r="H287" s="415">
        <v>18453.03</v>
      </c>
      <c r="I287" s="416"/>
      <c r="J287" s="415">
        <v>95402.17</v>
      </c>
      <c r="K287" s="416"/>
    </row>
    <row r="288" spans="1:22" ht="14.25" x14ac:dyDescent="0.2">
      <c r="C288" s="410" t="s">
        <v>1920</v>
      </c>
      <c r="D288" s="410"/>
      <c r="E288" s="410"/>
      <c r="F288" s="410"/>
      <c r="G288" s="410"/>
      <c r="H288" s="411">
        <v>749718.76</v>
      </c>
      <c r="I288" s="411"/>
      <c r="J288" s="411">
        <v>6072052.9400000004</v>
      </c>
      <c r="K288" s="411"/>
    </row>
    <row r="289" spans="1:11" ht="14.25" x14ac:dyDescent="0.2">
      <c r="C289" s="410" t="s">
        <v>1933</v>
      </c>
      <c r="D289" s="410"/>
      <c r="E289" s="410"/>
      <c r="F289" s="410"/>
      <c r="G289" s="410"/>
      <c r="H289" s="411">
        <v>575011.61</v>
      </c>
      <c r="I289" s="411"/>
      <c r="J289" s="411">
        <v>2173923.4</v>
      </c>
      <c r="K289" s="411"/>
    </row>
    <row r="290" spans="1:11" ht="14.25" x14ac:dyDescent="0.2">
      <c r="C290" s="410" t="s">
        <v>1934</v>
      </c>
      <c r="D290" s="410"/>
      <c r="E290" s="410"/>
      <c r="F290" s="410"/>
      <c r="G290" s="410"/>
      <c r="H290" s="411">
        <v>575011.61</v>
      </c>
      <c r="I290" s="411"/>
      <c r="J290" s="411">
        <v>2173923.4</v>
      </c>
      <c r="K290" s="411"/>
    </row>
    <row r="291" spans="1:11" ht="14.25" x14ac:dyDescent="0.2">
      <c r="C291" s="410" t="s">
        <v>1935</v>
      </c>
      <c r="D291" s="410"/>
      <c r="E291" s="410"/>
      <c r="F291" s="410"/>
      <c r="G291" s="410"/>
      <c r="H291" s="411">
        <v>0</v>
      </c>
      <c r="I291" s="411"/>
      <c r="J291" s="411">
        <v>0</v>
      </c>
      <c r="K291" s="411"/>
    </row>
    <row r="292" spans="1:11" ht="14.25" x14ac:dyDescent="0.2">
      <c r="C292" s="410" t="s">
        <v>1938</v>
      </c>
      <c r="D292" s="410"/>
      <c r="E292" s="410"/>
      <c r="F292" s="410"/>
      <c r="G292" s="410"/>
      <c r="H292" s="411">
        <v>164873.9</v>
      </c>
      <c r="I292" s="411"/>
      <c r="J292" s="411">
        <v>3849805.58</v>
      </c>
      <c r="K292" s="411"/>
    </row>
    <row r="293" spans="1:11" ht="14.25" x14ac:dyDescent="0.2">
      <c r="C293" s="410" t="s">
        <v>1939</v>
      </c>
      <c r="D293" s="410"/>
      <c r="E293" s="410"/>
      <c r="F293" s="410"/>
      <c r="G293" s="410"/>
      <c r="H293" s="411">
        <v>1029875.63</v>
      </c>
      <c r="I293" s="411"/>
      <c r="J293" s="411">
        <v>10851200.359999999</v>
      </c>
      <c r="K293" s="411"/>
    </row>
    <row r="294" spans="1:11" ht="14.25" x14ac:dyDescent="0.2">
      <c r="C294" s="410" t="s">
        <v>1940</v>
      </c>
      <c r="D294" s="410"/>
      <c r="E294" s="410"/>
      <c r="F294" s="410"/>
      <c r="G294" s="410"/>
      <c r="H294" s="411">
        <v>0</v>
      </c>
      <c r="I294" s="411"/>
      <c r="J294" s="411">
        <v>0</v>
      </c>
      <c r="K294" s="411"/>
    </row>
    <row r="295" spans="1:11" ht="14.25" x14ac:dyDescent="0.2">
      <c r="C295" s="410" t="s">
        <v>1941</v>
      </c>
      <c r="D295" s="410"/>
      <c r="E295" s="410"/>
      <c r="F295" s="410"/>
      <c r="G295" s="410"/>
      <c r="H295" s="411">
        <v>7893.6</v>
      </c>
      <c r="I295" s="411"/>
      <c r="J295" s="411">
        <v>32583.53</v>
      </c>
      <c r="K295" s="411"/>
    </row>
    <row r="296" spans="1:11" ht="14.25" x14ac:dyDescent="0.2">
      <c r="C296" s="410" t="s">
        <v>367</v>
      </c>
      <c r="D296" s="410"/>
      <c r="E296" s="410"/>
      <c r="F296" s="410"/>
      <c r="G296" s="410"/>
      <c r="H296" s="411">
        <v>18453.03</v>
      </c>
      <c r="I296" s="411"/>
      <c r="J296" s="411">
        <v>95402.17</v>
      </c>
      <c r="K296" s="411"/>
    </row>
    <row r="297" spans="1:11" ht="14.25" x14ac:dyDescent="0.2">
      <c r="C297" s="410" t="s">
        <v>1942</v>
      </c>
      <c r="D297" s="410"/>
      <c r="E297" s="410"/>
      <c r="F297" s="410"/>
      <c r="G297" s="410"/>
      <c r="H297" s="411">
        <v>170209.49</v>
      </c>
      <c r="I297" s="411"/>
      <c r="J297" s="411">
        <v>3220946.86</v>
      </c>
      <c r="K297" s="411"/>
    </row>
    <row r="298" spans="1:11" ht="14.25" x14ac:dyDescent="0.2">
      <c r="C298" s="410" t="s">
        <v>1943</v>
      </c>
      <c r="D298" s="410"/>
      <c r="E298" s="410"/>
      <c r="F298" s="410"/>
      <c r="G298" s="410"/>
      <c r="H298" s="411">
        <v>117250.76</v>
      </c>
      <c r="I298" s="411"/>
      <c r="J298" s="411">
        <v>1578420.28</v>
      </c>
      <c r="K298" s="411"/>
    </row>
    <row r="299" spans="1:11" ht="14.25" x14ac:dyDescent="0.2">
      <c r="C299" s="410" t="s">
        <v>1944</v>
      </c>
      <c r="D299" s="410"/>
      <c r="E299" s="410"/>
      <c r="F299" s="410"/>
      <c r="G299" s="410"/>
      <c r="H299" s="411">
        <v>1037769.23</v>
      </c>
      <c r="I299" s="411"/>
      <c r="J299" s="411">
        <v>10883783.890000001</v>
      </c>
      <c r="K299" s="411"/>
    </row>
    <row r="302" spans="1:11" ht="14.25" x14ac:dyDescent="0.2">
      <c r="A302" s="412" t="s">
        <v>180</v>
      </c>
      <c r="B302" s="412"/>
      <c r="C302" s="162" t="s">
        <v>107</v>
      </c>
      <c r="D302" s="162"/>
      <c r="E302" s="162"/>
      <c r="F302" s="162"/>
      <c r="G302" s="162"/>
      <c r="H302" s="161" t="s">
        <v>2122</v>
      </c>
      <c r="I302" s="161"/>
      <c r="J302" s="161"/>
      <c r="K302" s="161"/>
    </row>
    <row r="303" spans="1:11" ht="14.25" x14ac:dyDescent="0.2">
      <c r="A303" s="161"/>
      <c r="B303" s="161"/>
      <c r="C303" s="409" t="s">
        <v>72</v>
      </c>
      <c r="D303" s="409"/>
      <c r="E303" s="409"/>
      <c r="F303" s="409"/>
      <c r="G303" s="409"/>
      <c r="H303" s="161"/>
      <c r="I303" s="161"/>
      <c r="J303" s="161"/>
      <c r="K303" s="161"/>
    </row>
    <row r="304" spans="1:11" ht="14.25" x14ac:dyDescent="0.2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</row>
    <row r="305" spans="1:11" ht="14.25" x14ac:dyDescent="0.2">
      <c r="A305" s="412" t="s">
        <v>179</v>
      </c>
      <c r="B305" s="412"/>
      <c r="C305" s="162" t="s">
        <v>107</v>
      </c>
      <c r="D305" s="162"/>
      <c r="E305" s="162"/>
      <c r="F305" s="162"/>
      <c r="G305" s="162"/>
      <c r="H305" s="161" t="s">
        <v>107</v>
      </c>
      <c r="I305" s="161"/>
      <c r="J305" s="161"/>
      <c r="K305" s="161"/>
    </row>
    <row r="306" spans="1:11" ht="14.25" x14ac:dyDescent="0.2">
      <c r="A306" s="161"/>
      <c r="B306" s="161"/>
      <c r="C306" s="409" t="s">
        <v>72</v>
      </c>
      <c r="D306" s="409"/>
      <c r="E306" s="409"/>
      <c r="F306" s="409"/>
      <c r="G306" s="409"/>
      <c r="H306" s="161"/>
      <c r="I306" s="161"/>
      <c r="J306" s="161"/>
      <c r="K306" s="161"/>
    </row>
  </sheetData>
  <mergeCells count="140">
    <mergeCell ref="C306:G306"/>
    <mergeCell ref="C299:G299"/>
    <mergeCell ref="H299:I299"/>
    <mergeCell ref="J299:K299"/>
    <mergeCell ref="C290:G290"/>
    <mergeCell ref="H290:I290"/>
    <mergeCell ref="J290:K290"/>
    <mergeCell ref="C291:G291"/>
    <mergeCell ref="H291:I291"/>
    <mergeCell ref="J291:K291"/>
    <mergeCell ref="A302:B302"/>
    <mergeCell ref="C303:G303"/>
    <mergeCell ref="A305:B305"/>
    <mergeCell ref="C293:G293"/>
    <mergeCell ref="H293:I293"/>
    <mergeCell ref="J293:K293"/>
    <mergeCell ref="C294:G294"/>
    <mergeCell ref="H294:I294"/>
    <mergeCell ref="J294:K294"/>
    <mergeCell ref="C295:G295"/>
    <mergeCell ref="H295:I295"/>
    <mergeCell ref="J295:K295"/>
    <mergeCell ref="C296:G296"/>
    <mergeCell ref="H296:I296"/>
    <mergeCell ref="J296:K296"/>
    <mergeCell ref="C297:G297"/>
    <mergeCell ref="H297:I297"/>
    <mergeCell ref="J297:K297"/>
    <mergeCell ref="C298:G298"/>
    <mergeCell ref="H298:I298"/>
    <mergeCell ref="J298:K298"/>
    <mergeCell ref="A266:G266"/>
    <mergeCell ref="J268:K268"/>
    <mergeCell ref="H268:I268"/>
    <mergeCell ref="A268:G268"/>
    <mergeCell ref="C292:G292"/>
    <mergeCell ref="H292:I292"/>
    <mergeCell ref="J292:K292"/>
    <mergeCell ref="J278:K278"/>
    <mergeCell ref="H278:I278"/>
    <mergeCell ref="J281:K281"/>
    <mergeCell ref="H281:I281"/>
    <mergeCell ref="A281:G281"/>
    <mergeCell ref="J285:K285"/>
    <mergeCell ref="H285:I285"/>
    <mergeCell ref="A285:G285"/>
    <mergeCell ref="J287:K287"/>
    <mergeCell ref="H287:I287"/>
    <mergeCell ref="A287:G287"/>
    <mergeCell ref="C288:G288"/>
    <mergeCell ref="H288:I288"/>
    <mergeCell ref="J288:K288"/>
    <mergeCell ref="C289:G289"/>
    <mergeCell ref="H289:I289"/>
    <mergeCell ref="J289:K289"/>
    <mergeCell ref="A270:K270"/>
    <mergeCell ref="J273:K273"/>
    <mergeCell ref="H273:I273"/>
    <mergeCell ref="J208:K208"/>
    <mergeCell ref="H208:I208"/>
    <mergeCell ref="J221:K221"/>
    <mergeCell ref="H221:I221"/>
    <mergeCell ref="J234:K234"/>
    <mergeCell ref="H234:I234"/>
    <mergeCell ref="J242:K242"/>
    <mergeCell ref="H242:I242"/>
    <mergeCell ref="J245:K245"/>
    <mergeCell ref="H245:I245"/>
    <mergeCell ref="A245:G245"/>
    <mergeCell ref="J249:K249"/>
    <mergeCell ref="H249:I249"/>
    <mergeCell ref="A249:G249"/>
    <mergeCell ref="A253:K253"/>
    <mergeCell ref="J259:K259"/>
    <mergeCell ref="H259:I259"/>
    <mergeCell ref="J263:K263"/>
    <mergeCell ref="H263:I263"/>
    <mergeCell ref="J266:K266"/>
    <mergeCell ref="H266:I266"/>
    <mergeCell ref="J196:K196"/>
    <mergeCell ref="H196:I196"/>
    <mergeCell ref="J86:K86"/>
    <mergeCell ref="H86:I86"/>
    <mergeCell ref="J94:K94"/>
    <mergeCell ref="H94:I94"/>
    <mergeCell ref="J102:K102"/>
    <mergeCell ref="H102:I102"/>
    <mergeCell ref="J110:K110"/>
    <mergeCell ref="H110:I110"/>
    <mergeCell ref="J113:K113"/>
    <mergeCell ref="H113:I113"/>
    <mergeCell ref="J132:K132"/>
    <mergeCell ref="H132:I132"/>
    <mergeCell ref="J144:K144"/>
    <mergeCell ref="H144:I144"/>
    <mergeCell ref="J158:K158"/>
    <mergeCell ref="H158:I158"/>
    <mergeCell ref="J172:K172"/>
    <mergeCell ref="H172:I172"/>
    <mergeCell ref="J182:K182"/>
    <mergeCell ref="H182:I182"/>
    <mergeCell ref="A113:G113"/>
    <mergeCell ref="A117:K117"/>
    <mergeCell ref="A38:K38"/>
    <mergeCell ref="J46:K46"/>
    <mergeCell ref="H46:I46"/>
    <mergeCell ref="J55:K55"/>
    <mergeCell ref="H55:I55"/>
    <mergeCell ref="J63:K63"/>
    <mergeCell ref="H63:I63"/>
    <mergeCell ref="J72:K72"/>
    <mergeCell ref="H72:I72"/>
    <mergeCell ref="J75:K75"/>
    <mergeCell ref="H75:I75"/>
    <mergeCell ref="A75:G75"/>
    <mergeCell ref="A79:K79"/>
    <mergeCell ref="F29:H29"/>
    <mergeCell ref="A32:K32"/>
    <mergeCell ref="A36:K36"/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</mergeCells>
  <pageMargins left="0.4" right="0.2" top="0.2" bottom="0.4" header="0.2" footer="0.2"/>
  <pageSetup paperSize="9" scale="63" fitToHeight="0" orientation="portrait" r:id="rId1"/>
  <headerFooter>
    <oddHeader>&amp;L&amp;8</oddHeader>
    <oddFooter>&amp;R&amp;P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E541"/>
  <sheetViews>
    <sheetView topLeftCell="A523" zoomScaleNormal="100" workbookViewId="0">
      <selection activeCell="A15" sqref="A15:K15"/>
    </sheetView>
  </sheetViews>
  <sheetFormatPr defaultColWidth="9.140625" defaultRowHeight="12.75" x14ac:dyDescent="0.2"/>
  <cols>
    <col min="1" max="1" width="5.7109375" style="160" customWidth="1"/>
    <col min="2" max="2" width="11.7109375" style="160" customWidth="1"/>
    <col min="3" max="3" width="40.7109375" style="160" customWidth="1"/>
    <col min="4" max="6" width="11.7109375" style="160" customWidth="1"/>
    <col min="7" max="7" width="12.7109375" style="160" customWidth="1"/>
    <col min="8" max="8" width="10.7109375" style="160" customWidth="1"/>
    <col min="9" max="11" width="12.7109375" style="160" customWidth="1"/>
    <col min="12" max="14" width="9.140625" style="160"/>
    <col min="15" max="30" width="0" style="160" hidden="1" customWidth="1"/>
    <col min="31" max="31" width="150.7109375" style="160" hidden="1" customWidth="1"/>
    <col min="32" max="36" width="0" style="160" hidden="1" customWidth="1"/>
    <col min="37" max="16384" width="9.140625" style="160"/>
  </cols>
  <sheetData>
    <row r="1" spans="1:31" x14ac:dyDescent="0.2">
      <c r="A1" s="200" t="s">
        <v>1523</v>
      </c>
    </row>
    <row r="2" spans="1:31" ht="14.25" x14ac:dyDescent="0.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61" t="s">
        <v>381</v>
      </c>
    </row>
    <row r="3" spans="1:31" ht="16.5" x14ac:dyDescent="0.25">
      <c r="A3" s="199"/>
      <c r="B3" s="428" t="s">
        <v>380</v>
      </c>
      <c r="C3" s="428"/>
      <c r="D3" s="428"/>
      <c r="E3" s="428"/>
      <c r="F3" s="161"/>
      <c r="G3" s="428" t="s">
        <v>0</v>
      </c>
      <c r="H3" s="428"/>
      <c r="I3" s="428"/>
      <c r="J3" s="428"/>
      <c r="K3" s="428"/>
    </row>
    <row r="4" spans="1:31" ht="14.25" x14ac:dyDescent="0.2">
      <c r="A4" s="161"/>
      <c r="B4" s="418"/>
      <c r="C4" s="418"/>
      <c r="D4" s="418"/>
      <c r="E4" s="418"/>
      <c r="F4" s="161"/>
      <c r="G4" s="418"/>
      <c r="H4" s="418"/>
      <c r="I4" s="418"/>
      <c r="J4" s="418"/>
      <c r="K4" s="418"/>
    </row>
    <row r="5" spans="1:31" ht="14.25" x14ac:dyDescent="0.2">
      <c r="A5" s="198"/>
      <c r="B5" s="198"/>
      <c r="C5" s="197"/>
      <c r="D5" s="197"/>
      <c r="E5" s="197"/>
      <c r="F5" s="161"/>
      <c r="G5" s="187"/>
      <c r="H5" s="197"/>
      <c r="I5" s="197"/>
      <c r="J5" s="197"/>
      <c r="K5" s="187"/>
    </row>
    <row r="6" spans="1:31" ht="14.25" x14ac:dyDescent="0.2">
      <c r="A6" s="187"/>
      <c r="B6" s="418" t="s">
        <v>1524</v>
      </c>
      <c r="C6" s="418"/>
      <c r="D6" s="418"/>
      <c r="E6" s="418"/>
      <c r="F6" s="161"/>
      <c r="G6" s="418" t="s">
        <v>1524</v>
      </c>
      <c r="H6" s="418"/>
      <c r="I6" s="418"/>
      <c r="J6" s="418"/>
      <c r="K6" s="418"/>
    </row>
    <row r="7" spans="1:31" ht="14.25" x14ac:dyDescent="0.2">
      <c r="A7" s="196"/>
      <c r="B7" s="429" t="s">
        <v>379</v>
      </c>
      <c r="C7" s="429"/>
      <c r="D7" s="429"/>
      <c r="E7" s="429"/>
      <c r="F7" s="161"/>
      <c r="G7" s="429" t="s">
        <v>379</v>
      </c>
      <c r="H7" s="429"/>
      <c r="I7" s="429"/>
      <c r="J7" s="429"/>
      <c r="K7" s="429"/>
    </row>
    <row r="9" spans="1:31" ht="14.25" x14ac:dyDescent="0.2">
      <c r="A9" s="161"/>
      <c r="B9" s="161"/>
      <c r="C9" s="161"/>
      <c r="D9" s="161"/>
      <c r="E9" s="161"/>
      <c r="F9" s="161"/>
      <c r="G9" s="161"/>
      <c r="H9" s="161"/>
      <c r="I9" s="161"/>
      <c r="J9" s="161"/>
      <c r="K9" s="161"/>
    </row>
    <row r="10" spans="1:31" ht="47.25" x14ac:dyDescent="0.25">
      <c r="A10" s="422" t="s">
        <v>3850</v>
      </c>
      <c r="B10" s="422"/>
      <c r="C10" s="422"/>
      <c r="D10" s="422"/>
      <c r="E10" s="422"/>
      <c r="F10" s="422"/>
      <c r="G10" s="422"/>
      <c r="H10" s="422"/>
      <c r="I10" s="422"/>
      <c r="J10" s="422"/>
      <c r="K10" s="422"/>
      <c r="AE10" s="194" t="str">
        <f>IF([7]Source!G12&lt;&gt;"Новый объект", [7]Source!G12,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09" t="s">
        <v>75</v>
      </c>
      <c r="B11" s="409"/>
      <c r="C11" s="409"/>
      <c r="D11" s="409"/>
      <c r="E11" s="409"/>
      <c r="F11" s="409"/>
      <c r="G11" s="409"/>
      <c r="H11" s="409"/>
      <c r="I11" s="409"/>
      <c r="J11" s="409"/>
      <c r="K11" s="409"/>
    </row>
    <row r="12" spans="1:31" ht="14.25" x14ac:dyDescent="0.2">
      <c r="A12" s="161"/>
      <c r="B12" s="161"/>
      <c r="C12" s="161"/>
      <c r="D12" s="161"/>
      <c r="E12" s="161"/>
      <c r="F12" s="161"/>
      <c r="G12" s="161"/>
      <c r="H12" s="161"/>
      <c r="I12" s="161"/>
      <c r="J12" s="161"/>
      <c r="K12" s="161"/>
    </row>
    <row r="13" spans="1:31" ht="15.75" x14ac:dyDescent="0.25">
      <c r="A13" s="422" t="s">
        <v>3886</v>
      </c>
      <c r="B13" s="423"/>
      <c r="C13" s="423"/>
      <c r="D13" s="423"/>
      <c r="E13" s="423"/>
      <c r="F13" s="423"/>
      <c r="G13" s="423"/>
      <c r="H13" s="423"/>
      <c r="I13" s="423"/>
      <c r="J13" s="423"/>
      <c r="K13" s="423"/>
    </row>
    <row r="14" spans="1:31" ht="14.25" x14ac:dyDescent="0.2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</row>
    <row r="15" spans="1:31" ht="18" x14ac:dyDescent="0.25">
      <c r="A15" s="424" t="s">
        <v>2458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</row>
    <row r="16" spans="1:31" x14ac:dyDescent="0.2">
      <c r="A16" s="425" t="s">
        <v>378</v>
      </c>
      <c r="B16" s="426"/>
      <c r="C16" s="426"/>
      <c r="D16" s="426"/>
      <c r="E16" s="426"/>
      <c r="F16" s="426"/>
      <c r="G16" s="426"/>
      <c r="H16" s="426"/>
      <c r="I16" s="426"/>
      <c r="J16" s="426"/>
      <c r="K16" s="426"/>
    </row>
    <row r="17" spans="1:31" ht="14.25" x14ac:dyDescent="0.2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</row>
    <row r="18" spans="1:31" ht="14.25" x14ac:dyDescent="0.2">
      <c r="A18" s="421" t="s">
        <v>2459</v>
      </c>
      <c r="B18" s="421"/>
      <c r="C18" s="421"/>
      <c r="D18" s="421"/>
      <c r="E18" s="421"/>
      <c r="F18" s="421"/>
      <c r="G18" s="421"/>
      <c r="H18" s="421"/>
      <c r="I18" s="421"/>
      <c r="J18" s="421"/>
      <c r="K18" s="421"/>
    </row>
    <row r="19" spans="1:31" ht="14.25" x14ac:dyDescent="0.2">
      <c r="A19" s="193"/>
      <c r="B19" s="193"/>
      <c r="C19" s="193"/>
      <c r="D19" s="193"/>
      <c r="E19" s="193"/>
      <c r="F19" s="193"/>
      <c r="G19" s="193"/>
      <c r="H19" s="193"/>
      <c r="I19" s="193"/>
      <c r="J19" s="193"/>
      <c r="K19" s="193"/>
    </row>
    <row r="20" spans="1:31" ht="28.5" x14ac:dyDescent="0.2">
      <c r="A20" s="161"/>
      <c r="B20" s="161"/>
      <c r="C20" s="161"/>
      <c r="D20" s="161"/>
      <c r="E20" s="161"/>
      <c r="F20" s="161"/>
      <c r="G20" s="161"/>
      <c r="H20" s="161"/>
      <c r="I20" s="192" t="s">
        <v>377</v>
      </c>
      <c r="J20" s="192" t="s">
        <v>376</v>
      </c>
      <c r="K20" s="161"/>
    </row>
    <row r="21" spans="1:31" ht="15" x14ac:dyDescent="0.25">
      <c r="A21" s="161"/>
      <c r="B21" s="161"/>
      <c r="C21" s="161"/>
      <c r="D21" s="161"/>
      <c r="E21" s="161"/>
      <c r="F21" s="427" t="s">
        <v>375</v>
      </c>
      <c r="G21" s="427"/>
      <c r="H21" s="427"/>
      <c r="I21" s="191">
        <v>3015.08</v>
      </c>
      <c r="J21" s="191">
        <v>42577.79</v>
      </c>
      <c r="K21" s="190" t="s">
        <v>366</v>
      </c>
    </row>
    <row r="22" spans="1:31" ht="14.25" x14ac:dyDescent="0.2">
      <c r="A22" s="161"/>
      <c r="B22" s="161"/>
      <c r="C22" s="161"/>
      <c r="D22" s="161"/>
      <c r="E22" s="161"/>
      <c r="F22" s="418" t="s">
        <v>374</v>
      </c>
      <c r="G22" s="418"/>
      <c r="H22" s="418"/>
      <c r="I22" s="186">
        <v>2956.34</v>
      </c>
      <c r="J22" s="186">
        <v>42349.69</v>
      </c>
      <c r="K22" s="161" t="s">
        <v>366</v>
      </c>
    </row>
    <row r="23" spans="1:31" ht="14.25" x14ac:dyDescent="0.2">
      <c r="A23" s="161"/>
      <c r="B23" s="161"/>
      <c r="C23" s="161"/>
      <c r="D23" s="161"/>
      <c r="E23" s="161"/>
      <c r="F23" s="418" t="s">
        <v>373</v>
      </c>
      <c r="G23" s="418"/>
      <c r="H23" s="418"/>
      <c r="I23" s="186">
        <v>0</v>
      </c>
      <c r="J23" s="186">
        <v>0</v>
      </c>
      <c r="K23" s="161" t="s">
        <v>366</v>
      </c>
    </row>
    <row r="24" spans="1:31" ht="14.25" x14ac:dyDescent="0.2">
      <c r="A24" s="161"/>
      <c r="B24" s="161"/>
      <c r="C24" s="161"/>
      <c r="D24" s="161"/>
      <c r="E24" s="161"/>
      <c r="F24" s="418" t="s">
        <v>106</v>
      </c>
      <c r="G24" s="418"/>
      <c r="H24" s="418"/>
      <c r="I24" s="186">
        <v>0</v>
      </c>
      <c r="J24" s="186">
        <v>0</v>
      </c>
      <c r="K24" s="161" t="s">
        <v>366</v>
      </c>
    </row>
    <row r="25" spans="1:31" ht="14.25" x14ac:dyDescent="0.2">
      <c r="A25" s="161"/>
      <c r="B25" s="161"/>
      <c r="C25" s="161"/>
      <c r="D25" s="161"/>
      <c r="E25" s="161"/>
      <c r="F25" s="418" t="s">
        <v>372</v>
      </c>
      <c r="G25" s="418"/>
      <c r="H25" s="418"/>
      <c r="I25" s="186">
        <v>58.74</v>
      </c>
      <c r="J25" s="186">
        <v>228.1</v>
      </c>
      <c r="K25" s="161" t="s">
        <v>366</v>
      </c>
    </row>
    <row r="26" spans="1:31" ht="14.25" x14ac:dyDescent="0.2">
      <c r="A26" s="161"/>
      <c r="B26" s="161"/>
      <c r="C26" s="161"/>
      <c r="D26" s="161"/>
      <c r="E26" s="161"/>
      <c r="F26" s="418" t="s">
        <v>371</v>
      </c>
      <c r="G26" s="418"/>
      <c r="H26" s="418"/>
      <c r="I26" s="186">
        <v>689.36</v>
      </c>
      <c r="J26" s="186">
        <v>16096.63</v>
      </c>
      <c r="K26" s="161" t="s">
        <v>366</v>
      </c>
    </row>
    <row r="27" spans="1:31" ht="14.25" x14ac:dyDescent="0.2">
      <c r="A27" s="161"/>
      <c r="B27" s="161"/>
      <c r="C27" s="161"/>
      <c r="D27" s="161"/>
      <c r="E27" s="161"/>
      <c r="F27" s="418" t="s">
        <v>370</v>
      </c>
      <c r="G27" s="418"/>
      <c r="H27" s="418"/>
      <c r="I27" s="186">
        <v>13558.98</v>
      </c>
      <c r="J27" s="186"/>
      <c r="K27" s="161" t="s">
        <v>369</v>
      </c>
    </row>
    <row r="28" spans="1:31" ht="14.25" x14ac:dyDescent="0.2">
      <c r="A28" s="161"/>
      <c r="B28" s="161"/>
      <c r="C28" s="161"/>
      <c r="D28" s="161"/>
      <c r="E28" s="161"/>
      <c r="F28" s="188" t="s">
        <v>368</v>
      </c>
      <c r="G28" s="188"/>
      <c r="H28" s="188"/>
      <c r="I28" s="186"/>
      <c r="J28" s="186"/>
      <c r="K28" s="161"/>
    </row>
    <row r="29" spans="1:31" ht="14.25" x14ac:dyDescent="0.2">
      <c r="A29" s="161"/>
      <c r="B29" s="161"/>
      <c r="C29" s="161"/>
      <c r="D29" s="161"/>
      <c r="E29" s="161"/>
      <c r="F29" s="419" t="s">
        <v>367</v>
      </c>
      <c r="G29" s="420"/>
      <c r="H29" s="420"/>
      <c r="I29" s="186">
        <v>0.8</v>
      </c>
      <c r="J29" s="186">
        <v>3.55</v>
      </c>
      <c r="K29" s="161" t="s">
        <v>366</v>
      </c>
    </row>
    <row r="30" spans="1:31" ht="14.25" x14ac:dyDescent="0.2">
      <c r="A30" s="161"/>
      <c r="B30" s="161"/>
      <c r="C30" s="161"/>
      <c r="D30" s="161"/>
      <c r="E30" s="161"/>
      <c r="F30" s="187"/>
      <c r="G30" s="187"/>
      <c r="H30" s="187"/>
      <c r="I30" s="186"/>
      <c r="J30" s="186"/>
      <c r="K30" s="161"/>
    </row>
    <row r="31" spans="1:31" ht="14.25" x14ac:dyDescent="0.2">
      <c r="A31" s="161" t="s">
        <v>365</v>
      </c>
      <c r="B31" s="161"/>
      <c r="C31" s="161"/>
      <c r="D31" s="161"/>
      <c r="E31" s="161"/>
      <c r="F31" s="187"/>
      <c r="G31" s="187"/>
      <c r="H31" s="187"/>
      <c r="I31" s="186"/>
      <c r="J31" s="186"/>
      <c r="K31" s="161"/>
    </row>
    <row r="32" spans="1:31" ht="28.5" x14ac:dyDescent="0.2">
      <c r="A32" s="421" t="s">
        <v>364</v>
      </c>
      <c r="B32" s="421"/>
      <c r="C32" s="421"/>
      <c r="D32" s="421"/>
      <c r="E32" s="421"/>
      <c r="F32" s="421"/>
      <c r="G32" s="421"/>
      <c r="H32" s="421"/>
      <c r="I32" s="421"/>
      <c r="J32" s="421"/>
      <c r="K32" s="421"/>
      <c r="AE32" s="185" t="s">
        <v>364</v>
      </c>
    </row>
    <row r="33" spans="1:22" ht="85.5" x14ac:dyDescent="0.2">
      <c r="A33" s="183" t="s">
        <v>81</v>
      </c>
      <c r="B33" s="183" t="s">
        <v>363</v>
      </c>
      <c r="C33" s="183" t="s">
        <v>83</v>
      </c>
      <c r="D33" s="183" t="s">
        <v>362</v>
      </c>
      <c r="E33" s="183" t="s">
        <v>361</v>
      </c>
      <c r="F33" s="183" t="s">
        <v>360</v>
      </c>
      <c r="G33" s="184" t="s">
        <v>359</v>
      </c>
      <c r="H33" s="184" t="s">
        <v>358</v>
      </c>
      <c r="I33" s="183" t="s">
        <v>357</v>
      </c>
      <c r="J33" s="183" t="s">
        <v>356</v>
      </c>
      <c r="K33" s="183" t="s">
        <v>355</v>
      </c>
    </row>
    <row r="34" spans="1:22" ht="14.25" x14ac:dyDescent="0.2">
      <c r="A34" s="183">
        <v>1</v>
      </c>
      <c r="B34" s="183">
        <v>2</v>
      </c>
      <c r="C34" s="183">
        <v>3</v>
      </c>
      <c r="D34" s="183">
        <v>4</v>
      </c>
      <c r="E34" s="183">
        <v>5</v>
      </c>
      <c r="F34" s="183">
        <v>6</v>
      </c>
      <c r="G34" s="183">
        <v>7</v>
      </c>
      <c r="H34" s="183">
        <v>8</v>
      </c>
      <c r="I34" s="183">
        <v>9</v>
      </c>
      <c r="J34" s="183">
        <v>10</v>
      </c>
      <c r="K34" s="183">
        <v>11</v>
      </c>
    </row>
    <row r="36" spans="1:22" ht="16.5" x14ac:dyDescent="0.25">
      <c r="A36" s="413" t="s">
        <v>2460</v>
      </c>
      <c r="B36" s="413"/>
      <c r="C36" s="413"/>
      <c r="D36" s="413"/>
      <c r="E36" s="413"/>
      <c r="F36" s="413"/>
      <c r="G36" s="413"/>
      <c r="H36" s="413"/>
      <c r="I36" s="413"/>
      <c r="J36" s="413"/>
      <c r="K36" s="413"/>
    </row>
    <row r="38" spans="1:22" ht="16.5" x14ac:dyDescent="0.25">
      <c r="A38" s="413" t="s">
        <v>2461</v>
      </c>
      <c r="B38" s="413"/>
      <c r="C38" s="413"/>
      <c r="D38" s="413"/>
      <c r="E38" s="413"/>
      <c r="F38" s="413"/>
      <c r="G38" s="413"/>
      <c r="H38" s="413"/>
      <c r="I38" s="413"/>
      <c r="J38" s="413"/>
      <c r="K38" s="413"/>
    </row>
    <row r="39" spans="1:22" ht="114" x14ac:dyDescent="0.2">
      <c r="A39" s="179" t="s">
        <v>719</v>
      </c>
      <c r="B39" s="178" t="s">
        <v>1948</v>
      </c>
      <c r="C39" s="178" t="s">
        <v>698</v>
      </c>
      <c r="D39" s="177" t="s">
        <v>1949</v>
      </c>
      <c r="E39" s="174">
        <v>66.78</v>
      </c>
      <c r="F39" s="176"/>
      <c r="G39" s="175"/>
      <c r="H39" s="174"/>
      <c r="I39" s="173"/>
      <c r="J39" s="174"/>
      <c r="K39" s="173"/>
      <c r="Q39" s="160">
        <f>[7]Source!X32</f>
        <v>5785.29</v>
      </c>
      <c r="R39" s="160">
        <f>[7]Source!X33</f>
        <v>108366.08</v>
      </c>
      <c r="S39" s="160">
        <f>[7]Source!Y32</f>
        <v>4450.22</v>
      </c>
      <c r="T39" s="160">
        <f>[7]Source!Y33</f>
        <v>60863.14</v>
      </c>
      <c r="U39" s="160">
        <f>ROUND((175/100)*ROUND([7]Source!R32, 2), 2)</f>
        <v>0</v>
      </c>
      <c r="V39" s="160">
        <f>ROUND((157/100)*ROUND([7]Source!R33, 2), 2)</f>
        <v>0</v>
      </c>
    </row>
    <row r="40" spans="1:22" ht="14.25" x14ac:dyDescent="0.2">
      <c r="A40" s="179"/>
      <c r="B40" s="178"/>
      <c r="C40" s="178" t="s">
        <v>197</v>
      </c>
      <c r="D40" s="177"/>
      <c r="E40" s="174"/>
      <c r="F40" s="176">
        <v>95.2</v>
      </c>
      <c r="G40" s="175" t="s">
        <v>195</v>
      </c>
      <c r="H40" s="174">
        <v>1</v>
      </c>
      <c r="I40" s="173">
        <v>6357.46</v>
      </c>
      <c r="J40" s="174">
        <v>23.35</v>
      </c>
      <c r="K40" s="173">
        <v>148446.69</v>
      </c>
    </row>
    <row r="41" spans="1:22" ht="14.25" x14ac:dyDescent="0.2">
      <c r="A41" s="179" t="s">
        <v>1531</v>
      </c>
      <c r="B41" s="178" t="s">
        <v>1950</v>
      </c>
      <c r="C41" s="178" t="s">
        <v>351</v>
      </c>
      <c r="D41" s="177" t="s">
        <v>1533</v>
      </c>
      <c r="E41" s="174">
        <v>-61.437600000000003</v>
      </c>
      <c r="F41" s="176">
        <v>0</v>
      </c>
      <c r="G41" s="182" t="s">
        <v>195</v>
      </c>
      <c r="H41" s="174">
        <v>1</v>
      </c>
      <c r="I41" s="173">
        <v>0</v>
      </c>
      <c r="J41" s="174">
        <v>1</v>
      </c>
      <c r="K41" s="173">
        <v>0</v>
      </c>
      <c r="Q41" s="160">
        <f>[7]Source!X34</f>
        <v>0</v>
      </c>
      <c r="R41" s="160">
        <f>[7]Source!X35</f>
        <v>0</v>
      </c>
      <c r="S41" s="160">
        <f>[7]Source!Y34</f>
        <v>0</v>
      </c>
      <c r="T41" s="160">
        <f>[7]Source!Y35</f>
        <v>0</v>
      </c>
      <c r="U41" s="160">
        <f>ROUND((175/100)*ROUND([7]Source!R34, 2), 2)</f>
        <v>0</v>
      </c>
      <c r="V41" s="160">
        <f>ROUND((157/100)*ROUND([7]Source!R35, 2), 2)</f>
        <v>0</v>
      </c>
    </row>
    <row r="42" spans="1:22" ht="14.25" x14ac:dyDescent="0.2">
      <c r="A42" s="179"/>
      <c r="B42" s="178"/>
      <c r="C42" s="178" t="s">
        <v>194</v>
      </c>
      <c r="D42" s="177" t="s">
        <v>187</v>
      </c>
      <c r="E42" s="174">
        <v>91</v>
      </c>
      <c r="F42" s="176"/>
      <c r="G42" s="175"/>
      <c r="H42" s="174"/>
      <c r="I42" s="173">
        <v>5785.29</v>
      </c>
      <c r="J42" s="174">
        <v>73</v>
      </c>
      <c r="K42" s="173">
        <v>108366.08</v>
      </c>
    </row>
    <row r="43" spans="1:22" ht="14.25" x14ac:dyDescent="0.2">
      <c r="A43" s="172"/>
      <c r="B43" s="171"/>
      <c r="C43" s="171" t="s">
        <v>193</v>
      </c>
      <c r="D43" s="170" t="s">
        <v>187</v>
      </c>
      <c r="E43" s="167">
        <v>70</v>
      </c>
      <c r="F43" s="169"/>
      <c r="G43" s="168"/>
      <c r="H43" s="167"/>
      <c r="I43" s="166">
        <v>4450.22</v>
      </c>
      <c r="J43" s="167">
        <v>41</v>
      </c>
      <c r="K43" s="166">
        <v>60863.14</v>
      </c>
    </row>
    <row r="44" spans="1:22" ht="15" x14ac:dyDescent="0.25">
      <c r="A44" s="164"/>
      <c r="B44" s="164"/>
      <c r="C44" s="165" t="s">
        <v>183</v>
      </c>
      <c r="D44" s="164"/>
      <c r="E44" s="164"/>
      <c r="F44" s="164"/>
      <c r="G44" s="164"/>
      <c r="H44" s="414">
        <v>16592.97</v>
      </c>
      <c r="I44" s="414"/>
      <c r="J44" s="414">
        <v>317675.90999999997</v>
      </c>
      <c r="K44" s="414"/>
      <c r="O44" s="163">
        <f>I40+I42+I43+SUM(I41:I41)</f>
        <v>16592.97</v>
      </c>
      <c r="P44" s="163">
        <f>K40+K42+K43+SUM(K41:K41)</f>
        <v>317675.90999999997</v>
      </c>
    </row>
    <row r="46" spans="1:22" ht="71.25" x14ac:dyDescent="0.2">
      <c r="A46" s="179" t="s">
        <v>1534</v>
      </c>
      <c r="B46" s="178" t="s">
        <v>1955</v>
      </c>
      <c r="C46" s="178" t="s">
        <v>697</v>
      </c>
      <c r="D46" s="177" t="s">
        <v>1956</v>
      </c>
      <c r="E46" s="174">
        <v>522.72</v>
      </c>
      <c r="F46" s="176"/>
      <c r="G46" s="175"/>
      <c r="H46" s="174"/>
      <c r="I46" s="173"/>
      <c r="J46" s="174"/>
      <c r="K46" s="173"/>
      <c r="Q46" s="160">
        <f>[7]Source!X36</f>
        <v>13063.82</v>
      </c>
      <c r="R46" s="160">
        <f>[7]Source!X37</f>
        <v>244032.16</v>
      </c>
      <c r="S46" s="160">
        <f>[7]Source!Y36</f>
        <v>10094.77</v>
      </c>
      <c r="T46" s="160">
        <f>[7]Source!Y37</f>
        <v>113696.8</v>
      </c>
      <c r="U46" s="160">
        <f>ROUND((175/100)*ROUND([7]Source!R36, 2), 2)</f>
        <v>0</v>
      </c>
      <c r="V46" s="160">
        <f>ROUND((157/100)*ROUND([7]Source!R37, 2), 2)</f>
        <v>0</v>
      </c>
    </row>
    <row r="47" spans="1:22" x14ac:dyDescent="0.2">
      <c r="C47" s="181" t="s">
        <v>2462</v>
      </c>
    </row>
    <row r="48" spans="1:22" ht="14.25" x14ac:dyDescent="0.2">
      <c r="A48" s="179"/>
      <c r="B48" s="178"/>
      <c r="C48" s="178" t="s">
        <v>197</v>
      </c>
      <c r="D48" s="177"/>
      <c r="E48" s="174"/>
      <c r="F48" s="176">
        <v>22.72</v>
      </c>
      <c r="G48" s="175" t="s">
        <v>195</v>
      </c>
      <c r="H48" s="174">
        <v>1</v>
      </c>
      <c r="I48" s="173">
        <v>11876.2</v>
      </c>
      <c r="J48" s="174">
        <v>23.35</v>
      </c>
      <c r="K48" s="173">
        <v>277309.27</v>
      </c>
    </row>
    <row r="49" spans="1:22" ht="14.25" x14ac:dyDescent="0.2">
      <c r="A49" s="179"/>
      <c r="B49" s="178"/>
      <c r="C49" s="178" t="s">
        <v>194</v>
      </c>
      <c r="D49" s="177" t="s">
        <v>187</v>
      </c>
      <c r="E49" s="174">
        <v>110</v>
      </c>
      <c r="F49" s="176"/>
      <c r="G49" s="175"/>
      <c r="H49" s="174"/>
      <c r="I49" s="173">
        <v>13063.82</v>
      </c>
      <c r="J49" s="174">
        <v>88</v>
      </c>
      <c r="K49" s="173">
        <v>244032.16</v>
      </c>
    </row>
    <row r="50" spans="1:22" ht="14.25" x14ac:dyDescent="0.2">
      <c r="A50" s="172"/>
      <c r="B50" s="171"/>
      <c r="C50" s="171" t="s">
        <v>193</v>
      </c>
      <c r="D50" s="170" t="s">
        <v>187</v>
      </c>
      <c r="E50" s="167">
        <v>85</v>
      </c>
      <c r="F50" s="169"/>
      <c r="G50" s="168"/>
      <c r="H50" s="167"/>
      <c r="I50" s="166">
        <v>10094.77</v>
      </c>
      <c r="J50" s="167">
        <v>41</v>
      </c>
      <c r="K50" s="166">
        <v>113696.8</v>
      </c>
    </row>
    <row r="51" spans="1:22" ht="15" x14ac:dyDescent="0.25">
      <c r="A51" s="164"/>
      <c r="B51" s="164"/>
      <c r="C51" s="165" t="s">
        <v>183</v>
      </c>
      <c r="D51" s="164"/>
      <c r="E51" s="164"/>
      <c r="F51" s="164"/>
      <c r="G51" s="164"/>
      <c r="H51" s="414">
        <v>35034.79</v>
      </c>
      <c r="I51" s="414"/>
      <c r="J51" s="414">
        <v>635038.23</v>
      </c>
      <c r="K51" s="414"/>
      <c r="O51" s="163">
        <f>I48+I49+I50</f>
        <v>35034.79</v>
      </c>
      <c r="P51" s="163">
        <f>K48+K49+K50</f>
        <v>635038.23</v>
      </c>
    </row>
    <row r="53" spans="1:22" ht="71.25" x14ac:dyDescent="0.2">
      <c r="A53" s="179" t="s">
        <v>104</v>
      </c>
      <c r="B53" s="178" t="s">
        <v>1955</v>
      </c>
      <c r="C53" s="178" t="s">
        <v>469</v>
      </c>
      <c r="D53" s="177" t="s">
        <v>1956</v>
      </c>
      <c r="E53" s="174">
        <v>1162.8800000000001</v>
      </c>
      <c r="F53" s="176"/>
      <c r="G53" s="175"/>
      <c r="H53" s="174"/>
      <c r="I53" s="173"/>
      <c r="J53" s="174"/>
      <c r="K53" s="173"/>
      <c r="Q53" s="160">
        <f>[7]Source!X38</f>
        <v>29062.69</v>
      </c>
      <c r="R53" s="160">
        <f>[7]Source!X39</f>
        <v>542891.1</v>
      </c>
      <c r="S53" s="160">
        <f>[7]Source!Y38</f>
        <v>22457.54</v>
      </c>
      <c r="T53" s="160">
        <f>[7]Source!Y39</f>
        <v>252937.9</v>
      </c>
      <c r="U53" s="160">
        <f>ROUND((175/100)*ROUND([7]Source!R38, 2), 2)</f>
        <v>0</v>
      </c>
      <c r="V53" s="160">
        <f>ROUND((157/100)*ROUND([7]Source!R39, 2), 2)</f>
        <v>0</v>
      </c>
    </row>
    <row r="54" spans="1:22" ht="14.25" x14ac:dyDescent="0.2">
      <c r="A54" s="179"/>
      <c r="B54" s="178"/>
      <c r="C54" s="178" t="s">
        <v>197</v>
      </c>
      <c r="D54" s="177"/>
      <c r="E54" s="174"/>
      <c r="F54" s="176">
        <v>22.72</v>
      </c>
      <c r="G54" s="175" t="s">
        <v>195</v>
      </c>
      <c r="H54" s="174">
        <v>1</v>
      </c>
      <c r="I54" s="173">
        <v>26420.63</v>
      </c>
      <c r="J54" s="174">
        <v>23.35</v>
      </c>
      <c r="K54" s="173">
        <v>616921.71</v>
      </c>
    </row>
    <row r="55" spans="1:22" ht="14.25" x14ac:dyDescent="0.2">
      <c r="A55" s="179"/>
      <c r="B55" s="178"/>
      <c r="C55" s="178" t="s">
        <v>194</v>
      </c>
      <c r="D55" s="177" t="s">
        <v>187</v>
      </c>
      <c r="E55" s="174">
        <v>110</v>
      </c>
      <c r="F55" s="176"/>
      <c r="G55" s="175"/>
      <c r="H55" s="174"/>
      <c r="I55" s="173">
        <v>29062.69</v>
      </c>
      <c r="J55" s="174">
        <v>88</v>
      </c>
      <c r="K55" s="173">
        <v>542891.1</v>
      </c>
    </row>
    <row r="56" spans="1:22" ht="14.25" x14ac:dyDescent="0.2">
      <c r="A56" s="172"/>
      <c r="B56" s="171"/>
      <c r="C56" s="171" t="s">
        <v>193</v>
      </c>
      <c r="D56" s="170" t="s">
        <v>187</v>
      </c>
      <c r="E56" s="167">
        <v>85</v>
      </c>
      <c r="F56" s="169"/>
      <c r="G56" s="168"/>
      <c r="H56" s="167"/>
      <c r="I56" s="166">
        <v>22457.54</v>
      </c>
      <c r="J56" s="167">
        <v>41</v>
      </c>
      <c r="K56" s="166">
        <v>252937.9</v>
      </c>
    </row>
    <row r="57" spans="1:22" ht="15" x14ac:dyDescent="0.25">
      <c r="A57" s="164"/>
      <c r="B57" s="164"/>
      <c r="C57" s="165" t="s">
        <v>183</v>
      </c>
      <c r="D57" s="164"/>
      <c r="E57" s="164"/>
      <c r="F57" s="164"/>
      <c r="G57" s="164"/>
      <c r="H57" s="414">
        <v>77940.86</v>
      </c>
      <c r="I57" s="414"/>
      <c r="J57" s="414">
        <v>1412750.71</v>
      </c>
      <c r="K57" s="414"/>
      <c r="O57" s="163">
        <f>I54+I55+I56</f>
        <v>77940.86</v>
      </c>
      <c r="P57" s="163">
        <f>K54+K55+K56</f>
        <v>1412750.71</v>
      </c>
    </row>
    <row r="59" spans="1:22" ht="71.25" x14ac:dyDescent="0.2">
      <c r="A59" s="179" t="s">
        <v>1546</v>
      </c>
      <c r="B59" s="178" t="s">
        <v>2463</v>
      </c>
      <c r="C59" s="178" t="s">
        <v>696</v>
      </c>
      <c r="D59" s="177" t="s">
        <v>1956</v>
      </c>
      <c r="E59" s="174">
        <v>1287.29</v>
      </c>
      <c r="F59" s="176"/>
      <c r="G59" s="175"/>
      <c r="H59" s="174"/>
      <c r="I59" s="173"/>
      <c r="J59" s="174"/>
      <c r="K59" s="173"/>
      <c r="Q59" s="160">
        <f>[7]Source!X40</f>
        <v>112785.92</v>
      </c>
      <c r="R59" s="160">
        <f>[7]Source!X41</f>
        <v>2106840.89</v>
      </c>
      <c r="S59" s="160">
        <f>[7]Source!Y40</f>
        <v>87152.75</v>
      </c>
      <c r="T59" s="160">
        <f>[7]Source!Y41</f>
        <v>981596.33</v>
      </c>
      <c r="U59" s="160">
        <f>ROUND((175/100)*ROUND([7]Source!R40, 2), 2)</f>
        <v>0</v>
      </c>
      <c r="V59" s="160">
        <f>ROUND((157/100)*ROUND([7]Source!R41, 2), 2)</f>
        <v>0</v>
      </c>
    </row>
    <row r="60" spans="1:22" ht="14.25" x14ac:dyDescent="0.2">
      <c r="A60" s="179"/>
      <c r="B60" s="178"/>
      <c r="C60" s="178" t="s">
        <v>197</v>
      </c>
      <c r="D60" s="177"/>
      <c r="E60" s="174"/>
      <c r="F60" s="176">
        <v>79.650000000000006</v>
      </c>
      <c r="G60" s="175" t="s">
        <v>195</v>
      </c>
      <c r="H60" s="174">
        <v>1</v>
      </c>
      <c r="I60" s="173">
        <v>102532.65</v>
      </c>
      <c r="J60" s="174">
        <v>23.35</v>
      </c>
      <c r="K60" s="173">
        <v>2394137.38</v>
      </c>
    </row>
    <row r="61" spans="1:22" ht="14.25" x14ac:dyDescent="0.2">
      <c r="A61" s="179"/>
      <c r="B61" s="178"/>
      <c r="C61" s="178" t="s">
        <v>194</v>
      </c>
      <c r="D61" s="177" t="s">
        <v>187</v>
      </c>
      <c r="E61" s="174">
        <v>110</v>
      </c>
      <c r="F61" s="176"/>
      <c r="G61" s="175"/>
      <c r="H61" s="174"/>
      <c r="I61" s="173">
        <v>112785.92</v>
      </c>
      <c r="J61" s="174">
        <v>88</v>
      </c>
      <c r="K61" s="173">
        <v>2106840.89</v>
      </c>
    </row>
    <row r="62" spans="1:22" ht="14.25" x14ac:dyDescent="0.2">
      <c r="A62" s="172"/>
      <c r="B62" s="171"/>
      <c r="C62" s="171" t="s">
        <v>193</v>
      </c>
      <c r="D62" s="170" t="s">
        <v>187</v>
      </c>
      <c r="E62" s="167">
        <v>85</v>
      </c>
      <c r="F62" s="169"/>
      <c r="G62" s="168"/>
      <c r="H62" s="167"/>
      <c r="I62" s="166">
        <v>87152.75</v>
      </c>
      <c r="J62" s="167">
        <v>41</v>
      </c>
      <c r="K62" s="166">
        <v>981596.33</v>
      </c>
    </row>
    <row r="63" spans="1:22" ht="15" x14ac:dyDescent="0.25">
      <c r="A63" s="164"/>
      <c r="B63" s="164"/>
      <c r="C63" s="165" t="s">
        <v>183</v>
      </c>
      <c r="D63" s="164"/>
      <c r="E63" s="164"/>
      <c r="F63" s="164"/>
      <c r="G63" s="164"/>
      <c r="H63" s="414">
        <v>302471.32</v>
      </c>
      <c r="I63" s="414"/>
      <c r="J63" s="414">
        <v>5482574.5999999996</v>
      </c>
      <c r="K63" s="414"/>
      <c r="O63" s="163">
        <f>I60+I61+I62</f>
        <v>302471.32</v>
      </c>
      <c r="P63" s="163">
        <f>K60+K61+K62</f>
        <v>5482574.5999999996</v>
      </c>
    </row>
    <row r="65" spans="1:22" ht="57" x14ac:dyDescent="0.2">
      <c r="A65" s="179" t="s">
        <v>105</v>
      </c>
      <c r="B65" s="178" t="s">
        <v>2464</v>
      </c>
      <c r="C65" s="178" t="s">
        <v>695</v>
      </c>
      <c r="D65" s="177" t="s">
        <v>2465</v>
      </c>
      <c r="E65" s="174">
        <v>2450.17</v>
      </c>
      <c r="F65" s="176"/>
      <c r="G65" s="175"/>
      <c r="H65" s="174"/>
      <c r="I65" s="173"/>
      <c r="J65" s="174"/>
      <c r="K65" s="173"/>
      <c r="Q65" s="160">
        <f>[7]Source!X44</f>
        <v>152466.73000000001</v>
      </c>
      <c r="R65" s="160">
        <f>[7]Source!X45</f>
        <v>2848078.55</v>
      </c>
      <c r="S65" s="160">
        <f>[7]Source!Y44</f>
        <v>117815.2</v>
      </c>
      <c r="T65" s="160">
        <f>[7]Source!Y45</f>
        <v>1326945.69</v>
      </c>
      <c r="U65" s="160">
        <f>ROUND((175/100)*ROUND([7]Source!R44, 2), 2)</f>
        <v>0</v>
      </c>
      <c r="V65" s="160">
        <f>ROUND((157/100)*ROUND([7]Source!R45, 2), 2)</f>
        <v>0</v>
      </c>
    </row>
    <row r="66" spans="1:22" ht="14.25" x14ac:dyDescent="0.2">
      <c r="A66" s="179"/>
      <c r="B66" s="178"/>
      <c r="C66" s="178" t="s">
        <v>197</v>
      </c>
      <c r="D66" s="177"/>
      <c r="E66" s="174"/>
      <c r="F66" s="176">
        <v>56.57</v>
      </c>
      <c r="G66" s="175" t="s">
        <v>195</v>
      </c>
      <c r="H66" s="174">
        <v>1</v>
      </c>
      <c r="I66" s="173">
        <v>138606.12</v>
      </c>
      <c r="J66" s="174">
        <v>23.35</v>
      </c>
      <c r="K66" s="173">
        <v>3236452.9</v>
      </c>
    </row>
    <row r="67" spans="1:22" ht="14.25" x14ac:dyDescent="0.2">
      <c r="A67" s="179"/>
      <c r="B67" s="178"/>
      <c r="C67" s="178" t="s">
        <v>205</v>
      </c>
      <c r="D67" s="177"/>
      <c r="E67" s="174"/>
      <c r="F67" s="176">
        <v>164.97</v>
      </c>
      <c r="G67" s="175" t="s">
        <v>195</v>
      </c>
      <c r="H67" s="174">
        <v>1</v>
      </c>
      <c r="I67" s="173">
        <v>404204.54</v>
      </c>
      <c r="J67" s="174">
        <v>3.66</v>
      </c>
      <c r="K67" s="173">
        <v>1479388.62</v>
      </c>
    </row>
    <row r="68" spans="1:22" ht="14.25" x14ac:dyDescent="0.2">
      <c r="A68" s="179"/>
      <c r="B68" s="178"/>
      <c r="C68" s="178" t="s">
        <v>194</v>
      </c>
      <c r="D68" s="177" t="s">
        <v>187</v>
      </c>
      <c r="E68" s="174">
        <v>110</v>
      </c>
      <c r="F68" s="176"/>
      <c r="G68" s="175"/>
      <c r="H68" s="174"/>
      <c r="I68" s="173">
        <v>152466.73000000001</v>
      </c>
      <c r="J68" s="174">
        <v>88</v>
      </c>
      <c r="K68" s="173">
        <v>2848078.55</v>
      </c>
    </row>
    <row r="69" spans="1:22" ht="14.25" x14ac:dyDescent="0.2">
      <c r="A69" s="172"/>
      <c r="B69" s="171"/>
      <c r="C69" s="171" t="s">
        <v>193</v>
      </c>
      <c r="D69" s="170" t="s">
        <v>187</v>
      </c>
      <c r="E69" s="167">
        <v>85</v>
      </c>
      <c r="F69" s="169"/>
      <c r="G69" s="168"/>
      <c r="H69" s="167"/>
      <c r="I69" s="166">
        <v>117815.2</v>
      </c>
      <c r="J69" s="167">
        <v>41</v>
      </c>
      <c r="K69" s="166">
        <v>1326945.69</v>
      </c>
    </row>
    <row r="70" spans="1:22" ht="15" x14ac:dyDescent="0.25">
      <c r="A70" s="164"/>
      <c r="B70" s="164"/>
      <c r="C70" s="165" t="s">
        <v>183</v>
      </c>
      <c r="D70" s="164"/>
      <c r="E70" s="164"/>
      <c r="F70" s="164"/>
      <c r="G70" s="164"/>
      <c r="H70" s="414">
        <v>813092.59</v>
      </c>
      <c r="I70" s="414"/>
      <c r="J70" s="414">
        <v>8890865.7599999998</v>
      </c>
      <c r="K70" s="414"/>
      <c r="O70" s="163">
        <f>I66+I67+I68+I69</f>
        <v>813092.59</v>
      </c>
      <c r="P70" s="163">
        <f>K66+K67+K68+K69</f>
        <v>8890865.7599999998</v>
      </c>
    </row>
    <row r="72" spans="1:22" ht="171" x14ac:dyDescent="0.2">
      <c r="A72" s="179" t="s">
        <v>1565</v>
      </c>
      <c r="B72" s="178" t="s">
        <v>2466</v>
      </c>
      <c r="C72" s="178" t="s">
        <v>694</v>
      </c>
      <c r="D72" s="177" t="s">
        <v>1965</v>
      </c>
      <c r="E72" s="174">
        <v>231.74</v>
      </c>
      <c r="F72" s="176"/>
      <c r="G72" s="175"/>
      <c r="H72" s="174"/>
      <c r="I72" s="173"/>
      <c r="J72" s="174"/>
      <c r="K72" s="173"/>
      <c r="Q72" s="160">
        <f>[7]Source!X52</f>
        <v>36520.78</v>
      </c>
      <c r="R72" s="160">
        <f>[7]Source!X53</f>
        <v>684082.45</v>
      </c>
      <c r="S72" s="160">
        <f>[7]Source!Y52</f>
        <v>28092.91</v>
      </c>
      <c r="T72" s="160">
        <f>[7]Source!Y53</f>
        <v>384210.69</v>
      </c>
      <c r="U72" s="160">
        <f>ROUND((175/100)*ROUND([7]Source!R52, 2), 2)</f>
        <v>0</v>
      </c>
      <c r="V72" s="160">
        <f>ROUND((157/100)*ROUND([7]Source!R53, 2), 2)</f>
        <v>0</v>
      </c>
    </row>
    <row r="73" spans="1:22" ht="14.25" x14ac:dyDescent="0.2">
      <c r="A73" s="179"/>
      <c r="B73" s="178"/>
      <c r="C73" s="178" t="s">
        <v>197</v>
      </c>
      <c r="D73" s="177"/>
      <c r="E73" s="174"/>
      <c r="F73" s="176">
        <v>173.18</v>
      </c>
      <c r="G73" s="175" t="s">
        <v>195</v>
      </c>
      <c r="H73" s="174">
        <v>1</v>
      </c>
      <c r="I73" s="173">
        <v>40132.730000000003</v>
      </c>
      <c r="J73" s="174">
        <v>23.35</v>
      </c>
      <c r="K73" s="173">
        <v>937099.25</v>
      </c>
    </row>
    <row r="74" spans="1:22" ht="14.25" x14ac:dyDescent="0.2">
      <c r="A74" s="179"/>
      <c r="B74" s="178"/>
      <c r="C74" s="178" t="s">
        <v>205</v>
      </c>
      <c r="D74" s="177"/>
      <c r="E74" s="174"/>
      <c r="F74" s="176">
        <v>27.48</v>
      </c>
      <c r="G74" s="175" t="s">
        <v>195</v>
      </c>
      <c r="H74" s="174">
        <v>1</v>
      </c>
      <c r="I74" s="173">
        <v>6368.22</v>
      </c>
      <c r="J74" s="174">
        <v>7.5</v>
      </c>
      <c r="K74" s="173">
        <v>47761.65</v>
      </c>
    </row>
    <row r="75" spans="1:22" ht="28.5" x14ac:dyDescent="0.2">
      <c r="A75" s="179" t="s">
        <v>1568</v>
      </c>
      <c r="B75" s="178" t="s">
        <v>1966</v>
      </c>
      <c r="C75" s="178" t="s">
        <v>464</v>
      </c>
      <c r="D75" s="177" t="s">
        <v>1661</v>
      </c>
      <c r="E75" s="174">
        <v>17843.98</v>
      </c>
      <c r="F75" s="176">
        <v>4.91</v>
      </c>
      <c r="G75" s="182" t="s">
        <v>195</v>
      </c>
      <c r="H75" s="174">
        <v>1</v>
      </c>
      <c r="I75" s="173">
        <v>87613.94</v>
      </c>
      <c r="J75" s="174">
        <v>12.15</v>
      </c>
      <c r="K75" s="173">
        <v>1064509.3700000001</v>
      </c>
      <c r="Q75" s="160">
        <f>[7]Source!X54</f>
        <v>0</v>
      </c>
      <c r="R75" s="160">
        <f>[7]Source!X55</f>
        <v>0</v>
      </c>
      <c r="S75" s="160">
        <f>[7]Source!Y54</f>
        <v>0</v>
      </c>
      <c r="T75" s="160">
        <f>[7]Source!Y55</f>
        <v>0</v>
      </c>
      <c r="U75" s="160">
        <f>ROUND((175/100)*ROUND([7]Source!R54, 2), 2)</f>
        <v>0</v>
      </c>
      <c r="V75" s="160">
        <f>ROUND((157/100)*ROUND([7]Source!R55, 2), 2)</f>
        <v>0</v>
      </c>
    </row>
    <row r="76" spans="1:22" ht="28.5" x14ac:dyDescent="0.2">
      <c r="A76" s="179" t="s">
        <v>1570</v>
      </c>
      <c r="B76" s="178" t="s">
        <v>1598</v>
      </c>
      <c r="C76" s="178" t="s">
        <v>272</v>
      </c>
      <c r="D76" s="177" t="s">
        <v>1594</v>
      </c>
      <c r="E76" s="174">
        <v>29.430980000000002</v>
      </c>
      <c r="F76" s="176">
        <v>481.69</v>
      </c>
      <c r="G76" s="182" t="s">
        <v>195</v>
      </c>
      <c r="H76" s="174">
        <v>1</v>
      </c>
      <c r="I76" s="173">
        <v>14176.61</v>
      </c>
      <c r="J76" s="174">
        <v>6.45</v>
      </c>
      <c r="K76" s="173">
        <v>91439.13</v>
      </c>
      <c r="Q76" s="160">
        <f>[7]Source!X56</f>
        <v>0</v>
      </c>
      <c r="R76" s="160">
        <f>[7]Source!X57</f>
        <v>0</v>
      </c>
      <c r="S76" s="160">
        <f>[7]Source!Y56</f>
        <v>0</v>
      </c>
      <c r="T76" s="160">
        <f>[7]Source!Y57</f>
        <v>0</v>
      </c>
      <c r="U76" s="160">
        <f>ROUND((175/100)*ROUND([7]Source!R56, 2), 2)</f>
        <v>0</v>
      </c>
      <c r="V76" s="160">
        <f>ROUND((157/100)*ROUND([7]Source!R57, 2), 2)</f>
        <v>0</v>
      </c>
    </row>
    <row r="77" spans="1:22" ht="28.5" x14ac:dyDescent="0.2">
      <c r="A77" s="179" t="s">
        <v>2467</v>
      </c>
      <c r="B77" s="178" t="s">
        <v>1532</v>
      </c>
      <c r="C77" s="178" t="s">
        <v>351</v>
      </c>
      <c r="D77" s="177" t="s">
        <v>1533</v>
      </c>
      <c r="E77" s="174">
        <v>-176.1224</v>
      </c>
      <c r="F77" s="176">
        <v>0</v>
      </c>
      <c r="G77" s="182" t="s">
        <v>195</v>
      </c>
      <c r="H77" s="174">
        <v>1</v>
      </c>
      <c r="I77" s="173">
        <v>0</v>
      </c>
      <c r="J77" s="174">
        <v>1</v>
      </c>
      <c r="K77" s="173">
        <v>0</v>
      </c>
      <c r="Q77" s="160">
        <f>[7]Source!X58</f>
        <v>0</v>
      </c>
      <c r="R77" s="160">
        <f>[7]Source!X59</f>
        <v>0</v>
      </c>
      <c r="S77" s="160">
        <f>[7]Source!Y58</f>
        <v>0</v>
      </c>
      <c r="T77" s="160">
        <f>[7]Source!Y59</f>
        <v>0</v>
      </c>
      <c r="U77" s="160">
        <f>ROUND((175/100)*ROUND([7]Source!R58, 2), 2)</f>
        <v>0</v>
      </c>
      <c r="V77" s="160">
        <f>ROUND((157/100)*ROUND([7]Source!R59, 2), 2)</f>
        <v>0</v>
      </c>
    </row>
    <row r="78" spans="1:22" ht="28.5" x14ac:dyDescent="0.2">
      <c r="A78" s="179" t="s">
        <v>2468</v>
      </c>
      <c r="B78" s="178" t="s">
        <v>2469</v>
      </c>
      <c r="C78" s="178" t="s">
        <v>679</v>
      </c>
      <c r="D78" s="177" t="s">
        <v>1533</v>
      </c>
      <c r="E78" s="174">
        <v>-176.1224</v>
      </c>
      <c r="F78" s="176">
        <v>0</v>
      </c>
      <c r="G78" s="182" t="s">
        <v>195</v>
      </c>
      <c r="H78" s="174">
        <v>1</v>
      </c>
      <c r="I78" s="173">
        <v>0</v>
      </c>
      <c r="J78" s="174">
        <v>1</v>
      </c>
      <c r="K78" s="173">
        <v>0</v>
      </c>
      <c r="Q78" s="160">
        <f>[7]Source!X60</f>
        <v>0</v>
      </c>
      <c r="R78" s="160">
        <f>[7]Source!X61</f>
        <v>0</v>
      </c>
      <c r="S78" s="160">
        <f>[7]Source!Y60</f>
        <v>0</v>
      </c>
      <c r="T78" s="160">
        <f>[7]Source!Y61</f>
        <v>0</v>
      </c>
      <c r="U78" s="160">
        <f>ROUND((175/100)*ROUND([7]Source!R60, 2), 2)</f>
        <v>0</v>
      </c>
      <c r="V78" s="160">
        <f>ROUND((157/100)*ROUND([7]Source!R61, 2), 2)</f>
        <v>0</v>
      </c>
    </row>
    <row r="79" spans="1:22" ht="14.25" x14ac:dyDescent="0.2">
      <c r="A79" s="179"/>
      <c r="B79" s="178"/>
      <c r="C79" s="178" t="s">
        <v>194</v>
      </c>
      <c r="D79" s="177" t="s">
        <v>187</v>
      </c>
      <c r="E79" s="174">
        <v>91</v>
      </c>
      <c r="F79" s="176"/>
      <c r="G79" s="175"/>
      <c r="H79" s="174"/>
      <c r="I79" s="173">
        <v>36520.78</v>
      </c>
      <c r="J79" s="174">
        <v>73</v>
      </c>
      <c r="K79" s="173">
        <v>684082.45</v>
      </c>
    </row>
    <row r="80" spans="1:22" ht="14.25" x14ac:dyDescent="0.2">
      <c r="A80" s="179"/>
      <c r="B80" s="178"/>
      <c r="C80" s="178" t="s">
        <v>193</v>
      </c>
      <c r="D80" s="177" t="s">
        <v>187</v>
      </c>
      <c r="E80" s="174">
        <v>70</v>
      </c>
      <c r="F80" s="176"/>
      <c r="G80" s="175"/>
      <c r="H80" s="174"/>
      <c r="I80" s="173">
        <v>28092.91</v>
      </c>
      <c r="J80" s="174">
        <v>41</v>
      </c>
      <c r="K80" s="173">
        <v>384210.69</v>
      </c>
    </row>
    <row r="81" spans="1:22" ht="14.25" x14ac:dyDescent="0.2">
      <c r="A81" s="172"/>
      <c r="B81" s="171"/>
      <c r="C81" s="171" t="s">
        <v>192</v>
      </c>
      <c r="D81" s="170" t="s">
        <v>191</v>
      </c>
      <c r="E81" s="167">
        <v>12.65</v>
      </c>
      <c r="F81" s="169"/>
      <c r="G81" s="168" t="s">
        <v>195</v>
      </c>
      <c r="H81" s="167">
        <v>1</v>
      </c>
      <c r="I81" s="166">
        <v>2931.51</v>
      </c>
      <c r="J81" s="167"/>
      <c r="K81" s="166"/>
    </row>
    <row r="82" spans="1:22" ht="15" x14ac:dyDescent="0.25">
      <c r="A82" s="164"/>
      <c r="B82" s="164"/>
      <c r="C82" s="165" t="s">
        <v>183</v>
      </c>
      <c r="D82" s="164"/>
      <c r="E82" s="164"/>
      <c r="F82" s="164"/>
      <c r="G82" s="164"/>
      <c r="H82" s="414">
        <v>212905.19</v>
      </c>
      <c r="I82" s="414"/>
      <c r="J82" s="414">
        <v>3209102.54</v>
      </c>
      <c r="K82" s="414"/>
      <c r="O82" s="163">
        <f>I73+I74+I79+I80+SUM(I75:I78)</f>
        <v>212905.19</v>
      </c>
      <c r="P82" s="163">
        <f>K73+K74+K79+K80+SUM(K75:K78)</f>
        <v>3209102.54</v>
      </c>
    </row>
    <row r="84" spans="1:22" ht="171" x14ac:dyDescent="0.2">
      <c r="A84" s="179" t="s">
        <v>1572</v>
      </c>
      <c r="B84" s="178" t="s">
        <v>1964</v>
      </c>
      <c r="C84" s="178" t="s">
        <v>693</v>
      </c>
      <c r="D84" s="177" t="s">
        <v>1965</v>
      </c>
      <c r="E84" s="174">
        <v>463.49</v>
      </c>
      <c r="F84" s="176"/>
      <c r="G84" s="175"/>
      <c r="H84" s="174"/>
      <c r="I84" s="173"/>
      <c r="J84" s="174"/>
      <c r="K84" s="173"/>
      <c r="Q84" s="160">
        <f>[7]Source!X62</f>
        <v>55893.74</v>
      </c>
      <c r="R84" s="160">
        <f>[7]Source!X63</f>
        <v>1046963.42</v>
      </c>
      <c r="S84" s="160">
        <f>[7]Source!Y62</f>
        <v>42995.18</v>
      </c>
      <c r="T84" s="160">
        <f>[7]Source!Y63</f>
        <v>588020.55000000005</v>
      </c>
      <c r="U84" s="160">
        <f>ROUND((175/100)*ROUND([7]Source!R62, 2), 2)</f>
        <v>0</v>
      </c>
      <c r="V84" s="160">
        <f>ROUND((157/100)*ROUND([7]Source!R63, 2), 2)</f>
        <v>0</v>
      </c>
    </row>
    <row r="85" spans="1:22" ht="14.25" x14ac:dyDescent="0.2">
      <c r="A85" s="179"/>
      <c r="B85" s="178"/>
      <c r="C85" s="178" t="s">
        <v>197</v>
      </c>
      <c r="D85" s="177"/>
      <c r="E85" s="174"/>
      <c r="F85" s="176">
        <v>132.52000000000001</v>
      </c>
      <c r="G85" s="175" t="s">
        <v>195</v>
      </c>
      <c r="H85" s="174">
        <v>1</v>
      </c>
      <c r="I85" s="173">
        <v>61421.69</v>
      </c>
      <c r="J85" s="174">
        <v>23.35</v>
      </c>
      <c r="K85" s="173">
        <v>1434196.46</v>
      </c>
    </row>
    <row r="86" spans="1:22" ht="14.25" x14ac:dyDescent="0.2">
      <c r="A86" s="179"/>
      <c r="B86" s="178"/>
      <c r="C86" s="178" t="s">
        <v>205</v>
      </c>
      <c r="D86" s="177"/>
      <c r="E86" s="174"/>
      <c r="F86" s="176">
        <v>13.74</v>
      </c>
      <c r="G86" s="175" t="s">
        <v>195</v>
      </c>
      <c r="H86" s="174">
        <v>1</v>
      </c>
      <c r="I86" s="173">
        <v>6368.35</v>
      </c>
      <c r="J86" s="174">
        <v>7.5</v>
      </c>
      <c r="K86" s="173">
        <v>47762.63</v>
      </c>
    </row>
    <row r="87" spans="1:22" ht="28.5" x14ac:dyDescent="0.2">
      <c r="A87" s="179" t="s">
        <v>1574</v>
      </c>
      <c r="B87" s="178" t="s">
        <v>1966</v>
      </c>
      <c r="C87" s="178" t="s">
        <v>464</v>
      </c>
      <c r="D87" s="177" t="s">
        <v>1661</v>
      </c>
      <c r="E87" s="174">
        <v>19466.580000000002</v>
      </c>
      <c r="F87" s="176">
        <v>4.91</v>
      </c>
      <c r="G87" s="182" t="s">
        <v>195</v>
      </c>
      <c r="H87" s="174">
        <v>1</v>
      </c>
      <c r="I87" s="173">
        <v>95580.91</v>
      </c>
      <c r="J87" s="174">
        <v>12.15</v>
      </c>
      <c r="K87" s="173">
        <v>1161308.06</v>
      </c>
      <c r="Q87" s="160">
        <f>[7]Source!X64</f>
        <v>0</v>
      </c>
      <c r="R87" s="160">
        <f>[7]Source!X65</f>
        <v>0</v>
      </c>
      <c r="S87" s="160">
        <f>[7]Source!Y64</f>
        <v>0</v>
      </c>
      <c r="T87" s="160">
        <f>[7]Source!Y65</f>
        <v>0</v>
      </c>
      <c r="U87" s="160">
        <f>ROUND((175/100)*ROUND([7]Source!R64, 2), 2)</f>
        <v>0</v>
      </c>
      <c r="V87" s="160">
        <f>ROUND((157/100)*ROUND([7]Source!R65, 2), 2)</f>
        <v>0</v>
      </c>
    </row>
    <row r="88" spans="1:22" ht="28.5" x14ac:dyDescent="0.2">
      <c r="A88" s="179" t="s">
        <v>1575</v>
      </c>
      <c r="B88" s="178" t="s">
        <v>1598</v>
      </c>
      <c r="C88" s="178" t="s">
        <v>272</v>
      </c>
      <c r="D88" s="177" t="s">
        <v>1594</v>
      </c>
      <c r="E88" s="174">
        <v>34.298259999999999</v>
      </c>
      <c r="F88" s="176">
        <v>481.69</v>
      </c>
      <c r="G88" s="182" t="s">
        <v>195</v>
      </c>
      <c r="H88" s="174">
        <v>1</v>
      </c>
      <c r="I88" s="173">
        <v>16521.13</v>
      </c>
      <c r="J88" s="174">
        <v>6.45</v>
      </c>
      <c r="K88" s="173">
        <v>106561.29</v>
      </c>
      <c r="Q88" s="160">
        <f>[7]Source!X66</f>
        <v>0</v>
      </c>
      <c r="R88" s="160">
        <f>[7]Source!X67</f>
        <v>0</v>
      </c>
      <c r="S88" s="160">
        <f>[7]Source!Y66</f>
        <v>0</v>
      </c>
      <c r="T88" s="160">
        <f>[7]Source!Y67</f>
        <v>0</v>
      </c>
      <c r="U88" s="160">
        <f>ROUND((175/100)*ROUND([7]Source!R66, 2), 2)</f>
        <v>0</v>
      </c>
      <c r="V88" s="160">
        <f>ROUND((157/100)*ROUND([7]Source!R67, 2), 2)</f>
        <v>0</v>
      </c>
    </row>
    <row r="89" spans="1:22" ht="28.5" x14ac:dyDescent="0.2">
      <c r="A89" s="179" t="s">
        <v>2470</v>
      </c>
      <c r="B89" s="178" t="s">
        <v>1532</v>
      </c>
      <c r="C89" s="178" t="s">
        <v>351</v>
      </c>
      <c r="D89" s="177" t="s">
        <v>1533</v>
      </c>
      <c r="E89" s="174">
        <v>-194.66579999999999</v>
      </c>
      <c r="F89" s="176">
        <v>0</v>
      </c>
      <c r="G89" s="182" t="s">
        <v>195</v>
      </c>
      <c r="H89" s="174">
        <v>1</v>
      </c>
      <c r="I89" s="173">
        <v>0</v>
      </c>
      <c r="J89" s="174">
        <v>1</v>
      </c>
      <c r="K89" s="173">
        <v>0</v>
      </c>
      <c r="Q89" s="160">
        <f>[7]Source!X68</f>
        <v>0</v>
      </c>
      <c r="R89" s="160">
        <f>[7]Source!X69</f>
        <v>0</v>
      </c>
      <c r="S89" s="160">
        <f>[7]Source!Y68</f>
        <v>0</v>
      </c>
      <c r="T89" s="160">
        <f>[7]Source!Y69</f>
        <v>0</v>
      </c>
      <c r="U89" s="160">
        <f>ROUND((175/100)*ROUND([7]Source!R68, 2), 2)</f>
        <v>0</v>
      </c>
      <c r="V89" s="160">
        <f>ROUND((157/100)*ROUND([7]Source!R69, 2), 2)</f>
        <v>0</v>
      </c>
    </row>
    <row r="90" spans="1:22" ht="28.5" x14ac:dyDescent="0.2">
      <c r="A90" s="179" t="s">
        <v>2471</v>
      </c>
      <c r="B90" s="178" t="s">
        <v>2469</v>
      </c>
      <c r="C90" s="178" t="s">
        <v>679</v>
      </c>
      <c r="D90" s="177" t="s">
        <v>1533</v>
      </c>
      <c r="E90" s="174">
        <v>-194.66579999999999</v>
      </c>
      <c r="F90" s="176">
        <v>0</v>
      </c>
      <c r="G90" s="182" t="s">
        <v>195</v>
      </c>
      <c r="H90" s="174">
        <v>1</v>
      </c>
      <c r="I90" s="173">
        <v>0</v>
      </c>
      <c r="J90" s="174">
        <v>1</v>
      </c>
      <c r="K90" s="173">
        <v>0</v>
      </c>
      <c r="Q90" s="160">
        <f>[7]Source!X70</f>
        <v>0</v>
      </c>
      <c r="R90" s="160">
        <f>[7]Source!X71</f>
        <v>0</v>
      </c>
      <c r="S90" s="160">
        <f>[7]Source!Y70</f>
        <v>0</v>
      </c>
      <c r="T90" s="160">
        <f>[7]Source!Y71</f>
        <v>0</v>
      </c>
      <c r="U90" s="160">
        <f>ROUND((175/100)*ROUND([7]Source!R70, 2), 2)</f>
        <v>0</v>
      </c>
      <c r="V90" s="160">
        <f>ROUND((157/100)*ROUND([7]Source!R71, 2), 2)</f>
        <v>0</v>
      </c>
    </row>
    <row r="91" spans="1:22" ht="14.25" x14ac:dyDescent="0.2">
      <c r="A91" s="179"/>
      <c r="B91" s="178"/>
      <c r="C91" s="178" t="s">
        <v>194</v>
      </c>
      <c r="D91" s="177" t="s">
        <v>187</v>
      </c>
      <c r="E91" s="174">
        <v>91</v>
      </c>
      <c r="F91" s="176"/>
      <c r="G91" s="175"/>
      <c r="H91" s="174"/>
      <c r="I91" s="173">
        <v>55893.74</v>
      </c>
      <c r="J91" s="174">
        <v>73</v>
      </c>
      <c r="K91" s="173">
        <v>1046963.42</v>
      </c>
    </row>
    <row r="92" spans="1:22" ht="14.25" x14ac:dyDescent="0.2">
      <c r="A92" s="179"/>
      <c r="B92" s="178"/>
      <c r="C92" s="178" t="s">
        <v>193</v>
      </c>
      <c r="D92" s="177" t="s">
        <v>187</v>
      </c>
      <c r="E92" s="174">
        <v>70</v>
      </c>
      <c r="F92" s="176"/>
      <c r="G92" s="175"/>
      <c r="H92" s="174"/>
      <c r="I92" s="173">
        <v>42995.18</v>
      </c>
      <c r="J92" s="174">
        <v>41</v>
      </c>
      <c r="K92" s="173">
        <v>588020.55000000005</v>
      </c>
    </row>
    <row r="93" spans="1:22" ht="14.25" x14ac:dyDescent="0.2">
      <c r="A93" s="172"/>
      <c r="B93" s="171"/>
      <c r="C93" s="171" t="s">
        <v>192</v>
      </c>
      <c r="D93" s="170" t="s">
        <v>191</v>
      </c>
      <c r="E93" s="167">
        <v>9.68</v>
      </c>
      <c r="F93" s="169"/>
      <c r="G93" s="168" t="s">
        <v>195</v>
      </c>
      <c r="H93" s="167">
        <v>1</v>
      </c>
      <c r="I93" s="166">
        <v>4486.58</v>
      </c>
      <c r="J93" s="167"/>
      <c r="K93" s="166"/>
    </row>
    <row r="94" spans="1:22" ht="15" x14ac:dyDescent="0.25">
      <c r="A94" s="164"/>
      <c r="B94" s="164"/>
      <c r="C94" s="165" t="s">
        <v>183</v>
      </c>
      <c r="D94" s="164"/>
      <c r="E94" s="164"/>
      <c r="F94" s="164"/>
      <c r="G94" s="164"/>
      <c r="H94" s="414">
        <v>278781</v>
      </c>
      <c r="I94" s="414"/>
      <c r="J94" s="414">
        <v>4384812.41</v>
      </c>
      <c r="K94" s="414"/>
      <c r="O94" s="163">
        <f>I85+I86+I91+I92+SUM(I87:I90)</f>
        <v>278781</v>
      </c>
      <c r="P94" s="163">
        <f>K85+K86+K91+K92+SUM(K87:K90)</f>
        <v>4384812.41</v>
      </c>
    </row>
    <row r="96" spans="1:22" ht="57" x14ac:dyDescent="0.2">
      <c r="A96" s="179" t="s">
        <v>1578</v>
      </c>
      <c r="B96" s="178" t="s">
        <v>2472</v>
      </c>
      <c r="C96" s="178" t="s">
        <v>692</v>
      </c>
      <c r="D96" s="177" t="s">
        <v>1529</v>
      </c>
      <c r="E96" s="174">
        <v>8.6415375349999994</v>
      </c>
      <c r="F96" s="176"/>
      <c r="G96" s="175"/>
      <c r="H96" s="174"/>
      <c r="I96" s="173"/>
      <c r="J96" s="174"/>
      <c r="K96" s="173"/>
      <c r="Q96" s="160">
        <f>[7]Source!X72</f>
        <v>1785.08</v>
      </c>
      <c r="R96" s="160">
        <f>[7]Source!X73</f>
        <v>33436.959999999999</v>
      </c>
      <c r="S96" s="160">
        <f>[7]Source!Y72</f>
        <v>1373.14</v>
      </c>
      <c r="T96" s="160">
        <f>[7]Source!Y73</f>
        <v>18779.66</v>
      </c>
      <c r="U96" s="160">
        <f>ROUND((175/100)*ROUND([7]Source!R72, 2), 2)</f>
        <v>0</v>
      </c>
      <c r="V96" s="160">
        <f>ROUND((157/100)*ROUND([7]Source!R73, 2), 2)</f>
        <v>0</v>
      </c>
    </row>
    <row r="97" spans="1:22" x14ac:dyDescent="0.2">
      <c r="C97" s="181" t="s">
        <v>2473</v>
      </c>
    </row>
    <row r="98" spans="1:22" ht="14.25" x14ac:dyDescent="0.2">
      <c r="A98" s="179"/>
      <c r="B98" s="178"/>
      <c r="C98" s="178" t="s">
        <v>197</v>
      </c>
      <c r="D98" s="177"/>
      <c r="E98" s="174"/>
      <c r="F98" s="176">
        <v>227</v>
      </c>
      <c r="G98" s="175" t="s">
        <v>195</v>
      </c>
      <c r="H98" s="174">
        <v>1</v>
      </c>
      <c r="I98" s="173">
        <v>1961.63</v>
      </c>
      <c r="J98" s="174">
        <v>23.35</v>
      </c>
      <c r="K98" s="173">
        <v>45804.06</v>
      </c>
    </row>
    <row r="99" spans="1:22" ht="28.5" x14ac:dyDescent="0.2">
      <c r="A99" s="179" t="s">
        <v>1581</v>
      </c>
      <c r="B99" s="178" t="s">
        <v>1966</v>
      </c>
      <c r="C99" s="178" t="s">
        <v>464</v>
      </c>
      <c r="D99" s="177" t="s">
        <v>1661</v>
      </c>
      <c r="E99" s="174">
        <v>1857.93057</v>
      </c>
      <c r="F99" s="176">
        <v>4.91</v>
      </c>
      <c r="G99" s="182" t="s">
        <v>195</v>
      </c>
      <c r="H99" s="174">
        <v>1</v>
      </c>
      <c r="I99" s="173">
        <v>9122.44</v>
      </c>
      <c r="J99" s="174">
        <v>12.15</v>
      </c>
      <c r="K99" s="173">
        <v>110837.65</v>
      </c>
      <c r="Q99" s="160">
        <f>[7]Source!X74</f>
        <v>0</v>
      </c>
      <c r="R99" s="160">
        <f>[7]Source!X75</f>
        <v>0</v>
      </c>
      <c r="S99" s="160">
        <f>[7]Source!Y74</f>
        <v>0</v>
      </c>
      <c r="T99" s="160">
        <f>[7]Source!Y75</f>
        <v>0</v>
      </c>
      <c r="U99" s="160">
        <f>ROUND((175/100)*ROUND([7]Source!R74, 2), 2)</f>
        <v>0</v>
      </c>
      <c r="V99" s="160">
        <f>ROUND((157/100)*ROUND([7]Source!R75, 2), 2)</f>
        <v>0</v>
      </c>
    </row>
    <row r="100" spans="1:22" ht="28.5" x14ac:dyDescent="0.2">
      <c r="A100" s="179" t="s">
        <v>1582</v>
      </c>
      <c r="B100" s="178" t="s">
        <v>1598</v>
      </c>
      <c r="C100" s="178" t="s">
        <v>272</v>
      </c>
      <c r="D100" s="177" t="s">
        <v>1594</v>
      </c>
      <c r="E100" s="174">
        <v>2.4887630000000001</v>
      </c>
      <c r="F100" s="176">
        <v>481.69</v>
      </c>
      <c r="G100" s="182" t="s">
        <v>195</v>
      </c>
      <c r="H100" s="174">
        <v>1</v>
      </c>
      <c r="I100" s="173">
        <v>1198.81</v>
      </c>
      <c r="J100" s="174">
        <v>6.45</v>
      </c>
      <c r="K100" s="173">
        <v>7732.32</v>
      </c>
      <c r="Q100" s="160">
        <f>[7]Source!X76</f>
        <v>0</v>
      </c>
      <c r="R100" s="160">
        <f>[7]Source!X77</f>
        <v>0</v>
      </c>
      <c r="S100" s="160">
        <f>[7]Source!Y76</f>
        <v>0</v>
      </c>
      <c r="T100" s="160">
        <f>[7]Source!Y77</f>
        <v>0</v>
      </c>
      <c r="U100" s="160">
        <f>ROUND((175/100)*ROUND([7]Source!R76, 2), 2)</f>
        <v>0</v>
      </c>
      <c r="V100" s="160">
        <f>ROUND((157/100)*ROUND([7]Source!R77, 2), 2)</f>
        <v>0</v>
      </c>
    </row>
    <row r="101" spans="1:22" ht="28.5" x14ac:dyDescent="0.2">
      <c r="A101" s="179" t="s">
        <v>1585</v>
      </c>
      <c r="B101" s="178" t="s">
        <v>2469</v>
      </c>
      <c r="C101" s="178" t="s">
        <v>679</v>
      </c>
      <c r="D101" s="177" t="s">
        <v>1533</v>
      </c>
      <c r="E101" s="174">
        <v>-17.455905999999999</v>
      </c>
      <c r="F101" s="176">
        <v>0</v>
      </c>
      <c r="G101" s="182" t="s">
        <v>195</v>
      </c>
      <c r="H101" s="174">
        <v>1</v>
      </c>
      <c r="I101" s="173">
        <v>0</v>
      </c>
      <c r="J101" s="174">
        <v>1</v>
      </c>
      <c r="K101" s="173">
        <v>0</v>
      </c>
      <c r="Q101" s="160">
        <f>[7]Source!X78</f>
        <v>0</v>
      </c>
      <c r="R101" s="160">
        <f>[7]Source!X79</f>
        <v>0</v>
      </c>
      <c r="S101" s="160">
        <f>[7]Source!Y78</f>
        <v>0</v>
      </c>
      <c r="T101" s="160">
        <f>[7]Source!Y79</f>
        <v>0</v>
      </c>
      <c r="U101" s="160">
        <f>ROUND((175/100)*ROUND([7]Source!R78, 2), 2)</f>
        <v>0</v>
      </c>
      <c r="V101" s="160">
        <f>ROUND((157/100)*ROUND([7]Source!R79, 2), 2)</f>
        <v>0</v>
      </c>
    </row>
    <row r="102" spans="1:22" ht="14.25" x14ac:dyDescent="0.2">
      <c r="A102" s="179"/>
      <c r="B102" s="178"/>
      <c r="C102" s="178" t="s">
        <v>194</v>
      </c>
      <c r="D102" s="177" t="s">
        <v>187</v>
      </c>
      <c r="E102" s="174">
        <v>91</v>
      </c>
      <c r="F102" s="176"/>
      <c r="G102" s="175"/>
      <c r="H102" s="174"/>
      <c r="I102" s="173">
        <v>1785.08</v>
      </c>
      <c r="J102" s="174">
        <v>73</v>
      </c>
      <c r="K102" s="173">
        <v>33436.959999999999</v>
      </c>
    </row>
    <row r="103" spans="1:22" ht="14.25" x14ac:dyDescent="0.2">
      <c r="A103" s="179"/>
      <c r="B103" s="178"/>
      <c r="C103" s="178" t="s">
        <v>193</v>
      </c>
      <c r="D103" s="177" t="s">
        <v>187</v>
      </c>
      <c r="E103" s="174">
        <v>70</v>
      </c>
      <c r="F103" s="176"/>
      <c r="G103" s="175"/>
      <c r="H103" s="174"/>
      <c r="I103" s="173">
        <v>1373.14</v>
      </c>
      <c r="J103" s="174">
        <v>41</v>
      </c>
      <c r="K103" s="173">
        <v>18779.66</v>
      </c>
    </row>
    <row r="104" spans="1:22" ht="14.25" x14ac:dyDescent="0.2">
      <c r="A104" s="172"/>
      <c r="B104" s="171"/>
      <c r="C104" s="171" t="s">
        <v>192</v>
      </c>
      <c r="D104" s="170" t="s">
        <v>191</v>
      </c>
      <c r="E104" s="167">
        <v>15.4</v>
      </c>
      <c r="F104" s="169"/>
      <c r="G104" s="168" t="s">
        <v>195</v>
      </c>
      <c r="H104" s="167">
        <v>1</v>
      </c>
      <c r="I104" s="166">
        <v>133.08000000000001</v>
      </c>
      <c r="J104" s="167"/>
      <c r="K104" s="166"/>
    </row>
    <row r="105" spans="1:22" ht="15" x14ac:dyDescent="0.25">
      <c r="A105" s="164"/>
      <c r="B105" s="164"/>
      <c r="C105" s="165" t="s">
        <v>183</v>
      </c>
      <c r="D105" s="164"/>
      <c r="E105" s="164"/>
      <c r="F105" s="164"/>
      <c r="G105" s="164"/>
      <c r="H105" s="414">
        <v>15441.1</v>
      </c>
      <c r="I105" s="414"/>
      <c r="J105" s="414">
        <v>216590.65</v>
      </c>
      <c r="K105" s="414"/>
      <c r="O105" s="163">
        <f>I98+I102+I103+SUM(I99:I101)</f>
        <v>15441.1</v>
      </c>
      <c r="P105" s="163">
        <f>K98+K102+K103+SUM(K99:K101)</f>
        <v>216590.65</v>
      </c>
    </row>
    <row r="107" spans="1:22" ht="85.5" x14ac:dyDescent="0.2">
      <c r="A107" s="179" t="s">
        <v>1587</v>
      </c>
      <c r="B107" s="178" t="s">
        <v>2474</v>
      </c>
      <c r="C107" s="178" t="s">
        <v>691</v>
      </c>
      <c r="D107" s="177" t="s">
        <v>1529</v>
      </c>
      <c r="E107" s="174">
        <v>55.2</v>
      </c>
      <c r="F107" s="176"/>
      <c r="G107" s="175"/>
      <c r="H107" s="174"/>
      <c r="I107" s="173"/>
      <c r="J107" s="174"/>
      <c r="K107" s="173"/>
      <c r="Q107" s="160">
        <f>[7]Source!X80</f>
        <v>21990.57</v>
      </c>
      <c r="R107" s="160">
        <f>[7]Source!X81</f>
        <v>411912.35</v>
      </c>
      <c r="S107" s="160">
        <f>[7]Source!Y80</f>
        <v>16915.82</v>
      </c>
      <c r="T107" s="160">
        <f>[7]Source!Y81</f>
        <v>231348.03</v>
      </c>
      <c r="U107" s="160">
        <f>ROUND((175/100)*ROUND([7]Source!R80, 2), 2)</f>
        <v>0</v>
      </c>
      <c r="V107" s="160">
        <f>ROUND((157/100)*ROUND([7]Source!R81, 2), 2)</f>
        <v>0</v>
      </c>
    </row>
    <row r="108" spans="1:22" ht="14.25" x14ac:dyDescent="0.2">
      <c r="A108" s="179"/>
      <c r="B108" s="178"/>
      <c r="C108" s="178" t="s">
        <v>197</v>
      </c>
      <c r="D108" s="177"/>
      <c r="E108" s="174"/>
      <c r="F108" s="176">
        <v>437.78</v>
      </c>
      <c r="G108" s="175" t="s">
        <v>195</v>
      </c>
      <c r="H108" s="174">
        <v>1</v>
      </c>
      <c r="I108" s="173">
        <v>24165.46</v>
      </c>
      <c r="J108" s="174">
        <v>23.35</v>
      </c>
      <c r="K108" s="173">
        <v>564263.49</v>
      </c>
    </row>
    <row r="109" spans="1:22" ht="28.5" x14ac:dyDescent="0.2">
      <c r="A109" s="179" t="s">
        <v>1588</v>
      </c>
      <c r="B109" s="178" t="s">
        <v>1966</v>
      </c>
      <c r="C109" s="178" t="s">
        <v>464</v>
      </c>
      <c r="D109" s="177" t="s">
        <v>1661</v>
      </c>
      <c r="E109" s="174">
        <v>11812.8</v>
      </c>
      <c r="F109" s="176">
        <v>4.91</v>
      </c>
      <c r="G109" s="182" t="s">
        <v>195</v>
      </c>
      <c r="H109" s="174">
        <v>1</v>
      </c>
      <c r="I109" s="173">
        <v>58000.85</v>
      </c>
      <c r="J109" s="174">
        <v>12.15</v>
      </c>
      <c r="K109" s="173">
        <v>704710.33</v>
      </c>
      <c r="Q109" s="160">
        <f>[7]Source!X82</f>
        <v>0</v>
      </c>
      <c r="R109" s="160">
        <f>[7]Source!X83</f>
        <v>0</v>
      </c>
      <c r="S109" s="160">
        <f>[7]Source!Y82</f>
        <v>0</v>
      </c>
      <c r="T109" s="160">
        <f>[7]Source!Y83</f>
        <v>0</v>
      </c>
      <c r="U109" s="160">
        <f>ROUND((175/100)*ROUND([7]Source!R82, 2), 2)</f>
        <v>0</v>
      </c>
      <c r="V109" s="160">
        <f>ROUND((157/100)*ROUND([7]Source!R83, 2), 2)</f>
        <v>0</v>
      </c>
    </row>
    <row r="110" spans="1:22" ht="28.5" x14ac:dyDescent="0.2">
      <c r="A110" s="179" t="s">
        <v>1967</v>
      </c>
      <c r="B110" s="178" t="s">
        <v>1598</v>
      </c>
      <c r="C110" s="178" t="s">
        <v>272</v>
      </c>
      <c r="D110" s="177" t="s">
        <v>1594</v>
      </c>
      <c r="E110" s="174">
        <v>13.3584</v>
      </c>
      <c r="F110" s="176">
        <v>481.69</v>
      </c>
      <c r="G110" s="182" t="s">
        <v>195</v>
      </c>
      <c r="H110" s="174">
        <v>1</v>
      </c>
      <c r="I110" s="173">
        <v>6434.61</v>
      </c>
      <c r="J110" s="174">
        <v>6.45</v>
      </c>
      <c r="K110" s="173">
        <v>41503.230000000003</v>
      </c>
      <c r="Q110" s="160">
        <f>[7]Source!X84</f>
        <v>0</v>
      </c>
      <c r="R110" s="160">
        <f>[7]Source!X85</f>
        <v>0</v>
      </c>
      <c r="S110" s="160">
        <f>[7]Source!Y84</f>
        <v>0</v>
      </c>
      <c r="T110" s="160">
        <f>[7]Source!Y85</f>
        <v>0</v>
      </c>
      <c r="U110" s="160">
        <f>ROUND((175/100)*ROUND([7]Source!R84, 2), 2)</f>
        <v>0</v>
      </c>
      <c r="V110" s="160">
        <f>ROUND((157/100)*ROUND([7]Source!R85, 2), 2)</f>
        <v>0</v>
      </c>
    </row>
    <row r="111" spans="1:22" ht="28.5" x14ac:dyDescent="0.2">
      <c r="A111" s="179" t="s">
        <v>1968</v>
      </c>
      <c r="B111" s="178" t="s">
        <v>2469</v>
      </c>
      <c r="C111" s="178" t="s">
        <v>679</v>
      </c>
      <c r="D111" s="177" t="s">
        <v>1533</v>
      </c>
      <c r="E111" s="174">
        <v>-110.952</v>
      </c>
      <c r="F111" s="176">
        <v>0</v>
      </c>
      <c r="G111" s="182" t="s">
        <v>195</v>
      </c>
      <c r="H111" s="174">
        <v>1</v>
      </c>
      <c r="I111" s="173">
        <v>0</v>
      </c>
      <c r="J111" s="174">
        <v>1</v>
      </c>
      <c r="K111" s="173">
        <v>0</v>
      </c>
      <c r="Q111" s="160">
        <f>[7]Source!X86</f>
        <v>0</v>
      </c>
      <c r="R111" s="160">
        <f>[7]Source!X87</f>
        <v>0</v>
      </c>
      <c r="S111" s="160">
        <f>[7]Source!Y86</f>
        <v>0</v>
      </c>
      <c r="T111" s="160">
        <f>[7]Source!Y87</f>
        <v>0</v>
      </c>
      <c r="U111" s="160">
        <f>ROUND((175/100)*ROUND([7]Source!R86, 2), 2)</f>
        <v>0</v>
      </c>
      <c r="V111" s="160">
        <f>ROUND((157/100)*ROUND([7]Source!R87, 2), 2)</f>
        <v>0</v>
      </c>
    </row>
    <row r="112" spans="1:22" ht="14.25" x14ac:dyDescent="0.2">
      <c r="A112" s="179"/>
      <c r="B112" s="178"/>
      <c r="C112" s="178" t="s">
        <v>194</v>
      </c>
      <c r="D112" s="177" t="s">
        <v>187</v>
      </c>
      <c r="E112" s="174">
        <v>91</v>
      </c>
      <c r="F112" s="176"/>
      <c r="G112" s="175"/>
      <c r="H112" s="174"/>
      <c r="I112" s="173">
        <v>21990.57</v>
      </c>
      <c r="J112" s="174">
        <v>73</v>
      </c>
      <c r="K112" s="173">
        <v>411912.35</v>
      </c>
    </row>
    <row r="113" spans="1:22" ht="14.25" x14ac:dyDescent="0.2">
      <c r="A113" s="179"/>
      <c r="B113" s="178"/>
      <c r="C113" s="178" t="s">
        <v>193</v>
      </c>
      <c r="D113" s="177" t="s">
        <v>187</v>
      </c>
      <c r="E113" s="174">
        <v>70</v>
      </c>
      <c r="F113" s="176"/>
      <c r="G113" s="175"/>
      <c r="H113" s="174"/>
      <c r="I113" s="173">
        <v>16915.82</v>
      </c>
      <c r="J113" s="174">
        <v>41</v>
      </c>
      <c r="K113" s="173">
        <v>231348.03</v>
      </c>
    </row>
    <row r="114" spans="1:22" ht="14.25" x14ac:dyDescent="0.2">
      <c r="A114" s="172"/>
      <c r="B114" s="171"/>
      <c r="C114" s="171" t="s">
        <v>192</v>
      </c>
      <c r="D114" s="170" t="s">
        <v>191</v>
      </c>
      <c r="E114" s="167">
        <v>29.7</v>
      </c>
      <c r="F114" s="169"/>
      <c r="G114" s="168" t="s">
        <v>195</v>
      </c>
      <c r="H114" s="167">
        <v>1</v>
      </c>
      <c r="I114" s="166">
        <v>1639.44</v>
      </c>
      <c r="J114" s="167"/>
      <c r="K114" s="166"/>
    </row>
    <row r="115" spans="1:22" ht="15" x14ac:dyDescent="0.25">
      <c r="A115" s="164"/>
      <c r="B115" s="164"/>
      <c r="C115" s="165" t="s">
        <v>183</v>
      </c>
      <c r="D115" s="164"/>
      <c r="E115" s="164"/>
      <c r="F115" s="164"/>
      <c r="G115" s="164"/>
      <c r="H115" s="414">
        <v>127507.31</v>
      </c>
      <c r="I115" s="414"/>
      <c r="J115" s="414">
        <v>1953737.43</v>
      </c>
      <c r="K115" s="414"/>
      <c r="O115" s="163">
        <f>I108+I112+I113+SUM(I109:I111)</f>
        <v>127507.31</v>
      </c>
      <c r="P115" s="163">
        <f>K108+K112+K113+SUM(K109:K111)</f>
        <v>1953737.43</v>
      </c>
    </row>
    <row r="117" spans="1:22" ht="114" x14ac:dyDescent="0.2">
      <c r="A117" s="179" t="s">
        <v>1589</v>
      </c>
      <c r="B117" s="178" t="s">
        <v>2475</v>
      </c>
      <c r="C117" s="178" t="s">
        <v>690</v>
      </c>
      <c r="D117" s="177" t="s">
        <v>2476</v>
      </c>
      <c r="E117" s="174">
        <v>9.6</v>
      </c>
      <c r="F117" s="176"/>
      <c r="G117" s="175"/>
      <c r="H117" s="174"/>
      <c r="I117" s="173"/>
      <c r="J117" s="174"/>
      <c r="K117" s="173"/>
      <c r="Q117" s="160">
        <f>[7]Source!X88</f>
        <v>157.68</v>
      </c>
      <c r="R117" s="160">
        <f>[7]Source!X89</f>
        <v>2953.65</v>
      </c>
      <c r="S117" s="160">
        <f>[7]Source!Y88</f>
        <v>121.3</v>
      </c>
      <c r="T117" s="160">
        <f>[7]Source!Y89</f>
        <v>1658.9</v>
      </c>
      <c r="U117" s="160">
        <f>ROUND((175/100)*ROUND([7]Source!R88, 2), 2)</f>
        <v>0</v>
      </c>
      <c r="V117" s="160">
        <f>ROUND((157/100)*ROUND([7]Source!R89, 2), 2)</f>
        <v>0</v>
      </c>
    </row>
    <row r="118" spans="1:22" x14ac:dyDescent="0.2">
      <c r="C118" s="181" t="s">
        <v>2477</v>
      </c>
    </row>
    <row r="119" spans="1:22" ht="14.25" x14ac:dyDescent="0.2">
      <c r="A119" s="179"/>
      <c r="B119" s="178"/>
      <c r="C119" s="178" t="s">
        <v>197</v>
      </c>
      <c r="D119" s="177"/>
      <c r="E119" s="174"/>
      <c r="F119" s="176">
        <v>18.05</v>
      </c>
      <c r="G119" s="175" t="s">
        <v>195</v>
      </c>
      <c r="H119" s="174">
        <v>1</v>
      </c>
      <c r="I119" s="173">
        <v>173.28</v>
      </c>
      <c r="J119" s="174">
        <v>23.35</v>
      </c>
      <c r="K119" s="173">
        <v>4046.09</v>
      </c>
    </row>
    <row r="120" spans="1:22" ht="14.25" x14ac:dyDescent="0.2">
      <c r="A120" s="179"/>
      <c r="B120" s="178"/>
      <c r="C120" s="178" t="s">
        <v>194</v>
      </c>
      <c r="D120" s="177" t="s">
        <v>187</v>
      </c>
      <c r="E120" s="174">
        <v>91</v>
      </c>
      <c r="F120" s="176"/>
      <c r="G120" s="175"/>
      <c r="H120" s="174"/>
      <c r="I120" s="173">
        <v>157.68</v>
      </c>
      <c r="J120" s="174">
        <v>73</v>
      </c>
      <c r="K120" s="173">
        <v>2953.65</v>
      </c>
    </row>
    <row r="121" spans="1:22" ht="14.25" x14ac:dyDescent="0.2">
      <c r="A121" s="172"/>
      <c r="B121" s="171"/>
      <c r="C121" s="171" t="s">
        <v>193</v>
      </c>
      <c r="D121" s="170" t="s">
        <v>187</v>
      </c>
      <c r="E121" s="167">
        <v>70</v>
      </c>
      <c r="F121" s="169"/>
      <c r="G121" s="168"/>
      <c r="H121" s="167"/>
      <c r="I121" s="166">
        <v>121.3</v>
      </c>
      <c r="J121" s="167">
        <v>41</v>
      </c>
      <c r="K121" s="166">
        <v>1658.9</v>
      </c>
    </row>
    <row r="122" spans="1:22" ht="15" x14ac:dyDescent="0.25">
      <c r="A122" s="164"/>
      <c r="B122" s="164"/>
      <c r="C122" s="165" t="s">
        <v>183</v>
      </c>
      <c r="D122" s="164"/>
      <c r="E122" s="164"/>
      <c r="F122" s="164"/>
      <c r="G122" s="164"/>
      <c r="H122" s="414">
        <v>452.26</v>
      </c>
      <c r="I122" s="414"/>
      <c r="J122" s="414">
        <v>8658.64</v>
      </c>
      <c r="K122" s="414"/>
      <c r="O122" s="163">
        <f>I119+I120+I121</f>
        <v>452.26</v>
      </c>
      <c r="P122" s="163">
        <f>K119+K120+K121</f>
        <v>8658.64</v>
      </c>
    </row>
    <row r="124" spans="1:22" ht="128.25" x14ac:dyDescent="0.2">
      <c r="A124" s="179" t="s">
        <v>1599</v>
      </c>
      <c r="B124" s="178" t="s">
        <v>2478</v>
      </c>
      <c r="C124" s="178" t="s">
        <v>689</v>
      </c>
      <c r="D124" s="177" t="s">
        <v>2476</v>
      </c>
      <c r="E124" s="174">
        <v>9.6</v>
      </c>
      <c r="F124" s="176"/>
      <c r="G124" s="175"/>
      <c r="H124" s="174"/>
      <c r="I124" s="173"/>
      <c r="J124" s="174"/>
      <c r="K124" s="173"/>
      <c r="Q124" s="160">
        <f>[7]Source!X90</f>
        <v>262.33999999999997</v>
      </c>
      <c r="R124" s="160">
        <f>[7]Source!X91</f>
        <v>4914.05</v>
      </c>
      <c r="S124" s="160">
        <f>[7]Source!Y90</f>
        <v>201.8</v>
      </c>
      <c r="T124" s="160">
        <f>[7]Source!Y91</f>
        <v>2759.94</v>
      </c>
      <c r="U124" s="160">
        <f>ROUND((175/100)*ROUND([7]Source!R90, 2), 2)</f>
        <v>0</v>
      </c>
      <c r="V124" s="160">
        <f>ROUND((157/100)*ROUND([7]Source!R91, 2), 2)</f>
        <v>0</v>
      </c>
    </row>
    <row r="125" spans="1:22" x14ac:dyDescent="0.2">
      <c r="C125" s="181" t="s">
        <v>2477</v>
      </c>
    </row>
    <row r="126" spans="1:22" ht="14.25" x14ac:dyDescent="0.2">
      <c r="A126" s="179"/>
      <c r="B126" s="178"/>
      <c r="C126" s="178" t="s">
        <v>197</v>
      </c>
      <c r="D126" s="177"/>
      <c r="E126" s="174"/>
      <c r="F126" s="176">
        <v>30.03</v>
      </c>
      <c r="G126" s="175" t="s">
        <v>195</v>
      </c>
      <c r="H126" s="174">
        <v>1</v>
      </c>
      <c r="I126" s="173">
        <v>288.29000000000002</v>
      </c>
      <c r="J126" s="174">
        <v>23.35</v>
      </c>
      <c r="K126" s="173">
        <v>6731.57</v>
      </c>
    </row>
    <row r="127" spans="1:22" ht="14.25" x14ac:dyDescent="0.2">
      <c r="A127" s="179"/>
      <c r="B127" s="178"/>
      <c r="C127" s="178" t="s">
        <v>194</v>
      </c>
      <c r="D127" s="177" t="s">
        <v>187</v>
      </c>
      <c r="E127" s="174">
        <v>91</v>
      </c>
      <c r="F127" s="176"/>
      <c r="G127" s="175"/>
      <c r="H127" s="174"/>
      <c r="I127" s="173">
        <v>262.33999999999997</v>
      </c>
      <c r="J127" s="174">
        <v>73</v>
      </c>
      <c r="K127" s="173">
        <v>4914.05</v>
      </c>
    </row>
    <row r="128" spans="1:22" ht="14.25" x14ac:dyDescent="0.2">
      <c r="A128" s="172"/>
      <c r="B128" s="171"/>
      <c r="C128" s="171" t="s">
        <v>193</v>
      </c>
      <c r="D128" s="170" t="s">
        <v>187</v>
      </c>
      <c r="E128" s="167">
        <v>70</v>
      </c>
      <c r="F128" s="169"/>
      <c r="G128" s="168"/>
      <c r="H128" s="167"/>
      <c r="I128" s="166">
        <v>201.8</v>
      </c>
      <c r="J128" s="167">
        <v>41</v>
      </c>
      <c r="K128" s="166">
        <v>2759.94</v>
      </c>
    </row>
    <row r="129" spans="1:22" ht="15" x14ac:dyDescent="0.25">
      <c r="A129" s="164"/>
      <c r="B129" s="164"/>
      <c r="C129" s="165" t="s">
        <v>183</v>
      </c>
      <c r="D129" s="164"/>
      <c r="E129" s="164"/>
      <c r="F129" s="164"/>
      <c r="G129" s="164"/>
      <c r="H129" s="414">
        <v>752.43</v>
      </c>
      <c r="I129" s="414"/>
      <c r="J129" s="414">
        <v>14405.56</v>
      </c>
      <c r="K129" s="414"/>
      <c r="O129" s="163">
        <f>I126+I127+I128</f>
        <v>752.43</v>
      </c>
      <c r="P129" s="163">
        <f>K126+K127+K128</f>
        <v>14405.56</v>
      </c>
    </row>
    <row r="131" spans="1:22" ht="114" x14ac:dyDescent="0.2">
      <c r="A131" s="179" t="s">
        <v>1602</v>
      </c>
      <c r="B131" s="178" t="s">
        <v>2479</v>
      </c>
      <c r="C131" s="178" t="s">
        <v>688</v>
      </c>
      <c r="D131" s="177" t="s">
        <v>2476</v>
      </c>
      <c r="E131" s="174">
        <v>34.4</v>
      </c>
      <c r="F131" s="176"/>
      <c r="G131" s="175"/>
      <c r="H131" s="174"/>
      <c r="I131" s="173"/>
      <c r="J131" s="174"/>
      <c r="K131" s="173"/>
      <c r="Q131" s="160">
        <f>[7]Source!X92</f>
        <v>1071.53</v>
      </c>
      <c r="R131" s="160">
        <f>[7]Source!X93</f>
        <v>20071.25</v>
      </c>
      <c r="S131" s="160">
        <f>[7]Source!Y92</f>
        <v>824.26</v>
      </c>
      <c r="T131" s="160">
        <f>[7]Source!Y93</f>
        <v>11272.89</v>
      </c>
      <c r="U131" s="160">
        <f>ROUND((175/100)*ROUND([7]Source!R92, 2), 2)</f>
        <v>0</v>
      </c>
      <c r="V131" s="160">
        <f>ROUND((157/100)*ROUND([7]Source!R93, 2), 2)</f>
        <v>0</v>
      </c>
    </row>
    <row r="132" spans="1:22" x14ac:dyDescent="0.2">
      <c r="C132" s="181" t="s">
        <v>2480</v>
      </c>
    </row>
    <row r="133" spans="1:22" ht="14.25" x14ac:dyDescent="0.2">
      <c r="A133" s="179"/>
      <c r="B133" s="178"/>
      <c r="C133" s="178" t="s">
        <v>197</v>
      </c>
      <c r="D133" s="177"/>
      <c r="E133" s="174"/>
      <c r="F133" s="176">
        <v>34.229999999999997</v>
      </c>
      <c r="G133" s="175" t="s">
        <v>195</v>
      </c>
      <c r="H133" s="174">
        <v>1</v>
      </c>
      <c r="I133" s="173">
        <v>1177.51</v>
      </c>
      <c r="J133" s="174">
        <v>23.35</v>
      </c>
      <c r="K133" s="173">
        <v>27494.86</v>
      </c>
    </row>
    <row r="134" spans="1:22" ht="14.25" x14ac:dyDescent="0.2">
      <c r="A134" s="179"/>
      <c r="B134" s="178"/>
      <c r="C134" s="178" t="s">
        <v>194</v>
      </c>
      <c r="D134" s="177" t="s">
        <v>187</v>
      </c>
      <c r="E134" s="174">
        <v>91</v>
      </c>
      <c r="F134" s="176"/>
      <c r="G134" s="175"/>
      <c r="H134" s="174"/>
      <c r="I134" s="173">
        <v>1071.53</v>
      </c>
      <c r="J134" s="174">
        <v>73</v>
      </c>
      <c r="K134" s="173">
        <v>20071.25</v>
      </c>
    </row>
    <row r="135" spans="1:22" ht="14.25" x14ac:dyDescent="0.2">
      <c r="A135" s="172"/>
      <c r="B135" s="171"/>
      <c r="C135" s="171" t="s">
        <v>193</v>
      </c>
      <c r="D135" s="170" t="s">
        <v>187</v>
      </c>
      <c r="E135" s="167">
        <v>70</v>
      </c>
      <c r="F135" s="169"/>
      <c r="G135" s="168"/>
      <c r="H135" s="167"/>
      <c r="I135" s="166">
        <v>824.26</v>
      </c>
      <c r="J135" s="167">
        <v>41</v>
      </c>
      <c r="K135" s="166">
        <v>11272.89</v>
      </c>
    </row>
    <row r="136" spans="1:22" ht="15" x14ac:dyDescent="0.25">
      <c r="A136" s="164"/>
      <c r="B136" s="164"/>
      <c r="C136" s="165" t="s">
        <v>183</v>
      </c>
      <c r="D136" s="164"/>
      <c r="E136" s="164"/>
      <c r="F136" s="164"/>
      <c r="G136" s="164"/>
      <c r="H136" s="414">
        <v>3073.3</v>
      </c>
      <c r="I136" s="414"/>
      <c r="J136" s="414">
        <v>58839</v>
      </c>
      <c r="K136" s="414"/>
      <c r="O136" s="163">
        <f>I133+I134+I135</f>
        <v>3073.3</v>
      </c>
      <c r="P136" s="163">
        <f>K133+K134+K135</f>
        <v>58839</v>
      </c>
    </row>
    <row r="138" spans="1:22" ht="42.75" x14ac:dyDescent="0.2">
      <c r="A138" s="179" t="s">
        <v>1607</v>
      </c>
      <c r="B138" s="178" t="s">
        <v>2481</v>
      </c>
      <c r="C138" s="178" t="s">
        <v>687</v>
      </c>
      <c r="D138" s="177" t="s">
        <v>2482</v>
      </c>
      <c r="E138" s="174">
        <v>2.1</v>
      </c>
      <c r="F138" s="176"/>
      <c r="G138" s="175"/>
      <c r="H138" s="174"/>
      <c r="I138" s="173"/>
      <c r="J138" s="174"/>
      <c r="K138" s="173"/>
      <c r="Q138" s="160">
        <f>[7]Source!X94</f>
        <v>226.19</v>
      </c>
      <c r="R138" s="160">
        <f>[7]Source!X95</f>
        <v>4236.83</v>
      </c>
      <c r="S138" s="160">
        <f>[7]Source!Y94</f>
        <v>173.99</v>
      </c>
      <c r="T138" s="160">
        <f>[7]Source!Y95</f>
        <v>2379.59</v>
      </c>
      <c r="U138" s="160">
        <f>ROUND((175/100)*ROUND([7]Source!R94, 2), 2)</f>
        <v>0</v>
      </c>
      <c r="V138" s="160">
        <f>ROUND((157/100)*ROUND([7]Source!R95, 2), 2)</f>
        <v>0</v>
      </c>
    </row>
    <row r="139" spans="1:22" ht="14.25" x14ac:dyDescent="0.2">
      <c r="A139" s="179"/>
      <c r="B139" s="178"/>
      <c r="C139" s="178" t="s">
        <v>197</v>
      </c>
      <c r="D139" s="177"/>
      <c r="E139" s="174"/>
      <c r="F139" s="176">
        <v>118.36</v>
      </c>
      <c r="G139" s="175" t="s">
        <v>195</v>
      </c>
      <c r="H139" s="174">
        <v>1</v>
      </c>
      <c r="I139" s="173">
        <v>248.56</v>
      </c>
      <c r="J139" s="174">
        <v>23.35</v>
      </c>
      <c r="K139" s="173">
        <v>5803.88</v>
      </c>
    </row>
    <row r="140" spans="1:22" ht="28.5" x14ac:dyDescent="0.2">
      <c r="A140" s="179" t="s">
        <v>1608</v>
      </c>
      <c r="B140" s="178" t="s">
        <v>1966</v>
      </c>
      <c r="C140" s="178" t="s">
        <v>464</v>
      </c>
      <c r="D140" s="177" t="s">
        <v>1661</v>
      </c>
      <c r="E140" s="174">
        <v>132.30000000000001</v>
      </c>
      <c r="F140" s="176">
        <v>4.91</v>
      </c>
      <c r="G140" s="182" t="s">
        <v>195</v>
      </c>
      <c r="H140" s="174">
        <v>1</v>
      </c>
      <c r="I140" s="173">
        <v>649.59</v>
      </c>
      <c r="J140" s="174">
        <v>12.15</v>
      </c>
      <c r="K140" s="173">
        <v>7892.52</v>
      </c>
      <c r="Q140" s="160">
        <f>[7]Source!X96</f>
        <v>0</v>
      </c>
      <c r="R140" s="160">
        <f>[7]Source!X97</f>
        <v>0</v>
      </c>
      <c r="S140" s="160">
        <f>[7]Source!Y96</f>
        <v>0</v>
      </c>
      <c r="T140" s="160">
        <f>[7]Source!Y97</f>
        <v>0</v>
      </c>
      <c r="U140" s="160">
        <f>ROUND((175/100)*ROUND([7]Source!R96, 2), 2)</f>
        <v>0</v>
      </c>
      <c r="V140" s="160">
        <f>ROUND((157/100)*ROUND([7]Source!R97, 2), 2)</f>
        <v>0</v>
      </c>
    </row>
    <row r="141" spans="1:22" ht="28.5" x14ac:dyDescent="0.2">
      <c r="A141" s="179" t="s">
        <v>2483</v>
      </c>
      <c r="B141" s="178" t="s">
        <v>1598</v>
      </c>
      <c r="C141" s="178" t="s">
        <v>272</v>
      </c>
      <c r="D141" s="177" t="s">
        <v>1594</v>
      </c>
      <c r="E141" s="174">
        <v>0.1827</v>
      </c>
      <c r="F141" s="176">
        <v>481.69</v>
      </c>
      <c r="G141" s="182" t="s">
        <v>195</v>
      </c>
      <c r="H141" s="174">
        <v>1</v>
      </c>
      <c r="I141" s="173">
        <v>88</v>
      </c>
      <c r="J141" s="174">
        <v>6.45</v>
      </c>
      <c r="K141" s="173">
        <v>567.6</v>
      </c>
      <c r="Q141" s="160">
        <f>[7]Source!X98</f>
        <v>0</v>
      </c>
      <c r="R141" s="160">
        <f>[7]Source!X99</f>
        <v>0</v>
      </c>
      <c r="S141" s="160">
        <f>[7]Source!Y98</f>
        <v>0</v>
      </c>
      <c r="T141" s="160">
        <f>[7]Source!Y99</f>
        <v>0</v>
      </c>
      <c r="U141" s="160">
        <f>ROUND((175/100)*ROUND([7]Source!R98, 2), 2)</f>
        <v>0</v>
      </c>
      <c r="V141" s="160">
        <f>ROUND((157/100)*ROUND([7]Source!R99, 2), 2)</f>
        <v>0</v>
      </c>
    </row>
    <row r="142" spans="1:22" ht="28.5" x14ac:dyDescent="0.2">
      <c r="A142" s="179" t="s">
        <v>2484</v>
      </c>
      <c r="B142" s="178" t="s">
        <v>1532</v>
      </c>
      <c r="C142" s="178" t="s">
        <v>351</v>
      </c>
      <c r="D142" s="177" t="s">
        <v>1533</v>
      </c>
      <c r="E142" s="174">
        <v>-0.441</v>
      </c>
      <c r="F142" s="176">
        <v>0</v>
      </c>
      <c r="G142" s="182" t="s">
        <v>195</v>
      </c>
      <c r="H142" s="174">
        <v>1</v>
      </c>
      <c r="I142" s="173">
        <v>0</v>
      </c>
      <c r="J142" s="174">
        <v>1</v>
      </c>
      <c r="K142" s="173">
        <v>0</v>
      </c>
      <c r="Q142" s="160">
        <f>[7]Source!X100</f>
        <v>0</v>
      </c>
      <c r="R142" s="160">
        <f>[7]Source!X101</f>
        <v>0</v>
      </c>
      <c r="S142" s="160">
        <f>[7]Source!Y100</f>
        <v>0</v>
      </c>
      <c r="T142" s="160">
        <f>[7]Source!Y101</f>
        <v>0</v>
      </c>
      <c r="U142" s="160">
        <f>ROUND((175/100)*ROUND([7]Source!R100, 2), 2)</f>
        <v>0</v>
      </c>
      <c r="V142" s="160">
        <f>ROUND((157/100)*ROUND([7]Source!R101, 2), 2)</f>
        <v>0</v>
      </c>
    </row>
    <row r="143" spans="1:22" ht="28.5" x14ac:dyDescent="0.2">
      <c r="A143" s="179" t="s">
        <v>2485</v>
      </c>
      <c r="B143" s="178" t="s">
        <v>2469</v>
      </c>
      <c r="C143" s="178" t="s">
        <v>679</v>
      </c>
      <c r="D143" s="177" t="s">
        <v>1533</v>
      </c>
      <c r="E143" s="174">
        <v>-1.26</v>
      </c>
      <c r="F143" s="176">
        <v>0</v>
      </c>
      <c r="G143" s="182" t="s">
        <v>195</v>
      </c>
      <c r="H143" s="174">
        <v>1</v>
      </c>
      <c r="I143" s="173">
        <v>0</v>
      </c>
      <c r="J143" s="174">
        <v>1</v>
      </c>
      <c r="K143" s="173">
        <v>0</v>
      </c>
      <c r="Q143" s="160">
        <f>[7]Source!X102</f>
        <v>0</v>
      </c>
      <c r="R143" s="160">
        <f>[7]Source!X103</f>
        <v>0</v>
      </c>
      <c r="S143" s="160">
        <f>[7]Source!Y102</f>
        <v>0</v>
      </c>
      <c r="T143" s="160">
        <f>[7]Source!Y103</f>
        <v>0</v>
      </c>
      <c r="U143" s="160">
        <f>ROUND((175/100)*ROUND([7]Source!R102, 2), 2)</f>
        <v>0</v>
      </c>
      <c r="V143" s="160">
        <f>ROUND((157/100)*ROUND([7]Source!R103, 2), 2)</f>
        <v>0</v>
      </c>
    </row>
    <row r="144" spans="1:22" ht="14.25" x14ac:dyDescent="0.2">
      <c r="A144" s="179"/>
      <c r="B144" s="178"/>
      <c r="C144" s="178" t="s">
        <v>194</v>
      </c>
      <c r="D144" s="177" t="s">
        <v>187</v>
      </c>
      <c r="E144" s="174">
        <v>91</v>
      </c>
      <c r="F144" s="176"/>
      <c r="G144" s="175"/>
      <c r="H144" s="174"/>
      <c r="I144" s="173">
        <v>226.19</v>
      </c>
      <c r="J144" s="174">
        <v>73</v>
      </c>
      <c r="K144" s="173">
        <v>4236.83</v>
      </c>
    </row>
    <row r="145" spans="1:22" ht="14.25" x14ac:dyDescent="0.2">
      <c r="A145" s="179"/>
      <c r="B145" s="178"/>
      <c r="C145" s="178" t="s">
        <v>193</v>
      </c>
      <c r="D145" s="177" t="s">
        <v>187</v>
      </c>
      <c r="E145" s="174">
        <v>70</v>
      </c>
      <c r="F145" s="176"/>
      <c r="G145" s="175"/>
      <c r="H145" s="174"/>
      <c r="I145" s="173">
        <v>173.99</v>
      </c>
      <c r="J145" s="174">
        <v>41</v>
      </c>
      <c r="K145" s="173">
        <v>2379.59</v>
      </c>
    </row>
    <row r="146" spans="1:22" ht="14.25" x14ac:dyDescent="0.2">
      <c r="A146" s="172"/>
      <c r="B146" s="171"/>
      <c r="C146" s="171" t="s">
        <v>192</v>
      </c>
      <c r="D146" s="170" t="s">
        <v>191</v>
      </c>
      <c r="E146" s="167">
        <v>8.0299999999999994</v>
      </c>
      <c r="F146" s="169"/>
      <c r="G146" s="168" t="s">
        <v>195</v>
      </c>
      <c r="H146" s="167">
        <v>1</v>
      </c>
      <c r="I146" s="166">
        <v>16.86</v>
      </c>
      <c r="J146" s="167"/>
      <c r="K146" s="166"/>
    </row>
    <row r="147" spans="1:22" ht="15" x14ac:dyDescent="0.25">
      <c r="A147" s="164"/>
      <c r="B147" s="164"/>
      <c r="C147" s="165" t="s">
        <v>183</v>
      </c>
      <c r="D147" s="164"/>
      <c r="E147" s="164"/>
      <c r="F147" s="164"/>
      <c r="G147" s="164"/>
      <c r="H147" s="414">
        <v>1386.33</v>
      </c>
      <c r="I147" s="414"/>
      <c r="J147" s="414">
        <v>20880.419999999998</v>
      </c>
      <c r="K147" s="414"/>
      <c r="O147" s="163">
        <f>I139+I144+I145+SUM(I140:I143)</f>
        <v>1386.33</v>
      </c>
      <c r="P147" s="163">
        <f>K139+K144+K145+SUM(K140:K143)</f>
        <v>20880.419999999998</v>
      </c>
    </row>
    <row r="149" spans="1:22" ht="57" x14ac:dyDescent="0.2">
      <c r="A149" s="179" t="s">
        <v>1609</v>
      </c>
      <c r="B149" s="178" t="s">
        <v>2486</v>
      </c>
      <c r="C149" s="178" t="s">
        <v>686</v>
      </c>
      <c r="D149" s="177" t="s">
        <v>2487</v>
      </c>
      <c r="E149" s="174">
        <v>104.29</v>
      </c>
      <c r="F149" s="176"/>
      <c r="G149" s="175"/>
      <c r="H149" s="174"/>
      <c r="I149" s="173"/>
      <c r="J149" s="174"/>
      <c r="K149" s="173"/>
      <c r="Q149" s="160">
        <f>[7]Source!X108</f>
        <v>2078.39</v>
      </c>
      <c r="R149" s="160">
        <f>[7]Source!X109</f>
        <v>38931.07</v>
      </c>
      <c r="S149" s="160">
        <f>[7]Source!Y108</f>
        <v>1598.77</v>
      </c>
      <c r="T149" s="160">
        <f>[7]Source!Y109</f>
        <v>21865.39</v>
      </c>
      <c r="U149" s="160">
        <f>ROUND((175/100)*ROUND([7]Source!R108, 2), 2)</f>
        <v>0</v>
      </c>
      <c r="V149" s="160">
        <f>ROUND((157/100)*ROUND([7]Source!R109, 2), 2)</f>
        <v>0</v>
      </c>
    </row>
    <row r="150" spans="1:22" ht="14.25" x14ac:dyDescent="0.2">
      <c r="A150" s="179"/>
      <c r="B150" s="178"/>
      <c r="C150" s="178" t="s">
        <v>197</v>
      </c>
      <c r="D150" s="177"/>
      <c r="E150" s="174"/>
      <c r="F150" s="176">
        <v>21.9</v>
      </c>
      <c r="G150" s="175" t="s">
        <v>195</v>
      </c>
      <c r="H150" s="174">
        <v>1</v>
      </c>
      <c r="I150" s="173">
        <v>2283.9499999999998</v>
      </c>
      <c r="J150" s="174">
        <v>23.35</v>
      </c>
      <c r="K150" s="173">
        <v>53330.23</v>
      </c>
    </row>
    <row r="151" spans="1:22" ht="14.25" x14ac:dyDescent="0.2">
      <c r="A151" s="179" t="s">
        <v>1611</v>
      </c>
      <c r="B151" s="178" t="s">
        <v>2488</v>
      </c>
      <c r="C151" s="178" t="s">
        <v>685</v>
      </c>
      <c r="D151" s="177" t="s">
        <v>1533</v>
      </c>
      <c r="E151" s="174">
        <v>0.16</v>
      </c>
      <c r="F151" s="176">
        <v>1680.96</v>
      </c>
      <c r="G151" s="182" t="s">
        <v>195</v>
      </c>
      <c r="H151" s="174">
        <v>1</v>
      </c>
      <c r="I151" s="173">
        <v>268.95</v>
      </c>
      <c r="J151" s="174">
        <v>4.3099999999999996</v>
      </c>
      <c r="K151" s="173">
        <v>1159.17</v>
      </c>
      <c r="Q151" s="160">
        <f>[7]Source!X110</f>
        <v>0</v>
      </c>
      <c r="R151" s="160">
        <f>[7]Source!X111</f>
        <v>0</v>
      </c>
      <c r="S151" s="160">
        <f>[7]Source!Y110</f>
        <v>0</v>
      </c>
      <c r="T151" s="160">
        <f>[7]Source!Y111</f>
        <v>0</v>
      </c>
      <c r="U151" s="160">
        <f>ROUND((175/100)*ROUND([7]Source!R110, 2), 2)</f>
        <v>0</v>
      </c>
      <c r="V151" s="160">
        <f>ROUND((157/100)*ROUND([7]Source!R111, 2), 2)</f>
        <v>0</v>
      </c>
    </row>
    <row r="152" spans="1:22" ht="14.25" x14ac:dyDescent="0.2">
      <c r="A152" s="179" t="s">
        <v>1613</v>
      </c>
      <c r="B152" s="178" t="s">
        <v>1642</v>
      </c>
      <c r="C152" s="178" t="s">
        <v>271</v>
      </c>
      <c r="D152" s="177" t="s">
        <v>1594</v>
      </c>
      <c r="E152" s="174">
        <v>0.42</v>
      </c>
      <c r="F152" s="176">
        <v>540.41999999999996</v>
      </c>
      <c r="G152" s="182" t="s">
        <v>195</v>
      </c>
      <c r="H152" s="174">
        <v>1</v>
      </c>
      <c r="I152" s="173">
        <v>226.98</v>
      </c>
      <c r="J152" s="174">
        <v>5.86</v>
      </c>
      <c r="K152" s="173">
        <v>1330.1</v>
      </c>
      <c r="Q152" s="160">
        <f>[7]Source!X112</f>
        <v>0</v>
      </c>
      <c r="R152" s="160">
        <f>[7]Source!X113</f>
        <v>0</v>
      </c>
      <c r="S152" s="160">
        <f>[7]Source!Y112</f>
        <v>0</v>
      </c>
      <c r="T152" s="160">
        <f>[7]Source!Y113</f>
        <v>0</v>
      </c>
      <c r="U152" s="160">
        <f>ROUND((175/100)*ROUND([7]Source!R112, 2), 2)</f>
        <v>0</v>
      </c>
      <c r="V152" s="160">
        <f>ROUND((157/100)*ROUND([7]Source!R113, 2), 2)</f>
        <v>0</v>
      </c>
    </row>
    <row r="153" spans="1:22" ht="28.5" x14ac:dyDescent="0.2">
      <c r="A153" s="179" t="s">
        <v>1615</v>
      </c>
      <c r="B153" s="178" t="s">
        <v>2469</v>
      </c>
      <c r="C153" s="178" t="s">
        <v>679</v>
      </c>
      <c r="D153" s="177" t="s">
        <v>1533</v>
      </c>
      <c r="E153" s="174">
        <v>-1.1471899999999999</v>
      </c>
      <c r="F153" s="176">
        <v>0</v>
      </c>
      <c r="G153" s="182" t="s">
        <v>195</v>
      </c>
      <c r="H153" s="174">
        <v>1</v>
      </c>
      <c r="I153" s="173">
        <v>0</v>
      </c>
      <c r="J153" s="174">
        <v>1</v>
      </c>
      <c r="K153" s="173">
        <v>0</v>
      </c>
      <c r="Q153" s="160">
        <f>[7]Source!X114</f>
        <v>0</v>
      </c>
      <c r="R153" s="160">
        <f>[7]Source!X115</f>
        <v>0</v>
      </c>
      <c r="S153" s="160">
        <f>[7]Source!Y114</f>
        <v>0</v>
      </c>
      <c r="T153" s="160">
        <f>[7]Source!Y115</f>
        <v>0</v>
      </c>
      <c r="U153" s="160">
        <f>ROUND((175/100)*ROUND([7]Source!R114, 2), 2)</f>
        <v>0</v>
      </c>
      <c r="V153" s="160">
        <f>ROUND((157/100)*ROUND([7]Source!R115, 2), 2)</f>
        <v>0</v>
      </c>
    </row>
    <row r="154" spans="1:22" ht="14.25" x14ac:dyDescent="0.2">
      <c r="A154" s="179"/>
      <c r="B154" s="178"/>
      <c r="C154" s="178" t="s">
        <v>194</v>
      </c>
      <c r="D154" s="177" t="s">
        <v>187</v>
      </c>
      <c r="E154" s="174">
        <v>91</v>
      </c>
      <c r="F154" s="176"/>
      <c r="G154" s="175"/>
      <c r="H154" s="174"/>
      <c r="I154" s="173">
        <v>2078.39</v>
      </c>
      <c r="J154" s="174">
        <v>73</v>
      </c>
      <c r="K154" s="173">
        <v>38931.07</v>
      </c>
    </row>
    <row r="155" spans="1:22" ht="14.25" x14ac:dyDescent="0.2">
      <c r="A155" s="179"/>
      <c r="B155" s="178"/>
      <c r="C155" s="178" t="s">
        <v>193</v>
      </c>
      <c r="D155" s="177" t="s">
        <v>187</v>
      </c>
      <c r="E155" s="174">
        <v>70</v>
      </c>
      <c r="F155" s="176"/>
      <c r="G155" s="175"/>
      <c r="H155" s="174"/>
      <c r="I155" s="173">
        <v>1598.77</v>
      </c>
      <c r="J155" s="174">
        <v>41</v>
      </c>
      <c r="K155" s="173">
        <v>21865.39</v>
      </c>
    </row>
    <row r="156" spans="1:22" ht="14.25" x14ac:dyDescent="0.2">
      <c r="A156" s="172"/>
      <c r="B156" s="171"/>
      <c r="C156" s="171" t="s">
        <v>192</v>
      </c>
      <c r="D156" s="170" t="s">
        <v>191</v>
      </c>
      <c r="E156" s="167">
        <v>1.6</v>
      </c>
      <c r="F156" s="169"/>
      <c r="G156" s="168" t="s">
        <v>195</v>
      </c>
      <c r="H156" s="167">
        <v>1</v>
      </c>
      <c r="I156" s="166">
        <v>166.86</v>
      </c>
      <c r="J156" s="167"/>
      <c r="K156" s="166"/>
    </row>
    <row r="157" spans="1:22" ht="15" x14ac:dyDescent="0.25">
      <c r="A157" s="164"/>
      <c r="B157" s="164"/>
      <c r="C157" s="165" t="s">
        <v>183</v>
      </c>
      <c r="D157" s="164"/>
      <c r="E157" s="164"/>
      <c r="F157" s="164"/>
      <c r="G157" s="164"/>
      <c r="H157" s="414">
        <v>6457.04</v>
      </c>
      <c r="I157" s="414"/>
      <c r="J157" s="414">
        <v>116615.96</v>
      </c>
      <c r="K157" s="414"/>
      <c r="O157" s="163">
        <f>I150+I154+I155+SUM(I151:I153)</f>
        <v>6457.04</v>
      </c>
      <c r="P157" s="163">
        <f>K150+K154+K155+SUM(K151:K153)</f>
        <v>116615.96</v>
      </c>
    </row>
    <row r="159" spans="1:22" ht="71.25" x14ac:dyDescent="0.2">
      <c r="A159" s="179" t="s">
        <v>1617</v>
      </c>
      <c r="B159" s="178" t="s">
        <v>2489</v>
      </c>
      <c r="C159" s="178" t="s">
        <v>684</v>
      </c>
      <c r="D159" s="177" t="s">
        <v>2490</v>
      </c>
      <c r="E159" s="174">
        <v>256.25</v>
      </c>
      <c r="F159" s="176"/>
      <c r="G159" s="175"/>
      <c r="H159" s="174"/>
      <c r="I159" s="173"/>
      <c r="J159" s="174"/>
      <c r="K159" s="173"/>
      <c r="Q159" s="160">
        <f>[7]Source!X116</f>
        <v>1787.09</v>
      </c>
      <c r="R159" s="160">
        <f>[7]Source!X117</f>
        <v>33382.9</v>
      </c>
      <c r="S159" s="160">
        <f>[7]Source!Y116</f>
        <v>1380.94</v>
      </c>
      <c r="T159" s="160">
        <f>[7]Source!Y117</f>
        <v>15553.4</v>
      </c>
      <c r="U159" s="160">
        <f>ROUND((175/100)*ROUND([7]Source!R116, 2), 2)</f>
        <v>0</v>
      </c>
      <c r="V159" s="160">
        <f>ROUND((157/100)*ROUND([7]Source!R117, 2), 2)</f>
        <v>0</v>
      </c>
    </row>
    <row r="160" spans="1:22" ht="14.25" x14ac:dyDescent="0.2">
      <c r="A160" s="179"/>
      <c r="B160" s="178"/>
      <c r="C160" s="178" t="s">
        <v>197</v>
      </c>
      <c r="D160" s="177"/>
      <c r="E160" s="174"/>
      <c r="F160" s="176">
        <v>6.34</v>
      </c>
      <c r="G160" s="175" t="s">
        <v>195</v>
      </c>
      <c r="H160" s="174">
        <v>1</v>
      </c>
      <c r="I160" s="173">
        <v>1624.63</v>
      </c>
      <c r="J160" s="174">
        <v>23.35</v>
      </c>
      <c r="K160" s="173">
        <v>37935.11</v>
      </c>
    </row>
    <row r="161" spans="1:22" ht="28.5" x14ac:dyDescent="0.2">
      <c r="A161" s="179" t="s">
        <v>1619</v>
      </c>
      <c r="B161" s="178" t="s">
        <v>1532</v>
      </c>
      <c r="C161" s="178" t="s">
        <v>351</v>
      </c>
      <c r="D161" s="177" t="s">
        <v>1533</v>
      </c>
      <c r="E161" s="174">
        <v>-0.441</v>
      </c>
      <c r="F161" s="176">
        <v>0</v>
      </c>
      <c r="G161" s="182" t="s">
        <v>195</v>
      </c>
      <c r="H161" s="174">
        <v>1</v>
      </c>
      <c r="I161" s="173">
        <v>0</v>
      </c>
      <c r="J161" s="174">
        <v>1</v>
      </c>
      <c r="K161" s="173">
        <v>0</v>
      </c>
      <c r="Q161" s="160">
        <f>[7]Source!X118</f>
        <v>0</v>
      </c>
      <c r="R161" s="160">
        <f>[7]Source!X119</f>
        <v>0</v>
      </c>
      <c r="S161" s="160">
        <f>[7]Source!Y118</f>
        <v>0</v>
      </c>
      <c r="T161" s="160">
        <f>[7]Source!Y119</f>
        <v>0</v>
      </c>
      <c r="U161" s="160">
        <f>ROUND((175/100)*ROUND([7]Source!R118, 2), 2)</f>
        <v>0</v>
      </c>
      <c r="V161" s="160">
        <f>ROUND((157/100)*ROUND([7]Source!R119, 2), 2)</f>
        <v>0</v>
      </c>
    </row>
    <row r="162" spans="1:22" ht="14.25" x14ac:dyDescent="0.2">
      <c r="A162" s="179"/>
      <c r="B162" s="178"/>
      <c r="C162" s="178" t="s">
        <v>194</v>
      </c>
      <c r="D162" s="177" t="s">
        <v>187</v>
      </c>
      <c r="E162" s="174">
        <v>110</v>
      </c>
      <c r="F162" s="176"/>
      <c r="G162" s="175"/>
      <c r="H162" s="174"/>
      <c r="I162" s="173">
        <v>1787.09</v>
      </c>
      <c r="J162" s="174">
        <v>88</v>
      </c>
      <c r="K162" s="173">
        <v>33382.9</v>
      </c>
    </row>
    <row r="163" spans="1:22" ht="14.25" x14ac:dyDescent="0.2">
      <c r="A163" s="179"/>
      <c r="B163" s="178"/>
      <c r="C163" s="178" t="s">
        <v>193</v>
      </c>
      <c r="D163" s="177" t="s">
        <v>187</v>
      </c>
      <c r="E163" s="174">
        <v>85</v>
      </c>
      <c r="F163" s="176"/>
      <c r="G163" s="175"/>
      <c r="H163" s="174"/>
      <c r="I163" s="173">
        <v>1380.94</v>
      </c>
      <c r="J163" s="174">
        <v>41</v>
      </c>
      <c r="K163" s="173">
        <v>15553.4</v>
      </c>
    </row>
    <row r="164" spans="1:22" ht="14.25" x14ac:dyDescent="0.2">
      <c r="A164" s="172"/>
      <c r="B164" s="171"/>
      <c r="C164" s="171" t="s">
        <v>192</v>
      </c>
      <c r="D164" s="170" t="s">
        <v>191</v>
      </c>
      <c r="E164" s="167">
        <v>0.53</v>
      </c>
      <c r="F164" s="169"/>
      <c r="G164" s="168" t="s">
        <v>195</v>
      </c>
      <c r="H164" s="167">
        <v>1</v>
      </c>
      <c r="I164" s="166">
        <v>135.81</v>
      </c>
      <c r="J164" s="167"/>
      <c r="K164" s="166"/>
    </row>
    <row r="165" spans="1:22" ht="15" x14ac:dyDescent="0.25">
      <c r="A165" s="164"/>
      <c r="B165" s="164"/>
      <c r="C165" s="165" t="s">
        <v>183</v>
      </c>
      <c r="D165" s="164"/>
      <c r="E165" s="164"/>
      <c r="F165" s="164"/>
      <c r="G165" s="164"/>
      <c r="H165" s="414">
        <v>4792.66</v>
      </c>
      <c r="I165" s="414"/>
      <c r="J165" s="414">
        <v>86871.41</v>
      </c>
      <c r="K165" s="414"/>
      <c r="O165" s="163">
        <f>I160+I162+I163+SUM(I161:I161)</f>
        <v>4792.66</v>
      </c>
      <c r="P165" s="163">
        <f>K160+K162+K163+SUM(K161:K161)</f>
        <v>86871.41</v>
      </c>
    </row>
    <row r="167" spans="1:22" ht="57" x14ac:dyDescent="0.2">
      <c r="A167" s="179" t="s">
        <v>1622</v>
      </c>
      <c r="B167" s="178" t="s">
        <v>2374</v>
      </c>
      <c r="C167" s="178" t="s">
        <v>611</v>
      </c>
      <c r="D167" s="177" t="s">
        <v>2375</v>
      </c>
      <c r="E167" s="174">
        <v>38.35</v>
      </c>
      <c r="F167" s="176"/>
      <c r="G167" s="175"/>
      <c r="H167" s="174"/>
      <c r="I167" s="173"/>
      <c r="J167" s="174"/>
      <c r="K167" s="173"/>
      <c r="Q167" s="160">
        <f>[7]Source!X120</f>
        <v>10800.74</v>
      </c>
      <c r="R167" s="160">
        <f>[7]Source!X121</f>
        <v>202312.02</v>
      </c>
      <c r="S167" s="160">
        <f>[7]Source!Y120</f>
        <v>8308.26</v>
      </c>
      <c r="T167" s="160">
        <f>[7]Source!Y121</f>
        <v>113627.3</v>
      </c>
      <c r="U167" s="160">
        <f>ROUND((175/100)*ROUND([7]Source!R120, 2), 2)</f>
        <v>144.97</v>
      </c>
      <c r="V167" s="160">
        <f>ROUND((157/100)*ROUND([7]Source!R121, 2), 2)</f>
        <v>3036.87</v>
      </c>
    </row>
    <row r="168" spans="1:22" x14ac:dyDescent="0.2">
      <c r="C168" s="181" t="s">
        <v>2491</v>
      </c>
    </row>
    <row r="169" spans="1:22" ht="14.25" x14ac:dyDescent="0.2">
      <c r="A169" s="179"/>
      <c r="B169" s="178"/>
      <c r="C169" s="178" t="s">
        <v>197</v>
      </c>
      <c r="D169" s="177"/>
      <c r="E169" s="174"/>
      <c r="F169" s="176">
        <v>309.49</v>
      </c>
      <c r="G169" s="175" t="s">
        <v>195</v>
      </c>
      <c r="H169" s="174">
        <v>1</v>
      </c>
      <c r="I169" s="173">
        <v>11868.94</v>
      </c>
      <c r="J169" s="174">
        <v>23.35</v>
      </c>
      <c r="K169" s="173">
        <v>277139.75</v>
      </c>
    </row>
    <row r="170" spans="1:22" ht="14.25" x14ac:dyDescent="0.2">
      <c r="A170" s="179"/>
      <c r="B170" s="178"/>
      <c r="C170" s="178" t="s">
        <v>184</v>
      </c>
      <c r="D170" s="177"/>
      <c r="E170" s="174"/>
      <c r="F170" s="176">
        <v>38.159999999999997</v>
      </c>
      <c r="G170" s="175" t="s">
        <v>195</v>
      </c>
      <c r="H170" s="174">
        <v>1</v>
      </c>
      <c r="I170" s="173">
        <v>1463.44</v>
      </c>
      <c r="J170" s="174">
        <v>3.77</v>
      </c>
      <c r="K170" s="173">
        <v>5517.17</v>
      </c>
    </row>
    <row r="171" spans="1:22" ht="14.25" x14ac:dyDescent="0.2">
      <c r="A171" s="179"/>
      <c r="B171" s="178"/>
      <c r="C171" s="178" t="s">
        <v>189</v>
      </c>
      <c r="D171" s="177"/>
      <c r="E171" s="174"/>
      <c r="F171" s="176">
        <v>2.16</v>
      </c>
      <c r="G171" s="175" t="s">
        <v>195</v>
      </c>
      <c r="H171" s="174">
        <v>1</v>
      </c>
      <c r="I171" s="180">
        <v>82.84</v>
      </c>
      <c r="J171" s="174">
        <v>23.35</v>
      </c>
      <c r="K171" s="180">
        <v>1934.31</v>
      </c>
    </row>
    <row r="172" spans="1:22" ht="14.25" x14ac:dyDescent="0.2">
      <c r="A172" s="179"/>
      <c r="B172" s="178"/>
      <c r="C172" s="178" t="s">
        <v>194</v>
      </c>
      <c r="D172" s="177" t="s">
        <v>187</v>
      </c>
      <c r="E172" s="174">
        <v>91</v>
      </c>
      <c r="F172" s="176"/>
      <c r="G172" s="175"/>
      <c r="H172" s="174"/>
      <c r="I172" s="173">
        <v>10800.74</v>
      </c>
      <c r="J172" s="174">
        <v>73</v>
      </c>
      <c r="K172" s="173">
        <v>202312.02</v>
      </c>
    </row>
    <row r="173" spans="1:22" ht="14.25" x14ac:dyDescent="0.2">
      <c r="A173" s="179"/>
      <c r="B173" s="178"/>
      <c r="C173" s="178" t="s">
        <v>193</v>
      </c>
      <c r="D173" s="177" t="s">
        <v>187</v>
      </c>
      <c r="E173" s="174">
        <v>70</v>
      </c>
      <c r="F173" s="176"/>
      <c r="G173" s="175"/>
      <c r="H173" s="174"/>
      <c r="I173" s="173">
        <v>8308.26</v>
      </c>
      <c r="J173" s="174">
        <v>41</v>
      </c>
      <c r="K173" s="173">
        <v>113627.3</v>
      </c>
    </row>
    <row r="174" spans="1:22" ht="14.25" x14ac:dyDescent="0.2">
      <c r="A174" s="172"/>
      <c r="B174" s="171"/>
      <c r="C174" s="171" t="s">
        <v>188</v>
      </c>
      <c r="D174" s="170" t="s">
        <v>187</v>
      </c>
      <c r="E174" s="167">
        <v>175</v>
      </c>
      <c r="F174" s="169"/>
      <c r="G174" s="168"/>
      <c r="H174" s="167"/>
      <c r="I174" s="166">
        <v>144.97</v>
      </c>
      <c r="J174" s="167">
        <v>157</v>
      </c>
      <c r="K174" s="166">
        <v>3036.87</v>
      </c>
    </row>
    <row r="175" spans="1:22" ht="15" x14ac:dyDescent="0.25">
      <c r="A175" s="164"/>
      <c r="B175" s="164"/>
      <c r="C175" s="165" t="s">
        <v>183</v>
      </c>
      <c r="D175" s="164"/>
      <c r="E175" s="164"/>
      <c r="F175" s="164"/>
      <c r="G175" s="164"/>
      <c r="H175" s="414">
        <v>32586.35</v>
      </c>
      <c r="I175" s="414"/>
      <c r="J175" s="414">
        <v>601633.11</v>
      </c>
      <c r="K175" s="414"/>
      <c r="O175" s="163">
        <f>I169+I170+I172+I173+I174</f>
        <v>32586.35</v>
      </c>
      <c r="P175" s="163">
        <f>K169+K170+K172+K173+K174</f>
        <v>601633.11</v>
      </c>
    </row>
    <row r="177" spans="1:22" ht="99.75" x14ac:dyDescent="0.2">
      <c r="A177" s="179" t="s">
        <v>1625</v>
      </c>
      <c r="B177" s="178" t="s">
        <v>2376</v>
      </c>
      <c r="C177" s="178" t="s">
        <v>683</v>
      </c>
      <c r="D177" s="177" t="s">
        <v>2377</v>
      </c>
      <c r="E177" s="174">
        <v>1160</v>
      </c>
      <c r="F177" s="176"/>
      <c r="G177" s="175"/>
      <c r="H177" s="174"/>
      <c r="I177" s="173"/>
      <c r="J177" s="174"/>
      <c r="K177" s="173"/>
      <c r="Q177" s="160">
        <f>[7]Source!X122</f>
        <v>13680.58</v>
      </c>
      <c r="R177" s="160">
        <f>[7]Source!X123</f>
        <v>256255.23</v>
      </c>
      <c r="S177" s="160">
        <f>[7]Source!Y122</f>
        <v>10523.52</v>
      </c>
      <c r="T177" s="160">
        <f>[7]Source!Y123</f>
        <v>143924.17000000001</v>
      </c>
      <c r="U177" s="160">
        <f>ROUND((175/100)*ROUND([7]Source!R122, 2), 2)</f>
        <v>2151.8000000000002</v>
      </c>
      <c r="V177" s="160">
        <f>ROUND((157/100)*ROUND([7]Source!R123, 2), 2)</f>
        <v>45076.52</v>
      </c>
    </row>
    <row r="178" spans="1:22" x14ac:dyDescent="0.2">
      <c r="C178" s="181" t="s">
        <v>2492</v>
      </c>
    </row>
    <row r="179" spans="1:22" ht="14.25" x14ac:dyDescent="0.2">
      <c r="A179" s="179"/>
      <c r="B179" s="178"/>
      <c r="C179" s="178" t="s">
        <v>197</v>
      </c>
      <c r="D179" s="177"/>
      <c r="E179" s="174"/>
      <c r="F179" s="176">
        <v>12.96</v>
      </c>
      <c r="G179" s="175" t="s">
        <v>195</v>
      </c>
      <c r="H179" s="174">
        <v>1</v>
      </c>
      <c r="I179" s="173">
        <v>15033.6</v>
      </c>
      <c r="J179" s="174">
        <v>23.35</v>
      </c>
      <c r="K179" s="173">
        <v>351034.56</v>
      </c>
    </row>
    <row r="180" spans="1:22" ht="14.25" x14ac:dyDescent="0.2">
      <c r="A180" s="179"/>
      <c r="B180" s="178"/>
      <c r="C180" s="178" t="s">
        <v>184</v>
      </c>
      <c r="D180" s="177"/>
      <c r="E180" s="174"/>
      <c r="F180" s="176">
        <v>4.24</v>
      </c>
      <c r="G180" s="175" t="s">
        <v>195</v>
      </c>
      <c r="H180" s="174">
        <v>1</v>
      </c>
      <c r="I180" s="173">
        <v>4918.3999999999996</v>
      </c>
      <c r="J180" s="174">
        <v>9.68</v>
      </c>
      <c r="K180" s="173">
        <v>47610.11</v>
      </c>
    </row>
    <row r="181" spans="1:22" ht="14.25" x14ac:dyDescent="0.2">
      <c r="A181" s="179"/>
      <c r="B181" s="178"/>
      <c r="C181" s="178" t="s">
        <v>189</v>
      </c>
      <c r="D181" s="177"/>
      <c r="E181" s="174"/>
      <c r="F181" s="176">
        <v>1.06</v>
      </c>
      <c r="G181" s="175" t="s">
        <v>195</v>
      </c>
      <c r="H181" s="174">
        <v>1</v>
      </c>
      <c r="I181" s="180">
        <v>1229.5999999999999</v>
      </c>
      <c r="J181" s="174">
        <v>23.35</v>
      </c>
      <c r="K181" s="180">
        <v>28711.16</v>
      </c>
    </row>
    <row r="182" spans="1:22" ht="14.25" x14ac:dyDescent="0.2">
      <c r="A182" s="179"/>
      <c r="B182" s="178"/>
      <c r="C182" s="178" t="s">
        <v>205</v>
      </c>
      <c r="D182" s="177"/>
      <c r="E182" s="174"/>
      <c r="F182" s="176">
        <v>16.989999999999998</v>
      </c>
      <c r="G182" s="175" t="s">
        <v>195</v>
      </c>
      <c r="H182" s="174">
        <v>1</v>
      </c>
      <c r="I182" s="173">
        <v>19708.400000000001</v>
      </c>
      <c r="J182" s="174">
        <v>10.18</v>
      </c>
      <c r="K182" s="173">
        <v>200631.51</v>
      </c>
    </row>
    <row r="183" spans="1:22" ht="14.25" x14ac:dyDescent="0.2">
      <c r="A183" s="179" t="s">
        <v>1627</v>
      </c>
      <c r="B183" s="178" t="s">
        <v>2493</v>
      </c>
      <c r="C183" s="178" t="s">
        <v>679</v>
      </c>
      <c r="D183" s="177" t="s">
        <v>1533</v>
      </c>
      <c r="E183" s="174">
        <v>-81.2</v>
      </c>
      <c r="F183" s="176">
        <v>0</v>
      </c>
      <c r="G183" s="182" t="s">
        <v>195</v>
      </c>
      <c r="H183" s="174">
        <v>1</v>
      </c>
      <c r="I183" s="173">
        <v>0</v>
      </c>
      <c r="J183" s="174">
        <v>1</v>
      </c>
      <c r="K183" s="173">
        <v>0</v>
      </c>
      <c r="Q183" s="160">
        <f>[7]Source!X124</f>
        <v>0</v>
      </c>
      <c r="R183" s="160">
        <f>[7]Source!X125</f>
        <v>0</v>
      </c>
      <c r="S183" s="160">
        <f>[7]Source!Y124</f>
        <v>0</v>
      </c>
      <c r="T183" s="160">
        <f>[7]Source!Y125</f>
        <v>0</v>
      </c>
      <c r="U183" s="160">
        <f>ROUND((175/100)*ROUND([7]Source!R124, 2), 2)</f>
        <v>0</v>
      </c>
      <c r="V183" s="160">
        <f>ROUND((157/100)*ROUND([7]Source!R125, 2), 2)</f>
        <v>0</v>
      </c>
    </row>
    <row r="184" spans="1:22" ht="14.25" x14ac:dyDescent="0.2">
      <c r="A184" s="179"/>
      <c r="B184" s="178"/>
      <c r="C184" s="178" t="s">
        <v>194</v>
      </c>
      <c r="D184" s="177" t="s">
        <v>187</v>
      </c>
      <c r="E184" s="174">
        <v>91</v>
      </c>
      <c r="F184" s="176"/>
      <c r="G184" s="175"/>
      <c r="H184" s="174"/>
      <c r="I184" s="173">
        <v>13680.58</v>
      </c>
      <c r="J184" s="174">
        <v>73</v>
      </c>
      <c r="K184" s="173">
        <v>256255.23</v>
      </c>
    </row>
    <row r="185" spans="1:22" ht="14.25" x14ac:dyDescent="0.2">
      <c r="A185" s="179"/>
      <c r="B185" s="178"/>
      <c r="C185" s="178" t="s">
        <v>193</v>
      </c>
      <c r="D185" s="177" t="s">
        <v>187</v>
      </c>
      <c r="E185" s="174">
        <v>70</v>
      </c>
      <c r="F185" s="176"/>
      <c r="G185" s="175"/>
      <c r="H185" s="174"/>
      <c r="I185" s="173">
        <v>10523.52</v>
      </c>
      <c r="J185" s="174">
        <v>41</v>
      </c>
      <c r="K185" s="173">
        <v>143924.17000000001</v>
      </c>
    </row>
    <row r="186" spans="1:22" ht="14.25" x14ac:dyDescent="0.2">
      <c r="A186" s="172"/>
      <c r="B186" s="171"/>
      <c r="C186" s="171" t="s">
        <v>188</v>
      </c>
      <c r="D186" s="170" t="s">
        <v>187</v>
      </c>
      <c r="E186" s="167">
        <v>175</v>
      </c>
      <c r="F186" s="169"/>
      <c r="G186" s="168"/>
      <c r="H186" s="167"/>
      <c r="I186" s="166">
        <v>2151.8000000000002</v>
      </c>
      <c r="J186" s="167">
        <v>157</v>
      </c>
      <c r="K186" s="166">
        <v>45076.52</v>
      </c>
    </row>
    <row r="187" spans="1:22" ht="15" x14ac:dyDescent="0.25">
      <c r="A187" s="164"/>
      <c r="B187" s="164"/>
      <c r="C187" s="165" t="s">
        <v>183</v>
      </c>
      <c r="D187" s="164"/>
      <c r="E187" s="164"/>
      <c r="F187" s="164"/>
      <c r="G187" s="164"/>
      <c r="H187" s="414">
        <v>66016.3</v>
      </c>
      <c r="I187" s="414"/>
      <c r="J187" s="414">
        <v>1044532.1</v>
      </c>
      <c r="K187" s="414"/>
      <c r="O187" s="163">
        <f>I179+I180+I182+I184+I185+I186+SUM(I183:I183)</f>
        <v>66016.3</v>
      </c>
      <c r="P187" s="163">
        <f>K179+K180+K182+K184+K185+K186+SUM(K183:K183)</f>
        <v>1044532.1</v>
      </c>
    </row>
    <row r="189" spans="1:22" ht="57" x14ac:dyDescent="0.2">
      <c r="A189" s="179" t="s">
        <v>1629</v>
      </c>
      <c r="B189" s="178" t="s">
        <v>2379</v>
      </c>
      <c r="C189" s="178" t="s">
        <v>609</v>
      </c>
      <c r="D189" s="177" t="s">
        <v>2380</v>
      </c>
      <c r="E189" s="174">
        <v>383.5</v>
      </c>
      <c r="F189" s="176"/>
      <c r="G189" s="175"/>
      <c r="H189" s="174"/>
      <c r="I189" s="173"/>
      <c r="J189" s="174"/>
      <c r="K189" s="173"/>
      <c r="Q189" s="160">
        <f>[7]Source!X126</f>
        <v>5506.98</v>
      </c>
      <c r="R189" s="160">
        <f>[7]Source!X127</f>
        <v>103153.06</v>
      </c>
      <c r="S189" s="160">
        <f>[7]Source!Y126</f>
        <v>4236.1400000000003</v>
      </c>
      <c r="T189" s="160">
        <f>[7]Source!Y127</f>
        <v>57935.28</v>
      </c>
      <c r="U189" s="160">
        <f>ROUND((175/100)*ROUND([7]Source!R126, 2), 2)</f>
        <v>0</v>
      </c>
      <c r="V189" s="160">
        <f>ROUND((157/100)*ROUND([7]Source!R127, 2), 2)</f>
        <v>0</v>
      </c>
    </row>
    <row r="190" spans="1:22" x14ac:dyDescent="0.2">
      <c r="C190" s="181" t="s">
        <v>2494</v>
      </c>
    </row>
    <row r="191" spans="1:22" ht="14.25" x14ac:dyDescent="0.2">
      <c r="A191" s="179"/>
      <c r="B191" s="178"/>
      <c r="C191" s="178" t="s">
        <v>197</v>
      </c>
      <c r="D191" s="177"/>
      <c r="E191" s="174"/>
      <c r="F191" s="176">
        <v>15.78</v>
      </c>
      <c r="G191" s="175" t="s">
        <v>195</v>
      </c>
      <c r="H191" s="174">
        <v>1</v>
      </c>
      <c r="I191" s="173">
        <v>6051.63</v>
      </c>
      <c r="J191" s="174">
        <v>23.35</v>
      </c>
      <c r="K191" s="173">
        <v>141305.56</v>
      </c>
    </row>
    <row r="192" spans="1:22" ht="14.25" x14ac:dyDescent="0.2">
      <c r="A192" s="179"/>
      <c r="B192" s="178"/>
      <c r="C192" s="178" t="s">
        <v>205</v>
      </c>
      <c r="D192" s="177"/>
      <c r="E192" s="174"/>
      <c r="F192" s="176">
        <v>3.71</v>
      </c>
      <c r="G192" s="175" t="s">
        <v>195</v>
      </c>
      <c r="H192" s="174">
        <v>1</v>
      </c>
      <c r="I192" s="173">
        <v>1422.79</v>
      </c>
      <c r="J192" s="174">
        <v>3.16</v>
      </c>
      <c r="K192" s="173">
        <v>4496.0200000000004</v>
      </c>
    </row>
    <row r="193" spans="1:22" ht="42.75" x14ac:dyDescent="0.2">
      <c r="A193" s="179" t="s">
        <v>1630</v>
      </c>
      <c r="B193" s="178" t="s">
        <v>2381</v>
      </c>
      <c r="C193" s="178" t="s">
        <v>608</v>
      </c>
      <c r="D193" s="177" t="s">
        <v>1661</v>
      </c>
      <c r="E193" s="174">
        <v>128</v>
      </c>
      <c r="F193" s="176">
        <v>136.13999999999999</v>
      </c>
      <c r="G193" s="182" t="s">
        <v>195</v>
      </c>
      <c r="H193" s="174">
        <v>1</v>
      </c>
      <c r="I193" s="173">
        <v>17425.919999999998</v>
      </c>
      <c r="J193" s="174">
        <v>1.01</v>
      </c>
      <c r="K193" s="173">
        <v>17600.18</v>
      </c>
      <c r="Q193" s="160">
        <f>[7]Source!X128</f>
        <v>0</v>
      </c>
      <c r="R193" s="160">
        <f>[7]Source!X129</f>
        <v>0</v>
      </c>
      <c r="S193" s="160">
        <f>[7]Source!Y128</f>
        <v>0</v>
      </c>
      <c r="T193" s="160">
        <f>[7]Source!Y129</f>
        <v>0</v>
      </c>
      <c r="U193" s="160">
        <f>ROUND((175/100)*ROUND([7]Source!R128, 2), 2)</f>
        <v>0</v>
      </c>
      <c r="V193" s="160">
        <f>ROUND((157/100)*ROUND([7]Source!R129, 2), 2)</f>
        <v>0</v>
      </c>
    </row>
    <row r="194" spans="1:22" ht="14.25" x14ac:dyDescent="0.2">
      <c r="A194" s="179"/>
      <c r="B194" s="178"/>
      <c r="C194" s="178" t="s">
        <v>194</v>
      </c>
      <c r="D194" s="177" t="s">
        <v>187</v>
      </c>
      <c r="E194" s="174">
        <v>91</v>
      </c>
      <c r="F194" s="176"/>
      <c r="G194" s="175"/>
      <c r="H194" s="174"/>
      <c r="I194" s="173">
        <v>5506.98</v>
      </c>
      <c r="J194" s="174">
        <v>73</v>
      </c>
      <c r="K194" s="173">
        <v>103153.06</v>
      </c>
    </row>
    <row r="195" spans="1:22" ht="14.25" x14ac:dyDescent="0.2">
      <c r="A195" s="172"/>
      <c r="B195" s="171"/>
      <c r="C195" s="171" t="s">
        <v>193</v>
      </c>
      <c r="D195" s="170" t="s">
        <v>187</v>
      </c>
      <c r="E195" s="167">
        <v>70</v>
      </c>
      <c r="F195" s="169"/>
      <c r="G195" s="168"/>
      <c r="H195" s="167"/>
      <c r="I195" s="166">
        <v>4236.1400000000003</v>
      </c>
      <c r="J195" s="167">
        <v>41</v>
      </c>
      <c r="K195" s="166">
        <v>57935.28</v>
      </c>
    </row>
    <row r="196" spans="1:22" ht="15" x14ac:dyDescent="0.25">
      <c r="A196" s="164"/>
      <c r="B196" s="164"/>
      <c r="C196" s="165" t="s">
        <v>183</v>
      </c>
      <c r="D196" s="164"/>
      <c r="E196" s="164"/>
      <c r="F196" s="164"/>
      <c r="G196" s="164"/>
      <c r="H196" s="414">
        <v>34643.46</v>
      </c>
      <c r="I196" s="414"/>
      <c r="J196" s="414">
        <v>324490.09999999998</v>
      </c>
      <c r="K196" s="414"/>
      <c r="O196" s="163">
        <f>I191+I192+I194+I195+SUM(I193:I193)</f>
        <v>34643.46</v>
      </c>
      <c r="P196" s="163">
        <f>K191+K192+K194+K195+SUM(K193:K193)</f>
        <v>324490.09999999998</v>
      </c>
    </row>
    <row r="199" spans="1:22" ht="15" x14ac:dyDescent="0.25">
      <c r="A199" s="417" t="s">
        <v>2495</v>
      </c>
      <c r="B199" s="417"/>
      <c r="C199" s="417"/>
      <c r="D199" s="417"/>
      <c r="E199" s="417"/>
      <c r="F199" s="417"/>
      <c r="G199" s="417"/>
      <c r="H199" s="415">
        <v>2029927.26</v>
      </c>
      <c r="I199" s="416"/>
      <c r="J199" s="415">
        <v>28780074.539999999</v>
      </c>
      <c r="K199" s="416"/>
    </row>
    <row r="200" spans="1:22" hidden="1" x14ac:dyDescent="0.2">
      <c r="A200" s="160" t="s">
        <v>182</v>
      </c>
      <c r="I200" s="160">
        <v>0</v>
      </c>
      <c r="J200" s="160">
        <v>0</v>
      </c>
    </row>
    <row r="201" spans="1:22" hidden="1" x14ac:dyDescent="0.2">
      <c r="A201" s="160" t="s">
        <v>181</v>
      </c>
      <c r="I201" s="160">
        <v>0</v>
      </c>
      <c r="J201" s="160">
        <v>0</v>
      </c>
    </row>
    <row r="203" spans="1:22" ht="16.5" x14ac:dyDescent="0.25">
      <c r="A203" s="413" t="s">
        <v>2496</v>
      </c>
      <c r="B203" s="413"/>
      <c r="C203" s="413"/>
      <c r="D203" s="413"/>
      <c r="E203" s="413"/>
      <c r="F203" s="413"/>
      <c r="G203" s="413"/>
      <c r="H203" s="413"/>
      <c r="I203" s="413"/>
      <c r="J203" s="413"/>
      <c r="K203" s="413"/>
    </row>
    <row r="204" spans="1:22" ht="114" x14ac:dyDescent="0.2">
      <c r="A204" s="179" t="s">
        <v>1633</v>
      </c>
      <c r="B204" s="178" t="s">
        <v>2497</v>
      </c>
      <c r="C204" s="178" t="s">
        <v>682</v>
      </c>
      <c r="D204" s="177" t="s">
        <v>2498</v>
      </c>
      <c r="E204" s="174">
        <v>57.45</v>
      </c>
      <c r="F204" s="176"/>
      <c r="G204" s="175"/>
      <c r="H204" s="174"/>
      <c r="I204" s="173"/>
      <c r="J204" s="174"/>
      <c r="K204" s="173"/>
      <c r="Q204" s="160">
        <f>[7]Source!X165</f>
        <v>582.91999999999996</v>
      </c>
      <c r="R204" s="160">
        <f>[7]Source!X166</f>
        <v>10918.84</v>
      </c>
      <c r="S204" s="160">
        <f>[7]Source!Y165</f>
        <v>448.4</v>
      </c>
      <c r="T204" s="160">
        <f>[7]Source!Y166</f>
        <v>6132.5</v>
      </c>
      <c r="U204" s="160">
        <f>ROUND((175/100)*ROUND([7]Source!R165, 2), 2)</f>
        <v>0</v>
      </c>
      <c r="V204" s="160">
        <f>ROUND((157/100)*ROUND([7]Source!R166, 2), 2)</f>
        <v>0</v>
      </c>
    </row>
    <row r="205" spans="1:22" ht="14.25" x14ac:dyDescent="0.2">
      <c r="A205" s="179"/>
      <c r="B205" s="178"/>
      <c r="C205" s="178" t="s">
        <v>197</v>
      </c>
      <c r="D205" s="177"/>
      <c r="E205" s="174"/>
      <c r="F205" s="176">
        <v>11.15</v>
      </c>
      <c r="G205" s="175" t="s">
        <v>195</v>
      </c>
      <c r="H205" s="174">
        <v>1</v>
      </c>
      <c r="I205" s="173">
        <v>640.57000000000005</v>
      </c>
      <c r="J205" s="174">
        <v>23.35</v>
      </c>
      <c r="K205" s="173">
        <v>14957.31</v>
      </c>
    </row>
    <row r="206" spans="1:22" ht="14.25" x14ac:dyDescent="0.2">
      <c r="A206" s="179"/>
      <c r="B206" s="178"/>
      <c r="C206" s="178" t="s">
        <v>194</v>
      </c>
      <c r="D206" s="177" t="s">
        <v>187</v>
      </c>
      <c r="E206" s="174">
        <v>91</v>
      </c>
      <c r="F206" s="176"/>
      <c r="G206" s="175"/>
      <c r="H206" s="174"/>
      <c r="I206" s="173">
        <v>582.91999999999996</v>
      </c>
      <c r="J206" s="174">
        <v>73</v>
      </c>
      <c r="K206" s="173">
        <v>10918.84</v>
      </c>
    </row>
    <row r="207" spans="1:22" ht="14.25" x14ac:dyDescent="0.2">
      <c r="A207" s="179"/>
      <c r="B207" s="178"/>
      <c r="C207" s="178" t="s">
        <v>193</v>
      </c>
      <c r="D207" s="177" t="s">
        <v>187</v>
      </c>
      <c r="E207" s="174">
        <v>70</v>
      </c>
      <c r="F207" s="176"/>
      <c r="G207" s="175"/>
      <c r="H207" s="174"/>
      <c r="I207" s="173">
        <v>448.4</v>
      </c>
      <c r="J207" s="174">
        <v>41</v>
      </c>
      <c r="K207" s="173">
        <v>6132.5</v>
      </c>
    </row>
    <row r="208" spans="1:22" ht="14.25" x14ac:dyDescent="0.2">
      <c r="A208" s="172"/>
      <c r="B208" s="171"/>
      <c r="C208" s="171" t="s">
        <v>192</v>
      </c>
      <c r="D208" s="170" t="s">
        <v>191</v>
      </c>
      <c r="E208" s="167">
        <v>1.02</v>
      </c>
      <c r="F208" s="169"/>
      <c r="G208" s="168" t="s">
        <v>195</v>
      </c>
      <c r="H208" s="167">
        <v>1</v>
      </c>
      <c r="I208" s="166">
        <v>58.6</v>
      </c>
      <c r="J208" s="167"/>
      <c r="K208" s="166"/>
    </row>
    <row r="209" spans="1:22" ht="15" x14ac:dyDescent="0.25">
      <c r="A209" s="164"/>
      <c r="B209" s="164"/>
      <c r="C209" s="165" t="s">
        <v>183</v>
      </c>
      <c r="D209" s="164"/>
      <c r="E209" s="164"/>
      <c r="F209" s="164"/>
      <c r="G209" s="164"/>
      <c r="H209" s="414">
        <v>1671.89</v>
      </c>
      <c r="I209" s="414"/>
      <c r="J209" s="414">
        <v>32008.65</v>
      </c>
      <c r="K209" s="414"/>
      <c r="O209" s="163">
        <f>I205+I206+I207</f>
        <v>1671.89</v>
      </c>
      <c r="P209" s="163">
        <f>K205+K206+K207</f>
        <v>32008.65</v>
      </c>
    </row>
    <row r="211" spans="1:22" ht="71.25" x14ac:dyDescent="0.2">
      <c r="A211" s="179" t="s">
        <v>1635</v>
      </c>
      <c r="B211" s="178" t="s">
        <v>2499</v>
      </c>
      <c r="C211" s="178" t="s">
        <v>681</v>
      </c>
      <c r="D211" s="177" t="s">
        <v>2500</v>
      </c>
      <c r="E211" s="174">
        <v>5.7450000000000001</v>
      </c>
      <c r="F211" s="176"/>
      <c r="G211" s="175"/>
      <c r="H211" s="174"/>
      <c r="I211" s="173"/>
      <c r="J211" s="174"/>
      <c r="K211" s="173"/>
      <c r="Q211" s="160">
        <f>[7]Source!X167</f>
        <v>248.85</v>
      </c>
      <c r="R211" s="160">
        <f>[7]Source!X168</f>
        <v>4661.26</v>
      </c>
      <c r="S211" s="160">
        <f>[7]Source!Y167</f>
        <v>191.42</v>
      </c>
      <c r="T211" s="160">
        <f>[7]Source!Y168</f>
        <v>2617.9699999999998</v>
      </c>
      <c r="U211" s="160">
        <f>ROUND((175/100)*ROUND([7]Source!R167, 2), 2)</f>
        <v>0.19</v>
      </c>
      <c r="V211" s="160">
        <f>ROUND((157/100)*ROUND([7]Source!R168, 2), 2)</f>
        <v>4.03</v>
      </c>
    </row>
    <row r="212" spans="1:22" ht="14.25" x14ac:dyDescent="0.2">
      <c r="A212" s="179"/>
      <c r="B212" s="178"/>
      <c r="C212" s="178" t="s">
        <v>197</v>
      </c>
      <c r="D212" s="177"/>
      <c r="E212" s="174"/>
      <c r="F212" s="176">
        <v>47.6</v>
      </c>
      <c r="G212" s="175" t="s">
        <v>195</v>
      </c>
      <c r="H212" s="174">
        <v>1</v>
      </c>
      <c r="I212" s="173">
        <v>273.45999999999998</v>
      </c>
      <c r="J212" s="174">
        <v>23.35</v>
      </c>
      <c r="K212" s="173">
        <v>6385.29</v>
      </c>
    </row>
    <row r="213" spans="1:22" ht="14.25" x14ac:dyDescent="0.2">
      <c r="A213" s="179"/>
      <c r="B213" s="178"/>
      <c r="C213" s="178" t="s">
        <v>184</v>
      </c>
      <c r="D213" s="177"/>
      <c r="E213" s="174"/>
      <c r="F213" s="176">
        <v>41.68</v>
      </c>
      <c r="G213" s="175" t="s">
        <v>195</v>
      </c>
      <c r="H213" s="174">
        <v>1</v>
      </c>
      <c r="I213" s="173">
        <v>239.45</v>
      </c>
      <c r="J213" s="174">
        <v>5.05</v>
      </c>
      <c r="K213" s="173">
        <v>1209.22</v>
      </c>
    </row>
    <row r="214" spans="1:22" ht="14.25" x14ac:dyDescent="0.2">
      <c r="A214" s="179"/>
      <c r="B214" s="178"/>
      <c r="C214" s="178" t="s">
        <v>189</v>
      </c>
      <c r="D214" s="177"/>
      <c r="E214" s="174"/>
      <c r="F214" s="176">
        <v>0.02</v>
      </c>
      <c r="G214" s="175" t="s">
        <v>195</v>
      </c>
      <c r="H214" s="174">
        <v>1</v>
      </c>
      <c r="I214" s="180">
        <v>0.11</v>
      </c>
      <c r="J214" s="174">
        <v>23.35</v>
      </c>
      <c r="K214" s="180">
        <v>2.57</v>
      </c>
    </row>
    <row r="215" spans="1:22" ht="14.25" x14ac:dyDescent="0.2">
      <c r="A215" s="179"/>
      <c r="B215" s="178"/>
      <c r="C215" s="178" t="s">
        <v>205</v>
      </c>
      <c r="D215" s="177"/>
      <c r="E215" s="174"/>
      <c r="F215" s="176">
        <v>7.0000000000000007E-2</v>
      </c>
      <c r="G215" s="175" t="s">
        <v>195</v>
      </c>
      <c r="H215" s="174">
        <v>1</v>
      </c>
      <c r="I215" s="173">
        <v>0.4</v>
      </c>
      <c r="J215" s="174">
        <v>4.8600000000000003</v>
      </c>
      <c r="K215" s="173">
        <v>1.94</v>
      </c>
    </row>
    <row r="216" spans="1:22" ht="128.25" x14ac:dyDescent="0.2">
      <c r="A216" s="179" t="s">
        <v>1638</v>
      </c>
      <c r="B216" s="178" t="s">
        <v>2501</v>
      </c>
      <c r="C216" s="178" t="s">
        <v>680</v>
      </c>
      <c r="D216" s="177" t="s">
        <v>1584</v>
      </c>
      <c r="E216" s="174">
        <v>11.49</v>
      </c>
      <c r="F216" s="176">
        <v>75.84</v>
      </c>
      <c r="G216" s="182" t="s">
        <v>195</v>
      </c>
      <c r="H216" s="174">
        <v>1</v>
      </c>
      <c r="I216" s="173">
        <v>871.4</v>
      </c>
      <c r="J216" s="174">
        <v>5</v>
      </c>
      <c r="K216" s="173">
        <v>4357</v>
      </c>
      <c r="Q216" s="160">
        <f>[7]Source!X169</f>
        <v>0</v>
      </c>
      <c r="R216" s="160">
        <f>[7]Source!X170</f>
        <v>0</v>
      </c>
      <c r="S216" s="160">
        <f>[7]Source!Y169</f>
        <v>0</v>
      </c>
      <c r="T216" s="160">
        <f>[7]Source!Y170</f>
        <v>0</v>
      </c>
      <c r="U216" s="160">
        <f>ROUND((175/100)*ROUND([7]Source!R169, 2), 2)</f>
        <v>0</v>
      </c>
      <c r="V216" s="160">
        <f>ROUND((157/100)*ROUND([7]Source!R170, 2), 2)</f>
        <v>0</v>
      </c>
    </row>
    <row r="217" spans="1:22" ht="14.25" x14ac:dyDescent="0.2">
      <c r="A217" s="179"/>
      <c r="B217" s="178"/>
      <c r="C217" s="178" t="s">
        <v>194</v>
      </c>
      <c r="D217" s="177" t="s">
        <v>187</v>
      </c>
      <c r="E217" s="174">
        <v>91</v>
      </c>
      <c r="F217" s="176"/>
      <c r="G217" s="175"/>
      <c r="H217" s="174"/>
      <c r="I217" s="173">
        <v>248.85</v>
      </c>
      <c r="J217" s="174">
        <v>73</v>
      </c>
      <c r="K217" s="173">
        <v>4661.26</v>
      </c>
    </row>
    <row r="218" spans="1:22" ht="14.25" x14ac:dyDescent="0.2">
      <c r="A218" s="179"/>
      <c r="B218" s="178"/>
      <c r="C218" s="178" t="s">
        <v>193</v>
      </c>
      <c r="D218" s="177" t="s">
        <v>187</v>
      </c>
      <c r="E218" s="174">
        <v>70</v>
      </c>
      <c r="F218" s="176"/>
      <c r="G218" s="175"/>
      <c r="H218" s="174"/>
      <c r="I218" s="173">
        <v>191.42</v>
      </c>
      <c r="J218" s="174">
        <v>41</v>
      </c>
      <c r="K218" s="173">
        <v>2617.9699999999998</v>
      </c>
    </row>
    <row r="219" spans="1:22" ht="14.25" x14ac:dyDescent="0.2">
      <c r="A219" s="179"/>
      <c r="B219" s="178"/>
      <c r="C219" s="178" t="s">
        <v>188</v>
      </c>
      <c r="D219" s="177" t="s">
        <v>187</v>
      </c>
      <c r="E219" s="174">
        <v>175</v>
      </c>
      <c r="F219" s="176"/>
      <c r="G219" s="175"/>
      <c r="H219" s="174"/>
      <c r="I219" s="173">
        <v>0.19</v>
      </c>
      <c r="J219" s="174">
        <v>157</v>
      </c>
      <c r="K219" s="173">
        <v>4.03</v>
      </c>
    </row>
    <row r="220" spans="1:22" ht="14.25" x14ac:dyDescent="0.2">
      <c r="A220" s="172"/>
      <c r="B220" s="171"/>
      <c r="C220" s="171" t="s">
        <v>192</v>
      </c>
      <c r="D220" s="170" t="s">
        <v>191</v>
      </c>
      <c r="E220" s="167">
        <v>3.98</v>
      </c>
      <c r="F220" s="169"/>
      <c r="G220" s="168" t="s">
        <v>195</v>
      </c>
      <c r="H220" s="167">
        <v>1</v>
      </c>
      <c r="I220" s="166">
        <v>22.87</v>
      </c>
      <c r="J220" s="167"/>
      <c r="K220" s="166"/>
    </row>
    <row r="221" spans="1:22" ht="15" x14ac:dyDescent="0.25">
      <c r="A221" s="164"/>
      <c r="B221" s="164"/>
      <c r="C221" s="165" t="s">
        <v>183</v>
      </c>
      <c r="D221" s="164"/>
      <c r="E221" s="164"/>
      <c r="F221" s="164"/>
      <c r="G221" s="164"/>
      <c r="H221" s="414">
        <v>1825.17</v>
      </c>
      <c r="I221" s="414"/>
      <c r="J221" s="414">
        <v>19236.71</v>
      </c>
      <c r="K221" s="414"/>
      <c r="O221" s="163">
        <f>I212+I213+I215+I217+I218+I219+SUM(I216:I216)</f>
        <v>1825.17</v>
      </c>
      <c r="P221" s="163">
        <f>K212+K213+K215+K217+K218+K219+SUM(K216:K216)</f>
        <v>19236.71</v>
      </c>
    </row>
    <row r="223" spans="1:22" ht="71.25" x14ac:dyDescent="0.2">
      <c r="A223" s="179" t="s">
        <v>1645</v>
      </c>
      <c r="B223" s="178" t="s">
        <v>1972</v>
      </c>
      <c r="C223" s="178" t="s">
        <v>461</v>
      </c>
      <c r="D223" s="177" t="s">
        <v>1956</v>
      </c>
      <c r="E223" s="174">
        <v>0.5</v>
      </c>
      <c r="F223" s="176"/>
      <c r="G223" s="175"/>
      <c r="H223" s="174"/>
      <c r="I223" s="173"/>
      <c r="J223" s="174"/>
      <c r="K223" s="173"/>
      <c r="Q223" s="160">
        <f>[7]Source!X173</f>
        <v>9.86</v>
      </c>
      <c r="R223" s="160">
        <f>[7]Source!X174</f>
        <v>184.6</v>
      </c>
      <c r="S223" s="160">
        <f>[7]Source!Y173</f>
        <v>7.58</v>
      </c>
      <c r="T223" s="160">
        <f>[7]Source!Y174</f>
        <v>103.68</v>
      </c>
      <c r="U223" s="160">
        <f>ROUND((175/100)*ROUND([7]Source!R173, 2), 2)</f>
        <v>0</v>
      </c>
      <c r="V223" s="160">
        <f>ROUND((157/100)*ROUND([7]Source!R174, 2), 2)</f>
        <v>0</v>
      </c>
    </row>
    <row r="224" spans="1:22" ht="14.25" x14ac:dyDescent="0.2">
      <c r="A224" s="179"/>
      <c r="B224" s="178"/>
      <c r="C224" s="178" t="s">
        <v>197</v>
      </c>
      <c r="D224" s="177"/>
      <c r="E224" s="174"/>
      <c r="F224" s="176">
        <v>21.65</v>
      </c>
      <c r="G224" s="175" t="s">
        <v>195</v>
      </c>
      <c r="H224" s="174">
        <v>1</v>
      </c>
      <c r="I224" s="173">
        <v>10.83</v>
      </c>
      <c r="J224" s="174">
        <v>23.35</v>
      </c>
      <c r="K224" s="173">
        <v>252.88</v>
      </c>
    </row>
    <row r="225" spans="1:22" ht="14.25" x14ac:dyDescent="0.2">
      <c r="A225" s="179"/>
      <c r="B225" s="178"/>
      <c r="C225" s="178" t="s">
        <v>205</v>
      </c>
      <c r="D225" s="177"/>
      <c r="E225" s="174"/>
      <c r="F225" s="176">
        <v>4.41</v>
      </c>
      <c r="G225" s="175" t="s">
        <v>195</v>
      </c>
      <c r="H225" s="174">
        <v>1</v>
      </c>
      <c r="I225" s="173">
        <v>2.21</v>
      </c>
      <c r="J225" s="174">
        <v>24.94</v>
      </c>
      <c r="K225" s="173">
        <v>55.12</v>
      </c>
    </row>
    <row r="226" spans="1:22" ht="28.5" x14ac:dyDescent="0.2">
      <c r="A226" s="179" t="s">
        <v>1647</v>
      </c>
      <c r="B226" s="178" t="s">
        <v>1973</v>
      </c>
      <c r="C226" s="178" t="s">
        <v>460</v>
      </c>
      <c r="D226" s="177" t="s">
        <v>1584</v>
      </c>
      <c r="E226" s="174">
        <v>17</v>
      </c>
      <c r="F226" s="176">
        <v>23.98</v>
      </c>
      <c r="G226" s="182" t="s">
        <v>195</v>
      </c>
      <c r="H226" s="174">
        <v>1</v>
      </c>
      <c r="I226" s="173">
        <v>407.66</v>
      </c>
      <c r="J226" s="174">
        <v>0.18</v>
      </c>
      <c r="K226" s="173">
        <v>73.38</v>
      </c>
      <c r="Q226" s="160">
        <f>[7]Source!X175</f>
        <v>0</v>
      </c>
      <c r="R226" s="160">
        <f>[7]Source!X176</f>
        <v>0</v>
      </c>
      <c r="S226" s="160">
        <f>[7]Source!Y175</f>
        <v>0</v>
      </c>
      <c r="T226" s="160">
        <f>[7]Source!Y176</f>
        <v>0</v>
      </c>
      <c r="U226" s="160">
        <f>ROUND((175/100)*ROUND([7]Source!R175, 2), 2)</f>
        <v>0</v>
      </c>
      <c r="V226" s="160">
        <f>ROUND((157/100)*ROUND([7]Source!R176, 2), 2)</f>
        <v>0</v>
      </c>
    </row>
    <row r="227" spans="1:22" ht="28.5" x14ac:dyDescent="0.2">
      <c r="A227" s="179" t="s">
        <v>1648</v>
      </c>
      <c r="B227" s="178" t="s">
        <v>2469</v>
      </c>
      <c r="C227" s="178" t="s">
        <v>679</v>
      </c>
      <c r="D227" s="177" t="s">
        <v>1533</v>
      </c>
      <c r="E227" s="174">
        <v>-2.1499999999999998E-2</v>
      </c>
      <c r="F227" s="176">
        <v>0</v>
      </c>
      <c r="G227" s="182" t="s">
        <v>195</v>
      </c>
      <c r="H227" s="174">
        <v>1</v>
      </c>
      <c r="I227" s="173">
        <v>0</v>
      </c>
      <c r="J227" s="174">
        <v>1</v>
      </c>
      <c r="K227" s="173">
        <v>0</v>
      </c>
      <c r="Q227" s="160">
        <f>[7]Source!X177</f>
        <v>0</v>
      </c>
      <c r="R227" s="160">
        <f>[7]Source!X178</f>
        <v>0</v>
      </c>
      <c r="S227" s="160">
        <f>[7]Source!Y177</f>
        <v>0</v>
      </c>
      <c r="T227" s="160">
        <f>[7]Source!Y178</f>
        <v>0</v>
      </c>
      <c r="U227" s="160">
        <f>ROUND((175/100)*ROUND([7]Source!R177, 2), 2)</f>
        <v>0</v>
      </c>
      <c r="V227" s="160">
        <f>ROUND((157/100)*ROUND([7]Source!R178, 2), 2)</f>
        <v>0</v>
      </c>
    </row>
    <row r="228" spans="1:22" ht="14.25" x14ac:dyDescent="0.2">
      <c r="A228" s="179"/>
      <c r="B228" s="178"/>
      <c r="C228" s="178" t="s">
        <v>194</v>
      </c>
      <c r="D228" s="177" t="s">
        <v>187</v>
      </c>
      <c r="E228" s="174">
        <v>91</v>
      </c>
      <c r="F228" s="176"/>
      <c r="G228" s="175"/>
      <c r="H228" s="174"/>
      <c r="I228" s="173">
        <v>9.86</v>
      </c>
      <c r="J228" s="174">
        <v>73</v>
      </c>
      <c r="K228" s="173">
        <v>184.6</v>
      </c>
    </row>
    <row r="229" spans="1:22" ht="14.25" x14ac:dyDescent="0.2">
      <c r="A229" s="179"/>
      <c r="B229" s="178"/>
      <c r="C229" s="178" t="s">
        <v>193</v>
      </c>
      <c r="D229" s="177" t="s">
        <v>187</v>
      </c>
      <c r="E229" s="174">
        <v>70</v>
      </c>
      <c r="F229" s="176"/>
      <c r="G229" s="175"/>
      <c r="H229" s="174"/>
      <c r="I229" s="173">
        <v>7.58</v>
      </c>
      <c r="J229" s="174">
        <v>41</v>
      </c>
      <c r="K229" s="173">
        <v>103.68</v>
      </c>
    </row>
    <row r="230" spans="1:22" ht="14.25" x14ac:dyDescent="0.2">
      <c r="A230" s="172"/>
      <c r="B230" s="171"/>
      <c r="C230" s="171" t="s">
        <v>192</v>
      </c>
      <c r="D230" s="170" t="s">
        <v>191</v>
      </c>
      <c r="E230" s="167">
        <v>1.81</v>
      </c>
      <c r="F230" s="169"/>
      <c r="G230" s="168" t="s">
        <v>195</v>
      </c>
      <c r="H230" s="167">
        <v>1</v>
      </c>
      <c r="I230" s="166">
        <v>0.91</v>
      </c>
      <c r="J230" s="167"/>
      <c r="K230" s="166"/>
    </row>
    <row r="231" spans="1:22" ht="15" x14ac:dyDescent="0.25">
      <c r="A231" s="164"/>
      <c r="B231" s="164"/>
      <c r="C231" s="165" t="s">
        <v>183</v>
      </c>
      <c r="D231" s="164"/>
      <c r="E231" s="164"/>
      <c r="F231" s="164"/>
      <c r="G231" s="164"/>
      <c r="H231" s="414">
        <v>438.14</v>
      </c>
      <c r="I231" s="414"/>
      <c r="J231" s="414">
        <v>669.66</v>
      </c>
      <c r="K231" s="414"/>
      <c r="O231" s="163">
        <f>I224+I225+I228+I229+SUM(I226:I227)</f>
        <v>438.14</v>
      </c>
      <c r="P231" s="163">
        <f>K224+K225+K228+K229+SUM(K226:K227)</f>
        <v>669.66</v>
      </c>
    </row>
    <row r="233" spans="1:22" ht="42.75" x14ac:dyDescent="0.2">
      <c r="A233" s="179" t="s">
        <v>1652</v>
      </c>
      <c r="B233" s="178" t="s">
        <v>2502</v>
      </c>
      <c r="C233" s="178" t="s">
        <v>678</v>
      </c>
      <c r="D233" s="177" t="s">
        <v>2503</v>
      </c>
      <c r="E233" s="174">
        <v>5.7450000000000001</v>
      </c>
      <c r="F233" s="176"/>
      <c r="G233" s="175"/>
      <c r="H233" s="174"/>
      <c r="I233" s="173"/>
      <c r="J233" s="174"/>
      <c r="K233" s="173"/>
      <c r="Q233" s="160">
        <f>[7]Source!X187</f>
        <v>537.12</v>
      </c>
      <c r="R233" s="160">
        <f>[7]Source!X188</f>
        <v>10060.93</v>
      </c>
      <c r="S233" s="160">
        <f>[7]Source!Y187</f>
        <v>413.17</v>
      </c>
      <c r="T233" s="160">
        <f>[7]Source!Y188</f>
        <v>5650.66</v>
      </c>
      <c r="U233" s="160">
        <f>ROUND((175/100)*ROUND([7]Source!R187, 2), 2)</f>
        <v>0.91</v>
      </c>
      <c r="V233" s="160">
        <f>ROUND((157/100)*ROUND([7]Source!R188, 2), 2)</f>
        <v>19.059999999999999</v>
      </c>
    </row>
    <row r="234" spans="1:22" ht="14.25" x14ac:dyDescent="0.2">
      <c r="A234" s="179"/>
      <c r="B234" s="178"/>
      <c r="C234" s="178" t="s">
        <v>197</v>
      </c>
      <c r="D234" s="177"/>
      <c r="E234" s="174"/>
      <c r="F234" s="176">
        <v>102.74</v>
      </c>
      <c r="G234" s="175" t="s">
        <v>195</v>
      </c>
      <c r="H234" s="174">
        <v>1</v>
      </c>
      <c r="I234" s="173">
        <v>590.24</v>
      </c>
      <c r="J234" s="174">
        <v>23.35</v>
      </c>
      <c r="K234" s="173">
        <v>13782.1</v>
      </c>
    </row>
    <row r="235" spans="1:22" ht="14.25" x14ac:dyDescent="0.2">
      <c r="A235" s="179"/>
      <c r="B235" s="178"/>
      <c r="C235" s="178" t="s">
        <v>184</v>
      </c>
      <c r="D235" s="177"/>
      <c r="E235" s="174"/>
      <c r="F235" s="176">
        <v>0.37</v>
      </c>
      <c r="G235" s="175" t="s">
        <v>195</v>
      </c>
      <c r="H235" s="174">
        <v>1</v>
      </c>
      <c r="I235" s="173">
        <v>2.13</v>
      </c>
      <c r="J235" s="174">
        <v>9.73</v>
      </c>
      <c r="K235" s="173">
        <v>20.72</v>
      </c>
    </row>
    <row r="236" spans="1:22" ht="14.25" x14ac:dyDescent="0.2">
      <c r="A236" s="179"/>
      <c r="B236" s="178"/>
      <c r="C236" s="178" t="s">
        <v>189</v>
      </c>
      <c r="D236" s="177"/>
      <c r="E236" s="174"/>
      <c r="F236" s="176">
        <v>0.09</v>
      </c>
      <c r="G236" s="175" t="s">
        <v>195</v>
      </c>
      <c r="H236" s="174">
        <v>1</v>
      </c>
      <c r="I236" s="180">
        <v>0.52</v>
      </c>
      <c r="J236" s="174">
        <v>23.35</v>
      </c>
      <c r="K236" s="180">
        <v>12.14</v>
      </c>
    </row>
    <row r="237" spans="1:22" ht="14.25" x14ac:dyDescent="0.2">
      <c r="A237" s="179"/>
      <c r="B237" s="178"/>
      <c r="C237" s="178" t="s">
        <v>205</v>
      </c>
      <c r="D237" s="177"/>
      <c r="E237" s="174"/>
      <c r="F237" s="176">
        <v>7.0000000000000007E-2</v>
      </c>
      <c r="G237" s="175" t="s">
        <v>195</v>
      </c>
      <c r="H237" s="174">
        <v>1</v>
      </c>
      <c r="I237" s="173">
        <v>0.4</v>
      </c>
      <c r="J237" s="174">
        <v>4.8600000000000003</v>
      </c>
      <c r="K237" s="173">
        <v>1.94</v>
      </c>
    </row>
    <row r="238" spans="1:22" ht="71.25" x14ac:dyDescent="0.2">
      <c r="A238" s="179" t="s">
        <v>1655</v>
      </c>
      <c r="B238" s="178" t="s">
        <v>2504</v>
      </c>
      <c r="C238" s="178" t="s">
        <v>677</v>
      </c>
      <c r="D238" s="177" t="s">
        <v>1584</v>
      </c>
      <c r="E238" s="174">
        <v>2.87</v>
      </c>
      <c r="F238" s="176">
        <v>229.14</v>
      </c>
      <c r="G238" s="182" t="s">
        <v>195</v>
      </c>
      <c r="H238" s="174">
        <v>1</v>
      </c>
      <c r="I238" s="173">
        <v>657.63</v>
      </c>
      <c r="J238" s="174">
        <v>4.84</v>
      </c>
      <c r="K238" s="173">
        <v>3182.93</v>
      </c>
      <c r="Q238" s="160">
        <f>[7]Source!X189</f>
        <v>0</v>
      </c>
      <c r="R238" s="160">
        <f>[7]Source!X190</f>
        <v>0</v>
      </c>
      <c r="S238" s="160">
        <f>[7]Source!Y189</f>
        <v>0</v>
      </c>
      <c r="T238" s="160">
        <f>[7]Source!Y190</f>
        <v>0</v>
      </c>
      <c r="U238" s="160">
        <f>ROUND((175/100)*ROUND([7]Source!R189, 2), 2)</f>
        <v>0</v>
      </c>
      <c r="V238" s="160">
        <f>ROUND((157/100)*ROUND([7]Source!R190, 2), 2)</f>
        <v>0</v>
      </c>
    </row>
    <row r="239" spans="1:22" ht="14.25" x14ac:dyDescent="0.2">
      <c r="A239" s="179"/>
      <c r="B239" s="178"/>
      <c r="C239" s="178" t="s">
        <v>194</v>
      </c>
      <c r="D239" s="177" t="s">
        <v>187</v>
      </c>
      <c r="E239" s="174">
        <v>91</v>
      </c>
      <c r="F239" s="176"/>
      <c r="G239" s="175"/>
      <c r="H239" s="174"/>
      <c r="I239" s="173">
        <v>537.12</v>
      </c>
      <c r="J239" s="174">
        <v>73</v>
      </c>
      <c r="K239" s="173">
        <v>10060.93</v>
      </c>
    </row>
    <row r="240" spans="1:22" ht="14.25" x14ac:dyDescent="0.2">
      <c r="A240" s="179"/>
      <c r="B240" s="178"/>
      <c r="C240" s="178" t="s">
        <v>193</v>
      </c>
      <c r="D240" s="177" t="s">
        <v>187</v>
      </c>
      <c r="E240" s="174">
        <v>70</v>
      </c>
      <c r="F240" s="176"/>
      <c r="G240" s="175"/>
      <c r="H240" s="174"/>
      <c r="I240" s="173">
        <v>413.17</v>
      </c>
      <c r="J240" s="174">
        <v>41</v>
      </c>
      <c r="K240" s="173">
        <v>5650.66</v>
      </c>
    </row>
    <row r="241" spans="1:22" ht="14.25" x14ac:dyDescent="0.2">
      <c r="A241" s="172"/>
      <c r="B241" s="171"/>
      <c r="C241" s="171" t="s">
        <v>188</v>
      </c>
      <c r="D241" s="170" t="s">
        <v>187</v>
      </c>
      <c r="E241" s="167">
        <v>175</v>
      </c>
      <c r="F241" s="169"/>
      <c r="G241" s="168"/>
      <c r="H241" s="167"/>
      <c r="I241" s="166">
        <v>0.91</v>
      </c>
      <c r="J241" s="167">
        <v>157</v>
      </c>
      <c r="K241" s="166">
        <v>19.059999999999999</v>
      </c>
    </row>
    <row r="242" spans="1:22" ht="15" x14ac:dyDescent="0.25">
      <c r="A242" s="164"/>
      <c r="B242" s="164"/>
      <c r="C242" s="165" t="s">
        <v>183</v>
      </c>
      <c r="D242" s="164"/>
      <c r="E242" s="164"/>
      <c r="F242" s="164"/>
      <c r="G242" s="164"/>
      <c r="H242" s="414">
        <v>2201.6</v>
      </c>
      <c r="I242" s="414"/>
      <c r="J242" s="414">
        <v>32718.34</v>
      </c>
      <c r="K242" s="414"/>
      <c r="O242" s="163">
        <f>I234+I235+I237+I239+I240+I241+SUM(I238:I238)</f>
        <v>2201.6</v>
      </c>
      <c r="P242" s="163">
        <f>K234+K235+K237+K239+K240+K241+SUM(K238:K238)</f>
        <v>32718.34</v>
      </c>
    </row>
    <row r="245" spans="1:22" ht="15" x14ac:dyDescent="0.25">
      <c r="A245" s="417" t="s">
        <v>2505</v>
      </c>
      <c r="B245" s="417"/>
      <c r="C245" s="417"/>
      <c r="D245" s="417"/>
      <c r="E245" s="417"/>
      <c r="F245" s="417"/>
      <c r="G245" s="417"/>
      <c r="H245" s="415">
        <v>6136.8</v>
      </c>
      <c r="I245" s="416"/>
      <c r="J245" s="415">
        <v>84633.36</v>
      </c>
      <c r="K245" s="416"/>
    </row>
    <row r="246" spans="1:22" hidden="1" x14ac:dyDescent="0.2">
      <c r="A246" s="160" t="s">
        <v>182</v>
      </c>
      <c r="I246" s="160">
        <v>0</v>
      </c>
      <c r="J246" s="160">
        <v>0</v>
      </c>
    </row>
    <row r="247" spans="1:22" hidden="1" x14ac:dyDescent="0.2">
      <c r="A247" s="160" t="s">
        <v>181</v>
      </c>
      <c r="I247" s="160">
        <v>0</v>
      </c>
      <c r="J247" s="160">
        <v>0</v>
      </c>
    </row>
    <row r="249" spans="1:22" ht="16.5" x14ac:dyDescent="0.25">
      <c r="A249" s="413" t="s">
        <v>2506</v>
      </c>
      <c r="B249" s="413"/>
      <c r="C249" s="413"/>
      <c r="D249" s="413"/>
      <c r="E249" s="413"/>
      <c r="F249" s="413"/>
      <c r="G249" s="413"/>
      <c r="H249" s="413"/>
      <c r="I249" s="413"/>
      <c r="J249" s="413"/>
      <c r="K249" s="413"/>
    </row>
    <row r="251" spans="1:22" ht="15" x14ac:dyDescent="0.25">
      <c r="A251" s="417" t="s">
        <v>2507</v>
      </c>
      <c r="B251" s="417"/>
      <c r="C251" s="417"/>
      <c r="D251" s="417"/>
      <c r="E251" s="417"/>
      <c r="F251" s="417"/>
      <c r="G251" s="417"/>
      <c r="H251" s="415">
        <v>0</v>
      </c>
      <c r="I251" s="416"/>
      <c r="J251" s="415">
        <v>0</v>
      </c>
      <c r="K251" s="416"/>
    </row>
    <row r="252" spans="1:22" hidden="1" x14ac:dyDescent="0.2">
      <c r="A252" s="160" t="s">
        <v>182</v>
      </c>
      <c r="I252" s="160">
        <v>0</v>
      </c>
      <c r="J252" s="160">
        <v>0</v>
      </c>
    </row>
    <row r="253" spans="1:22" hidden="1" x14ac:dyDescent="0.2">
      <c r="A253" s="160" t="s">
        <v>181</v>
      </c>
      <c r="I253" s="160">
        <v>0</v>
      </c>
      <c r="J253" s="160">
        <v>0</v>
      </c>
    </row>
    <row r="255" spans="1:22" ht="16.5" x14ac:dyDescent="0.25">
      <c r="A255" s="413" t="s">
        <v>2508</v>
      </c>
      <c r="B255" s="413"/>
      <c r="C255" s="413"/>
      <c r="D255" s="413"/>
      <c r="E255" s="413"/>
      <c r="F255" s="413"/>
      <c r="G255" s="413"/>
      <c r="H255" s="413"/>
      <c r="I255" s="413"/>
      <c r="J255" s="413"/>
      <c r="K255" s="413"/>
    </row>
    <row r="256" spans="1:22" ht="42.75" x14ac:dyDescent="0.2">
      <c r="A256" s="179" t="s">
        <v>1665</v>
      </c>
      <c r="B256" s="178" t="s">
        <v>2509</v>
      </c>
      <c r="C256" s="178" t="s">
        <v>676</v>
      </c>
      <c r="D256" s="177" t="s">
        <v>2510</v>
      </c>
      <c r="E256" s="174">
        <v>2828</v>
      </c>
      <c r="F256" s="176"/>
      <c r="G256" s="175"/>
      <c r="H256" s="174"/>
      <c r="I256" s="173"/>
      <c r="J256" s="174"/>
      <c r="K256" s="173"/>
      <c r="Q256" s="160">
        <f>[7]Source!X260</f>
        <v>53484.55</v>
      </c>
      <c r="R256" s="160">
        <f>[7]Source!X261</f>
        <v>999091.39</v>
      </c>
      <c r="S256" s="160">
        <f>[7]Source!Y260</f>
        <v>44046.1</v>
      </c>
      <c r="T256" s="160">
        <f>[7]Source!Y261</f>
        <v>602393.34</v>
      </c>
      <c r="U256" s="160">
        <f>ROUND((175/100)*ROUND([7]Source!R260, 2), 2)</f>
        <v>0</v>
      </c>
      <c r="V256" s="160">
        <f>ROUND((157/100)*ROUND([7]Source!R261, 2), 2)</f>
        <v>0</v>
      </c>
    </row>
    <row r="257" spans="1:22" ht="14.25" x14ac:dyDescent="0.2">
      <c r="A257" s="179"/>
      <c r="B257" s="178"/>
      <c r="C257" s="178" t="s">
        <v>197</v>
      </c>
      <c r="D257" s="177"/>
      <c r="E257" s="174"/>
      <c r="F257" s="176">
        <v>22.25</v>
      </c>
      <c r="G257" s="175" t="s">
        <v>195</v>
      </c>
      <c r="H257" s="174">
        <v>1</v>
      </c>
      <c r="I257" s="173">
        <v>62923</v>
      </c>
      <c r="J257" s="174">
        <v>23.35</v>
      </c>
      <c r="K257" s="173">
        <v>1469252.05</v>
      </c>
    </row>
    <row r="258" spans="1:22" ht="42.75" x14ac:dyDescent="0.2">
      <c r="A258" s="179" t="s">
        <v>1667</v>
      </c>
      <c r="B258" s="178" t="s">
        <v>2511</v>
      </c>
      <c r="C258" s="178" t="s">
        <v>675</v>
      </c>
      <c r="D258" s="177" t="s">
        <v>1533</v>
      </c>
      <c r="E258" s="174">
        <v>0.59387999999999996</v>
      </c>
      <c r="F258" s="176">
        <v>6780.28</v>
      </c>
      <c r="G258" s="182" t="s">
        <v>195</v>
      </c>
      <c r="H258" s="174">
        <v>1</v>
      </c>
      <c r="I258" s="173">
        <v>4026.67</v>
      </c>
      <c r="J258" s="174">
        <v>5.88</v>
      </c>
      <c r="K258" s="173">
        <v>23676.82</v>
      </c>
      <c r="Q258" s="160">
        <f>[7]Source!X262</f>
        <v>0</v>
      </c>
      <c r="R258" s="160">
        <f>[7]Source!X263</f>
        <v>0</v>
      </c>
      <c r="S258" s="160">
        <f>[7]Source!Y262</f>
        <v>0</v>
      </c>
      <c r="T258" s="160">
        <f>[7]Source!Y263</f>
        <v>0</v>
      </c>
      <c r="U258" s="160">
        <f>ROUND((175/100)*ROUND([7]Source!R262, 2), 2)</f>
        <v>0</v>
      </c>
      <c r="V258" s="160">
        <f>ROUND((157/100)*ROUND([7]Source!R263, 2), 2)</f>
        <v>0</v>
      </c>
    </row>
    <row r="259" spans="1:22" ht="14.25" x14ac:dyDescent="0.2">
      <c r="A259" s="179"/>
      <c r="B259" s="178"/>
      <c r="C259" s="178" t="s">
        <v>194</v>
      </c>
      <c r="D259" s="177" t="s">
        <v>187</v>
      </c>
      <c r="E259" s="174">
        <v>85</v>
      </c>
      <c r="F259" s="176"/>
      <c r="G259" s="175"/>
      <c r="H259" s="174"/>
      <c r="I259" s="173">
        <v>53484.55</v>
      </c>
      <c r="J259" s="174">
        <v>68</v>
      </c>
      <c r="K259" s="173">
        <v>999091.39</v>
      </c>
    </row>
    <row r="260" spans="1:22" ht="14.25" x14ac:dyDescent="0.2">
      <c r="A260" s="172"/>
      <c r="B260" s="171"/>
      <c r="C260" s="171" t="s">
        <v>193</v>
      </c>
      <c r="D260" s="170" t="s">
        <v>187</v>
      </c>
      <c r="E260" s="167">
        <v>70</v>
      </c>
      <c r="F260" s="169"/>
      <c r="G260" s="168"/>
      <c r="H260" s="167"/>
      <c r="I260" s="166">
        <v>44046.1</v>
      </c>
      <c r="J260" s="167">
        <v>41</v>
      </c>
      <c r="K260" s="166">
        <v>602393.34</v>
      </c>
    </row>
    <row r="261" spans="1:22" ht="15" x14ac:dyDescent="0.25">
      <c r="A261" s="164"/>
      <c r="B261" s="164"/>
      <c r="C261" s="165" t="s">
        <v>183</v>
      </c>
      <c r="D261" s="164"/>
      <c r="E261" s="164"/>
      <c r="F261" s="164"/>
      <c r="G261" s="164"/>
      <c r="H261" s="414">
        <v>164480.32000000001</v>
      </c>
      <c r="I261" s="414"/>
      <c r="J261" s="414">
        <v>3094413.6</v>
      </c>
      <c r="K261" s="414"/>
      <c r="O261" s="163">
        <f>I257+I259+I260+SUM(I258:I258)</f>
        <v>164480.32000000001</v>
      </c>
      <c r="P261" s="163">
        <f>K257+K259+K260+SUM(K258:K258)</f>
        <v>3094413.6</v>
      </c>
    </row>
    <row r="263" spans="1:22" ht="42.75" x14ac:dyDescent="0.2">
      <c r="A263" s="179" t="s">
        <v>1672</v>
      </c>
      <c r="B263" s="178" t="s">
        <v>2512</v>
      </c>
      <c r="C263" s="178" t="s">
        <v>674</v>
      </c>
      <c r="D263" s="177" t="s">
        <v>2513</v>
      </c>
      <c r="E263" s="174">
        <v>13.2</v>
      </c>
      <c r="F263" s="176"/>
      <c r="G263" s="175"/>
      <c r="H263" s="174"/>
      <c r="I263" s="173"/>
      <c r="J263" s="174"/>
      <c r="K263" s="173"/>
      <c r="Q263" s="160">
        <f>[7]Source!X264</f>
        <v>483.13</v>
      </c>
      <c r="R263" s="160">
        <f>[7]Source!X265</f>
        <v>9024.9</v>
      </c>
      <c r="S263" s="160">
        <f>[7]Source!Y264</f>
        <v>397.87</v>
      </c>
      <c r="T263" s="160">
        <f>[7]Source!Y265</f>
        <v>5441.48</v>
      </c>
      <c r="U263" s="160">
        <f>ROUND((175/100)*ROUND([7]Source!R264, 2), 2)</f>
        <v>0</v>
      </c>
      <c r="V263" s="160">
        <f>ROUND((157/100)*ROUND([7]Source!R265, 2), 2)</f>
        <v>0</v>
      </c>
    </row>
    <row r="264" spans="1:22" ht="14.25" x14ac:dyDescent="0.2">
      <c r="A264" s="179"/>
      <c r="B264" s="178"/>
      <c r="C264" s="178" t="s">
        <v>197</v>
      </c>
      <c r="D264" s="177"/>
      <c r="E264" s="174"/>
      <c r="F264" s="176">
        <v>43.06</v>
      </c>
      <c r="G264" s="175" t="s">
        <v>195</v>
      </c>
      <c r="H264" s="174">
        <v>1</v>
      </c>
      <c r="I264" s="173">
        <v>568.39</v>
      </c>
      <c r="J264" s="174">
        <v>23.35</v>
      </c>
      <c r="K264" s="173">
        <v>13271.91</v>
      </c>
    </row>
    <row r="265" spans="1:22" ht="14.25" x14ac:dyDescent="0.2">
      <c r="A265" s="179"/>
      <c r="B265" s="178"/>
      <c r="C265" s="178" t="s">
        <v>194</v>
      </c>
      <c r="D265" s="177" t="s">
        <v>187</v>
      </c>
      <c r="E265" s="174">
        <v>85</v>
      </c>
      <c r="F265" s="176"/>
      <c r="G265" s="175"/>
      <c r="H265" s="174"/>
      <c r="I265" s="173">
        <v>483.13</v>
      </c>
      <c r="J265" s="174">
        <v>68</v>
      </c>
      <c r="K265" s="173">
        <v>9024.9</v>
      </c>
    </row>
    <row r="266" spans="1:22" ht="14.25" x14ac:dyDescent="0.2">
      <c r="A266" s="172"/>
      <c r="B266" s="171"/>
      <c r="C266" s="171" t="s">
        <v>193</v>
      </c>
      <c r="D266" s="170" t="s">
        <v>187</v>
      </c>
      <c r="E266" s="167">
        <v>70</v>
      </c>
      <c r="F266" s="169"/>
      <c r="G266" s="168"/>
      <c r="H266" s="167"/>
      <c r="I266" s="166">
        <v>397.87</v>
      </c>
      <c r="J266" s="167">
        <v>41</v>
      </c>
      <c r="K266" s="166">
        <v>5441.48</v>
      </c>
    </row>
    <row r="267" spans="1:22" ht="15" x14ac:dyDescent="0.25">
      <c r="A267" s="164"/>
      <c r="B267" s="164"/>
      <c r="C267" s="165" t="s">
        <v>183</v>
      </c>
      <c r="D267" s="164"/>
      <c r="E267" s="164"/>
      <c r="F267" s="164"/>
      <c r="G267" s="164"/>
      <c r="H267" s="414">
        <v>1449.39</v>
      </c>
      <c r="I267" s="414"/>
      <c r="J267" s="414">
        <v>27738.29</v>
      </c>
      <c r="K267" s="414"/>
      <c r="O267" s="163">
        <f>I264+I265+I266</f>
        <v>1449.39</v>
      </c>
      <c r="P267" s="163">
        <f>K264+K265+K266</f>
        <v>27738.29</v>
      </c>
    </row>
    <row r="269" spans="1:22" ht="71.25" x14ac:dyDescent="0.2">
      <c r="A269" s="179" t="s">
        <v>1685</v>
      </c>
      <c r="B269" s="178" t="s">
        <v>2514</v>
      </c>
      <c r="C269" s="178" t="s">
        <v>673</v>
      </c>
      <c r="D269" s="177" t="s">
        <v>2515</v>
      </c>
      <c r="E269" s="174">
        <v>6.4</v>
      </c>
      <c r="F269" s="176"/>
      <c r="G269" s="175"/>
      <c r="H269" s="174"/>
      <c r="I269" s="173"/>
      <c r="J269" s="174"/>
      <c r="K269" s="173"/>
      <c r="Q269" s="160">
        <f>[7]Source!X266</f>
        <v>371.6</v>
      </c>
      <c r="R269" s="160">
        <f>[7]Source!X267</f>
        <v>6941.54</v>
      </c>
      <c r="S269" s="160">
        <f>[7]Source!Y266</f>
        <v>306.02999999999997</v>
      </c>
      <c r="T269" s="160">
        <f>[7]Source!Y267</f>
        <v>4185.34</v>
      </c>
      <c r="U269" s="160">
        <f>ROUND((175/100)*ROUND([7]Source!R266, 2), 2)</f>
        <v>0.23</v>
      </c>
      <c r="V269" s="160">
        <f>ROUND((157/100)*ROUND([7]Source!R267, 2), 2)</f>
        <v>4.7699999999999996</v>
      </c>
    </row>
    <row r="270" spans="1:22" ht="14.25" x14ac:dyDescent="0.2">
      <c r="A270" s="179"/>
      <c r="B270" s="178"/>
      <c r="C270" s="178" t="s">
        <v>197</v>
      </c>
      <c r="D270" s="177"/>
      <c r="E270" s="174"/>
      <c r="F270" s="176">
        <v>68.31</v>
      </c>
      <c r="G270" s="175" t="s">
        <v>195</v>
      </c>
      <c r="H270" s="174">
        <v>1</v>
      </c>
      <c r="I270" s="173">
        <v>437.18</v>
      </c>
      <c r="J270" s="174">
        <v>23.35</v>
      </c>
      <c r="K270" s="173">
        <v>10208.15</v>
      </c>
    </row>
    <row r="271" spans="1:22" ht="14.25" x14ac:dyDescent="0.2">
      <c r="A271" s="179"/>
      <c r="B271" s="178"/>
      <c r="C271" s="178" t="s">
        <v>184</v>
      </c>
      <c r="D271" s="177"/>
      <c r="E271" s="174"/>
      <c r="F271" s="176">
        <v>0.1</v>
      </c>
      <c r="G271" s="175" t="s">
        <v>195</v>
      </c>
      <c r="H271" s="174">
        <v>1</v>
      </c>
      <c r="I271" s="173">
        <v>0.64</v>
      </c>
      <c r="J271" s="174">
        <v>9</v>
      </c>
      <c r="K271" s="173">
        <v>5.76</v>
      </c>
    </row>
    <row r="272" spans="1:22" ht="14.25" x14ac:dyDescent="0.2">
      <c r="A272" s="179"/>
      <c r="B272" s="178"/>
      <c r="C272" s="178" t="s">
        <v>189</v>
      </c>
      <c r="D272" s="177"/>
      <c r="E272" s="174"/>
      <c r="F272" s="176">
        <v>0.02</v>
      </c>
      <c r="G272" s="175" t="s">
        <v>195</v>
      </c>
      <c r="H272" s="174">
        <v>1</v>
      </c>
      <c r="I272" s="180">
        <v>0.13</v>
      </c>
      <c r="J272" s="174">
        <v>23.35</v>
      </c>
      <c r="K272" s="180">
        <v>3.04</v>
      </c>
    </row>
    <row r="273" spans="1:22" ht="42.75" x14ac:dyDescent="0.2">
      <c r="A273" s="179" t="s">
        <v>1688</v>
      </c>
      <c r="B273" s="178" t="s">
        <v>2516</v>
      </c>
      <c r="C273" s="178" t="s">
        <v>672</v>
      </c>
      <c r="D273" s="177" t="s">
        <v>1533</v>
      </c>
      <c r="E273" s="174">
        <v>0.03</v>
      </c>
      <c r="F273" s="176">
        <v>6870.66</v>
      </c>
      <c r="G273" s="182" t="s">
        <v>195</v>
      </c>
      <c r="H273" s="174">
        <v>1</v>
      </c>
      <c r="I273" s="173">
        <v>206.12</v>
      </c>
      <c r="J273" s="174">
        <v>7.5</v>
      </c>
      <c r="K273" s="173">
        <v>1545.9</v>
      </c>
      <c r="Q273" s="160">
        <f>[7]Source!X268</f>
        <v>0</v>
      </c>
      <c r="R273" s="160">
        <f>[7]Source!X269</f>
        <v>0</v>
      </c>
      <c r="S273" s="160">
        <f>[7]Source!Y268</f>
        <v>0</v>
      </c>
      <c r="T273" s="160">
        <f>[7]Source!Y269</f>
        <v>0</v>
      </c>
      <c r="U273" s="160">
        <f>ROUND((175/100)*ROUND([7]Source!R268, 2), 2)</f>
        <v>0</v>
      </c>
      <c r="V273" s="160">
        <f>ROUND((157/100)*ROUND([7]Source!R269, 2), 2)</f>
        <v>0</v>
      </c>
    </row>
    <row r="274" spans="1:22" ht="14.25" x14ac:dyDescent="0.2">
      <c r="A274" s="179"/>
      <c r="B274" s="178"/>
      <c r="C274" s="178" t="s">
        <v>194</v>
      </c>
      <c r="D274" s="177" t="s">
        <v>187</v>
      </c>
      <c r="E274" s="174">
        <v>85</v>
      </c>
      <c r="F274" s="176"/>
      <c r="G274" s="175"/>
      <c r="H274" s="174"/>
      <c r="I274" s="173">
        <v>371.6</v>
      </c>
      <c r="J274" s="174">
        <v>68</v>
      </c>
      <c r="K274" s="173">
        <v>6941.54</v>
      </c>
    </row>
    <row r="275" spans="1:22" ht="14.25" x14ac:dyDescent="0.2">
      <c r="A275" s="179"/>
      <c r="B275" s="178"/>
      <c r="C275" s="178" t="s">
        <v>193</v>
      </c>
      <c r="D275" s="177" t="s">
        <v>187</v>
      </c>
      <c r="E275" s="174">
        <v>70</v>
      </c>
      <c r="F275" s="176"/>
      <c r="G275" s="175"/>
      <c r="H275" s="174"/>
      <c r="I275" s="173">
        <v>306.02999999999997</v>
      </c>
      <c r="J275" s="174">
        <v>41</v>
      </c>
      <c r="K275" s="173">
        <v>4185.34</v>
      </c>
    </row>
    <row r="276" spans="1:22" ht="14.25" x14ac:dyDescent="0.2">
      <c r="A276" s="172"/>
      <c r="B276" s="171"/>
      <c r="C276" s="171" t="s">
        <v>188</v>
      </c>
      <c r="D276" s="170" t="s">
        <v>187</v>
      </c>
      <c r="E276" s="167">
        <v>175</v>
      </c>
      <c r="F276" s="169"/>
      <c r="G276" s="168"/>
      <c r="H276" s="167"/>
      <c r="I276" s="166">
        <v>0.23</v>
      </c>
      <c r="J276" s="167">
        <v>157</v>
      </c>
      <c r="K276" s="166">
        <v>4.7699999999999996</v>
      </c>
    </row>
    <row r="277" spans="1:22" ht="15" x14ac:dyDescent="0.25">
      <c r="A277" s="164"/>
      <c r="B277" s="164"/>
      <c r="C277" s="165" t="s">
        <v>183</v>
      </c>
      <c r="D277" s="164"/>
      <c r="E277" s="164"/>
      <c r="F277" s="164"/>
      <c r="G277" s="164"/>
      <c r="H277" s="414">
        <v>1321.8</v>
      </c>
      <c r="I277" s="414"/>
      <c r="J277" s="414">
        <v>22891.46</v>
      </c>
      <c r="K277" s="414"/>
      <c r="O277" s="163">
        <f>I270+I271+I274+I275+I276+SUM(I273:I273)</f>
        <v>1321.8</v>
      </c>
      <c r="P277" s="163">
        <f>K270+K271+K274+K275+K276+SUM(K273:K273)</f>
        <v>22891.46</v>
      </c>
    </row>
    <row r="279" spans="1:22" ht="28.5" x14ac:dyDescent="0.2">
      <c r="A279" s="179" t="s">
        <v>1696</v>
      </c>
      <c r="B279" s="178" t="s">
        <v>2517</v>
      </c>
      <c r="C279" s="178" t="s">
        <v>671</v>
      </c>
      <c r="D279" s="177" t="s">
        <v>1785</v>
      </c>
      <c r="E279" s="174">
        <v>6.0000000000000001E-3</v>
      </c>
      <c r="F279" s="176"/>
      <c r="G279" s="175"/>
      <c r="H279" s="174"/>
      <c r="I279" s="173"/>
      <c r="J279" s="174"/>
      <c r="K279" s="173"/>
      <c r="Q279" s="160">
        <f>[7]Source!X270</f>
        <v>22.69</v>
      </c>
      <c r="R279" s="160">
        <f>[7]Source!X271</f>
        <v>367.57</v>
      </c>
      <c r="S279" s="160">
        <f>[7]Source!Y270</f>
        <v>16.21</v>
      </c>
      <c r="T279" s="160">
        <f>[7]Source!Y271</f>
        <v>221.63</v>
      </c>
      <c r="U279" s="160">
        <f>ROUND((175/100)*ROUND([7]Source!R270, 2), 2)</f>
        <v>0.11</v>
      </c>
      <c r="V279" s="160">
        <f>ROUND((157/100)*ROUND([7]Source!R271, 2), 2)</f>
        <v>2.2000000000000002</v>
      </c>
    </row>
    <row r="280" spans="1:22" ht="14.25" x14ac:dyDescent="0.2">
      <c r="A280" s="179"/>
      <c r="B280" s="178"/>
      <c r="C280" s="178" t="s">
        <v>197</v>
      </c>
      <c r="D280" s="177"/>
      <c r="E280" s="174"/>
      <c r="F280" s="176">
        <v>3355.29</v>
      </c>
      <c r="G280" s="175" t="s">
        <v>2075</v>
      </c>
      <c r="H280" s="174">
        <v>1</v>
      </c>
      <c r="I280" s="173">
        <v>23.15</v>
      </c>
      <c r="J280" s="174">
        <v>23.35</v>
      </c>
      <c r="K280" s="173">
        <v>540.54999999999995</v>
      </c>
    </row>
    <row r="281" spans="1:22" ht="14.25" x14ac:dyDescent="0.2">
      <c r="A281" s="179"/>
      <c r="B281" s="178"/>
      <c r="C281" s="178" t="s">
        <v>184</v>
      </c>
      <c r="D281" s="177"/>
      <c r="E281" s="174"/>
      <c r="F281" s="176">
        <v>40.98</v>
      </c>
      <c r="G281" s="175" t="s">
        <v>2076</v>
      </c>
      <c r="H281" s="174">
        <v>1</v>
      </c>
      <c r="I281" s="173">
        <v>0.31</v>
      </c>
      <c r="J281" s="174">
        <v>8.39</v>
      </c>
      <c r="K281" s="173">
        <v>2.6</v>
      </c>
    </row>
    <row r="282" spans="1:22" ht="14.25" x14ac:dyDescent="0.2">
      <c r="A282" s="179"/>
      <c r="B282" s="178"/>
      <c r="C282" s="178" t="s">
        <v>189</v>
      </c>
      <c r="D282" s="177"/>
      <c r="E282" s="174"/>
      <c r="F282" s="176">
        <v>8.5299999999999994</v>
      </c>
      <c r="G282" s="175" t="s">
        <v>2076</v>
      </c>
      <c r="H282" s="174">
        <v>1</v>
      </c>
      <c r="I282" s="180">
        <v>0.06</v>
      </c>
      <c r="J282" s="174">
        <v>23.35</v>
      </c>
      <c r="K282" s="180">
        <v>1.4</v>
      </c>
    </row>
    <row r="283" spans="1:22" ht="14.25" x14ac:dyDescent="0.2">
      <c r="A283" s="179"/>
      <c r="B283" s="178"/>
      <c r="C283" s="178" t="s">
        <v>205</v>
      </c>
      <c r="D283" s="177"/>
      <c r="E283" s="174"/>
      <c r="F283" s="176">
        <v>250</v>
      </c>
      <c r="G283" s="175" t="s">
        <v>195</v>
      </c>
      <c r="H283" s="174">
        <v>1</v>
      </c>
      <c r="I283" s="173">
        <v>1.5</v>
      </c>
      <c r="J283" s="174">
        <v>5.42</v>
      </c>
      <c r="K283" s="173">
        <v>8.1300000000000008</v>
      </c>
    </row>
    <row r="284" spans="1:22" ht="28.5" x14ac:dyDescent="0.2">
      <c r="A284" s="179" t="s">
        <v>1699</v>
      </c>
      <c r="B284" s="178" t="s">
        <v>2518</v>
      </c>
      <c r="C284" s="178" t="s">
        <v>670</v>
      </c>
      <c r="D284" s="177" t="s">
        <v>1533</v>
      </c>
      <c r="E284" s="174">
        <v>0.01</v>
      </c>
      <c r="F284" s="176">
        <v>26876.01</v>
      </c>
      <c r="G284" s="182" t="s">
        <v>195</v>
      </c>
      <c r="H284" s="174">
        <v>1</v>
      </c>
      <c r="I284" s="173">
        <v>268.76</v>
      </c>
      <c r="J284" s="174">
        <v>5.72</v>
      </c>
      <c r="K284" s="173">
        <v>1537.31</v>
      </c>
      <c r="Q284" s="160">
        <f>[7]Source!X272</f>
        <v>0</v>
      </c>
      <c r="R284" s="160">
        <f>[7]Source!X273</f>
        <v>0</v>
      </c>
      <c r="S284" s="160">
        <f>[7]Source!Y272</f>
        <v>0</v>
      </c>
      <c r="T284" s="160">
        <f>[7]Source!Y273</f>
        <v>0</v>
      </c>
      <c r="U284" s="160">
        <f>ROUND((175/100)*ROUND([7]Source!R272, 2), 2)</f>
        <v>0</v>
      </c>
      <c r="V284" s="160">
        <f>ROUND((157/100)*ROUND([7]Source!R273, 2), 2)</f>
        <v>0</v>
      </c>
    </row>
    <row r="285" spans="1:22" ht="14.25" x14ac:dyDescent="0.2">
      <c r="A285" s="179"/>
      <c r="B285" s="178"/>
      <c r="C285" s="178" t="s">
        <v>194</v>
      </c>
      <c r="D285" s="177" t="s">
        <v>187</v>
      </c>
      <c r="E285" s="174">
        <v>98</v>
      </c>
      <c r="F285" s="176"/>
      <c r="G285" s="175"/>
      <c r="H285" s="174"/>
      <c r="I285" s="173">
        <v>22.69</v>
      </c>
      <c r="J285" s="174">
        <v>68</v>
      </c>
      <c r="K285" s="173">
        <v>367.57</v>
      </c>
    </row>
    <row r="286" spans="1:22" ht="14.25" x14ac:dyDescent="0.2">
      <c r="A286" s="179"/>
      <c r="B286" s="178"/>
      <c r="C286" s="178" t="s">
        <v>193</v>
      </c>
      <c r="D286" s="177" t="s">
        <v>187</v>
      </c>
      <c r="E286" s="174">
        <v>70</v>
      </c>
      <c r="F286" s="176"/>
      <c r="G286" s="175"/>
      <c r="H286" s="174"/>
      <c r="I286" s="173">
        <v>16.21</v>
      </c>
      <c r="J286" s="174">
        <v>41</v>
      </c>
      <c r="K286" s="173">
        <v>221.63</v>
      </c>
    </row>
    <row r="287" spans="1:22" ht="14.25" x14ac:dyDescent="0.2">
      <c r="A287" s="172"/>
      <c r="B287" s="171"/>
      <c r="C287" s="171" t="s">
        <v>188</v>
      </c>
      <c r="D287" s="170" t="s">
        <v>187</v>
      </c>
      <c r="E287" s="167">
        <v>175</v>
      </c>
      <c r="F287" s="169"/>
      <c r="G287" s="168"/>
      <c r="H287" s="167"/>
      <c r="I287" s="166">
        <v>0.11</v>
      </c>
      <c r="J287" s="167">
        <v>157</v>
      </c>
      <c r="K287" s="166">
        <v>2.2000000000000002</v>
      </c>
    </row>
    <row r="288" spans="1:22" ht="15" x14ac:dyDescent="0.25">
      <c r="A288" s="164"/>
      <c r="B288" s="164"/>
      <c r="C288" s="165" t="s">
        <v>183</v>
      </c>
      <c r="D288" s="164"/>
      <c r="E288" s="164"/>
      <c r="F288" s="164"/>
      <c r="G288" s="164"/>
      <c r="H288" s="414">
        <v>332.73</v>
      </c>
      <c r="I288" s="414"/>
      <c r="J288" s="414">
        <v>2679.99</v>
      </c>
      <c r="K288" s="414"/>
      <c r="O288" s="163">
        <f>I280+I281+I283+I285+I286+I287+SUM(I284:I284)</f>
        <v>332.73</v>
      </c>
      <c r="P288" s="163">
        <f>K280+K281+K283+K285+K286+K287+SUM(K284:K284)</f>
        <v>2679.99</v>
      </c>
    </row>
    <row r="290" spans="1:22" ht="71.25" x14ac:dyDescent="0.2">
      <c r="A290" s="179" t="s">
        <v>1705</v>
      </c>
      <c r="B290" s="178" t="s">
        <v>2519</v>
      </c>
      <c r="C290" s="178" t="s">
        <v>669</v>
      </c>
      <c r="D290" s="177" t="s">
        <v>2520</v>
      </c>
      <c r="E290" s="174">
        <v>2.8279999999999998</v>
      </c>
      <c r="F290" s="176"/>
      <c r="G290" s="175"/>
      <c r="H290" s="174"/>
      <c r="I290" s="173"/>
      <c r="J290" s="174"/>
      <c r="K290" s="173"/>
      <c r="Q290" s="160">
        <f>[7]Source!X274</f>
        <v>206.34</v>
      </c>
      <c r="R290" s="160">
        <f>[7]Source!X275</f>
        <v>3854.39</v>
      </c>
      <c r="S290" s="160">
        <f>[7]Source!Y274</f>
        <v>159.44</v>
      </c>
      <c r="T290" s="160">
        <f>[7]Source!Y275</f>
        <v>1795.8</v>
      </c>
      <c r="U290" s="160">
        <f>ROUND((175/100)*ROUND([7]Source!R274, 2), 2)</f>
        <v>0.19</v>
      </c>
      <c r="V290" s="160">
        <f>ROUND((157/100)*ROUND([7]Source!R275, 2), 2)</f>
        <v>4.03</v>
      </c>
    </row>
    <row r="291" spans="1:22" ht="14.25" x14ac:dyDescent="0.2">
      <c r="A291" s="179"/>
      <c r="B291" s="178"/>
      <c r="C291" s="178" t="s">
        <v>197</v>
      </c>
      <c r="D291" s="177"/>
      <c r="E291" s="174"/>
      <c r="F291" s="176">
        <v>66.33</v>
      </c>
      <c r="G291" s="175" t="s">
        <v>195</v>
      </c>
      <c r="H291" s="174">
        <v>1</v>
      </c>
      <c r="I291" s="173">
        <v>187.58</v>
      </c>
      <c r="J291" s="174">
        <v>23.35</v>
      </c>
      <c r="K291" s="173">
        <v>4379.99</v>
      </c>
    </row>
    <row r="292" spans="1:22" ht="14.25" x14ac:dyDescent="0.2">
      <c r="A292" s="179"/>
      <c r="B292" s="178"/>
      <c r="C292" s="178" t="s">
        <v>184</v>
      </c>
      <c r="D292" s="177"/>
      <c r="E292" s="174"/>
      <c r="F292" s="176">
        <v>0.15</v>
      </c>
      <c r="G292" s="175" t="s">
        <v>195</v>
      </c>
      <c r="H292" s="174">
        <v>1</v>
      </c>
      <c r="I292" s="173">
        <v>0.42</v>
      </c>
      <c r="J292" s="174">
        <v>10.130000000000001</v>
      </c>
      <c r="K292" s="173">
        <v>4.25</v>
      </c>
    </row>
    <row r="293" spans="1:22" ht="14.25" x14ac:dyDescent="0.2">
      <c r="A293" s="179"/>
      <c r="B293" s="178"/>
      <c r="C293" s="178" t="s">
        <v>189</v>
      </c>
      <c r="D293" s="177"/>
      <c r="E293" s="174"/>
      <c r="F293" s="176">
        <v>0.04</v>
      </c>
      <c r="G293" s="175" t="s">
        <v>195</v>
      </c>
      <c r="H293" s="174">
        <v>1</v>
      </c>
      <c r="I293" s="180">
        <v>0.11</v>
      </c>
      <c r="J293" s="174">
        <v>23.35</v>
      </c>
      <c r="K293" s="180">
        <v>2.57</v>
      </c>
    </row>
    <row r="294" spans="1:22" ht="14.25" x14ac:dyDescent="0.2">
      <c r="A294" s="179"/>
      <c r="B294" s="178"/>
      <c r="C294" s="178" t="s">
        <v>205</v>
      </c>
      <c r="D294" s="177"/>
      <c r="E294" s="174"/>
      <c r="F294" s="176">
        <v>106.85</v>
      </c>
      <c r="G294" s="175" t="s">
        <v>195</v>
      </c>
      <c r="H294" s="174">
        <v>1</v>
      </c>
      <c r="I294" s="173">
        <v>302.17</v>
      </c>
      <c r="J294" s="174">
        <v>14.2</v>
      </c>
      <c r="K294" s="173">
        <v>4290.8100000000004</v>
      </c>
    </row>
    <row r="295" spans="1:22" ht="57" x14ac:dyDescent="0.2">
      <c r="A295" s="179" t="s">
        <v>1707</v>
      </c>
      <c r="B295" s="178" t="s">
        <v>2521</v>
      </c>
      <c r="C295" s="178" t="s">
        <v>668</v>
      </c>
      <c r="D295" s="177" t="s">
        <v>1584</v>
      </c>
      <c r="E295" s="174">
        <v>6.08</v>
      </c>
      <c r="F295" s="176">
        <v>26.25</v>
      </c>
      <c r="G295" s="182" t="s">
        <v>195</v>
      </c>
      <c r="H295" s="174">
        <v>1</v>
      </c>
      <c r="I295" s="173">
        <v>159.6</v>
      </c>
      <c r="J295" s="174">
        <v>14.22</v>
      </c>
      <c r="K295" s="173">
        <v>2269.5100000000002</v>
      </c>
      <c r="Q295" s="160">
        <f>[7]Source!X276</f>
        <v>0</v>
      </c>
      <c r="R295" s="160">
        <f>[7]Source!X277</f>
        <v>0</v>
      </c>
      <c r="S295" s="160">
        <f>[7]Source!Y276</f>
        <v>0</v>
      </c>
      <c r="T295" s="160">
        <f>[7]Source!Y277</f>
        <v>0</v>
      </c>
      <c r="U295" s="160">
        <f>ROUND((175/100)*ROUND([7]Source!R276, 2), 2)</f>
        <v>0</v>
      </c>
      <c r="V295" s="160">
        <f>ROUND((157/100)*ROUND([7]Source!R277, 2), 2)</f>
        <v>0</v>
      </c>
    </row>
    <row r="296" spans="1:22" ht="14.25" x14ac:dyDescent="0.2">
      <c r="A296" s="179"/>
      <c r="B296" s="178"/>
      <c r="C296" s="178" t="s">
        <v>194</v>
      </c>
      <c r="D296" s="177" t="s">
        <v>187</v>
      </c>
      <c r="E296" s="174">
        <v>110</v>
      </c>
      <c r="F296" s="176"/>
      <c r="G296" s="175"/>
      <c r="H296" s="174"/>
      <c r="I296" s="173">
        <v>206.34</v>
      </c>
      <c r="J296" s="174">
        <v>88</v>
      </c>
      <c r="K296" s="173">
        <v>3854.39</v>
      </c>
    </row>
    <row r="297" spans="1:22" ht="14.25" x14ac:dyDescent="0.2">
      <c r="A297" s="179"/>
      <c r="B297" s="178"/>
      <c r="C297" s="178" t="s">
        <v>193</v>
      </c>
      <c r="D297" s="177" t="s">
        <v>187</v>
      </c>
      <c r="E297" s="174">
        <v>85</v>
      </c>
      <c r="F297" s="176"/>
      <c r="G297" s="175"/>
      <c r="H297" s="174"/>
      <c r="I297" s="173">
        <v>159.44</v>
      </c>
      <c r="J297" s="174">
        <v>41</v>
      </c>
      <c r="K297" s="173">
        <v>1795.8</v>
      </c>
    </row>
    <row r="298" spans="1:22" ht="14.25" x14ac:dyDescent="0.2">
      <c r="A298" s="172"/>
      <c r="B298" s="171"/>
      <c r="C298" s="171" t="s">
        <v>188</v>
      </c>
      <c r="D298" s="170" t="s">
        <v>187</v>
      </c>
      <c r="E298" s="167">
        <v>175</v>
      </c>
      <c r="F298" s="169"/>
      <c r="G298" s="168"/>
      <c r="H298" s="167"/>
      <c r="I298" s="166">
        <v>0.19</v>
      </c>
      <c r="J298" s="167">
        <v>157</v>
      </c>
      <c r="K298" s="166">
        <v>4.03</v>
      </c>
    </row>
    <row r="299" spans="1:22" ht="15" x14ac:dyDescent="0.25">
      <c r="A299" s="164"/>
      <c r="B299" s="164"/>
      <c r="C299" s="165" t="s">
        <v>183</v>
      </c>
      <c r="D299" s="164"/>
      <c r="E299" s="164"/>
      <c r="F299" s="164"/>
      <c r="G299" s="164"/>
      <c r="H299" s="414">
        <v>1015.74</v>
      </c>
      <c r="I299" s="414"/>
      <c r="J299" s="414">
        <v>16598.78</v>
      </c>
      <c r="K299" s="414"/>
      <c r="O299" s="163">
        <f>I291+I292+I294+I296+I297+I298+SUM(I295:I295)</f>
        <v>1015.74</v>
      </c>
      <c r="P299" s="163">
        <f>K291+K292+K294+K296+K297+K298+SUM(K295:K295)</f>
        <v>16598.78</v>
      </c>
    </row>
    <row r="301" spans="1:22" ht="71.25" x14ac:dyDescent="0.2">
      <c r="A301" s="179" t="s">
        <v>1712</v>
      </c>
      <c r="B301" s="178" t="s">
        <v>2522</v>
      </c>
      <c r="C301" s="178" t="s">
        <v>667</v>
      </c>
      <c r="D301" s="177" t="s">
        <v>2099</v>
      </c>
      <c r="E301" s="174">
        <v>2.8279999999999998</v>
      </c>
      <c r="F301" s="176"/>
      <c r="G301" s="175"/>
      <c r="H301" s="174"/>
      <c r="I301" s="173"/>
      <c r="J301" s="174"/>
      <c r="K301" s="173"/>
      <c r="Q301" s="160">
        <f>[7]Source!X278</f>
        <v>169.29</v>
      </c>
      <c r="R301" s="160">
        <f>[7]Source!X279</f>
        <v>3162.34</v>
      </c>
      <c r="S301" s="160">
        <f>[7]Source!Y278</f>
        <v>130.82</v>
      </c>
      <c r="T301" s="160">
        <f>[7]Source!Y279</f>
        <v>1473.36</v>
      </c>
      <c r="U301" s="160">
        <f>ROUND((175/100)*ROUND([7]Source!R278, 2), 2)</f>
        <v>0.11</v>
      </c>
      <c r="V301" s="160">
        <f>ROUND((157/100)*ROUND([7]Source!R279, 2), 2)</f>
        <v>2.2000000000000002</v>
      </c>
    </row>
    <row r="302" spans="1:22" ht="14.25" x14ac:dyDescent="0.2">
      <c r="A302" s="179"/>
      <c r="B302" s="178"/>
      <c r="C302" s="178" t="s">
        <v>197</v>
      </c>
      <c r="D302" s="177"/>
      <c r="E302" s="174"/>
      <c r="F302" s="176">
        <v>54.42</v>
      </c>
      <c r="G302" s="175" t="s">
        <v>195</v>
      </c>
      <c r="H302" s="174">
        <v>1</v>
      </c>
      <c r="I302" s="173">
        <v>153.9</v>
      </c>
      <c r="J302" s="174">
        <v>23.35</v>
      </c>
      <c r="K302" s="173">
        <v>3593.57</v>
      </c>
    </row>
    <row r="303" spans="1:22" ht="14.25" x14ac:dyDescent="0.2">
      <c r="A303" s="179"/>
      <c r="B303" s="178"/>
      <c r="C303" s="178" t="s">
        <v>184</v>
      </c>
      <c r="D303" s="177"/>
      <c r="E303" s="174"/>
      <c r="F303" s="176">
        <v>7.0000000000000007E-2</v>
      </c>
      <c r="G303" s="175" t="s">
        <v>195</v>
      </c>
      <c r="H303" s="174">
        <v>1</v>
      </c>
      <c r="I303" s="173">
        <v>0.2</v>
      </c>
      <c r="J303" s="174">
        <v>10.43</v>
      </c>
      <c r="K303" s="173">
        <v>2.09</v>
      </c>
    </row>
    <row r="304" spans="1:22" ht="14.25" x14ac:dyDescent="0.2">
      <c r="A304" s="179"/>
      <c r="B304" s="178"/>
      <c r="C304" s="178" t="s">
        <v>189</v>
      </c>
      <c r="D304" s="177"/>
      <c r="E304" s="174"/>
      <c r="F304" s="176">
        <v>0.02</v>
      </c>
      <c r="G304" s="175" t="s">
        <v>195</v>
      </c>
      <c r="H304" s="174">
        <v>1</v>
      </c>
      <c r="I304" s="180">
        <v>0.06</v>
      </c>
      <c r="J304" s="174">
        <v>23.35</v>
      </c>
      <c r="K304" s="180">
        <v>1.4</v>
      </c>
    </row>
    <row r="305" spans="1:22" ht="14.25" x14ac:dyDescent="0.2">
      <c r="A305" s="179"/>
      <c r="B305" s="178"/>
      <c r="C305" s="178" t="s">
        <v>205</v>
      </c>
      <c r="D305" s="177"/>
      <c r="E305" s="174"/>
      <c r="F305" s="176">
        <v>1.89</v>
      </c>
      <c r="G305" s="175" t="s">
        <v>195</v>
      </c>
      <c r="H305" s="174">
        <v>1</v>
      </c>
      <c r="I305" s="173">
        <v>5.34</v>
      </c>
      <c r="J305" s="174">
        <v>9.19</v>
      </c>
      <c r="K305" s="173">
        <v>49.07</v>
      </c>
    </row>
    <row r="306" spans="1:22" ht="57" x14ac:dyDescent="0.2">
      <c r="A306" s="179" t="s">
        <v>1715</v>
      </c>
      <c r="B306" s="178" t="s">
        <v>2523</v>
      </c>
      <c r="C306" s="178" t="s">
        <v>666</v>
      </c>
      <c r="D306" s="177" t="s">
        <v>1584</v>
      </c>
      <c r="E306" s="174">
        <v>5.83</v>
      </c>
      <c r="F306" s="176">
        <v>105.31</v>
      </c>
      <c r="G306" s="182" t="s">
        <v>195</v>
      </c>
      <c r="H306" s="174">
        <v>1</v>
      </c>
      <c r="I306" s="173">
        <v>613.96</v>
      </c>
      <c r="J306" s="174">
        <v>3.21</v>
      </c>
      <c r="K306" s="173">
        <v>1970.81</v>
      </c>
      <c r="Q306" s="160">
        <f>[7]Source!X280</f>
        <v>0</v>
      </c>
      <c r="R306" s="160">
        <f>[7]Source!X281</f>
        <v>0</v>
      </c>
      <c r="S306" s="160">
        <f>[7]Source!Y280</f>
        <v>0</v>
      </c>
      <c r="T306" s="160">
        <f>[7]Source!Y281</f>
        <v>0</v>
      </c>
      <c r="U306" s="160">
        <f>ROUND((175/100)*ROUND([7]Source!R280, 2), 2)</f>
        <v>0</v>
      </c>
      <c r="V306" s="160">
        <f>ROUND((157/100)*ROUND([7]Source!R281, 2), 2)</f>
        <v>0</v>
      </c>
    </row>
    <row r="307" spans="1:22" ht="14.25" x14ac:dyDescent="0.2">
      <c r="A307" s="179"/>
      <c r="B307" s="178"/>
      <c r="C307" s="178" t="s">
        <v>194</v>
      </c>
      <c r="D307" s="177" t="s">
        <v>187</v>
      </c>
      <c r="E307" s="174">
        <v>110</v>
      </c>
      <c r="F307" s="176"/>
      <c r="G307" s="175"/>
      <c r="H307" s="174"/>
      <c r="I307" s="173">
        <v>169.29</v>
      </c>
      <c r="J307" s="174">
        <v>88</v>
      </c>
      <c r="K307" s="173">
        <v>3162.34</v>
      </c>
    </row>
    <row r="308" spans="1:22" ht="14.25" x14ac:dyDescent="0.2">
      <c r="A308" s="179"/>
      <c r="B308" s="178"/>
      <c r="C308" s="178" t="s">
        <v>193</v>
      </c>
      <c r="D308" s="177" t="s">
        <v>187</v>
      </c>
      <c r="E308" s="174">
        <v>85</v>
      </c>
      <c r="F308" s="176"/>
      <c r="G308" s="175"/>
      <c r="H308" s="174"/>
      <c r="I308" s="173">
        <v>130.82</v>
      </c>
      <c r="J308" s="174">
        <v>41</v>
      </c>
      <c r="K308" s="173">
        <v>1473.36</v>
      </c>
    </row>
    <row r="309" spans="1:22" ht="14.25" x14ac:dyDescent="0.2">
      <c r="A309" s="172"/>
      <c r="B309" s="171"/>
      <c r="C309" s="171" t="s">
        <v>188</v>
      </c>
      <c r="D309" s="170" t="s">
        <v>187</v>
      </c>
      <c r="E309" s="167">
        <v>175</v>
      </c>
      <c r="F309" s="169"/>
      <c r="G309" s="168"/>
      <c r="H309" s="167"/>
      <c r="I309" s="166">
        <v>0.11</v>
      </c>
      <c r="J309" s="167">
        <v>157</v>
      </c>
      <c r="K309" s="166">
        <v>2.2000000000000002</v>
      </c>
    </row>
    <row r="310" spans="1:22" ht="15" x14ac:dyDescent="0.25">
      <c r="A310" s="164"/>
      <c r="B310" s="164"/>
      <c r="C310" s="165" t="s">
        <v>183</v>
      </c>
      <c r="D310" s="164"/>
      <c r="E310" s="164"/>
      <c r="F310" s="164"/>
      <c r="G310" s="164"/>
      <c r="H310" s="414">
        <v>1073.6199999999999</v>
      </c>
      <c r="I310" s="414"/>
      <c r="J310" s="414">
        <v>10253.44</v>
      </c>
      <c r="K310" s="414"/>
      <c r="O310" s="163">
        <f>I302+I303+I305+I307+I308+I309+SUM(I306:I306)</f>
        <v>1073.6199999999999</v>
      </c>
      <c r="P310" s="163">
        <f>K302+K303+K305+K307+K308+K309+SUM(K306:K306)</f>
        <v>10253.44</v>
      </c>
    </row>
    <row r="312" spans="1:22" ht="28.5" x14ac:dyDescent="0.2">
      <c r="A312" s="179" t="s">
        <v>1719</v>
      </c>
      <c r="B312" s="178" t="s">
        <v>2524</v>
      </c>
      <c r="C312" s="178" t="s">
        <v>665</v>
      </c>
      <c r="D312" s="177" t="s">
        <v>2525</v>
      </c>
      <c r="E312" s="174">
        <v>28.28</v>
      </c>
      <c r="F312" s="176"/>
      <c r="G312" s="175"/>
      <c r="H312" s="174"/>
      <c r="I312" s="173"/>
      <c r="J312" s="174"/>
      <c r="K312" s="173"/>
      <c r="Q312" s="160">
        <f>[7]Source!X282</f>
        <v>1569.67</v>
      </c>
      <c r="R312" s="160">
        <f>[7]Source!X283</f>
        <v>29955.84</v>
      </c>
      <c r="S312" s="160">
        <f>[7]Source!Y282</f>
        <v>1192.3499999999999</v>
      </c>
      <c r="T312" s="160">
        <f>[7]Source!Y283</f>
        <v>14449.29</v>
      </c>
      <c r="U312" s="160">
        <f>ROUND((175/100)*ROUND([7]Source!R282, 2), 2)</f>
        <v>0</v>
      </c>
      <c r="V312" s="160">
        <f>ROUND((157/100)*ROUND([7]Source!R283, 2), 2)</f>
        <v>0</v>
      </c>
    </row>
    <row r="313" spans="1:22" ht="14.25" x14ac:dyDescent="0.2">
      <c r="A313" s="179"/>
      <c r="B313" s="178"/>
      <c r="C313" s="178" t="s">
        <v>197</v>
      </c>
      <c r="D313" s="177"/>
      <c r="E313" s="174"/>
      <c r="F313" s="176">
        <v>53.37</v>
      </c>
      <c r="G313" s="175" t="s">
        <v>195</v>
      </c>
      <c r="H313" s="174">
        <v>1</v>
      </c>
      <c r="I313" s="173">
        <v>1509.3</v>
      </c>
      <c r="J313" s="174">
        <v>23.35</v>
      </c>
      <c r="K313" s="173">
        <v>35242.160000000003</v>
      </c>
    </row>
    <row r="314" spans="1:22" ht="14.25" x14ac:dyDescent="0.2">
      <c r="A314" s="179"/>
      <c r="B314" s="178"/>
      <c r="C314" s="178" t="s">
        <v>205</v>
      </c>
      <c r="D314" s="177"/>
      <c r="E314" s="174"/>
      <c r="F314" s="176">
        <v>0.14000000000000001</v>
      </c>
      <c r="G314" s="175" t="s">
        <v>195</v>
      </c>
      <c r="H314" s="174">
        <v>1</v>
      </c>
      <c r="I314" s="173">
        <v>3.96</v>
      </c>
      <c r="J314" s="174">
        <v>5.43</v>
      </c>
      <c r="K314" s="173">
        <v>21.5</v>
      </c>
    </row>
    <row r="315" spans="1:22" ht="14.25" x14ac:dyDescent="0.2">
      <c r="A315" s="179"/>
      <c r="B315" s="178"/>
      <c r="C315" s="178" t="s">
        <v>194</v>
      </c>
      <c r="D315" s="177" t="s">
        <v>187</v>
      </c>
      <c r="E315" s="174">
        <v>104</v>
      </c>
      <c r="F315" s="176"/>
      <c r="G315" s="175"/>
      <c r="H315" s="174"/>
      <c r="I315" s="173">
        <v>1569.67</v>
      </c>
      <c r="J315" s="174">
        <v>85</v>
      </c>
      <c r="K315" s="173">
        <v>29955.84</v>
      </c>
    </row>
    <row r="316" spans="1:22" ht="14.25" x14ac:dyDescent="0.2">
      <c r="A316" s="172"/>
      <c r="B316" s="171"/>
      <c r="C316" s="171" t="s">
        <v>193</v>
      </c>
      <c r="D316" s="170" t="s">
        <v>187</v>
      </c>
      <c r="E316" s="167">
        <v>79</v>
      </c>
      <c r="F316" s="169"/>
      <c r="G316" s="168"/>
      <c r="H316" s="167"/>
      <c r="I316" s="166">
        <v>1192.3499999999999</v>
      </c>
      <c r="J316" s="167">
        <v>41</v>
      </c>
      <c r="K316" s="166">
        <v>14449.29</v>
      </c>
    </row>
    <row r="317" spans="1:22" ht="15" x14ac:dyDescent="0.25">
      <c r="A317" s="164"/>
      <c r="B317" s="164"/>
      <c r="C317" s="165" t="s">
        <v>183</v>
      </c>
      <c r="D317" s="164"/>
      <c r="E317" s="164"/>
      <c r="F317" s="164"/>
      <c r="G317" s="164"/>
      <c r="H317" s="414">
        <v>4275.28</v>
      </c>
      <c r="I317" s="414"/>
      <c r="J317" s="414">
        <v>79668.789999999994</v>
      </c>
      <c r="K317" s="414"/>
      <c r="O317" s="163">
        <f>I313+I314+I315+I316</f>
        <v>4275.28</v>
      </c>
      <c r="P317" s="163">
        <f>K313+K314+K315+K316</f>
        <v>79668.789999999994</v>
      </c>
    </row>
    <row r="320" spans="1:22" ht="15" x14ac:dyDescent="0.25">
      <c r="A320" s="417" t="s">
        <v>2526</v>
      </c>
      <c r="B320" s="417"/>
      <c r="C320" s="417"/>
      <c r="D320" s="417"/>
      <c r="E320" s="417"/>
      <c r="F320" s="417"/>
      <c r="G320" s="417"/>
      <c r="H320" s="415">
        <v>173948.88</v>
      </c>
      <c r="I320" s="416"/>
      <c r="J320" s="415">
        <v>3254244.35</v>
      </c>
      <c r="K320" s="416"/>
    </row>
    <row r="321" spans="1:22" hidden="1" x14ac:dyDescent="0.2">
      <c r="A321" s="160" t="s">
        <v>182</v>
      </c>
      <c r="I321" s="160">
        <v>0</v>
      </c>
      <c r="J321" s="160">
        <v>0</v>
      </c>
    </row>
    <row r="322" spans="1:22" hidden="1" x14ac:dyDescent="0.2">
      <c r="A322" s="160" t="s">
        <v>181</v>
      </c>
      <c r="I322" s="160">
        <v>0</v>
      </c>
      <c r="J322" s="160">
        <v>0</v>
      </c>
    </row>
    <row r="324" spans="1:22" ht="16.5" x14ac:dyDescent="0.25">
      <c r="A324" s="413" t="s">
        <v>2527</v>
      </c>
      <c r="B324" s="413"/>
      <c r="C324" s="413"/>
      <c r="D324" s="413"/>
      <c r="E324" s="413"/>
      <c r="F324" s="413"/>
      <c r="G324" s="413"/>
      <c r="H324" s="413"/>
      <c r="I324" s="413"/>
      <c r="J324" s="413"/>
      <c r="K324" s="413"/>
    </row>
    <row r="325" spans="1:22" ht="57" x14ac:dyDescent="0.2">
      <c r="A325" s="179" t="s">
        <v>1722</v>
      </c>
      <c r="B325" s="178" t="s">
        <v>2528</v>
      </c>
      <c r="C325" s="178" t="s">
        <v>664</v>
      </c>
      <c r="D325" s="177" t="s">
        <v>2529</v>
      </c>
      <c r="E325" s="174">
        <v>2350</v>
      </c>
      <c r="F325" s="176"/>
      <c r="G325" s="175"/>
      <c r="H325" s="174"/>
      <c r="I325" s="173"/>
      <c r="J325" s="174"/>
      <c r="K325" s="173"/>
      <c r="Q325" s="160">
        <f>[7]Source!X319</f>
        <v>60359.75</v>
      </c>
      <c r="R325" s="160">
        <f>[7]Source!X320</f>
        <v>1127520.1299999999</v>
      </c>
      <c r="S325" s="160">
        <f>[7]Source!Y319</f>
        <v>46641.63</v>
      </c>
      <c r="T325" s="160">
        <f>[7]Source!Y320</f>
        <v>525321.88</v>
      </c>
      <c r="U325" s="160">
        <f>ROUND((175/100)*ROUND([7]Source!R319, 2), 2)</f>
        <v>0</v>
      </c>
      <c r="V325" s="160">
        <f>ROUND((157/100)*ROUND([7]Source!R320, 2), 2)</f>
        <v>0</v>
      </c>
    </row>
    <row r="326" spans="1:22" ht="14.25" x14ac:dyDescent="0.2">
      <c r="A326" s="179"/>
      <c r="B326" s="178"/>
      <c r="C326" s="178" t="s">
        <v>197</v>
      </c>
      <c r="D326" s="177"/>
      <c r="E326" s="174"/>
      <c r="F326" s="176">
        <v>23.35</v>
      </c>
      <c r="G326" s="175" t="s">
        <v>195</v>
      </c>
      <c r="H326" s="174">
        <v>1</v>
      </c>
      <c r="I326" s="173">
        <v>54872.5</v>
      </c>
      <c r="J326" s="174">
        <v>23.35</v>
      </c>
      <c r="K326" s="173">
        <v>1281272.8799999999</v>
      </c>
    </row>
    <row r="327" spans="1:22" ht="14.25" x14ac:dyDescent="0.2">
      <c r="A327" s="179"/>
      <c r="B327" s="178"/>
      <c r="C327" s="178" t="s">
        <v>205</v>
      </c>
      <c r="D327" s="177"/>
      <c r="E327" s="174"/>
      <c r="F327" s="176">
        <v>0.31</v>
      </c>
      <c r="G327" s="175" t="s">
        <v>195</v>
      </c>
      <c r="H327" s="174">
        <v>1</v>
      </c>
      <c r="I327" s="173">
        <v>728.5</v>
      </c>
      <c r="J327" s="174">
        <v>1.35</v>
      </c>
      <c r="K327" s="173">
        <v>983.48</v>
      </c>
    </row>
    <row r="328" spans="1:22" ht="28.5" x14ac:dyDescent="0.2">
      <c r="A328" s="179" t="s">
        <v>1724</v>
      </c>
      <c r="B328" s="178" t="s">
        <v>2530</v>
      </c>
      <c r="C328" s="178" t="s">
        <v>663</v>
      </c>
      <c r="D328" s="177" t="s">
        <v>1594</v>
      </c>
      <c r="E328" s="174">
        <v>2.35</v>
      </c>
      <c r="F328" s="176">
        <v>13138.43</v>
      </c>
      <c r="G328" s="182" t="s">
        <v>195</v>
      </c>
      <c r="H328" s="174">
        <v>1</v>
      </c>
      <c r="I328" s="173">
        <v>30875.31</v>
      </c>
      <c r="J328" s="174">
        <v>2.04</v>
      </c>
      <c r="K328" s="173">
        <v>62985.63</v>
      </c>
      <c r="Q328" s="160">
        <f>[7]Source!X321</f>
        <v>0</v>
      </c>
      <c r="R328" s="160">
        <f>[7]Source!X322</f>
        <v>0</v>
      </c>
      <c r="S328" s="160">
        <f>[7]Source!Y321</f>
        <v>0</v>
      </c>
      <c r="T328" s="160">
        <f>[7]Source!Y322</f>
        <v>0</v>
      </c>
      <c r="U328" s="160">
        <f>ROUND((175/100)*ROUND([7]Source!R321, 2), 2)</f>
        <v>0</v>
      </c>
      <c r="V328" s="160">
        <f>ROUND((157/100)*ROUND([7]Source!R322, 2), 2)</f>
        <v>0</v>
      </c>
    </row>
    <row r="329" spans="1:22" ht="14.25" x14ac:dyDescent="0.2">
      <c r="A329" s="179"/>
      <c r="B329" s="178"/>
      <c r="C329" s="178" t="s">
        <v>194</v>
      </c>
      <c r="D329" s="177" t="s">
        <v>187</v>
      </c>
      <c r="E329" s="174">
        <v>110</v>
      </c>
      <c r="F329" s="176"/>
      <c r="G329" s="175"/>
      <c r="H329" s="174"/>
      <c r="I329" s="173">
        <v>60359.75</v>
      </c>
      <c r="J329" s="174">
        <v>88</v>
      </c>
      <c r="K329" s="173">
        <v>1127520.1299999999</v>
      </c>
    </row>
    <row r="330" spans="1:22" ht="14.25" x14ac:dyDescent="0.2">
      <c r="A330" s="179"/>
      <c r="B330" s="178"/>
      <c r="C330" s="178" t="s">
        <v>193</v>
      </c>
      <c r="D330" s="177" t="s">
        <v>187</v>
      </c>
      <c r="E330" s="174">
        <v>85</v>
      </c>
      <c r="F330" s="176"/>
      <c r="G330" s="175"/>
      <c r="H330" s="174"/>
      <c r="I330" s="173">
        <v>46641.63</v>
      </c>
      <c r="J330" s="174">
        <v>41</v>
      </c>
      <c r="K330" s="173">
        <v>525321.88</v>
      </c>
    </row>
    <row r="331" spans="1:22" ht="14.25" x14ac:dyDescent="0.2">
      <c r="A331" s="172"/>
      <c r="B331" s="171"/>
      <c r="C331" s="171" t="s">
        <v>192</v>
      </c>
      <c r="D331" s="170" t="s">
        <v>191</v>
      </c>
      <c r="E331" s="167">
        <v>1.68</v>
      </c>
      <c r="F331" s="169"/>
      <c r="G331" s="168" t="s">
        <v>195</v>
      </c>
      <c r="H331" s="167">
        <v>1</v>
      </c>
      <c r="I331" s="166">
        <v>3948</v>
      </c>
      <c r="J331" s="167"/>
      <c r="K331" s="166"/>
    </row>
    <row r="332" spans="1:22" ht="15" x14ac:dyDescent="0.25">
      <c r="A332" s="164"/>
      <c r="B332" s="164"/>
      <c r="C332" s="165" t="s">
        <v>183</v>
      </c>
      <c r="D332" s="164"/>
      <c r="E332" s="164"/>
      <c r="F332" s="164"/>
      <c r="G332" s="164"/>
      <c r="H332" s="414">
        <v>193477.69</v>
      </c>
      <c r="I332" s="414"/>
      <c r="J332" s="414">
        <v>2998084</v>
      </c>
      <c r="K332" s="414"/>
      <c r="O332" s="163">
        <f>I326+I327+I329+I330+SUM(I328:I328)</f>
        <v>193477.69</v>
      </c>
      <c r="P332" s="163">
        <f>K326+K327+K329+K330+SUM(K328:K328)</f>
        <v>2998084</v>
      </c>
    </row>
    <row r="334" spans="1:22" ht="71.25" x14ac:dyDescent="0.2">
      <c r="A334" s="179" t="s">
        <v>1729</v>
      </c>
      <c r="B334" s="178" t="s">
        <v>2531</v>
      </c>
      <c r="C334" s="178" t="s">
        <v>662</v>
      </c>
      <c r="D334" s="177" t="s">
        <v>2532</v>
      </c>
      <c r="E334" s="174">
        <v>2350</v>
      </c>
      <c r="F334" s="176"/>
      <c r="G334" s="175"/>
      <c r="H334" s="174"/>
      <c r="I334" s="173"/>
      <c r="J334" s="174"/>
      <c r="K334" s="173"/>
      <c r="Q334" s="160">
        <f>[7]Source!X327</f>
        <v>5867.95</v>
      </c>
      <c r="R334" s="160">
        <f>[7]Source!X328</f>
        <v>109613.31</v>
      </c>
      <c r="S334" s="160">
        <f>[7]Source!Y327</f>
        <v>4534.33</v>
      </c>
      <c r="T334" s="160">
        <f>[7]Source!Y328</f>
        <v>51069.84</v>
      </c>
      <c r="U334" s="160">
        <f>ROUND((175/100)*ROUND([7]Source!R327, 2), 2)</f>
        <v>0</v>
      </c>
      <c r="V334" s="160">
        <f>ROUND((157/100)*ROUND([7]Source!R328, 2), 2)</f>
        <v>0</v>
      </c>
    </row>
    <row r="335" spans="1:22" ht="14.25" x14ac:dyDescent="0.2">
      <c r="A335" s="179"/>
      <c r="B335" s="178"/>
      <c r="C335" s="178" t="s">
        <v>197</v>
      </c>
      <c r="D335" s="177"/>
      <c r="E335" s="174"/>
      <c r="F335" s="176">
        <v>2.27</v>
      </c>
      <c r="G335" s="175" t="s">
        <v>195</v>
      </c>
      <c r="H335" s="174">
        <v>1</v>
      </c>
      <c r="I335" s="173">
        <v>5334.5</v>
      </c>
      <c r="J335" s="174">
        <v>23.35</v>
      </c>
      <c r="K335" s="173">
        <v>124560.58</v>
      </c>
    </row>
    <row r="336" spans="1:22" ht="14.25" x14ac:dyDescent="0.2">
      <c r="A336" s="179"/>
      <c r="B336" s="178"/>
      <c r="C336" s="178" t="s">
        <v>205</v>
      </c>
      <c r="D336" s="177"/>
      <c r="E336" s="174"/>
      <c r="F336" s="176">
        <v>0.09</v>
      </c>
      <c r="G336" s="175" t="s">
        <v>195</v>
      </c>
      <c r="H336" s="174">
        <v>1</v>
      </c>
      <c r="I336" s="173">
        <v>211.5</v>
      </c>
      <c r="J336" s="174">
        <v>2.2200000000000002</v>
      </c>
      <c r="K336" s="173">
        <v>469.53</v>
      </c>
    </row>
    <row r="337" spans="1:22" ht="42.75" x14ac:dyDescent="0.2">
      <c r="A337" s="179" t="s">
        <v>1730</v>
      </c>
      <c r="B337" s="178" t="s">
        <v>2533</v>
      </c>
      <c r="C337" s="178" t="s">
        <v>661</v>
      </c>
      <c r="D337" s="177" t="s">
        <v>1584</v>
      </c>
      <c r="E337" s="174">
        <v>1.41</v>
      </c>
      <c r="F337" s="176">
        <v>146.79</v>
      </c>
      <c r="G337" s="182" t="s">
        <v>195</v>
      </c>
      <c r="H337" s="174">
        <v>1</v>
      </c>
      <c r="I337" s="173">
        <v>206.97</v>
      </c>
      <c r="J337" s="174">
        <v>4.6900000000000004</v>
      </c>
      <c r="K337" s="173">
        <v>970.69</v>
      </c>
      <c r="Q337" s="160">
        <f>[7]Source!X329</f>
        <v>0</v>
      </c>
      <c r="R337" s="160">
        <f>[7]Source!X330</f>
        <v>0</v>
      </c>
      <c r="S337" s="160">
        <f>[7]Source!Y329</f>
        <v>0</v>
      </c>
      <c r="T337" s="160">
        <f>[7]Source!Y330</f>
        <v>0</v>
      </c>
      <c r="U337" s="160">
        <f>ROUND((175/100)*ROUND([7]Source!R329, 2), 2)</f>
        <v>0</v>
      </c>
      <c r="V337" s="160">
        <f>ROUND((157/100)*ROUND([7]Source!R330, 2), 2)</f>
        <v>0</v>
      </c>
    </row>
    <row r="338" spans="1:22" ht="14.25" x14ac:dyDescent="0.2">
      <c r="A338" s="179"/>
      <c r="B338" s="178"/>
      <c r="C338" s="178" t="s">
        <v>194</v>
      </c>
      <c r="D338" s="177" t="s">
        <v>187</v>
      </c>
      <c r="E338" s="174">
        <v>110</v>
      </c>
      <c r="F338" s="176"/>
      <c r="G338" s="175"/>
      <c r="H338" s="174"/>
      <c r="I338" s="173">
        <v>5867.95</v>
      </c>
      <c r="J338" s="174">
        <v>88</v>
      </c>
      <c r="K338" s="173">
        <v>109613.31</v>
      </c>
    </row>
    <row r="339" spans="1:22" ht="14.25" x14ac:dyDescent="0.2">
      <c r="A339" s="172"/>
      <c r="B339" s="171"/>
      <c r="C339" s="171" t="s">
        <v>193</v>
      </c>
      <c r="D339" s="170" t="s">
        <v>187</v>
      </c>
      <c r="E339" s="167">
        <v>85</v>
      </c>
      <c r="F339" s="169"/>
      <c r="G339" s="168"/>
      <c r="H339" s="167"/>
      <c r="I339" s="166">
        <v>4534.33</v>
      </c>
      <c r="J339" s="167">
        <v>41</v>
      </c>
      <c r="K339" s="166">
        <v>51069.84</v>
      </c>
    </row>
    <row r="340" spans="1:22" ht="15" x14ac:dyDescent="0.25">
      <c r="A340" s="164"/>
      <c r="B340" s="164"/>
      <c r="C340" s="165" t="s">
        <v>183</v>
      </c>
      <c r="D340" s="164"/>
      <c r="E340" s="164"/>
      <c r="F340" s="164"/>
      <c r="G340" s="164"/>
      <c r="H340" s="414">
        <v>16155.25</v>
      </c>
      <c r="I340" s="414"/>
      <c r="J340" s="414">
        <v>286683.95</v>
      </c>
      <c r="K340" s="414"/>
      <c r="O340" s="163">
        <f>I335+I336+I338+I339+SUM(I337:I337)</f>
        <v>16155.25</v>
      </c>
      <c r="P340" s="163">
        <f>K335+K336+K338+K339+SUM(K337:K337)</f>
        <v>286683.95</v>
      </c>
    </row>
    <row r="342" spans="1:22" ht="28.5" x14ac:dyDescent="0.2">
      <c r="A342" s="179" t="s">
        <v>1737</v>
      </c>
      <c r="B342" s="178" t="s">
        <v>2534</v>
      </c>
      <c r="C342" s="178" t="s">
        <v>660</v>
      </c>
      <c r="D342" s="177" t="s">
        <v>2535</v>
      </c>
      <c r="E342" s="174">
        <v>12</v>
      </c>
      <c r="F342" s="176"/>
      <c r="G342" s="175"/>
      <c r="H342" s="174"/>
      <c r="I342" s="173"/>
      <c r="J342" s="174"/>
      <c r="K342" s="173"/>
      <c r="Q342" s="160">
        <f>[7]Source!X331</f>
        <v>43.16</v>
      </c>
      <c r="R342" s="160">
        <f>[7]Source!X332</f>
        <v>806.3</v>
      </c>
      <c r="S342" s="160">
        <f>[7]Source!Y331</f>
        <v>33.35</v>
      </c>
      <c r="T342" s="160">
        <f>[7]Source!Y332</f>
        <v>375.66</v>
      </c>
      <c r="U342" s="160">
        <f>ROUND((175/100)*ROUND([7]Source!R331, 2), 2)</f>
        <v>0</v>
      </c>
      <c r="V342" s="160">
        <f>ROUND((157/100)*ROUND([7]Source!R332, 2), 2)</f>
        <v>0</v>
      </c>
    </row>
    <row r="343" spans="1:22" ht="14.25" x14ac:dyDescent="0.2">
      <c r="A343" s="179"/>
      <c r="B343" s="178"/>
      <c r="C343" s="178" t="s">
        <v>197</v>
      </c>
      <c r="D343" s="177"/>
      <c r="E343" s="174"/>
      <c r="F343" s="176">
        <v>3.27</v>
      </c>
      <c r="G343" s="175" t="s">
        <v>195</v>
      </c>
      <c r="H343" s="174">
        <v>1</v>
      </c>
      <c r="I343" s="173">
        <v>39.24</v>
      </c>
      <c r="J343" s="174">
        <v>23.35</v>
      </c>
      <c r="K343" s="173">
        <v>916.25</v>
      </c>
    </row>
    <row r="344" spans="1:22" ht="14.25" x14ac:dyDescent="0.2">
      <c r="A344" s="179"/>
      <c r="B344" s="178"/>
      <c r="C344" s="178" t="s">
        <v>205</v>
      </c>
      <c r="D344" s="177"/>
      <c r="E344" s="174"/>
      <c r="F344" s="176">
        <v>3.55</v>
      </c>
      <c r="G344" s="175" t="s">
        <v>195</v>
      </c>
      <c r="H344" s="174">
        <v>1</v>
      </c>
      <c r="I344" s="173">
        <v>42.6</v>
      </c>
      <c r="J344" s="174">
        <v>6.73</v>
      </c>
      <c r="K344" s="173">
        <v>286.7</v>
      </c>
    </row>
    <row r="345" spans="1:22" ht="14.25" x14ac:dyDescent="0.2">
      <c r="A345" s="179"/>
      <c r="B345" s="178"/>
      <c r="C345" s="178" t="s">
        <v>194</v>
      </c>
      <c r="D345" s="177" t="s">
        <v>187</v>
      </c>
      <c r="E345" s="174">
        <v>110</v>
      </c>
      <c r="F345" s="176"/>
      <c r="G345" s="175"/>
      <c r="H345" s="174"/>
      <c r="I345" s="173">
        <v>43.16</v>
      </c>
      <c r="J345" s="174">
        <v>88</v>
      </c>
      <c r="K345" s="173">
        <v>806.3</v>
      </c>
    </row>
    <row r="346" spans="1:22" ht="14.25" x14ac:dyDescent="0.2">
      <c r="A346" s="172"/>
      <c r="B346" s="171"/>
      <c r="C346" s="171" t="s">
        <v>193</v>
      </c>
      <c r="D346" s="170" t="s">
        <v>187</v>
      </c>
      <c r="E346" s="167">
        <v>85</v>
      </c>
      <c r="F346" s="169"/>
      <c r="G346" s="168"/>
      <c r="H346" s="167"/>
      <c r="I346" s="166">
        <v>33.35</v>
      </c>
      <c r="J346" s="167">
        <v>41</v>
      </c>
      <c r="K346" s="166">
        <v>375.66</v>
      </c>
    </row>
    <row r="347" spans="1:22" ht="15" x14ac:dyDescent="0.25">
      <c r="A347" s="164"/>
      <c r="B347" s="164"/>
      <c r="C347" s="165" t="s">
        <v>183</v>
      </c>
      <c r="D347" s="164"/>
      <c r="E347" s="164"/>
      <c r="F347" s="164"/>
      <c r="G347" s="164"/>
      <c r="H347" s="414">
        <v>158.35</v>
      </c>
      <c r="I347" s="414"/>
      <c r="J347" s="414">
        <v>2384.91</v>
      </c>
      <c r="K347" s="414"/>
      <c r="O347" s="163">
        <f>I343+I344+I345+I346</f>
        <v>158.35</v>
      </c>
      <c r="P347" s="163">
        <f>K343+K344+K345+K346</f>
        <v>2384.91</v>
      </c>
    </row>
    <row r="350" spans="1:22" ht="15" x14ac:dyDescent="0.25">
      <c r="A350" s="417" t="s">
        <v>2536</v>
      </c>
      <c r="B350" s="417"/>
      <c r="C350" s="417"/>
      <c r="D350" s="417"/>
      <c r="E350" s="417"/>
      <c r="F350" s="417"/>
      <c r="G350" s="417"/>
      <c r="H350" s="415">
        <v>209791.29</v>
      </c>
      <c r="I350" s="416"/>
      <c r="J350" s="415">
        <v>3287152.86</v>
      </c>
      <c r="K350" s="416"/>
    </row>
    <row r="351" spans="1:22" hidden="1" x14ac:dyDescent="0.2">
      <c r="A351" s="160" t="s">
        <v>182</v>
      </c>
      <c r="I351" s="160">
        <v>0</v>
      </c>
      <c r="J351" s="160">
        <v>0</v>
      </c>
    </row>
    <row r="352" spans="1:22" hidden="1" x14ac:dyDescent="0.2">
      <c r="A352" s="160" t="s">
        <v>181</v>
      </c>
      <c r="I352" s="160">
        <v>0</v>
      </c>
      <c r="J352" s="160">
        <v>0</v>
      </c>
    </row>
    <row r="354" spans="1:22" ht="16.5" x14ac:dyDescent="0.25">
      <c r="A354" s="413" t="s">
        <v>2537</v>
      </c>
      <c r="B354" s="413"/>
      <c r="C354" s="413"/>
      <c r="D354" s="413"/>
      <c r="E354" s="413"/>
      <c r="F354" s="413"/>
      <c r="G354" s="413"/>
      <c r="H354" s="413"/>
      <c r="I354" s="413"/>
      <c r="J354" s="413"/>
      <c r="K354" s="413"/>
    </row>
    <row r="355" spans="1:22" ht="71.25" x14ac:dyDescent="0.2">
      <c r="A355" s="179" t="s">
        <v>1740</v>
      </c>
      <c r="B355" s="178" t="s">
        <v>2538</v>
      </c>
      <c r="C355" s="178" t="s">
        <v>659</v>
      </c>
      <c r="D355" s="177" t="s">
        <v>2257</v>
      </c>
      <c r="E355" s="174">
        <v>2.84</v>
      </c>
      <c r="F355" s="176"/>
      <c r="G355" s="175"/>
      <c r="H355" s="174"/>
      <c r="I355" s="173"/>
      <c r="J355" s="174"/>
      <c r="K355" s="173"/>
      <c r="Q355" s="160">
        <f>[7]Source!X368</f>
        <v>248.67</v>
      </c>
      <c r="R355" s="160">
        <f>[7]Source!X369</f>
        <v>4645.08</v>
      </c>
      <c r="S355" s="160">
        <f>[7]Source!Y368</f>
        <v>192.15</v>
      </c>
      <c r="T355" s="160">
        <f>[7]Source!Y369</f>
        <v>2164.19</v>
      </c>
      <c r="U355" s="160">
        <f>ROUND((175/100)*ROUND([7]Source!R368, 2), 2)</f>
        <v>0.49</v>
      </c>
      <c r="V355" s="160">
        <f>ROUND((157/100)*ROUND([7]Source!R369, 2), 2)</f>
        <v>10.27</v>
      </c>
    </row>
    <row r="356" spans="1:22" ht="14.25" x14ac:dyDescent="0.2">
      <c r="A356" s="179"/>
      <c r="B356" s="178"/>
      <c r="C356" s="178" t="s">
        <v>197</v>
      </c>
      <c r="D356" s="177"/>
      <c r="E356" s="174"/>
      <c r="F356" s="176">
        <v>79.599999999999994</v>
      </c>
      <c r="G356" s="175" t="s">
        <v>195</v>
      </c>
      <c r="H356" s="174">
        <v>1</v>
      </c>
      <c r="I356" s="173">
        <v>226.06</v>
      </c>
      <c r="J356" s="174">
        <v>23.35</v>
      </c>
      <c r="K356" s="173">
        <v>5278.5</v>
      </c>
    </row>
    <row r="357" spans="1:22" ht="14.25" x14ac:dyDescent="0.2">
      <c r="A357" s="179"/>
      <c r="B357" s="178"/>
      <c r="C357" s="178" t="s">
        <v>184</v>
      </c>
      <c r="D357" s="177"/>
      <c r="E357" s="174"/>
      <c r="F357" s="176">
        <v>0.5</v>
      </c>
      <c r="G357" s="175" t="s">
        <v>195</v>
      </c>
      <c r="H357" s="174">
        <v>1</v>
      </c>
      <c r="I357" s="173">
        <v>1.42</v>
      </c>
      <c r="J357" s="174">
        <v>8.9600000000000009</v>
      </c>
      <c r="K357" s="173">
        <v>12.72</v>
      </c>
    </row>
    <row r="358" spans="1:22" ht="14.25" x14ac:dyDescent="0.2">
      <c r="A358" s="179"/>
      <c r="B358" s="178"/>
      <c r="C358" s="178" t="s">
        <v>189</v>
      </c>
      <c r="D358" s="177"/>
      <c r="E358" s="174"/>
      <c r="F358" s="176">
        <v>0.1</v>
      </c>
      <c r="G358" s="175" t="s">
        <v>195</v>
      </c>
      <c r="H358" s="174">
        <v>1</v>
      </c>
      <c r="I358" s="180">
        <v>0.28000000000000003</v>
      </c>
      <c r="J358" s="174">
        <v>23.35</v>
      </c>
      <c r="K358" s="180">
        <v>6.54</v>
      </c>
    </row>
    <row r="359" spans="1:22" ht="14.25" x14ac:dyDescent="0.2">
      <c r="A359" s="179"/>
      <c r="B359" s="178"/>
      <c r="C359" s="178" t="s">
        <v>205</v>
      </c>
      <c r="D359" s="177"/>
      <c r="E359" s="174"/>
      <c r="F359" s="176">
        <v>9.31</v>
      </c>
      <c r="G359" s="175" t="s">
        <v>195</v>
      </c>
      <c r="H359" s="174">
        <v>1</v>
      </c>
      <c r="I359" s="173">
        <v>26.44</v>
      </c>
      <c r="J359" s="174">
        <v>6.31</v>
      </c>
      <c r="K359" s="173">
        <v>166.84</v>
      </c>
    </row>
    <row r="360" spans="1:22" ht="28.5" x14ac:dyDescent="0.2">
      <c r="A360" s="179" t="s">
        <v>1742</v>
      </c>
      <c r="B360" s="178" t="s">
        <v>2539</v>
      </c>
      <c r="C360" s="178" t="s">
        <v>658</v>
      </c>
      <c r="D360" s="177" t="s">
        <v>1533</v>
      </c>
      <c r="E360" s="174">
        <v>0.01</v>
      </c>
      <c r="F360" s="176">
        <v>484.85</v>
      </c>
      <c r="G360" s="182" t="s">
        <v>195</v>
      </c>
      <c r="H360" s="174">
        <v>1</v>
      </c>
      <c r="I360" s="173">
        <v>4.8499999999999996</v>
      </c>
      <c r="J360" s="174">
        <v>24.93</v>
      </c>
      <c r="K360" s="173">
        <v>120.91</v>
      </c>
      <c r="Q360" s="160">
        <f>[7]Source!X370</f>
        <v>0</v>
      </c>
      <c r="R360" s="160">
        <f>[7]Source!X371</f>
        <v>0</v>
      </c>
      <c r="S360" s="160">
        <f>[7]Source!Y370</f>
        <v>0</v>
      </c>
      <c r="T360" s="160">
        <f>[7]Source!Y371</f>
        <v>0</v>
      </c>
      <c r="U360" s="160">
        <f>ROUND((175/100)*ROUND([7]Source!R370, 2), 2)</f>
        <v>0</v>
      </c>
      <c r="V360" s="160">
        <f>ROUND((157/100)*ROUND([7]Source!R371, 2), 2)</f>
        <v>0</v>
      </c>
    </row>
    <row r="361" spans="1:22" ht="14.25" x14ac:dyDescent="0.2">
      <c r="A361" s="179"/>
      <c r="B361" s="178"/>
      <c r="C361" s="178" t="s">
        <v>194</v>
      </c>
      <c r="D361" s="177" t="s">
        <v>187</v>
      </c>
      <c r="E361" s="174">
        <v>110</v>
      </c>
      <c r="F361" s="176"/>
      <c r="G361" s="175"/>
      <c r="H361" s="174"/>
      <c r="I361" s="173">
        <v>248.67</v>
      </c>
      <c r="J361" s="174">
        <v>88</v>
      </c>
      <c r="K361" s="173">
        <v>4645.08</v>
      </c>
    </row>
    <row r="362" spans="1:22" ht="14.25" x14ac:dyDescent="0.2">
      <c r="A362" s="179"/>
      <c r="B362" s="178"/>
      <c r="C362" s="178" t="s">
        <v>193</v>
      </c>
      <c r="D362" s="177" t="s">
        <v>187</v>
      </c>
      <c r="E362" s="174">
        <v>85</v>
      </c>
      <c r="F362" s="176"/>
      <c r="G362" s="175"/>
      <c r="H362" s="174"/>
      <c r="I362" s="173">
        <v>192.15</v>
      </c>
      <c r="J362" s="174">
        <v>41</v>
      </c>
      <c r="K362" s="173">
        <v>2164.19</v>
      </c>
    </row>
    <row r="363" spans="1:22" ht="14.25" x14ac:dyDescent="0.2">
      <c r="A363" s="172"/>
      <c r="B363" s="171"/>
      <c r="C363" s="171" t="s">
        <v>188</v>
      </c>
      <c r="D363" s="170" t="s">
        <v>187</v>
      </c>
      <c r="E363" s="167">
        <v>175</v>
      </c>
      <c r="F363" s="169"/>
      <c r="G363" s="168"/>
      <c r="H363" s="167"/>
      <c r="I363" s="166">
        <v>0.49</v>
      </c>
      <c r="J363" s="167">
        <v>157</v>
      </c>
      <c r="K363" s="166">
        <v>10.27</v>
      </c>
    </row>
    <row r="364" spans="1:22" ht="15" x14ac:dyDescent="0.25">
      <c r="A364" s="164"/>
      <c r="B364" s="164"/>
      <c r="C364" s="165" t="s">
        <v>183</v>
      </c>
      <c r="D364" s="164"/>
      <c r="E364" s="164"/>
      <c r="F364" s="164"/>
      <c r="G364" s="164"/>
      <c r="H364" s="414">
        <v>700.08</v>
      </c>
      <c r="I364" s="414"/>
      <c r="J364" s="414">
        <v>12398.51</v>
      </c>
      <c r="K364" s="414"/>
      <c r="O364" s="163">
        <f>I356+I357+I359+I361+I362+I363+SUM(I360:I360)</f>
        <v>700.08</v>
      </c>
      <c r="P364" s="163">
        <f>K356+K357+K359+K361+K362+K363+SUM(K360:K360)</f>
        <v>12398.51</v>
      </c>
    </row>
    <row r="366" spans="1:22" ht="85.5" x14ac:dyDescent="0.2">
      <c r="A366" s="179" t="s">
        <v>1744</v>
      </c>
      <c r="B366" s="178" t="s">
        <v>2540</v>
      </c>
      <c r="C366" s="178" t="s">
        <v>657</v>
      </c>
      <c r="D366" s="177" t="s">
        <v>2099</v>
      </c>
      <c r="E366" s="174">
        <v>0.28399999999999997</v>
      </c>
      <c r="F366" s="176"/>
      <c r="G366" s="175"/>
      <c r="H366" s="174"/>
      <c r="I366" s="173"/>
      <c r="J366" s="174"/>
      <c r="K366" s="173"/>
      <c r="Q366" s="160">
        <f>[7]Source!X372</f>
        <v>37.46</v>
      </c>
      <c r="R366" s="160">
        <f>[7]Source!X373</f>
        <v>699.66</v>
      </c>
      <c r="S366" s="160">
        <f>[7]Source!Y372</f>
        <v>28.94</v>
      </c>
      <c r="T366" s="160">
        <f>[7]Source!Y373</f>
        <v>325.98</v>
      </c>
      <c r="U366" s="160">
        <f>ROUND((175/100)*ROUND([7]Source!R372, 2), 2)</f>
        <v>7.0000000000000007E-2</v>
      </c>
      <c r="V366" s="160">
        <f>ROUND((157/100)*ROUND([7]Source!R373, 2), 2)</f>
        <v>1.46</v>
      </c>
    </row>
    <row r="367" spans="1:22" ht="14.25" x14ac:dyDescent="0.2">
      <c r="A367" s="179"/>
      <c r="B367" s="178"/>
      <c r="C367" s="178" t="s">
        <v>197</v>
      </c>
      <c r="D367" s="177"/>
      <c r="E367" s="174"/>
      <c r="F367" s="176">
        <v>119.89</v>
      </c>
      <c r="G367" s="175" t="s">
        <v>195</v>
      </c>
      <c r="H367" s="174">
        <v>1</v>
      </c>
      <c r="I367" s="173">
        <v>34.049999999999997</v>
      </c>
      <c r="J367" s="174">
        <v>23.35</v>
      </c>
      <c r="K367" s="173">
        <v>795.07</v>
      </c>
    </row>
    <row r="368" spans="1:22" ht="14.25" x14ac:dyDescent="0.2">
      <c r="A368" s="179"/>
      <c r="B368" s="178"/>
      <c r="C368" s="178" t="s">
        <v>184</v>
      </c>
      <c r="D368" s="177"/>
      <c r="E368" s="174"/>
      <c r="F368" s="176">
        <v>4.04</v>
      </c>
      <c r="G368" s="175" t="s">
        <v>195</v>
      </c>
      <c r="H368" s="174">
        <v>1</v>
      </c>
      <c r="I368" s="173">
        <v>1.1499999999999999</v>
      </c>
      <c r="J368" s="174">
        <v>4.5599999999999996</v>
      </c>
      <c r="K368" s="173">
        <v>5.24</v>
      </c>
    </row>
    <row r="369" spans="1:22" ht="14.25" x14ac:dyDescent="0.2">
      <c r="A369" s="179"/>
      <c r="B369" s="178"/>
      <c r="C369" s="178" t="s">
        <v>189</v>
      </c>
      <c r="D369" s="177"/>
      <c r="E369" s="174"/>
      <c r="F369" s="176">
        <v>0.13</v>
      </c>
      <c r="G369" s="175" t="s">
        <v>195</v>
      </c>
      <c r="H369" s="174">
        <v>1</v>
      </c>
      <c r="I369" s="180">
        <v>0.04</v>
      </c>
      <c r="J369" s="174">
        <v>23.35</v>
      </c>
      <c r="K369" s="180">
        <v>0.93</v>
      </c>
    </row>
    <row r="370" spans="1:22" ht="14.25" x14ac:dyDescent="0.2">
      <c r="A370" s="179"/>
      <c r="B370" s="178"/>
      <c r="C370" s="178" t="s">
        <v>205</v>
      </c>
      <c r="D370" s="177"/>
      <c r="E370" s="174"/>
      <c r="F370" s="176">
        <v>246.83</v>
      </c>
      <c r="G370" s="175" t="s">
        <v>195</v>
      </c>
      <c r="H370" s="174">
        <v>1</v>
      </c>
      <c r="I370" s="173">
        <v>70.099999999999994</v>
      </c>
      <c r="J370" s="174">
        <v>4.8899999999999997</v>
      </c>
      <c r="K370" s="173">
        <v>342.79</v>
      </c>
    </row>
    <row r="371" spans="1:22" ht="57" x14ac:dyDescent="0.2">
      <c r="A371" s="179" t="s">
        <v>1747</v>
      </c>
      <c r="B371" s="178" t="s">
        <v>2541</v>
      </c>
      <c r="C371" s="178" t="s">
        <v>656</v>
      </c>
      <c r="D371" s="177" t="s">
        <v>1584</v>
      </c>
      <c r="E371" s="174">
        <v>1.24</v>
      </c>
      <c r="F371" s="176">
        <v>124.07</v>
      </c>
      <c r="G371" s="182" t="s">
        <v>195</v>
      </c>
      <c r="H371" s="174">
        <v>1</v>
      </c>
      <c r="I371" s="173">
        <v>153.85</v>
      </c>
      <c r="J371" s="174">
        <v>3.6</v>
      </c>
      <c r="K371" s="173">
        <v>553.86</v>
      </c>
      <c r="Q371" s="160">
        <f>[7]Source!X374</f>
        <v>0</v>
      </c>
      <c r="R371" s="160">
        <f>[7]Source!X375</f>
        <v>0</v>
      </c>
      <c r="S371" s="160">
        <f>[7]Source!Y374</f>
        <v>0</v>
      </c>
      <c r="T371" s="160">
        <f>[7]Source!Y375</f>
        <v>0</v>
      </c>
      <c r="U371" s="160">
        <f>ROUND((175/100)*ROUND([7]Source!R374, 2), 2)</f>
        <v>0</v>
      </c>
      <c r="V371" s="160">
        <f>ROUND((157/100)*ROUND([7]Source!R375, 2), 2)</f>
        <v>0</v>
      </c>
    </row>
    <row r="372" spans="1:22" ht="85.5" x14ac:dyDescent="0.2">
      <c r="A372" s="179" t="s">
        <v>2188</v>
      </c>
      <c r="B372" s="178" t="s">
        <v>2542</v>
      </c>
      <c r="C372" s="178" t="s">
        <v>655</v>
      </c>
      <c r="D372" s="177" t="s">
        <v>1584</v>
      </c>
      <c r="E372" s="174">
        <v>4.12</v>
      </c>
      <c r="F372" s="176">
        <v>46.18</v>
      </c>
      <c r="G372" s="182" t="s">
        <v>195</v>
      </c>
      <c r="H372" s="174">
        <v>1</v>
      </c>
      <c r="I372" s="173">
        <v>190.26</v>
      </c>
      <c r="J372" s="174">
        <v>2.98</v>
      </c>
      <c r="K372" s="173">
        <v>566.97</v>
      </c>
      <c r="Q372" s="160">
        <f>[7]Source!X376</f>
        <v>0</v>
      </c>
      <c r="R372" s="160">
        <f>[7]Source!X377</f>
        <v>0</v>
      </c>
      <c r="S372" s="160">
        <f>[7]Source!Y376</f>
        <v>0</v>
      </c>
      <c r="T372" s="160">
        <f>[7]Source!Y377</f>
        <v>0</v>
      </c>
      <c r="U372" s="160">
        <f>ROUND((175/100)*ROUND([7]Source!R376, 2), 2)</f>
        <v>0</v>
      </c>
      <c r="V372" s="160">
        <f>ROUND((157/100)*ROUND([7]Source!R377, 2), 2)</f>
        <v>0</v>
      </c>
    </row>
    <row r="373" spans="1:22" ht="14.25" x14ac:dyDescent="0.2">
      <c r="A373" s="179"/>
      <c r="B373" s="178"/>
      <c r="C373" s="178" t="s">
        <v>194</v>
      </c>
      <c r="D373" s="177" t="s">
        <v>187</v>
      </c>
      <c r="E373" s="174">
        <v>110</v>
      </c>
      <c r="F373" s="176"/>
      <c r="G373" s="175"/>
      <c r="H373" s="174"/>
      <c r="I373" s="173">
        <v>37.46</v>
      </c>
      <c r="J373" s="174">
        <v>88</v>
      </c>
      <c r="K373" s="173">
        <v>699.66</v>
      </c>
    </row>
    <row r="374" spans="1:22" ht="14.25" x14ac:dyDescent="0.2">
      <c r="A374" s="179"/>
      <c r="B374" s="178"/>
      <c r="C374" s="178" t="s">
        <v>193</v>
      </c>
      <c r="D374" s="177" t="s">
        <v>187</v>
      </c>
      <c r="E374" s="174">
        <v>85</v>
      </c>
      <c r="F374" s="176"/>
      <c r="G374" s="175"/>
      <c r="H374" s="174"/>
      <c r="I374" s="173">
        <v>28.94</v>
      </c>
      <c r="J374" s="174">
        <v>41</v>
      </c>
      <c r="K374" s="173">
        <v>325.98</v>
      </c>
    </row>
    <row r="375" spans="1:22" ht="14.25" x14ac:dyDescent="0.2">
      <c r="A375" s="172"/>
      <c r="B375" s="171"/>
      <c r="C375" s="171" t="s">
        <v>188</v>
      </c>
      <c r="D375" s="170" t="s">
        <v>187</v>
      </c>
      <c r="E375" s="167">
        <v>175</v>
      </c>
      <c r="F375" s="169"/>
      <c r="G375" s="168"/>
      <c r="H375" s="167"/>
      <c r="I375" s="166">
        <v>7.0000000000000007E-2</v>
      </c>
      <c r="J375" s="167">
        <v>157</v>
      </c>
      <c r="K375" s="166">
        <v>1.46</v>
      </c>
    </row>
    <row r="376" spans="1:22" ht="15" x14ac:dyDescent="0.25">
      <c r="A376" s="164"/>
      <c r="B376" s="164"/>
      <c r="C376" s="165" t="s">
        <v>183</v>
      </c>
      <c r="D376" s="164"/>
      <c r="E376" s="164"/>
      <c r="F376" s="164"/>
      <c r="G376" s="164"/>
      <c r="H376" s="414">
        <v>515.88</v>
      </c>
      <c r="I376" s="414"/>
      <c r="J376" s="414">
        <v>3291.03</v>
      </c>
      <c r="K376" s="414"/>
      <c r="O376" s="163">
        <f>I367+I368+I370+I373+I374+I375+SUM(I371:I372)</f>
        <v>515.88</v>
      </c>
      <c r="P376" s="163">
        <f>K367+K368+K370+K373+K374+K375+SUM(K371:K372)</f>
        <v>3291.03</v>
      </c>
    </row>
    <row r="378" spans="1:22" ht="28.5" x14ac:dyDescent="0.2">
      <c r="A378" s="179" t="s">
        <v>2040</v>
      </c>
      <c r="B378" s="178" t="s">
        <v>2543</v>
      </c>
      <c r="C378" s="178" t="s">
        <v>654</v>
      </c>
      <c r="D378" s="177" t="s">
        <v>2544</v>
      </c>
      <c r="E378" s="174">
        <v>183</v>
      </c>
      <c r="F378" s="176"/>
      <c r="G378" s="175"/>
      <c r="H378" s="174"/>
      <c r="I378" s="173"/>
      <c r="J378" s="174"/>
      <c r="K378" s="173"/>
      <c r="Q378" s="160">
        <f>[7]Source!X378</f>
        <v>5576.01</v>
      </c>
      <c r="R378" s="160">
        <f>[7]Source!X379</f>
        <v>104159.87</v>
      </c>
      <c r="S378" s="160">
        <f>[7]Source!Y378</f>
        <v>4308.74</v>
      </c>
      <c r="T378" s="160">
        <f>[7]Source!Y379</f>
        <v>48529.03</v>
      </c>
      <c r="U378" s="160">
        <f>ROUND((175/100)*ROUND([7]Source!R378, 2), 2)</f>
        <v>0</v>
      </c>
      <c r="V378" s="160">
        <f>ROUND((157/100)*ROUND([7]Source!R379, 2), 2)</f>
        <v>0</v>
      </c>
    </row>
    <row r="379" spans="1:22" ht="14.25" x14ac:dyDescent="0.2">
      <c r="A379" s="179"/>
      <c r="B379" s="178"/>
      <c r="C379" s="178" t="s">
        <v>197</v>
      </c>
      <c r="D379" s="177"/>
      <c r="E379" s="174"/>
      <c r="F379" s="176">
        <v>27.7</v>
      </c>
      <c r="G379" s="175" t="s">
        <v>195</v>
      </c>
      <c r="H379" s="174">
        <v>1</v>
      </c>
      <c r="I379" s="173">
        <v>5069.1000000000004</v>
      </c>
      <c r="J379" s="174">
        <v>23.35</v>
      </c>
      <c r="K379" s="173">
        <v>118363.49</v>
      </c>
    </row>
    <row r="380" spans="1:22" ht="14.25" x14ac:dyDescent="0.2">
      <c r="A380" s="179"/>
      <c r="B380" s="178"/>
      <c r="C380" s="178" t="s">
        <v>205</v>
      </c>
      <c r="D380" s="177"/>
      <c r="E380" s="174"/>
      <c r="F380" s="176">
        <v>0.02</v>
      </c>
      <c r="G380" s="175" t="s">
        <v>195</v>
      </c>
      <c r="H380" s="174">
        <v>1</v>
      </c>
      <c r="I380" s="173">
        <v>3.66</v>
      </c>
      <c r="J380" s="174">
        <v>7</v>
      </c>
      <c r="K380" s="173">
        <v>25.62</v>
      </c>
    </row>
    <row r="381" spans="1:22" ht="14.25" x14ac:dyDescent="0.2">
      <c r="A381" s="179"/>
      <c r="B381" s="178"/>
      <c r="C381" s="178" t="s">
        <v>194</v>
      </c>
      <c r="D381" s="177" t="s">
        <v>187</v>
      </c>
      <c r="E381" s="174">
        <v>110</v>
      </c>
      <c r="F381" s="176"/>
      <c r="G381" s="175"/>
      <c r="H381" s="174"/>
      <c r="I381" s="173">
        <v>5576.01</v>
      </c>
      <c r="J381" s="174">
        <v>88</v>
      </c>
      <c r="K381" s="173">
        <v>104159.87</v>
      </c>
    </row>
    <row r="382" spans="1:22" ht="14.25" x14ac:dyDescent="0.2">
      <c r="A382" s="172"/>
      <c r="B382" s="171"/>
      <c r="C382" s="171" t="s">
        <v>193</v>
      </c>
      <c r="D382" s="170" t="s">
        <v>187</v>
      </c>
      <c r="E382" s="167">
        <v>85</v>
      </c>
      <c r="F382" s="169"/>
      <c r="G382" s="168"/>
      <c r="H382" s="167"/>
      <c r="I382" s="166">
        <v>4308.74</v>
      </c>
      <c r="J382" s="167">
        <v>41</v>
      </c>
      <c r="K382" s="166">
        <v>48529.03</v>
      </c>
    </row>
    <row r="383" spans="1:22" ht="15" x14ac:dyDescent="0.25">
      <c r="A383" s="164"/>
      <c r="B383" s="164"/>
      <c r="C383" s="165" t="s">
        <v>183</v>
      </c>
      <c r="D383" s="164"/>
      <c r="E383" s="164"/>
      <c r="F383" s="164"/>
      <c r="G383" s="164"/>
      <c r="H383" s="414">
        <v>14957.51</v>
      </c>
      <c r="I383" s="414"/>
      <c r="J383" s="414">
        <v>271078.01</v>
      </c>
      <c r="K383" s="414"/>
      <c r="O383" s="163">
        <f>I379+I380+I381+I382</f>
        <v>14957.51</v>
      </c>
      <c r="P383" s="163">
        <f>K379+K380+K381+K382</f>
        <v>271078.01</v>
      </c>
    </row>
    <row r="386" spans="1:22" ht="15" x14ac:dyDescent="0.25">
      <c r="A386" s="417" t="s">
        <v>2545</v>
      </c>
      <c r="B386" s="417"/>
      <c r="C386" s="417"/>
      <c r="D386" s="417"/>
      <c r="E386" s="417"/>
      <c r="F386" s="417"/>
      <c r="G386" s="417"/>
      <c r="H386" s="415">
        <v>16173.47</v>
      </c>
      <c r="I386" s="416"/>
      <c r="J386" s="415">
        <v>286767.55</v>
      </c>
      <c r="K386" s="416"/>
    </row>
    <row r="387" spans="1:22" hidden="1" x14ac:dyDescent="0.2">
      <c r="A387" s="160" t="s">
        <v>182</v>
      </c>
      <c r="I387" s="160">
        <v>0</v>
      </c>
      <c r="J387" s="160">
        <v>0</v>
      </c>
    </row>
    <row r="388" spans="1:22" hidden="1" x14ac:dyDescent="0.2">
      <c r="A388" s="160" t="s">
        <v>181</v>
      </c>
      <c r="I388" s="160">
        <v>0</v>
      </c>
      <c r="J388" s="160">
        <v>0</v>
      </c>
    </row>
    <row r="390" spans="1:22" ht="15" x14ac:dyDescent="0.25">
      <c r="A390" s="417" t="s">
        <v>2546</v>
      </c>
      <c r="B390" s="417"/>
      <c r="C390" s="417"/>
      <c r="D390" s="417"/>
      <c r="E390" s="417"/>
      <c r="F390" s="417"/>
      <c r="G390" s="417"/>
      <c r="H390" s="415">
        <v>2435977.7000000002</v>
      </c>
      <c r="I390" s="416"/>
      <c r="J390" s="415">
        <v>35692872.659999996</v>
      </c>
      <c r="K390" s="416"/>
    </row>
    <row r="391" spans="1:22" hidden="1" x14ac:dyDescent="0.2">
      <c r="A391" s="160" t="s">
        <v>182</v>
      </c>
      <c r="I391" s="160">
        <v>0</v>
      </c>
      <c r="J391" s="160">
        <v>0</v>
      </c>
    </row>
    <row r="392" spans="1:22" hidden="1" x14ac:dyDescent="0.2">
      <c r="A392" s="160" t="s">
        <v>181</v>
      </c>
      <c r="I392" s="160">
        <v>0</v>
      </c>
      <c r="J392" s="160">
        <v>0</v>
      </c>
    </row>
    <row r="394" spans="1:22" ht="16.5" x14ac:dyDescent="0.25">
      <c r="A394" s="413" t="s">
        <v>2547</v>
      </c>
      <c r="B394" s="413"/>
      <c r="C394" s="413"/>
      <c r="D394" s="413"/>
      <c r="E394" s="413"/>
      <c r="F394" s="413"/>
      <c r="G394" s="413"/>
      <c r="H394" s="413"/>
      <c r="I394" s="413"/>
      <c r="J394" s="413"/>
      <c r="K394" s="413"/>
    </row>
    <row r="395" spans="1:22" ht="42.75" x14ac:dyDescent="0.2">
      <c r="A395" s="179" t="s">
        <v>1753</v>
      </c>
      <c r="B395" s="178" t="s">
        <v>2548</v>
      </c>
      <c r="C395" s="178" t="s">
        <v>653</v>
      </c>
      <c r="D395" s="177" t="s">
        <v>2549</v>
      </c>
      <c r="E395" s="174">
        <v>3.7999999999999999E-2</v>
      </c>
      <c r="F395" s="176"/>
      <c r="G395" s="175"/>
      <c r="H395" s="174"/>
      <c r="I395" s="173"/>
      <c r="J395" s="174"/>
      <c r="K395" s="173"/>
      <c r="Q395" s="160">
        <f>[7]Source!X447</f>
        <v>22.95</v>
      </c>
      <c r="R395" s="160">
        <f>[7]Source!X448</f>
        <v>455.54</v>
      </c>
      <c r="S395" s="160">
        <f>[7]Source!Y447</f>
        <v>15.78</v>
      </c>
      <c r="T395" s="160">
        <f>[7]Source!Y448</f>
        <v>274.66000000000003</v>
      </c>
      <c r="U395" s="160">
        <f>ROUND((175/100)*ROUND([7]Source!R447, 2), 2)</f>
        <v>1.1399999999999999</v>
      </c>
      <c r="V395" s="160">
        <f>ROUND((157/100)*ROUND([7]Source!R448, 2), 2)</f>
        <v>23.83</v>
      </c>
    </row>
    <row r="396" spans="1:22" x14ac:dyDescent="0.2">
      <c r="C396" s="181" t="s">
        <v>2550</v>
      </c>
    </row>
    <row r="397" spans="1:22" ht="14.25" x14ac:dyDescent="0.2">
      <c r="A397" s="179"/>
      <c r="B397" s="178"/>
      <c r="C397" s="178" t="s">
        <v>197</v>
      </c>
      <c r="D397" s="177"/>
      <c r="E397" s="174"/>
      <c r="F397" s="176">
        <v>755.11</v>
      </c>
      <c r="G397" s="175" t="s">
        <v>195</v>
      </c>
      <c r="H397" s="174">
        <v>1</v>
      </c>
      <c r="I397" s="173">
        <v>28.69</v>
      </c>
      <c r="J397" s="174">
        <v>23.35</v>
      </c>
      <c r="K397" s="173">
        <v>669.91</v>
      </c>
    </row>
    <row r="398" spans="1:22" ht="14.25" x14ac:dyDescent="0.2">
      <c r="A398" s="179"/>
      <c r="B398" s="178"/>
      <c r="C398" s="178" t="s">
        <v>184</v>
      </c>
      <c r="D398" s="177"/>
      <c r="E398" s="174"/>
      <c r="F398" s="176">
        <v>277.76</v>
      </c>
      <c r="G398" s="175" t="s">
        <v>195</v>
      </c>
      <c r="H398" s="174">
        <v>1</v>
      </c>
      <c r="I398" s="173">
        <v>10.55</v>
      </c>
      <c r="J398" s="174">
        <v>6.46</v>
      </c>
      <c r="K398" s="173">
        <v>68.150000000000006</v>
      </c>
    </row>
    <row r="399" spans="1:22" ht="14.25" x14ac:dyDescent="0.2">
      <c r="A399" s="179"/>
      <c r="B399" s="178"/>
      <c r="C399" s="178" t="s">
        <v>189</v>
      </c>
      <c r="D399" s="177"/>
      <c r="E399" s="174"/>
      <c r="F399" s="176">
        <v>17.149999999999999</v>
      </c>
      <c r="G399" s="175" t="s">
        <v>195</v>
      </c>
      <c r="H399" s="174">
        <v>1</v>
      </c>
      <c r="I399" s="180">
        <v>0.65</v>
      </c>
      <c r="J399" s="174">
        <v>23.35</v>
      </c>
      <c r="K399" s="180">
        <v>15.18</v>
      </c>
    </row>
    <row r="400" spans="1:22" ht="14.25" x14ac:dyDescent="0.2">
      <c r="A400" s="179" t="s">
        <v>1754</v>
      </c>
      <c r="B400" s="178" t="s">
        <v>1950</v>
      </c>
      <c r="C400" s="178" t="s">
        <v>351</v>
      </c>
      <c r="D400" s="177" t="s">
        <v>1533</v>
      </c>
      <c r="E400" s="174">
        <v>-0.19</v>
      </c>
      <c r="F400" s="176">
        <v>0</v>
      </c>
      <c r="G400" s="182" t="s">
        <v>195</v>
      </c>
      <c r="H400" s="174">
        <v>1</v>
      </c>
      <c r="I400" s="173">
        <v>0</v>
      </c>
      <c r="J400" s="174">
        <v>1</v>
      </c>
      <c r="K400" s="173">
        <v>0</v>
      </c>
      <c r="Q400" s="160">
        <f>[7]Source!X449</f>
        <v>0</v>
      </c>
      <c r="R400" s="160">
        <f>[7]Source!X450</f>
        <v>0</v>
      </c>
      <c r="S400" s="160">
        <f>[7]Source!Y449</f>
        <v>0</v>
      </c>
      <c r="T400" s="160">
        <f>[7]Source!Y450</f>
        <v>0</v>
      </c>
      <c r="U400" s="160">
        <f>ROUND((175/100)*ROUND([7]Source!R449, 2), 2)</f>
        <v>0</v>
      </c>
      <c r="V400" s="160">
        <f>ROUND((157/100)*ROUND([7]Source!R450, 2), 2)</f>
        <v>0</v>
      </c>
    </row>
    <row r="401" spans="1:22" ht="14.25" x14ac:dyDescent="0.2">
      <c r="A401" s="179"/>
      <c r="B401" s="178"/>
      <c r="C401" s="178" t="s">
        <v>194</v>
      </c>
      <c r="D401" s="177" t="s">
        <v>187</v>
      </c>
      <c r="E401" s="174">
        <v>80</v>
      </c>
      <c r="F401" s="176"/>
      <c r="G401" s="175"/>
      <c r="H401" s="174"/>
      <c r="I401" s="173">
        <v>22.95</v>
      </c>
      <c r="J401" s="174">
        <v>68</v>
      </c>
      <c r="K401" s="173">
        <v>455.54</v>
      </c>
    </row>
    <row r="402" spans="1:22" ht="14.25" x14ac:dyDescent="0.2">
      <c r="A402" s="179"/>
      <c r="B402" s="178"/>
      <c r="C402" s="178" t="s">
        <v>193</v>
      </c>
      <c r="D402" s="177" t="s">
        <v>187</v>
      </c>
      <c r="E402" s="174">
        <v>55</v>
      </c>
      <c r="F402" s="176"/>
      <c r="G402" s="175"/>
      <c r="H402" s="174"/>
      <c r="I402" s="173">
        <v>15.78</v>
      </c>
      <c r="J402" s="174">
        <v>41</v>
      </c>
      <c r="K402" s="173">
        <v>274.66000000000003</v>
      </c>
    </row>
    <row r="403" spans="1:22" ht="14.25" x14ac:dyDescent="0.2">
      <c r="A403" s="172"/>
      <c r="B403" s="171"/>
      <c r="C403" s="171" t="s">
        <v>188</v>
      </c>
      <c r="D403" s="170" t="s">
        <v>187</v>
      </c>
      <c r="E403" s="167">
        <v>175</v>
      </c>
      <c r="F403" s="169"/>
      <c r="G403" s="168"/>
      <c r="H403" s="167"/>
      <c r="I403" s="166">
        <v>1.1399999999999999</v>
      </c>
      <c r="J403" s="167">
        <v>157</v>
      </c>
      <c r="K403" s="166">
        <v>23.83</v>
      </c>
    </row>
    <row r="404" spans="1:22" ht="15" x14ac:dyDescent="0.25">
      <c r="A404" s="164"/>
      <c r="B404" s="164"/>
      <c r="C404" s="165" t="s">
        <v>183</v>
      </c>
      <c r="D404" s="164"/>
      <c r="E404" s="164"/>
      <c r="F404" s="164"/>
      <c r="G404" s="164"/>
      <c r="H404" s="414">
        <v>79.11</v>
      </c>
      <c r="I404" s="414"/>
      <c r="J404" s="414">
        <v>1492.09</v>
      </c>
      <c r="K404" s="414"/>
      <c r="O404" s="163">
        <f>I397+I398+I401+I402+I403+SUM(I400:I400)</f>
        <v>79.11</v>
      </c>
      <c r="P404" s="163">
        <f>K397+K398+K401+K402+K403+SUM(K400:K400)</f>
        <v>1492.09</v>
      </c>
    </row>
    <row r="406" spans="1:22" ht="28.5" x14ac:dyDescent="0.2">
      <c r="A406" s="179" t="s">
        <v>1756</v>
      </c>
      <c r="B406" s="178" t="s">
        <v>2402</v>
      </c>
      <c r="C406" s="178" t="s">
        <v>652</v>
      </c>
      <c r="D406" s="177" t="s">
        <v>1540</v>
      </c>
      <c r="E406" s="174">
        <v>8.2000000000000003E-2</v>
      </c>
      <c r="F406" s="176"/>
      <c r="G406" s="175"/>
      <c r="H406" s="174"/>
      <c r="I406" s="173"/>
      <c r="J406" s="174"/>
      <c r="K406" s="173"/>
      <c r="Q406" s="160">
        <f>[7]Source!X451</f>
        <v>7.03</v>
      </c>
      <c r="R406" s="160">
        <f>[7]Source!X452</f>
        <v>139.57</v>
      </c>
      <c r="S406" s="160">
        <f>[7]Source!Y451</f>
        <v>4.83</v>
      </c>
      <c r="T406" s="160">
        <f>[7]Source!Y452</f>
        <v>84.15</v>
      </c>
      <c r="U406" s="160">
        <f>ROUND((175/100)*ROUND([7]Source!R451, 2), 2)</f>
        <v>0</v>
      </c>
      <c r="V406" s="160">
        <f>ROUND((157/100)*ROUND([7]Source!R452, 2), 2)</f>
        <v>0</v>
      </c>
    </row>
    <row r="407" spans="1:22" x14ac:dyDescent="0.2">
      <c r="C407" s="181" t="s">
        <v>2551</v>
      </c>
    </row>
    <row r="408" spans="1:22" ht="14.25" x14ac:dyDescent="0.2">
      <c r="A408" s="179"/>
      <c r="B408" s="178"/>
      <c r="C408" s="178" t="s">
        <v>197</v>
      </c>
      <c r="D408" s="177"/>
      <c r="E408" s="174"/>
      <c r="F408" s="176">
        <v>107.21</v>
      </c>
      <c r="G408" s="175" t="s">
        <v>195</v>
      </c>
      <c r="H408" s="174">
        <v>1</v>
      </c>
      <c r="I408" s="173">
        <v>8.7899999999999991</v>
      </c>
      <c r="J408" s="174">
        <v>23.35</v>
      </c>
      <c r="K408" s="173">
        <v>205.25</v>
      </c>
    </row>
    <row r="409" spans="1:22" ht="28.5" x14ac:dyDescent="0.2">
      <c r="A409" s="179" t="s">
        <v>1759</v>
      </c>
      <c r="B409" s="178" t="s">
        <v>1532</v>
      </c>
      <c r="C409" s="178" t="s">
        <v>351</v>
      </c>
      <c r="D409" s="177" t="s">
        <v>1533</v>
      </c>
      <c r="E409" s="174">
        <v>-4.2639999999999997E-2</v>
      </c>
      <c r="F409" s="176">
        <v>0</v>
      </c>
      <c r="G409" s="182" t="s">
        <v>195</v>
      </c>
      <c r="H409" s="174">
        <v>1</v>
      </c>
      <c r="I409" s="173">
        <v>0</v>
      </c>
      <c r="J409" s="174">
        <v>1</v>
      </c>
      <c r="K409" s="173">
        <v>0</v>
      </c>
      <c r="Q409" s="160">
        <f>[7]Source!X453</f>
        <v>0</v>
      </c>
      <c r="R409" s="160">
        <f>[7]Source!X454</f>
        <v>0</v>
      </c>
      <c r="S409" s="160">
        <f>[7]Source!Y453</f>
        <v>0</v>
      </c>
      <c r="T409" s="160">
        <f>[7]Source!Y454</f>
        <v>0</v>
      </c>
      <c r="U409" s="160">
        <f>ROUND((175/100)*ROUND([7]Source!R453, 2), 2)</f>
        <v>0</v>
      </c>
      <c r="V409" s="160">
        <f>ROUND((157/100)*ROUND([7]Source!R454, 2), 2)</f>
        <v>0</v>
      </c>
    </row>
    <row r="410" spans="1:22" ht="14.25" x14ac:dyDescent="0.2">
      <c r="A410" s="179"/>
      <c r="B410" s="178"/>
      <c r="C410" s="178" t="s">
        <v>194</v>
      </c>
      <c r="D410" s="177" t="s">
        <v>187</v>
      </c>
      <c r="E410" s="174">
        <v>80</v>
      </c>
      <c r="F410" s="176"/>
      <c r="G410" s="175"/>
      <c r="H410" s="174"/>
      <c r="I410" s="173">
        <v>7.03</v>
      </c>
      <c r="J410" s="174">
        <v>68</v>
      </c>
      <c r="K410" s="173">
        <v>139.57</v>
      </c>
    </row>
    <row r="411" spans="1:22" ht="14.25" x14ac:dyDescent="0.2">
      <c r="A411" s="179"/>
      <c r="B411" s="178"/>
      <c r="C411" s="178" t="s">
        <v>193</v>
      </c>
      <c r="D411" s="177" t="s">
        <v>187</v>
      </c>
      <c r="E411" s="174">
        <v>55</v>
      </c>
      <c r="F411" s="176"/>
      <c r="G411" s="175"/>
      <c r="H411" s="174"/>
      <c r="I411" s="173">
        <v>4.83</v>
      </c>
      <c r="J411" s="174">
        <v>41</v>
      </c>
      <c r="K411" s="173">
        <v>84.15</v>
      </c>
    </row>
    <row r="412" spans="1:22" ht="14.25" x14ac:dyDescent="0.2">
      <c r="A412" s="172"/>
      <c r="B412" s="171"/>
      <c r="C412" s="171" t="s">
        <v>192</v>
      </c>
      <c r="D412" s="170" t="s">
        <v>191</v>
      </c>
      <c r="E412" s="167">
        <v>10.49</v>
      </c>
      <c r="F412" s="169"/>
      <c r="G412" s="168" t="s">
        <v>195</v>
      </c>
      <c r="H412" s="167">
        <v>1</v>
      </c>
      <c r="I412" s="166">
        <v>0.86</v>
      </c>
      <c r="J412" s="167"/>
      <c r="K412" s="166"/>
    </row>
    <row r="413" spans="1:22" ht="15" x14ac:dyDescent="0.25">
      <c r="A413" s="164"/>
      <c r="B413" s="164"/>
      <c r="C413" s="165" t="s">
        <v>183</v>
      </c>
      <c r="D413" s="164"/>
      <c r="E413" s="164"/>
      <c r="F413" s="164"/>
      <c r="G413" s="164"/>
      <c r="H413" s="414">
        <v>20.65</v>
      </c>
      <c r="I413" s="414"/>
      <c r="J413" s="414">
        <v>428.97</v>
      </c>
      <c r="K413" s="414"/>
      <c r="O413" s="163">
        <f>I408+I410+I411+SUM(I409:I409)</f>
        <v>20.65</v>
      </c>
      <c r="P413" s="163">
        <f>K408+K410+K411+SUM(K409:K409)</f>
        <v>428.97</v>
      </c>
    </row>
    <row r="415" spans="1:22" ht="42.75" x14ac:dyDescent="0.2">
      <c r="A415" s="179" t="s">
        <v>1760</v>
      </c>
      <c r="B415" s="178" t="s">
        <v>2229</v>
      </c>
      <c r="C415" s="178" t="s">
        <v>531</v>
      </c>
      <c r="D415" s="177" t="s">
        <v>2230</v>
      </c>
      <c r="E415" s="174">
        <v>0.12</v>
      </c>
      <c r="F415" s="176"/>
      <c r="G415" s="175"/>
      <c r="H415" s="174"/>
      <c r="I415" s="173"/>
      <c r="J415" s="174"/>
      <c r="K415" s="173"/>
      <c r="Q415" s="160">
        <f>[7]Source!X455</f>
        <v>162.04</v>
      </c>
      <c r="R415" s="160">
        <f>[7]Source!X456</f>
        <v>3216.09</v>
      </c>
      <c r="S415" s="160">
        <f>[7]Source!Y455</f>
        <v>111.4</v>
      </c>
      <c r="T415" s="160">
        <f>[7]Source!Y456</f>
        <v>1939.11</v>
      </c>
      <c r="U415" s="160">
        <f>ROUND((175/100)*ROUND([7]Source!R455, 2), 2)</f>
        <v>154.4</v>
      </c>
      <c r="V415" s="160">
        <f>ROUND((157/100)*ROUND([7]Source!R456, 2), 2)</f>
        <v>3234.47</v>
      </c>
    </row>
    <row r="416" spans="1:22" ht="14.25" x14ac:dyDescent="0.2">
      <c r="A416" s="179"/>
      <c r="B416" s="178"/>
      <c r="C416" s="178" t="s">
        <v>197</v>
      </c>
      <c r="D416" s="177"/>
      <c r="E416" s="174"/>
      <c r="F416" s="176">
        <v>1687.95</v>
      </c>
      <c r="G416" s="175" t="s">
        <v>195</v>
      </c>
      <c r="H416" s="174">
        <v>1</v>
      </c>
      <c r="I416" s="173">
        <v>202.55</v>
      </c>
      <c r="J416" s="174">
        <v>23.35</v>
      </c>
      <c r="K416" s="173">
        <v>4729.54</v>
      </c>
    </row>
    <row r="417" spans="1:22" ht="14.25" x14ac:dyDescent="0.2">
      <c r="A417" s="179"/>
      <c r="B417" s="178"/>
      <c r="C417" s="178" t="s">
        <v>184</v>
      </c>
      <c r="D417" s="177"/>
      <c r="E417" s="174"/>
      <c r="F417" s="176">
        <v>2713.55</v>
      </c>
      <c r="G417" s="175" t="s">
        <v>195</v>
      </c>
      <c r="H417" s="174">
        <v>1</v>
      </c>
      <c r="I417" s="173">
        <v>325.63</v>
      </c>
      <c r="J417" s="174">
        <v>10.76</v>
      </c>
      <c r="K417" s="173">
        <v>3503.78</v>
      </c>
    </row>
    <row r="418" spans="1:22" ht="14.25" x14ac:dyDescent="0.2">
      <c r="A418" s="179"/>
      <c r="B418" s="178"/>
      <c r="C418" s="178" t="s">
        <v>189</v>
      </c>
      <c r="D418" s="177"/>
      <c r="E418" s="174"/>
      <c r="F418" s="176">
        <v>735.23</v>
      </c>
      <c r="G418" s="175" t="s">
        <v>195</v>
      </c>
      <c r="H418" s="174">
        <v>1</v>
      </c>
      <c r="I418" s="180">
        <v>88.23</v>
      </c>
      <c r="J418" s="174">
        <v>23.35</v>
      </c>
      <c r="K418" s="180">
        <v>2060.17</v>
      </c>
    </row>
    <row r="419" spans="1:22" ht="28.5" x14ac:dyDescent="0.2">
      <c r="A419" s="179" t="s">
        <v>1762</v>
      </c>
      <c r="B419" s="178" t="s">
        <v>1532</v>
      </c>
      <c r="C419" s="178" t="s">
        <v>351</v>
      </c>
      <c r="D419" s="177" t="s">
        <v>1533</v>
      </c>
      <c r="E419" s="174">
        <v>-4.2639999999999997E-2</v>
      </c>
      <c r="F419" s="176">
        <v>0</v>
      </c>
      <c r="G419" s="182" t="s">
        <v>195</v>
      </c>
      <c r="H419" s="174">
        <v>1</v>
      </c>
      <c r="I419" s="173">
        <v>0</v>
      </c>
      <c r="J419" s="174">
        <v>1</v>
      </c>
      <c r="K419" s="173">
        <v>0</v>
      </c>
      <c r="Q419" s="160">
        <f>[7]Source!X457</f>
        <v>0</v>
      </c>
      <c r="R419" s="160">
        <f>[7]Source!X458</f>
        <v>0</v>
      </c>
      <c r="S419" s="160">
        <f>[7]Source!Y457</f>
        <v>0</v>
      </c>
      <c r="T419" s="160">
        <f>[7]Source!Y458</f>
        <v>0</v>
      </c>
      <c r="U419" s="160">
        <f>ROUND((175/100)*ROUND([7]Source!R457, 2), 2)</f>
        <v>0</v>
      </c>
      <c r="V419" s="160">
        <f>ROUND((157/100)*ROUND([7]Source!R458, 2), 2)</f>
        <v>0</v>
      </c>
    </row>
    <row r="420" spans="1:22" ht="14.25" x14ac:dyDescent="0.2">
      <c r="A420" s="179"/>
      <c r="B420" s="178"/>
      <c r="C420" s="178" t="s">
        <v>194</v>
      </c>
      <c r="D420" s="177" t="s">
        <v>187</v>
      </c>
      <c r="E420" s="174">
        <v>80</v>
      </c>
      <c r="F420" s="176"/>
      <c r="G420" s="175"/>
      <c r="H420" s="174"/>
      <c r="I420" s="173">
        <v>162.04</v>
      </c>
      <c r="J420" s="174">
        <v>68</v>
      </c>
      <c r="K420" s="173">
        <v>3216.09</v>
      </c>
    </row>
    <row r="421" spans="1:22" ht="14.25" x14ac:dyDescent="0.2">
      <c r="A421" s="179"/>
      <c r="B421" s="178"/>
      <c r="C421" s="178" t="s">
        <v>193</v>
      </c>
      <c r="D421" s="177" t="s">
        <v>187</v>
      </c>
      <c r="E421" s="174">
        <v>55</v>
      </c>
      <c r="F421" s="176"/>
      <c r="G421" s="175"/>
      <c r="H421" s="174"/>
      <c r="I421" s="173">
        <v>111.4</v>
      </c>
      <c r="J421" s="174">
        <v>41</v>
      </c>
      <c r="K421" s="173">
        <v>1939.11</v>
      </c>
    </row>
    <row r="422" spans="1:22" ht="14.25" x14ac:dyDescent="0.2">
      <c r="A422" s="172"/>
      <c r="B422" s="171"/>
      <c r="C422" s="171" t="s">
        <v>188</v>
      </c>
      <c r="D422" s="170" t="s">
        <v>187</v>
      </c>
      <c r="E422" s="167">
        <v>175</v>
      </c>
      <c r="F422" s="169"/>
      <c r="G422" s="168"/>
      <c r="H422" s="167"/>
      <c r="I422" s="166">
        <v>154.4</v>
      </c>
      <c r="J422" s="167">
        <v>157</v>
      </c>
      <c r="K422" s="166">
        <v>3234.47</v>
      </c>
    </row>
    <row r="423" spans="1:22" ht="15" x14ac:dyDescent="0.25">
      <c r="A423" s="164"/>
      <c r="B423" s="164"/>
      <c r="C423" s="165" t="s">
        <v>183</v>
      </c>
      <c r="D423" s="164"/>
      <c r="E423" s="164"/>
      <c r="F423" s="164"/>
      <c r="G423" s="164"/>
      <c r="H423" s="414">
        <v>956.02</v>
      </c>
      <c r="I423" s="414"/>
      <c r="J423" s="414">
        <v>16622.990000000002</v>
      </c>
      <c r="K423" s="414"/>
      <c r="O423" s="163">
        <f>I416+I417+I420+I421+I422+SUM(I419:I419)</f>
        <v>956.02</v>
      </c>
      <c r="P423" s="163">
        <f>K416+K417+K420+K421+K422+SUM(K419:K419)</f>
        <v>16622.990000000002</v>
      </c>
    </row>
    <row r="425" spans="1:22" ht="28.5" x14ac:dyDescent="0.2">
      <c r="A425" s="179" t="s">
        <v>1768</v>
      </c>
      <c r="B425" s="178" t="s">
        <v>2402</v>
      </c>
      <c r="C425" s="178" t="s">
        <v>651</v>
      </c>
      <c r="D425" s="177" t="s">
        <v>1540</v>
      </c>
      <c r="E425" s="174">
        <v>0.26600000000000001</v>
      </c>
      <c r="F425" s="176"/>
      <c r="G425" s="175"/>
      <c r="H425" s="174"/>
      <c r="I425" s="173"/>
      <c r="J425" s="174"/>
      <c r="K425" s="173"/>
      <c r="Q425" s="160">
        <f>[7]Source!X459</f>
        <v>22.82</v>
      </c>
      <c r="R425" s="160">
        <f>[7]Source!X460</f>
        <v>452.84</v>
      </c>
      <c r="S425" s="160">
        <f>[7]Source!Y459</f>
        <v>15.69</v>
      </c>
      <c r="T425" s="160">
        <f>[7]Source!Y460</f>
        <v>273.04000000000002</v>
      </c>
      <c r="U425" s="160">
        <f>ROUND((175/100)*ROUND([7]Source!R459, 2), 2)</f>
        <v>0</v>
      </c>
      <c r="V425" s="160">
        <f>ROUND((157/100)*ROUND([7]Source!R460, 2), 2)</f>
        <v>0</v>
      </c>
    </row>
    <row r="426" spans="1:22" x14ac:dyDescent="0.2">
      <c r="C426" s="181" t="s">
        <v>2552</v>
      </c>
    </row>
    <row r="427" spans="1:22" ht="14.25" x14ac:dyDescent="0.2">
      <c r="A427" s="179"/>
      <c r="B427" s="178"/>
      <c r="C427" s="178" t="s">
        <v>197</v>
      </c>
      <c r="D427" s="177"/>
      <c r="E427" s="174"/>
      <c r="F427" s="176">
        <v>107.21</v>
      </c>
      <c r="G427" s="175" t="s">
        <v>195</v>
      </c>
      <c r="H427" s="174">
        <v>1</v>
      </c>
      <c r="I427" s="173">
        <v>28.52</v>
      </c>
      <c r="J427" s="174">
        <v>23.35</v>
      </c>
      <c r="K427" s="173">
        <v>665.94</v>
      </c>
    </row>
    <row r="428" spans="1:22" ht="28.5" x14ac:dyDescent="0.2">
      <c r="A428" s="179" t="s">
        <v>1770</v>
      </c>
      <c r="B428" s="178" t="s">
        <v>1532</v>
      </c>
      <c r="C428" s="178" t="s">
        <v>351</v>
      </c>
      <c r="D428" s="177" t="s">
        <v>1533</v>
      </c>
      <c r="E428" s="174">
        <v>-0.13832</v>
      </c>
      <c r="F428" s="176">
        <v>0</v>
      </c>
      <c r="G428" s="182" t="s">
        <v>195</v>
      </c>
      <c r="H428" s="174">
        <v>1</v>
      </c>
      <c r="I428" s="173">
        <v>0</v>
      </c>
      <c r="J428" s="174">
        <v>1</v>
      </c>
      <c r="K428" s="173">
        <v>0</v>
      </c>
      <c r="Q428" s="160">
        <f>[7]Source!X461</f>
        <v>0</v>
      </c>
      <c r="R428" s="160">
        <f>[7]Source!X462</f>
        <v>0</v>
      </c>
      <c r="S428" s="160">
        <f>[7]Source!Y461</f>
        <v>0</v>
      </c>
      <c r="T428" s="160">
        <f>[7]Source!Y462</f>
        <v>0</v>
      </c>
      <c r="U428" s="160">
        <f>ROUND((175/100)*ROUND([7]Source!R461, 2), 2)</f>
        <v>0</v>
      </c>
      <c r="V428" s="160">
        <f>ROUND((157/100)*ROUND([7]Source!R462, 2), 2)</f>
        <v>0</v>
      </c>
    </row>
    <row r="429" spans="1:22" ht="14.25" x14ac:dyDescent="0.2">
      <c r="A429" s="179"/>
      <c r="B429" s="178"/>
      <c r="C429" s="178" t="s">
        <v>194</v>
      </c>
      <c r="D429" s="177" t="s">
        <v>187</v>
      </c>
      <c r="E429" s="174">
        <v>80</v>
      </c>
      <c r="F429" s="176"/>
      <c r="G429" s="175"/>
      <c r="H429" s="174"/>
      <c r="I429" s="173">
        <v>22.82</v>
      </c>
      <c r="J429" s="174">
        <v>68</v>
      </c>
      <c r="K429" s="173">
        <v>452.84</v>
      </c>
    </row>
    <row r="430" spans="1:22" ht="14.25" x14ac:dyDescent="0.2">
      <c r="A430" s="179"/>
      <c r="B430" s="178"/>
      <c r="C430" s="178" t="s">
        <v>193</v>
      </c>
      <c r="D430" s="177" t="s">
        <v>187</v>
      </c>
      <c r="E430" s="174">
        <v>55</v>
      </c>
      <c r="F430" s="176"/>
      <c r="G430" s="175"/>
      <c r="H430" s="174"/>
      <c r="I430" s="173">
        <v>15.69</v>
      </c>
      <c r="J430" s="174">
        <v>41</v>
      </c>
      <c r="K430" s="173">
        <v>273.04000000000002</v>
      </c>
    </row>
    <row r="431" spans="1:22" ht="14.25" x14ac:dyDescent="0.2">
      <c r="A431" s="172"/>
      <c r="B431" s="171"/>
      <c r="C431" s="171" t="s">
        <v>192</v>
      </c>
      <c r="D431" s="170" t="s">
        <v>191</v>
      </c>
      <c r="E431" s="167">
        <v>10.49</v>
      </c>
      <c r="F431" s="169"/>
      <c r="G431" s="168" t="s">
        <v>195</v>
      </c>
      <c r="H431" s="167">
        <v>1</v>
      </c>
      <c r="I431" s="166">
        <v>2.79</v>
      </c>
      <c r="J431" s="167"/>
      <c r="K431" s="166"/>
    </row>
    <row r="432" spans="1:22" ht="15" x14ac:dyDescent="0.25">
      <c r="A432" s="164"/>
      <c r="B432" s="164"/>
      <c r="C432" s="165" t="s">
        <v>183</v>
      </c>
      <c r="D432" s="164"/>
      <c r="E432" s="164"/>
      <c r="F432" s="164"/>
      <c r="G432" s="164"/>
      <c r="H432" s="414">
        <v>67.03</v>
      </c>
      <c r="I432" s="414"/>
      <c r="J432" s="414">
        <v>1391.82</v>
      </c>
      <c r="K432" s="414"/>
      <c r="O432" s="163">
        <f>I427+I429+I430+SUM(I428:I428)</f>
        <v>67.03</v>
      </c>
      <c r="P432" s="163">
        <f>K427+K429+K430+SUM(K428:K428)</f>
        <v>1391.82</v>
      </c>
    </row>
    <row r="434" spans="1:22" ht="28.5" x14ac:dyDescent="0.2">
      <c r="A434" s="179" t="s">
        <v>1771</v>
      </c>
      <c r="B434" s="178" t="s">
        <v>2553</v>
      </c>
      <c r="C434" s="178" t="s">
        <v>650</v>
      </c>
      <c r="D434" s="177" t="s">
        <v>2199</v>
      </c>
      <c r="E434" s="174">
        <v>1.56</v>
      </c>
      <c r="F434" s="176"/>
      <c r="G434" s="175"/>
      <c r="H434" s="174"/>
      <c r="I434" s="173"/>
      <c r="J434" s="174"/>
      <c r="K434" s="173"/>
      <c r="Q434" s="160">
        <f>[7]Source!X463</f>
        <v>137.5</v>
      </c>
      <c r="R434" s="160">
        <f>[7]Source!X464</f>
        <v>2729.11</v>
      </c>
      <c r="S434" s="160">
        <f>[7]Source!Y463</f>
        <v>94.53</v>
      </c>
      <c r="T434" s="160">
        <f>[7]Source!Y464</f>
        <v>1645.49</v>
      </c>
      <c r="U434" s="160">
        <f>ROUND((175/100)*ROUND([7]Source!R463, 2), 2)</f>
        <v>136.44999999999999</v>
      </c>
      <c r="V434" s="160">
        <f>ROUND((157/100)*ROUND([7]Source!R464, 2), 2)</f>
        <v>2858.34</v>
      </c>
    </row>
    <row r="435" spans="1:22" x14ac:dyDescent="0.2">
      <c r="C435" s="181" t="s">
        <v>2554</v>
      </c>
    </row>
    <row r="436" spans="1:22" ht="14.25" x14ac:dyDescent="0.2">
      <c r="A436" s="179"/>
      <c r="B436" s="178"/>
      <c r="C436" s="178" t="s">
        <v>197</v>
      </c>
      <c r="D436" s="177"/>
      <c r="E436" s="174"/>
      <c r="F436" s="176">
        <v>110.18</v>
      </c>
      <c r="G436" s="175" t="s">
        <v>195</v>
      </c>
      <c r="H436" s="174">
        <v>1</v>
      </c>
      <c r="I436" s="173">
        <v>171.88</v>
      </c>
      <c r="J436" s="174">
        <v>23.35</v>
      </c>
      <c r="K436" s="173">
        <v>4013.4</v>
      </c>
    </row>
    <row r="437" spans="1:22" ht="14.25" x14ac:dyDescent="0.2">
      <c r="A437" s="179"/>
      <c r="B437" s="178"/>
      <c r="C437" s="178" t="s">
        <v>184</v>
      </c>
      <c r="D437" s="177"/>
      <c r="E437" s="174"/>
      <c r="F437" s="176">
        <v>297.11</v>
      </c>
      <c r="G437" s="175" t="s">
        <v>195</v>
      </c>
      <c r="H437" s="174">
        <v>1</v>
      </c>
      <c r="I437" s="173">
        <v>463.49</v>
      </c>
      <c r="J437" s="174">
        <v>9.08</v>
      </c>
      <c r="K437" s="173">
        <v>4208.49</v>
      </c>
    </row>
    <row r="438" spans="1:22" ht="14.25" x14ac:dyDescent="0.2">
      <c r="A438" s="179"/>
      <c r="B438" s="178"/>
      <c r="C438" s="178" t="s">
        <v>189</v>
      </c>
      <c r="D438" s="177"/>
      <c r="E438" s="174"/>
      <c r="F438" s="176">
        <v>49.98</v>
      </c>
      <c r="G438" s="175" t="s">
        <v>195</v>
      </c>
      <c r="H438" s="174">
        <v>1</v>
      </c>
      <c r="I438" s="180">
        <v>77.97</v>
      </c>
      <c r="J438" s="174">
        <v>23.35</v>
      </c>
      <c r="K438" s="180">
        <v>1820.6</v>
      </c>
    </row>
    <row r="439" spans="1:22" ht="28.5" x14ac:dyDescent="0.2">
      <c r="A439" s="179" t="s">
        <v>1774</v>
      </c>
      <c r="B439" s="178" t="s">
        <v>1532</v>
      </c>
      <c r="C439" s="178" t="s">
        <v>351</v>
      </c>
      <c r="D439" s="177" t="s">
        <v>1533</v>
      </c>
      <c r="E439" s="174">
        <v>-1.13832</v>
      </c>
      <c r="F439" s="176">
        <v>0</v>
      </c>
      <c r="G439" s="182" t="s">
        <v>195</v>
      </c>
      <c r="H439" s="174">
        <v>1</v>
      </c>
      <c r="I439" s="173">
        <v>0</v>
      </c>
      <c r="J439" s="174">
        <v>1</v>
      </c>
      <c r="K439" s="173">
        <v>0</v>
      </c>
      <c r="Q439" s="160">
        <f>[7]Source!X465</f>
        <v>0</v>
      </c>
      <c r="R439" s="160">
        <f>[7]Source!X466</f>
        <v>0</v>
      </c>
      <c r="S439" s="160">
        <f>[7]Source!Y465</f>
        <v>0</v>
      </c>
      <c r="T439" s="160">
        <f>[7]Source!Y466</f>
        <v>0</v>
      </c>
      <c r="U439" s="160">
        <f>ROUND((175/100)*ROUND([7]Source!R465, 2), 2)</f>
        <v>0</v>
      </c>
      <c r="V439" s="160">
        <f>ROUND((157/100)*ROUND([7]Source!R466, 2), 2)</f>
        <v>0</v>
      </c>
    </row>
    <row r="440" spans="1:22" ht="14.25" x14ac:dyDescent="0.2">
      <c r="A440" s="179"/>
      <c r="B440" s="178"/>
      <c r="C440" s="178" t="s">
        <v>194</v>
      </c>
      <c r="D440" s="177" t="s">
        <v>187</v>
      </c>
      <c r="E440" s="174">
        <v>80</v>
      </c>
      <c r="F440" s="176"/>
      <c r="G440" s="175"/>
      <c r="H440" s="174"/>
      <c r="I440" s="173">
        <v>137.5</v>
      </c>
      <c r="J440" s="174">
        <v>68</v>
      </c>
      <c r="K440" s="173">
        <v>2729.11</v>
      </c>
    </row>
    <row r="441" spans="1:22" ht="14.25" x14ac:dyDescent="0.2">
      <c r="A441" s="179"/>
      <c r="B441" s="178"/>
      <c r="C441" s="178" t="s">
        <v>193</v>
      </c>
      <c r="D441" s="177" t="s">
        <v>187</v>
      </c>
      <c r="E441" s="174">
        <v>55</v>
      </c>
      <c r="F441" s="176"/>
      <c r="G441" s="175"/>
      <c r="H441" s="174"/>
      <c r="I441" s="173">
        <v>94.53</v>
      </c>
      <c r="J441" s="174">
        <v>41</v>
      </c>
      <c r="K441" s="173">
        <v>1645.49</v>
      </c>
    </row>
    <row r="442" spans="1:22" ht="14.25" x14ac:dyDescent="0.2">
      <c r="A442" s="179"/>
      <c r="B442" s="178"/>
      <c r="C442" s="178" t="s">
        <v>188</v>
      </c>
      <c r="D442" s="177" t="s">
        <v>187</v>
      </c>
      <c r="E442" s="174">
        <v>175</v>
      </c>
      <c r="F442" s="176"/>
      <c r="G442" s="175"/>
      <c r="H442" s="174"/>
      <c r="I442" s="173">
        <v>136.44999999999999</v>
      </c>
      <c r="J442" s="174">
        <v>157</v>
      </c>
      <c r="K442" s="173">
        <v>2858.34</v>
      </c>
    </row>
    <row r="443" spans="1:22" ht="14.25" x14ac:dyDescent="0.2">
      <c r="A443" s="172"/>
      <c r="B443" s="171"/>
      <c r="C443" s="171" t="s">
        <v>192</v>
      </c>
      <c r="D443" s="170" t="s">
        <v>191</v>
      </c>
      <c r="E443" s="167">
        <v>9.49</v>
      </c>
      <c r="F443" s="169"/>
      <c r="G443" s="168" t="s">
        <v>195</v>
      </c>
      <c r="H443" s="167">
        <v>1</v>
      </c>
      <c r="I443" s="166">
        <v>14.8</v>
      </c>
      <c r="J443" s="167"/>
      <c r="K443" s="166"/>
    </row>
    <row r="444" spans="1:22" ht="15" x14ac:dyDescent="0.25">
      <c r="A444" s="164"/>
      <c r="B444" s="164"/>
      <c r="C444" s="165" t="s">
        <v>183</v>
      </c>
      <c r="D444" s="164"/>
      <c r="E444" s="164"/>
      <c r="F444" s="164"/>
      <c r="G444" s="164"/>
      <c r="H444" s="414">
        <v>1003.85</v>
      </c>
      <c r="I444" s="414"/>
      <c r="J444" s="414">
        <v>15454.83</v>
      </c>
      <c r="K444" s="414"/>
      <c r="O444" s="163">
        <f>I436+I437+I440+I441+I442+SUM(I439:I439)</f>
        <v>1003.85</v>
      </c>
      <c r="P444" s="163">
        <f>K436+K437+K440+K441+K442+SUM(K439:K439)</f>
        <v>15454.83</v>
      </c>
    </row>
    <row r="446" spans="1:22" ht="114" x14ac:dyDescent="0.2">
      <c r="A446" s="179" t="s">
        <v>1775</v>
      </c>
      <c r="B446" s="178" t="s">
        <v>2555</v>
      </c>
      <c r="C446" s="178" t="s">
        <v>649</v>
      </c>
      <c r="D446" s="177" t="s">
        <v>2556</v>
      </c>
      <c r="E446" s="174">
        <v>4600</v>
      </c>
      <c r="F446" s="176"/>
      <c r="G446" s="175"/>
      <c r="H446" s="174"/>
      <c r="I446" s="173"/>
      <c r="J446" s="174"/>
      <c r="K446" s="173"/>
      <c r="Q446" s="160">
        <f>[7]Source!X467</f>
        <v>63199.4</v>
      </c>
      <c r="R446" s="160">
        <f>[7]Source!X468</f>
        <v>1180564.79</v>
      </c>
      <c r="S446" s="160">
        <f>[7]Source!Y467</f>
        <v>48835.9</v>
      </c>
      <c r="T446" s="160">
        <f>[7]Source!Y468</f>
        <v>550035.87</v>
      </c>
      <c r="U446" s="160">
        <f>ROUND((175/100)*ROUND([7]Source!R467, 2), 2)</f>
        <v>161</v>
      </c>
      <c r="V446" s="160">
        <f>ROUND((157/100)*ROUND([7]Source!R468, 2), 2)</f>
        <v>3372.67</v>
      </c>
    </row>
    <row r="447" spans="1:22" ht="14.25" x14ac:dyDescent="0.2">
      <c r="A447" s="179"/>
      <c r="B447" s="178"/>
      <c r="C447" s="178" t="s">
        <v>197</v>
      </c>
      <c r="D447" s="177"/>
      <c r="E447" s="174"/>
      <c r="F447" s="176">
        <v>12.49</v>
      </c>
      <c r="G447" s="175" t="s">
        <v>195</v>
      </c>
      <c r="H447" s="174">
        <v>1</v>
      </c>
      <c r="I447" s="173">
        <v>57454</v>
      </c>
      <c r="J447" s="174">
        <v>23.35</v>
      </c>
      <c r="K447" s="173">
        <v>1341550.8999999999</v>
      </c>
    </row>
    <row r="448" spans="1:22" ht="14.25" x14ac:dyDescent="0.2">
      <c r="A448" s="179"/>
      <c r="B448" s="178"/>
      <c r="C448" s="178" t="s">
        <v>184</v>
      </c>
      <c r="D448" s="177"/>
      <c r="E448" s="174"/>
      <c r="F448" s="176">
        <v>0.1</v>
      </c>
      <c r="G448" s="175" t="s">
        <v>195</v>
      </c>
      <c r="H448" s="174">
        <v>1</v>
      </c>
      <c r="I448" s="173">
        <v>460</v>
      </c>
      <c r="J448" s="174">
        <v>9</v>
      </c>
      <c r="K448" s="173">
        <v>4140</v>
      </c>
    </row>
    <row r="449" spans="1:22" ht="14.25" x14ac:dyDescent="0.2">
      <c r="A449" s="179"/>
      <c r="B449" s="178"/>
      <c r="C449" s="178" t="s">
        <v>189</v>
      </c>
      <c r="D449" s="177"/>
      <c r="E449" s="174"/>
      <c r="F449" s="176">
        <v>0.02</v>
      </c>
      <c r="G449" s="175" t="s">
        <v>195</v>
      </c>
      <c r="H449" s="174">
        <v>1</v>
      </c>
      <c r="I449" s="180">
        <v>92</v>
      </c>
      <c r="J449" s="174">
        <v>23.35</v>
      </c>
      <c r="K449" s="180">
        <v>2148.1999999999998</v>
      </c>
    </row>
    <row r="450" spans="1:22" ht="14.25" x14ac:dyDescent="0.2">
      <c r="A450" s="179"/>
      <c r="B450" s="178"/>
      <c r="C450" s="178" t="s">
        <v>205</v>
      </c>
      <c r="D450" s="177"/>
      <c r="E450" s="174"/>
      <c r="F450" s="176">
        <v>20.83</v>
      </c>
      <c r="G450" s="175" t="s">
        <v>195</v>
      </c>
      <c r="H450" s="174">
        <v>1</v>
      </c>
      <c r="I450" s="173">
        <v>95818</v>
      </c>
      <c r="J450" s="174">
        <v>4.6399999999999997</v>
      </c>
      <c r="K450" s="173">
        <v>444595.52</v>
      </c>
    </row>
    <row r="451" spans="1:22" ht="14.25" x14ac:dyDescent="0.2">
      <c r="A451" s="179"/>
      <c r="B451" s="178"/>
      <c r="C451" s="178" t="s">
        <v>194</v>
      </c>
      <c r="D451" s="177" t="s">
        <v>187</v>
      </c>
      <c r="E451" s="174">
        <v>110</v>
      </c>
      <c r="F451" s="176"/>
      <c r="G451" s="175"/>
      <c r="H451" s="174"/>
      <c r="I451" s="173">
        <v>63199.4</v>
      </c>
      <c r="J451" s="174">
        <v>88</v>
      </c>
      <c r="K451" s="173">
        <v>1180564.79</v>
      </c>
    </row>
    <row r="452" spans="1:22" ht="14.25" x14ac:dyDescent="0.2">
      <c r="A452" s="179"/>
      <c r="B452" s="178"/>
      <c r="C452" s="178" t="s">
        <v>193</v>
      </c>
      <c r="D452" s="177" t="s">
        <v>187</v>
      </c>
      <c r="E452" s="174">
        <v>85</v>
      </c>
      <c r="F452" s="176"/>
      <c r="G452" s="175"/>
      <c r="H452" s="174"/>
      <c r="I452" s="173">
        <v>48835.9</v>
      </c>
      <c r="J452" s="174">
        <v>41</v>
      </c>
      <c r="K452" s="173">
        <v>550035.87</v>
      </c>
    </row>
    <row r="453" spans="1:22" ht="14.25" x14ac:dyDescent="0.2">
      <c r="A453" s="172"/>
      <c r="B453" s="171"/>
      <c r="C453" s="171" t="s">
        <v>188</v>
      </c>
      <c r="D453" s="170" t="s">
        <v>187</v>
      </c>
      <c r="E453" s="167">
        <v>175</v>
      </c>
      <c r="F453" s="169"/>
      <c r="G453" s="168"/>
      <c r="H453" s="167"/>
      <c r="I453" s="166">
        <v>161</v>
      </c>
      <c r="J453" s="167">
        <v>157</v>
      </c>
      <c r="K453" s="166">
        <v>3372.67</v>
      </c>
    </row>
    <row r="454" spans="1:22" ht="15" x14ac:dyDescent="0.25">
      <c r="A454" s="164"/>
      <c r="B454" s="164"/>
      <c r="C454" s="165" t="s">
        <v>183</v>
      </c>
      <c r="D454" s="164"/>
      <c r="E454" s="164"/>
      <c r="F454" s="164"/>
      <c r="G454" s="164"/>
      <c r="H454" s="414">
        <v>265928.3</v>
      </c>
      <c r="I454" s="414"/>
      <c r="J454" s="414">
        <v>3524259.75</v>
      </c>
      <c r="K454" s="414"/>
      <c r="O454" s="163">
        <f>I447+I448+I450+I451+I452+I453</f>
        <v>265928.3</v>
      </c>
      <c r="P454" s="163">
        <f>K447+K448+K450+K451+K452+K453</f>
        <v>3524259.75</v>
      </c>
    </row>
    <row r="456" spans="1:22" ht="42.75" x14ac:dyDescent="0.2">
      <c r="A456" s="179" t="s">
        <v>1778</v>
      </c>
      <c r="B456" s="178" t="s">
        <v>2557</v>
      </c>
      <c r="C456" s="178" t="s">
        <v>648</v>
      </c>
      <c r="D456" s="177" t="s">
        <v>2558</v>
      </c>
      <c r="E456" s="174">
        <v>202032</v>
      </c>
      <c r="F456" s="176"/>
      <c r="G456" s="175"/>
      <c r="H456" s="174"/>
      <c r="I456" s="173"/>
      <c r="J456" s="174"/>
      <c r="K456" s="173"/>
      <c r="Q456" s="160">
        <f>[7]Source!X469</f>
        <v>0</v>
      </c>
      <c r="R456" s="160">
        <f>[7]Source!X470</f>
        <v>0</v>
      </c>
      <c r="S456" s="160">
        <f>[7]Source!Y469</f>
        <v>0</v>
      </c>
      <c r="T456" s="160">
        <f>[7]Source!Y470</f>
        <v>0</v>
      </c>
      <c r="U456" s="160">
        <f>ROUND((175/100)*ROUND([7]Source!R469, 2), 2)</f>
        <v>3535.56</v>
      </c>
      <c r="V456" s="160">
        <f>ROUND((157/100)*ROUND([7]Source!R470, 2), 2)</f>
        <v>74063.92</v>
      </c>
    </row>
    <row r="457" spans="1:22" ht="14.25" x14ac:dyDescent="0.2">
      <c r="A457" s="179"/>
      <c r="B457" s="178"/>
      <c r="C457" s="178" t="s">
        <v>184</v>
      </c>
      <c r="D457" s="177"/>
      <c r="E457" s="174"/>
      <c r="F457" s="176">
        <v>0.59</v>
      </c>
      <c r="G457" s="175" t="s">
        <v>195</v>
      </c>
      <c r="H457" s="174">
        <v>1</v>
      </c>
      <c r="I457" s="173">
        <v>119198.88</v>
      </c>
      <c r="J457" s="174">
        <v>5.98</v>
      </c>
      <c r="K457" s="173">
        <v>712809.3</v>
      </c>
    </row>
    <row r="458" spans="1:22" ht="14.25" x14ac:dyDescent="0.2">
      <c r="A458" s="179"/>
      <c r="B458" s="178"/>
      <c r="C458" s="178" t="s">
        <v>189</v>
      </c>
      <c r="D458" s="177"/>
      <c r="E458" s="174"/>
      <c r="F458" s="176">
        <v>0.01</v>
      </c>
      <c r="G458" s="175" t="s">
        <v>195</v>
      </c>
      <c r="H458" s="174">
        <v>1</v>
      </c>
      <c r="I458" s="180">
        <v>2020.32</v>
      </c>
      <c r="J458" s="174">
        <v>23.35</v>
      </c>
      <c r="K458" s="180">
        <v>47174.47</v>
      </c>
    </row>
    <row r="459" spans="1:22" ht="14.25" x14ac:dyDescent="0.2">
      <c r="A459" s="172"/>
      <c r="B459" s="171"/>
      <c r="C459" s="171" t="s">
        <v>188</v>
      </c>
      <c r="D459" s="170" t="s">
        <v>187</v>
      </c>
      <c r="E459" s="167">
        <v>175</v>
      </c>
      <c r="F459" s="169"/>
      <c r="G459" s="168"/>
      <c r="H459" s="167"/>
      <c r="I459" s="166">
        <v>3535.56</v>
      </c>
      <c r="J459" s="167">
        <v>157</v>
      </c>
      <c r="K459" s="166">
        <v>74063.92</v>
      </c>
    </row>
    <row r="460" spans="1:22" ht="15" x14ac:dyDescent="0.25">
      <c r="A460" s="164"/>
      <c r="B460" s="164"/>
      <c r="C460" s="165" t="s">
        <v>183</v>
      </c>
      <c r="D460" s="164"/>
      <c r="E460" s="164"/>
      <c r="F460" s="164"/>
      <c r="G460" s="164"/>
      <c r="H460" s="414">
        <v>122734.44</v>
      </c>
      <c r="I460" s="414"/>
      <c r="J460" s="414">
        <v>786873.22</v>
      </c>
      <c r="K460" s="414"/>
      <c r="O460" s="163">
        <f>I457+I459</f>
        <v>122734.44</v>
      </c>
      <c r="P460" s="163">
        <f>K457+K459</f>
        <v>786873.22</v>
      </c>
    </row>
    <row r="462" spans="1:22" ht="114" x14ac:dyDescent="0.2">
      <c r="A462" s="179" t="s">
        <v>1780</v>
      </c>
      <c r="B462" s="178" t="s">
        <v>2559</v>
      </c>
      <c r="C462" s="178" t="s">
        <v>647</v>
      </c>
      <c r="D462" s="177" t="s">
        <v>2556</v>
      </c>
      <c r="E462" s="174">
        <v>4600</v>
      </c>
      <c r="F462" s="176"/>
      <c r="G462" s="175"/>
      <c r="H462" s="174"/>
      <c r="I462" s="173"/>
      <c r="J462" s="174"/>
      <c r="K462" s="173"/>
      <c r="Q462" s="160">
        <f>[7]Source!X471</f>
        <v>30866</v>
      </c>
      <c r="R462" s="160">
        <f>[7]Source!X472</f>
        <v>576576.88</v>
      </c>
      <c r="S462" s="160">
        <f>[7]Source!Y471</f>
        <v>23851</v>
      </c>
      <c r="T462" s="160">
        <f>[7]Source!Y472</f>
        <v>268632.40999999997</v>
      </c>
      <c r="U462" s="160">
        <f>ROUND((175/100)*ROUND([7]Source!R471, 2), 2)</f>
        <v>161</v>
      </c>
      <c r="V462" s="160">
        <f>ROUND((157/100)*ROUND([7]Source!R472, 2), 2)</f>
        <v>3372.67</v>
      </c>
    </row>
    <row r="463" spans="1:22" ht="14.25" x14ac:dyDescent="0.2">
      <c r="A463" s="179"/>
      <c r="B463" s="178"/>
      <c r="C463" s="178" t="s">
        <v>197</v>
      </c>
      <c r="D463" s="177"/>
      <c r="E463" s="174"/>
      <c r="F463" s="176">
        <v>6.1</v>
      </c>
      <c r="G463" s="175" t="s">
        <v>195</v>
      </c>
      <c r="H463" s="174">
        <v>1</v>
      </c>
      <c r="I463" s="173">
        <v>28060</v>
      </c>
      <c r="J463" s="174">
        <v>23.35</v>
      </c>
      <c r="K463" s="173">
        <v>655201</v>
      </c>
    </row>
    <row r="464" spans="1:22" ht="14.25" x14ac:dyDescent="0.2">
      <c r="A464" s="179"/>
      <c r="B464" s="178"/>
      <c r="C464" s="178" t="s">
        <v>184</v>
      </c>
      <c r="D464" s="177"/>
      <c r="E464" s="174"/>
      <c r="F464" s="176">
        <v>0.1</v>
      </c>
      <c r="G464" s="175" t="s">
        <v>195</v>
      </c>
      <c r="H464" s="174">
        <v>1</v>
      </c>
      <c r="I464" s="173">
        <v>460</v>
      </c>
      <c r="J464" s="174">
        <v>9</v>
      </c>
      <c r="K464" s="173">
        <v>4140</v>
      </c>
    </row>
    <row r="465" spans="1:22" ht="14.25" x14ac:dyDescent="0.2">
      <c r="A465" s="179"/>
      <c r="B465" s="178"/>
      <c r="C465" s="178" t="s">
        <v>189</v>
      </c>
      <c r="D465" s="177"/>
      <c r="E465" s="174"/>
      <c r="F465" s="176">
        <v>0.02</v>
      </c>
      <c r="G465" s="175" t="s">
        <v>195</v>
      </c>
      <c r="H465" s="174">
        <v>1</v>
      </c>
      <c r="I465" s="180">
        <v>92</v>
      </c>
      <c r="J465" s="174">
        <v>23.35</v>
      </c>
      <c r="K465" s="180">
        <v>2148.1999999999998</v>
      </c>
    </row>
    <row r="466" spans="1:22" ht="14.25" x14ac:dyDescent="0.2">
      <c r="A466" s="179"/>
      <c r="B466" s="178"/>
      <c r="C466" s="178" t="s">
        <v>194</v>
      </c>
      <c r="D466" s="177" t="s">
        <v>187</v>
      </c>
      <c r="E466" s="174">
        <v>110</v>
      </c>
      <c r="F466" s="176"/>
      <c r="G466" s="175"/>
      <c r="H466" s="174"/>
      <c r="I466" s="173">
        <v>30866</v>
      </c>
      <c r="J466" s="174">
        <v>88</v>
      </c>
      <c r="K466" s="173">
        <v>576576.88</v>
      </c>
    </row>
    <row r="467" spans="1:22" ht="14.25" x14ac:dyDescent="0.2">
      <c r="A467" s="179"/>
      <c r="B467" s="178"/>
      <c r="C467" s="178" t="s">
        <v>193</v>
      </c>
      <c r="D467" s="177" t="s">
        <v>187</v>
      </c>
      <c r="E467" s="174">
        <v>85</v>
      </c>
      <c r="F467" s="176"/>
      <c r="G467" s="175"/>
      <c r="H467" s="174"/>
      <c r="I467" s="173">
        <v>23851</v>
      </c>
      <c r="J467" s="174">
        <v>41</v>
      </c>
      <c r="K467" s="173">
        <v>268632.40999999997</v>
      </c>
    </row>
    <row r="468" spans="1:22" ht="14.25" x14ac:dyDescent="0.2">
      <c r="A468" s="172"/>
      <c r="B468" s="171"/>
      <c r="C468" s="171" t="s">
        <v>188</v>
      </c>
      <c r="D468" s="170" t="s">
        <v>187</v>
      </c>
      <c r="E468" s="167">
        <v>175</v>
      </c>
      <c r="F468" s="169"/>
      <c r="G468" s="168"/>
      <c r="H468" s="167"/>
      <c r="I468" s="166">
        <v>161</v>
      </c>
      <c r="J468" s="167">
        <v>157</v>
      </c>
      <c r="K468" s="166">
        <v>3372.67</v>
      </c>
    </row>
    <row r="469" spans="1:22" ht="15" x14ac:dyDescent="0.25">
      <c r="A469" s="164"/>
      <c r="B469" s="164"/>
      <c r="C469" s="165" t="s">
        <v>183</v>
      </c>
      <c r="D469" s="164"/>
      <c r="E469" s="164"/>
      <c r="F469" s="164"/>
      <c r="G469" s="164"/>
      <c r="H469" s="414">
        <v>83398</v>
      </c>
      <c r="I469" s="414"/>
      <c r="J469" s="414">
        <v>1507922.96</v>
      </c>
      <c r="K469" s="414"/>
      <c r="O469" s="163">
        <f>I463+I464+I466+I467+I468</f>
        <v>83398</v>
      </c>
      <c r="P469" s="163">
        <f>K463+K464+K466+K467+K468</f>
        <v>1507922.96</v>
      </c>
    </row>
    <row r="471" spans="1:22" ht="57" x14ac:dyDescent="0.2">
      <c r="A471" s="179" t="s">
        <v>1784</v>
      </c>
      <c r="B471" s="178" t="s">
        <v>2560</v>
      </c>
      <c r="C471" s="178" t="s">
        <v>646</v>
      </c>
      <c r="D471" s="177" t="s">
        <v>2561</v>
      </c>
      <c r="E471" s="174">
        <v>3642.6549749999999</v>
      </c>
      <c r="F471" s="176"/>
      <c r="G471" s="175"/>
      <c r="H471" s="174"/>
      <c r="I471" s="173"/>
      <c r="J471" s="174"/>
      <c r="K471" s="173"/>
      <c r="Q471" s="160">
        <f>[7]Source!X473</f>
        <v>9736.82</v>
      </c>
      <c r="R471" s="160">
        <f>[7]Source!X474</f>
        <v>181883.71</v>
      </c>
      <c r="S471" s="160">
        <f>[7]Source!Y473</f>
        <v>7523.9</v>
      </c>
      <c r="T471" s="160">
        <f>[7]Source!Y474</f>
        <v>84741.27</v>
      </c>
      <c r="U471" s="160">
        <f>ROUND((175/100)*ROUND([7]Source!R473, 2), 2)</f>
        <v>0</v>
      </c>
      <c r="V471" s="160">
        <f>ROUND((157/100)*ROUND([7]Source!R474, 2), 2)</f>
        <v>0</v>
      </c>
    </row>
    <row r="472" spans="1:22" ht="38.25" x14ac:dyDescent="0.2">
      <c r="C472" s="181" t="s">
        <v>2562</v>
      </c>
    </row>
    <row r="473" spans="1:22" ht="14.25" x14ac:dyDescent="0.2">
      <c r="A473" s="179"/>
      <c r="B473" s="178"/>
      <c r="C473" s="178" t="s">
        <v>197</v>
      </c>
      <c r="D473" s="177"/>
      <c r="E473" s="174"/>
      <c r="F473" s="176">
        <v>2.4300000000000002</v>
      </c>
      <c r="G473" s="175" t="s">
        <v>195</v>
      </c>
      <c r="H473" s="174">
        <v>1</v>
      </c>
      <c r="I473" s="173">
        <v>8851.65</v>
      </c>
      <c r="J473" s="174">
        <v>23.35</v>
      </c>
      <c r="K473" s="173">
        <v>206686.03</v>
      </c>
    </row>
    <row r="474" spans="1:22" ht="14.25" x14ac:dyDescent="0.2">
      <c r="A474" s="179"/>
      <c r="B474" s="178"/>
      <c r="C474" s="178" t="s">
        <v>194</v>
      </c>
      <c r="D474" s="177" t="s">
        <v>187</v>
      </c>
      <c r="E474" s="174">
        <v>110</v>
      </c>
      <c r="F474" s="176"/>
      <c r="G474" s="175"/>
      <c r="H474" s="174"/>
      <c r="I474" s="173">
        <v>9736.82</v>
      </c>
      <c r="J474" s="174">
        <v>88</v>
      </c>
      <c r="K474" s="173">
        <v>181883.71</v>
      </c>
    </row>
    <row r="475" spans="1:22" ht="14.25" x14ac:dyDescent="0.2">
      <c r="A475" s="172"/>
      <c r="B475" s="171"/>
      <c r="C475" s="171" t="s">
        <v>193</v>
      </c>
      <c r="D475" s="170" t="s">
        <v>187</v>
      </c>
      <c r="E475" s="167">
        <v>85</v>
      </c>
      <c r="F475" s="169"/>
      <c r="G475" s="168"/>
      <c r="H475" s="167"/>
      <c r="I475" s="166">
        <v>7523.9</v>
      </c>
      <c r="J475" s="167">
        <v>41</v>
      </c>
      <c r="K475" s="166">
        <v>84741.27</v>
      </c>
    </row>
    <row r="476" spans="1:22" ht="15" x14ac:dyDescent="0.25">
      <c r="A476" s="164"/>
      <c r="B476" s="164"/>
      <c r="C476" s="165" t="s">
        <v>183</v>
      </c>
      <c r="D476" s="164"/>
      <c r="E476" s="164"/>
      <c r="F476" s="164"/>
      <c r="G476" s="164"/>
      <c r="H476" s="414">
        <v>26112.37</v>
      </c>
      <c r="I476" s="414"/>
      <c r="J476" s="414">
        <v>473311.01</v>
      </c>
      <c r="K476" s="414"/>
      <c r="O476" s="163">
        <f>I473+I474+I475</f>
        <v>26112.37</v>
      </c>
      <c r="P476" s="163">
        <f>K473+K474+K475</f>
        <v>473311.01</v>
      </c>
    </row>
    <row r="478" spans="1:22" ht="57" x14ac:dyDescent="0.2">
      <c r="A478" s="179" t="s">
        <v>1789</v>
      </c>
      <c r="B478" s="178" t="s">
        <v>2563</v>
      </c>
      <c r="C478" s="178" t="s">
        <v>645</v>
      </c>
      <c r="D478" s="177" t="s">
        <v>2561</v>
      </c>
      <c r="E478" s="174">
        <v>2704.1675</v>
      </c>
      <c r="F478" s="176"/>
      <c r="G478" s="175"/>
      <c r="H478" s="174"/>
      <c r="I478" s="173"/>
      <c r="J478" s="174"/>
      <c r="K478" s="173"/>
      <c r="Q478" s="160">
        <f>[7]Source!X475</f>
        <v>5621.97</v>
      </c>
      <c r="R478" s="160">
        <f>[7]Source!X476</f>
        <v>105018.36</v>
      </c>
      <c r="S478" s="160">
        <f>[7]Source!Y475</f>
        <v>4344.25</v>
      </c>
      <c r="T478" s="160">
        <f>[7]Source!Y476</f>
        <v>48929.01</v>
      </c>
      <c r="U478" s="160">
        <f>ROUND((175/100)*ROUND([7]Source!R475, 2), 2)</f>
        <v>0</v>
      </c>
      <c r="V478" s="160">
        <f>ROUND((157/100)*ROUND([7]Source!R476, 2), 2)</f>
        <v>0</v>
      </c>
    </row>
    <row r="479" spans="1:22" ht="25.5" x14ac:dyDescent="0.2">
      <c r="C479" s="181" t="s">
        <v>2564</v>
      </c>
    </row>
    <row r="480" spans="1:22" ht="14.25" x14ac:dyDescent="0.2">
      <c r="A480" s="179"/>
      <c r="B480" s="178"/>
      <c r="C480" s="178" t="s">
        <v>197</v>
      </c>
      <c r="D480" s="177"/>
      <c r="E480" s="174"/>
      <c r="F480" s="176">
        <v>1.89</v>
      </c>
      <c r="G480" s="175" t="s">
        <v>195</v>
      </c>
      <c r="H480" s="174">
        <v>1</v>
      </c>
      <c r="I480" s="173">
        <v>5110.88</v>
      </c>
      <c r="J480" s="174">
        <v>23.35</v>
      </c>
      <c r="K480" s="173">
        <v>119339.05</v>
      </c>
    </row>
    <row r="481" spans="1:22" ht="14.25" x14ac:dyDescent="0.2">
      <c r="A481" s="179"/>
      <c r="B481" s="178"/>
      <c r="C481" s="178" t="s">
        <v>194</v>
      </c>
      <c r="D481" s="177" t="s">
        <v>187</v>
      </c>
      <c r="E481" s="174">
        <v>110</v>
      </c>
      <c r="F481" s="176"/>
      <c r="G481" s="175"/>
      <c r="H481" s="174"/>
      <c r="I481" s="173">
        <v>5621.97</v>
      </c>
      <c r="J481" s="174">
        <v>88</v>
      </c>
      <c r="K481" s="173">
        <v>105018.36</v>
      </c>
    </row>
    <row r="482" spans="1:22" ht="14.25" x14ac:dyDescent="0.2">
      <c r="A482" s="172"/>
      <c r="B482" s="171"/>
      <c r="C482" s="171" t="s">
        <v>193</v>
      </c>
      <c r="D482" s="170" t="s">
        <v>187</v>
      </c>
      <c r="E482" s="167">
        <v>85</v>
      </c>
      <c r="F482" s="169"/>
      <c r="G482" s="168"/>
      <c r="H482" s="167"/>
      <c r="I482" s="166">
        <v>4344.25</v>
      </c>
      <c r="J482" s="167">
        <v>41</v>
      </c>
      <c r="K482" s="166">
        <v>48929.01</v>
      </c>
    </row>
    <row r="483" spans="1:22" ht="15" x14ac:dyDescent="0.25">
      <c r="A483" s="164"/>
      <c r="B483" s="164"/>
      <c r="C483" s="165" t="s">
        <v>183</v>
      </c>
      <c r="D483" s="164"/>
      <c r="E483" s="164"/>
      <c r="F483" s="164"/>
      <c r="G483" s="164"/>
      <c r="H483" s="414">
        <v>15077.1</v>
      </c>
      <c r="I483" s="414"/>
      <c r="J483" s="414">
        <v>273286.42</v>
      </c>
      <c r="K483" s="414"/>
      <c r="O483" s="163">
        <f>I480+I481+I482</f>
        <v>15077.1</v>
      </c>
      <c r="P483" s="163">
        <f>K480+K481+K482</f>
        <v>273286.42</v>
      </c>
    </row>
    <row r="486" spans="1:22" ht="15" x14ac:dyDescent="0.25">
      <c r="A486" s="417" t="s">
        <v>2565</v>
      </c>
      <c r="B486" s="417"/>
      <c r="C486" s="417"/>
      <c r="D486" s="417"/>
      <c r="E486" s="417"/>
      <c r="F486" s="417"/>
      <c r="G486" s="417"/>
      <c r="H486" s="415">
        <v>515376.87</v>
      </c>
      <c r="I486" s="416"/>
      <c r="J486" s="415">
        <v>6601044.0599999996</v>
      </c>
      <c r="K486" s="416"/>
    </row>
    <row r="487" spans="1:22" hidden="1" x14ac:dyDescent="0.2">
      <c r="A487" s="160" t="s">
        <v>182</v>
      </c>
      <c r="I487" s="160">
        <v>0</v>
      </c>
      <c r="J487" s="160">
        <v>0</v>
      </c>
    </row>
    <row r="488" spans="1:22" hidden="1" x14ac:dyDescent="0.2">
      <c r="A488" s="160" t="s">
        <v>181</v>
      </c>
      <c r="I488" s="160">
        <v>0</v>
      </c>
      <c r="J488" s="160">
        <v>0</v>
      </c>
    </row>
    <row r="490" spans="1:22" ht="16.5" x14ac:dyDescent="0.25">
      <c r="A490" s="413" t="s">
        <v>1921</v>
      </c>
      <c r="B490" s="413"/>
      <c r="C490" s="413"/>
      <c r="D490" s="413"/>
      <c r="E490" s="413"/>
      <c r="F490" s="413"/>
      <c r="G490" s="413"/>
      <c r="H490" s="413"/>
      <c r="I490" s="413"/>
      <c r="J490" s="413"/>
      <c r="K490" s="413"/>
    </row>
    <row r="491" spans="1:22" ht="42.75" x14ac:dyDescent="0.2">
      <c r="A491" s="179" t="s">
        <v>1795</v>
      </c>
      <c r="B491" s="178" t="s">
        <v>1923</v>
      </c>
      <c r="C491" s="178" t="s">
        <v>190</v>
      </c>
      <c r="D491" s="177" t="s">
        <v>1785</v>
      </c>
      <c r="E491" s="174">
        <v>434.65971999999999</v>
      </c>
      <c r="F491" s="176"/>
      <c r="G491" s="175"/>
      <c r="H491" s="174"/>
      <c r="I491" s="173"/>
      <c r="J491" s="174"/>
      <c r="K491" s="173"/>
      <c r="Q491" s="160">
        <f>[7]Source!X512</f>
        <v>0</v>
      </c>
      <c r="R491" s="160">
        <f>[7]Source!X513</f>
        <v>0</v>
      </c>
      <c r="S491" s="160">
        <f>[7]Source!Y512</f>
        <v>0</v>
      </c>
      <c r="T491" s="160">
        <f>[7]Source!Y513</f>
        <v>0</v>
      </c>
      <c r="U491" s="160">
        <f>ROUND((175/100)*ROUND([7]Source!R512, 2), 2)</f>
        <v>1125.78</v>
      </c>
      <c r="V491" s="160">
        <f>ROUND((157/100)*ROUND([7]Source!R513, 2), 2)</f>
        <v>23583.06</v>
      </c>
    </row>
    <row r="492" spans="1:22" ht="38.25" x14ac:dyDescent="0.2">
      <c r="C492" s="181" t="s">
        <v>2566</v>
      </c>
    </row>
    <row r="493" spans="1:22" ht="14.25" x14ac:dyDescent="0.2">
      <c r="A493" s="179"/>
      <c r="B493" s="178"/>
      <c r="C493" s="178" t="s">
        <v>184</v>
      </c>
      <c r="D493" s="177"/>
      <c r="E493" s="174"/>
      <c r="F493" s="176">
        <v>8.86</v>
      </c>
      <c r="G493" s="175" t="s">
        <v>195</v>
      </c>
      <c r="H493" s="174">
        <v>1</v>
      </c>
      <c r="I493" s="173">
        <v>3851.09</v>
      </c>
      <c r="J493" s="174">
        <v>8.36</v>
      </c>
      <c r="K493" s="173">
        <v>32195.11</v>
      </c>
    </row>
    <row r="494" spans="1:22" ht="14.25" x14ac:dyDescent="0.2">
      <c r="A494" s="179"/>
      <c r="B494" s="178"/>
      <c r="C494" s="178" t="s">
        <v>189</v>
      </c>
      <c r="D494" s="177"/>
      <c r="E494" s="174"/>
      <c r="F494" s="176">
        <v>1.48</v>
      </c>
      <c r="G494" s="175" t="s">
        <v>195</v>
      </c>
      <c r="H494" s="174">
        <v>1</v>
      </c>
      <c r="I494" s="180">
        <v>643.29999999999995</v>
      </c>
      <c r="J494" s="174">
        <v>23.35</v>
      </c>
      <c r="K494" s="180">
        <v>15021.06</v>
      </c>
    </row>
    <row r="495" spans="1:22" ht="14.25" x14ac:dyDescent="0.2">
      <c r="A495" s="172"/>
      <c r="B495" s="171"/>
      <c r="C495" s="171" t="s">
        <v>188</v>
      </c>
      <c r="D495" s="170" t="s">
        <v>187</v>
      </c>
      <c r="E495" s="167">
        <v>175</v>
      </c>
      <c r="F495" s="169"/>
      <c r="G495" s="168"/>
      <c r="H495" s="167"/>
      <c r="I495" s="166">
        <v>1125.78</v>
      </c>
      <c r="J495" s="167">
        <v>157</v>
      </c>
      <c r="K495" s="166">
        <v>23583.06</v>
      </c>
    </row>
    <row r="496" spans="1:22" ht="15" x14ac:dyDescent="0.25">
      <c r="A496" s="164"/>
      <c r="B496" s="164"/>
      <c r="C496" s="165" t="s">
        <v>183</v>
      </c>
      <c r="D496" s="164"/>
      <c r="E496" s="164"/>
      <c r="F496" s="164"/>
      <c r="G496" s="164"/>
      <c r="H496" s="414">
        <v>4976.87</v>
      </c>
      <c r="I496" s="414"/>
      <c r="J496" s="414">
        <v>55778.17</v>
      </c>
      <c r="K496" s="414"/>
      <c r="O496" s="163">
        <f>I493+I495</f>
        <v>4976.87</v>
      </c>
      <c r="P496" s="163">
        <f>K493+K495</f>
        <v>55778.17</v>
      </c>
    </row>
    <row r="498" spans="1:26" ht="42.75" x14ac:dyDescent="0.2">
      <c r="A498" s="179" t="s">
        <v>1798</v>
      </c>
      <c r="B498" s="178" t="s">
        <v>2567</v>
      </c>
      <c r="C498" s="178" t="s">
        <v>644</v>
      </c>
      <c r="D498" s="177" t="s">
        <v>1533</v>
      </c>
      <c r="E498" s="174">
        <v>0.37096000000000001</v>
      </c>
      <c r="F498" s="176">
        <v>2156.67</v>
      </c>
      <c r="G498" s="175" t="s">
        <v>195</v>
      </c>
      <c r="H498" s="174">
        <v>1</v>
      </c>
      <c r="I498" s="173">
        <v>800.04</v>
      </c>
      <c r="J498" s="174">
        <v>4.4400000000000004</v>
      </c>
      <c r="K498" s="173">
        <v>3552.18</v>
      </c>
      <c r="Q498" s="160">
        <f>[7]Source!X514</f>
        <v>0</v>
      </c>
      <c r="R498" s="160">
        <f>[7]Source!X515</f>
        <v>0</v>
      </c>
      <c r="S498" s="160">
        <f>[7]Source!Y514</f>
        <v>0</v>
      </c>
      <c r="T498" s="160">
        <f>[7]Source!Y515</f>
        <v>0</v>
      </c>
      <c r="U498" s="160">
        <f>ROUND((175/100)*ROUND([7]Source!R514, 2), 2)</f>
        <v>0</v>
      </c>
      <c r="V498" s="160">
        <f>ROUND((157/100)*ROUND([7]Source!R515, 2), 2)</f>
        <v>0</v>
      </c>
      <c r="Y498" s="163">
        <f>I498</f>
        <v>800.04</v>
      </c>
      <c r="Z498" s="163">
        <f>K498</f>
        <v>3552.18</v>
      </c>
    </row>
    <row r="499" spans="1:26" ht="25.5" x14ac:dyDescent="0.2">
      <c r="A499" s="202"/>
      <c r="B499" s="202"/>
      <c r="C499" s="203" t="s">
        <v>2568</v>
      </c>
      <c r="D499" s="202"/>
      <c r="E499" s="202"/>
      <c r="F499" s="202"/>
      <c r="G499" s="202"/>
      <c r="H499" s="202"/>
      <c r="I499" s="202"/>
      <c r="J499" s="202"/>
      <c r="K499" s="202"/>
    </row>
    <row r="500" spans="1:26" ht="15" x14ac:dyDescent="0.25">
      <c r="A500" s="164"/>
      <c r="B500" s="164"/>
      <c r="C500" s="165" t="s">
        <v>183</v>
      </c>
      <c r="D500" s="164"/>
      <c r="E500" s="164"/>
      <c r="F500" s="164"/>
      <c r="G500" s="164"/>
      <c r="H500" s="414">
        <v>800.04</v>
      </c>
      <c r="I500" s="414"/>
      <c r="J500" s="414">
        <v>3552.18</v>
      </c>
      <c r="K500" s="414"/>
    </row>
    <row r="503" spans="1:26" ht="15" x14ac:dyDescent="0.25">
      <c r="A503" s="417" t="s">
        <v>1925</v>
      </c>
      <c r="B503" s="417"/>
      <c r="C503" s="417"/>
      <c r="D503" s="417"/>
      <c r="E503" s="417"/>
      <c r="F503" s="417"/>
      <c r="G503" s="417"/>
      <c r="H503" s="415">
        <v>4976.87</v>
      </c>
      <c r="I503" s="416"/>
      <c r="J503" s="415">
        <v>55778.17</v>
      </c>
      <c r="K503" s="416"/>
    </row>
    <row r="504" spans="1:26" hidden="1" x14ac:dyDescent="0.2">
      <c r="A504" s="160" t="s">
        <v>182</v>
      </c>
      <c r="I504" s="160">
        <v>0</v>
      </c>
      <c r="J504" s="160">
        <v>0</v>
      </c>
    </row>
    <row r="505" spans="1:26" ht="15" x14ac:dyDescent="0.25">
      <c r="A505" s="417" t="s">
        <v>181</v>
      </c>
      <c r="B505" s="417"/>
      <c r="C505" s="417"/>
      <c r="D505" s="417"/>
      <c r="E505" s="417"/>
      <c r="F505" s="417"/>
      <c r="G505" s="417"/>
      <c r="H505" s="415">
        <v>800.04</v>
      </c>
      <c r="I505" s="416"/>
      <c r="J505" s="415">
        <v>3552.18</v>
      </c>
      <c r="K505" s="416"/>
    </row>
    <row r="507" spans="1:26" ht="16.5" x14ac:dyDescent="0.25">
      <c r="A507" s="413" t="s">
        <v>1926</v>
      </c>
      <c r="B507" s="413"/>
      <c r="C507" s="413"/>
      <c r="D507" s="413"/>
      <c r="E507" s="413"/>
      <c r="F507" s="413"/>
      <c r="G507" s="413"/>
      <c r="H507" s="413"/>
      <c r="I507" s="413"/>
      <c r="J507" s="413"/>
      <c r="K507" s="413"/>
    </row>
    <row r="508" spans="1:26" ht="42.75" x14ac:dyDescent="0.2">
      <c r="A508" s="179" t="s">
        <v>1802</v>
      </c>
      <c r="B508" s="178" t="s">
        <v>2120</v>
      </c>
      <c r="C508" s="178" t="s">
        <v>383</v>
      </c>
      <c r="D508" s="177" t="s">
        <v>1533</v>
      </c>
      <c r="E508" s="174">
        <v>434.65971999999999</v>
      </c>
      <c r="F508" s="176"/>
      <c r="G508" s="175"/>
      <c r="H508" s="174"/>
      <c r="I508" s="173"/>
      <c r="J508" s="174"/>
      <c r="K508" s="173"/>
      <c r="Q508" s="160">
        <f>[7]Source!X551</f>
        <v>0</v>
      </c>
      <c r="R508" s="160">
        <f>[7]Source!X552</f>
        <v>0</v>
      </c>
      <c r="S508" s="160">
        <f>[7]Source!Y551</f>
        <v>0</v>
      </c>
      <c r="T508" s="160">
        <f>[7]Source!Y552</f>
        <v>0</v>
      </c>
      <c r="U508" s="160">
        <f>ROUND((175/100)*ROUND([7]Source!R551, 2), 2)</f>
        <v>0</v>
      </c>
      <c r="V508" s="160">
        <f>ROUND((157/100)*ROUND([7]Source!R552, 2), 2)</f>
        <v>0</v>
      </c>
    </row>
    <row r="509" spans="1:26" ht="14.25" x14ac:dyDescent="0.2">
      <c r="A509" s="172"/>
      <c r="B509" s="171"/>
      <c r="C509" s="171" t="s">
        <v>184</v>
      </c>
      <c r="D509" s="170"/>
      <c r="E509" s="167"/>
      <c r="F509" s="169">
        <v>34.15</v>
      </c>
      <c r="G509" s="168" t="s">
        <v>195</v>
      </c>
      <c r="H509" s="167">
        <v>1</v>
      </c>
      <c r="I509" s="166">
        <v>14843.63</v>
      </c>
      <c r="J509" s="167">
        <v>9.57</v>
      </c>
      <c r="K509" s="166">
        <v>142053.54</v>
      </c>
    </row>
    <row r="510" spans="1:26" ht="15" x14ac:dyDescent="0.25">
      <c r="A510" s="164"/>
      <c r="B510" s="164"/>
      <c r="C510" s="165" t="s">
        <v>183</v>
      </c>
      <c r="D510" s="164"/>
      <c r="E510" s="164"/>
      <c r="F510" s="164"/>
      <c r="G510" s="164"/>
      <c r="H510" s="414">
        <v>14843.63</v>
      </c>
      <c r="I510" s="414"/>
      <c r="J510" s="414">
        <v>142053.54</v>
      </c>
      <c r="K510" s="414"/>
      <c r="O510" s="163">
        <f>I509</f>
        <v>14843.63</v>
      </c>
      <c r="P510" s="163">
        <f>K509</f>
        <v>142053.54</v>
      </c>
    </row>
    <row r="512" spans="1:26" ht="14.25" x14ac:dyDescent="0.2">
      <c r="A512" s="179" t="s">
        <v>1804</v>
      </c>
      <c r="B512" s="178" t="s">
        <v>1930</v>
      </c>
      <c r="C512" s="178" t="s">
        <v>382</v>
      </c>
      <c r="D512" s="177" t="s">
        <v>1785</v>
      </c>
      <c r="E512" s="174">
        <v>434.65971999999999</v>
      </c>
      <c r="F512" s="176"/>
      <c r="G512" s="175"/>
      <c r="H512" s="174"/>
      <c r="I512" s="173"/>
      <c r="J512" s="174"/>
      <c r="K512" s="173"/>
      <c r="Q512" s="160">
        <f>[7]Source!X553</f>
        <v>0</v>
      </c>
      <c r="R512" s="160">
        <f>[7]Source!X554</f>
        <v>0</v>
      </c>
      <c r="S512" s="160">
        <f>[7]Source!Y553</f>
        <v>0</v>
      </c>
      <c r="T512" s="160">
        <f>[7]Source!Y554</f>
        <v>0</v>
      </c>
      <c r="U512" s="160">
        <f>ROUND((175/100)*ROUND([7]Source!R553, 2), 2)</f>
        <v>0</v>
      </c>
      <c r="V512" s="160">
        <f>ROUND((157/100)*ROUND([7]Source!R554, 2), 2)</f>
        <v>0</v>
      </c>
    </row>
    <row r="513" spans="1:16" ht="14.25" x14ac:dyDescent="0.2">
      <c r="A513" s="172"/>
      <c r="B513" s="171"/>
      <c r="C513" s="171" t="s">
        <v>184</v>
      </c>
      <c r="D513" s="170"/>
      <c r="E513" s="167"/>
      <c r="F513" s="169">
        <v>101</v>
      </c>
      <c r="G513" s="168" t="s">
        <v>195</v>
      </c>
      <c r="H513" s="167">
        <v>1</v>
      </c>
      <c r="I513" s="166">
        <v>43900.63</v>
      </c>
      <c r="J513" s="167">
        <v>1.96</v>
      </c>
      <c r="K513" s="166">
        <v>86045.23</v>
      </c>
    </row>
    <row r="514" spans="1:16" ht="15" x14ac:dyDescent="0.25">
      <c r="A514" s="164"/>
      <c r="B514" s="164"/>
      <c r="C514" s="165" t="s">
        <v>183</v>
      </c>
      <c r="D514" s="164"/>
      <c r="E514" s="164"/>
      <c r="F514" s="164"/>
      <c r="G514" s="164"/>
      <c r="H514" s="414">
        <v>43900.63</v>
      </c>
      <c r="I514" s="414"/>
      <c r="J514" s="414">
        <v>86045.23</v>
      </c>
      <c r="K514" s="414"/>
      <c r="O514" s="163">
        <f>I513</f>
        <v>43900.63</v>
      </c>
      <c r="P514" s="163">
        <f>K513</f>
        <v>86045.23</v>
      </c>
    </row>
    <row r="517" spans="1:16" ht="15" x14ac:dyDescent="0.25">
      <c r="A517" s="417" t="s">
        <v>1931</v>
      </c>
      <c r="B517" s="417"/>
      <c r="C517" s="417"/>
      <c r="D517" s="417"/>
      <c r="E517" s="417"/>
      <c r="F517" s="417"/>
      <c r="G517" s="417"/>
      <c r="H517" s="415">
        <v>58744.26</v>
      </c>
      <c r="I517" s="416"/>
      <c r="J517" s="415">
        <v>228098.77</v>
      </c>
      <c r="K517" s="416"/>
    </row>
    <row r="518" spans="1:16" hidden="1" x14ac:dyDescent="0.2">
      <c r="A518" s="160" t="s">
        <v>182</v>
      </c>
      <c r="I518" s="160">
        <v>0</v>
      </c>
      <c r="J518" s="160">
        <v>0</v>
      </c>
    </row>
    <row r="519" spans="1:16" hidden="1" x14ac:dyDescent="0.2">
      <c r="A519" s="160" t="s">
        <v>181</v>
      </c>
      <c r="I519" s="160">
        <v>0</v>
      </c>
      <c r="J519" s="160">
        <v>0</v>
      </c>
    </row>
    <row r="521" spans="1:16" ht="15" x14ac:dyDescent="0.25">
      <c r="A521" s="417" t="s">
        <v>2569</v>
      </c>
      <c r="B521" s="417"/>
      <c r="C521" s="417"/>
      <c r="D521" s="417"/>
      <c r="E521" s="417"/>
      <c r="F521" s="417"/>
      <c r="G521" s="417"/>
      <c r="H521" s="415">
        <v>3015075.7</v>
      </c>
      <c r="I521" s="416"/>
      <c r="J521" s="415">
        <v>42577793.659999996</v>
      </c>
      <c r="K521" s="416"/>
    </row>
    <row r="522" spans="1:16" hidden="1" x14ac:dyDescent="0.2">
      <c r="A522" s="160" t="s">
        <v>182</v>
      </c>
      <c r="I522" s="160">
        <v>0</v>
      </c>
      <c r="J522" s="160">
        <v>0</v>
      </c>
    </row>
    <row r="523" spans="1:16" ht="15" x14ac:dyDescent="0.25">
      <c r="A523" s="417" t="s">
        <v>181</v>
      </c>
      <c r="B523" s="417"/>
      <c r="C523" s="417"/>
      <c r="D523" s="417"/>
      <c r="E523" s="417"/>
      <c r="F523" s="417"/>
      <c r="G523" s="417"/>
      <c r="H523" s="415">
        <v>800.04</v>
      </c>
      <c r="I523" s="416"/>
      <c r="J523" s="415">
        <v>3552.18</v>
      </c>
      <c r="K523" s="416"/>
    </row>
    <row r="524" spans="1:16" ht="14.25" x14ac:dyDescent="0.2">
      <c r="C524" s="410" t="s">
        <v>1920</v>
      </c>
      <c r="D524" s="410"/>
      <c r="E524" s="410"/>
      <c r="F524" s="410"/>
      <c r="G524" s="410"/>
      <c r="H524" s="411">
        <v>1756417.29</v>
      </c>
      <c r="I524" s="411"/>
      <c r="J524" s="411">
        <v>22691422.140000001</v>
      </c>
      <c r="K524" s="411"/>
    </row>
    <row r="525" spans="1:16" ht="14.25" x14ac:dyDescent="0.2">
      <c r="C525" s="410" t="s">
        <v>1933</v>
      </c>
      <c r="D525" s="410"/>
      <c r="E525" s="410"/>
      <c r="F525" s="410"/>
      <c r="G525" s="410"/>
      <c r="H525" s="411">
        <v>881240.86</v>
      </c>
      <c r="I525" s="411"/>
      <c r="J525" s="411">
        <v>5652302.0899999999</v>
      </c>
      <c r="K525" s="411"/>
    </row>
    <row r="526" spans="1:16" ht="14.25" x14ac:dyDescent="0.2">
      <c r="C526" s="410" t="s">
        <v>1934</v>
      </c>
      <c r="D526" s="410"/>
      <c r="E526" s="410"/>
      <c r="F526" s="410"/>
      <c r="G526" s="410"/>
      <c r="H526" s="411">
        <v>881240.86</v>
      </c>
      <c r="I526" s="411"/>
      <c r="J526" s="411">
        <v>5652302.0899999999</v>
      </c>
      <c r="K526" s="411"/>
    </row>
    <row r="527" spans="1:16" ht="14.25" x14ac:dyDescent="0.2">
      <c r="C527" s="410" t="s">
        <v>1935</v>
      </c>
      <c r="D527" s="410"/>
      <c r="E527" s="410"/>
      <c r="F527" s="410"/>
      <c r="G527" s="410"/>
      <c r="H527" s="411">
        <v>0</v>
      </c>
      <c r="I527" s="411"/>
      <c r="J527" s="411">
        <v>0</v>
      </c>
      <c r="K527" s="411"/>
    </row>
    <row r="528" spans="1:16" ht="14.25" x14ac:dyDescent="0.2">
      <c r="C528" s="410" t="s">
        <v>1938</v>
      </c>
      <c r="D528" s="410"/>
      <c r="E528" s="410"/>
      <c r="F528" s="410"/>
      <c r="G528" s="410"/>
      <c r="H528" s="411">
        <v>685034.97</v>
      </c>
      <c r="I528" s="411"/>
      <c r="J528" s="411">
        <v>15995566.57</v>
      </c>
      <c r="K528" s="411"/>
    </row>
    <row r="529" spans="1:11" ht="14.25" x14ac:dyDescent="0.2">
      <c r="C529" s="410" t="s">
        <v>1939</v>
      </c>
      <c r="D529" s="410"/>
      <c r="E529" s="410"/>
      <c r="F529" s="410"/>
      <c r="G529" s="410"/>
      <c r="H529" s="411">
        <v>2956331.44</v>
      </c>
      <c r="I529" s="411"/>
      <c r="J529" s="411">
        <v>42349694.890000001</v>
      </c>
      <c r="K529" s="411"/>
    </row>
    <row r="530" spans="1:11" ht="14.25" x14ac:dyDescent="0.2">
      <c r="C530" s="410" t="s">
        <v>1940</v>
      </c>
      <c r="D530" s="410"/>
      <c r="E530" s="410"/>
      <c r="F530" s="410"/>
      <c r="G530" s="410"/>
      <c r="H530" s="411">
        <v>0</v>
      </c>
      <c r="I530" s="411"/>
      <c r="J530" s="411">
        <v>0</v>
      </c>
      <c r="K530" s="411"/>
    </row>
    <row r="531" spans="1:11" ht="14.25" x14ac:dyDescent="0.2">
      <c r="C531" s="410" t="s">
        <v>1941</v>
      </c>
      <c r="D531" s="410"/>
      <c r="E531" s="410"/>
      <c r="F531" s="410"/>
      <c r="G531" s="410"/>
      <c r="H531" s="411">
        <v>58744.26</v>
      </c>
      <c r="I531" s="411"/>
      <c r="J531" s="411">
        <v>228098.77</v>
      </c>
      <c r="K531" s="411"/>
    </row>
    <row r="532" spans="1:11" ht="14.25" x14ac:dyDescent="0.2">
      <c r="C532" s="410" t="s">
        <v>1942</v>
      </c>
      <c r="D532" s="410"/>
      <c r="E532" s="410"/>
      <c r="F532" s="410"/>
      <c r="G532" s="410"/>
      <c r="H532" s="411">
        <v>704521.69</v>
      </c>
      <c r="I532" s="411"/>
      <c r="J532" s="411">
        <v>13169518.859999999</v>
      </c>
      <c r="K532" s="411"/>
    </row>
    <row r="533" spans="1:11" ht="14.25" x14ac:dyDescent="0.2">
      <c r="C533" s="410" t="s">
        <v>1943</v>
      </c>
      <c r="D533" s="410"/>
      <c r="E533" s="410"/>
      <c r="F533" s="410"/>
      <c r="G533" s="410"/>
      <c r="H533" s="411">
        <v>546562.31999999995</v>
      </c>
      <c r="I533" s="411"/>
      <c r="J533" s="411">
        <v>6558182.29</v>
      </c>
      <c r="K533" s="411"/>
    </row>
    <row r="534" spans="1:11" ht="14.25" x14ac:dyDescent="0.2">
      <c r="C534" s="410" t="s">
        <v>1944</v>
      </c>
      <c r="D534" s="410"/>
      <c r="E534" s="410"/>
      <c r="F534" s="410"/>
      <c r="G534" s="410"/>
      <c r="H534" s="411">
        <v>3015075.7</v>
      </c>
      <c r="I534" s="411"/>
      <c r="J534" s="411">
        <v>42577793.659999996</v>
      </c>
      <c r="K534" s="411"/>
    </row>
    <row r="537" spans="1:11" ht="14.25" x14ac:dyDescent="0.2">
      <c r="A537" s="412" t="s">
        <v>180</v>
      </c>
      <c r="B537" s="412"/>
      <c r="C537" s="162" t="s">
        <v>107</v>
      </c>
      <c r="D537" s="162"/>
      <c r="E537" s="162"/>
      <c r="F537" s="162"/>
      <c r="G537" s="162"/>
      <c r="H537" s="161" t="s">
        <v>2122</v>
      </c>
      <c r="I537" s="161"/>
      <c r="J537" s="161"/>
      <c r="K537" s="161"/>
    </row>
    <row r="538" spans="1:11" ht="14.25" x14ac:dyDescent="0.2">
      <c r="A538" s="161"/>
      <c r="B538" s="161"/>
      <c r="C538" s="409" t="s">
        <v>72</v>
      </c>
      <c r="D538" s="409"/>
      <c r="E538" s="409"/>
      <c r="F538" s="409"/>
      <c r="G538" s="409"/>
      <c r="H538" s="161"/>
      <c r="I538" s="161"/>
      <c r="J538" s="161"/>
      <c r="K538" s="161"/>
    </row>
    <row r="539" spans="1:11" ht="14.25" x14ac:dyDescent="0.2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</row>
    <row r="540" spans="1:11" ht="14.25" x14ac:dyDescent="0.2">
      <c r="A540" s="412" t="s">
        <v>179</v>
      </c>
      <c r="B540" s="412"/>
      <c r="C540" s="162" t="s">
        <v>107</v>
      </c>
      <c r="D540" s="162"/>
      <c r="E540" s="162"/>
      <c r="F540" s="162"/>
      <c r="G540" s="162"/>
      <c r="H540" s="161" t="s">
        <v>107</v>
      </c>
      <c r="I540" s="161"/>
      <c r="J540" s="161"/>
      <c r="K540" s="161"/>
    </row>
    <row r="541" spans="1:11" ht="14.25" x14ac:dyDescent="0.2">
      <c r="A541" s="161"/>
      <c r="B541" s="161"/>
      <c r="C541" s="409" t="s">
        <v>72</v>
      </c>
      <c r="D541" s="409"/>
      <c r="E541" s="409"/>
      <c r="F541" s="409"/>
      <c r="G541" s="409"/>
      <c r="H541" s="161"/>
      <c r="I541" s="161"/>
      <c r="J541" s="161"/>
      <c r="K541" s="161"/>
    </row>
  </sheetData>
  <mergeCells count="207">
    <mergeCell ref="B3:E3"/>
    <mergeCell ref="G3:K3"/>
    <mergeCell ref="B4:E4"/>
    <mergeCell ref="G4:K4"/>
    <mergeCell ref="B6:E6"/>
    <mergeCell ref="G6:K6"/>
    <mergeCell ref="F22:H22"/>
    <mergeCell ref="F23:H23"/>
    <mergeCell ref="F24:H24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5:H25"/>
    <mergeCell ref="F26:H26"/>
    <mergeCell ref="F27:H27"/>
    <mergeCell ref="F29:H29"/>
    <mergeCell ref="A32:K32"/>
    <mergeCell ref="A36:K36"/>
    <mergeCell ref="A38:K38"/>
    <mergeCell ref="J44:K44"/>
    <mergeCell ref="H44:I44"/>
    <mergeCell ref="J51:K51"/>
    <mergeCell ref="H51:I51"/>
    <mergeCell ref="J57:K57"/>
    <mergeCell ref="H57:I57"/>
    <mergeCell ref="J63:K63"/>
    <mergeCell ref="H63:I63"/>
    <mergeCell ref="J70:K70"/>
    <mergeCell ref="H70:I70"/>
    <mergeCell ref="J82:K82"/>
    <mergeCell ref="H82:I82"/>
    <mergeCell ref="J94:K94"/>
    <mergeCell ref="H94:I94"/>
    <mergeCell ref="J105:K105"/>
    <mergeCell ref="H105:I105"/>
    <mergeCell ref="J115:K115"/>
    <mergeCell ref="H115:I115"/>
    <mergeCell ref="J122:K122"/>
    <mergeCell ref="H122:I122"/>
    <mergeCell ref="J129:K129"/>
    <mergeCell ref="H129:I129"/>
    <mergeCell ref="J136:K136"/>
    <mergeCell ref="H136:I136"/>
    <mergeCell ref="J147:K147"/>
    <mergeCell ref="H147:I147"/>
    <mergeCell ref="J157:K157"/>
    <mergeCell ref="H157:I157"/>
    <mergeCell ref="J165:K165"/>
    <mergeCell ref="H165:I165"/>
    <mergeCell ref="J175:K175"/>
    <mergeCell ref="H175:I175"/>
    <mergeCell ref="J187:K187"/>
    <mergeCell ref="H187:I187"/>
    <mergeCell ref="J196:K196"/>
    <mergeCell ref="H196:I196"/>
    <mergeCell ref="J199:K199"/>
    <mergeCell ref="H199:I199"/>
    <mergeCell ref="A199:G199"/>
    <mergeCell ref="A203:K203"/>
    <mergeCell ref="J209:K209"/>
    <mergeCell ref="H209:I209"/>
    <mergeCell ref="J221:K221"/>
    <mergeCell ref="H221:I221"/>
    <mergeCell ref="J231:K231"/>
    <mergeCell ref="H231:I231"/>
    <mergeCell ref="J242:K242"/>
    <mergeCell ref="H242:I242"/>
    <mergeCell ref="J245:K245"/>
    <mergeCell ref="H245:I245"/>
    <mergeCell ref="A245:G245"/>
    <mergeCell ref="A249:K249"/>
    <mergeCell ref="J251:K251"/>
    <mergeCell ref="H251:I251"/>
    <mergeCell ref="A251:G251"/>
    <mergeCell ref="A255:K255"/>
    <mergeCell ref="J261:K261"/>
    <mergeCell ref="H261:I261"/>
    <mergeCell ref="J267:K267"/>
    <mergeCell ref="H267:I267"/>
    <mergeCell ref="J277:K277"/>
    <mergeCell ref="H277:I277"/>
    <mergeCell ref="J288:K288"/>
    <mergeCell ref="H288:I288"/>
    <mergeCell ref="J299:K299"/>
    <mergeCell ref="H299:I299"/>
    <mergeCell ref="J310:K310"/>
    <mergeCell ref="H310:I310"/>
    <mergeCell ref="J317:K317"/>
    <mergeCell ref="H317:I317"/>
    <mergeCell ref="J320:K320"/>
    <mergeCell ref="H320:I320"/>
    <mergeCell ref="A320:G320"/>
    <mergeCell ref="A324:K324"/>
    <mergeCell ref="J332:K332"/>
    <mergeCell ref="H332:I332"/>
    <mergeCell ref="J340:K340"/>
    <mergeCell ref="H340:I340"/>
    <mergeCell ref="J347:K347"/>
    <mergeCell ref="H347:I347"/>
    <mergeCell ref="J350:K350"/>
    <mergeCell ref="H350:I350"/>
    <mergeCell ref="A350:G350"/>
    <mergeCell ref="A354:K354"/>
    <mergeCell ref="J364:K364"/>
    <mergeCell ref="H364:I364"/>
    <mergeCell ref="J376:K376"/>
    <mergeCell ref="H376:I376"/>
    <mergeCell ref="J383:K383"/>
    <mergeCell ref="H383:I383"/>
    <mergeCell ref="J386:K386"/>
    <mergeCell ref="H386:I386"/>
    <mergeCell ref="A386:G386"/>
    <mergeCell ref="J390:K390"/>
    <mergeCell ref="H390:I390"/>
    <mergeCell ref="A390:G390"/>
    <mergeCell ref="A394:K394"/>
    <mergeCell ref="J404:K404"/>
    <mergeCell ref="H404:I404"/>
    <mergeCell ref="J413:K413"/>
    <mergeCell ref="H413:I413"/>
    <mergeCell ref="J423:K423"/>
    <mergeCell ref="H423:I423"/>
    <mergeCell ref="J432:K432"/>
    <mergeCell ref="H432:I432"/>
    <mergeCell ref="J444:K444"/>
    <mergeCell ref="H444:I444"/>
    <mergeCell ref="J454:K454"/>
    <mergeCell ref="H454:I454"/>
    <mergeCell ref="J460:K460"/>
    <mergeCell ref="H460:I460"/>
    <mergeCell ref="J469:K469"/>
    <mergeCell ref="H469:I469"/>
    <mergeCell ref="J476:K476"/>
    <mergeCell ref="H476:I476"/>
    <mergeCell ref="J483:K483"/>
    <mergeCell ref="H483:I483"/>
    <mergeCell ref="J486:K486"/>
    <mergeCell ref="H486:I486"/>
    <mergeCell ref="A486:G486"/>
    <mergeCell ref="A490:K490"/>
    <mergeCell ref="J496:K496"/>
    <mergeCell ref="H496:I496"/>
    <mergeCell ref="J500:K500"/>
    <mergeCell ref="H500:I500"/>
    <mergeCell ref="J503:K503"/>
    <mergeCell ref="H503:I503"/>
    <mergeCell ref="A503:G503"/>
    <mergeCell ref="J505:K505"/>
    <mergeCell ref="H505:I505"/>
    <mergeCell ref="A505:G505"/>
    <mergeCell ref="A507:K507"/>
    <mergeCell ref="J510:K510"/>
    <mergeCell ref="H510:I510"/>
    <mergeCell ref="J514:K514"/>
    <mergeCell ref="H514:I514"/>
    <mergeCell ref="J517:K517"/>
    <mergeCell ref="H517:I517"/>
    <mergeCell ref="A517:G517"/>
    <mergeCell ref="J521:K521"/>
    <mergeCell ref="H521:I521"/>
    <mergeCell ref="A521:G521"/>
    <mergeCell ref="J523:K523"/>
    <mergeCell ref="H523:I523"/>
    <mergeCell ref="A523:G523"/>
    <mergeCell ref="C524:G524"/>
    <mergeCell ref="H524:I524"/>
    <mergeCell ref="J524:K524"/>
    <mergeCell ref="C525:G525"/>
    <mergeCell ref="H525:I525"/>
    <mergeCell ref="J525:K525"/>
    <mergeCell ref="C526:G526"/>
    <mergeCell ref="H526:I526"/>
    <mergeCell ref="J526:K526"/>
    <mergeCell ref="C527:G527"/>
    <mergeCell ref="H527:I527"/>
    <mergeCell ref="J527:K527"/>
    <mergeCell ref="C528:G528"/>
    <mergeCell ref="H528:I528"/>
    <mergeCell ref="J528:K528"/>
    <mergeCell ref="C529:G529"/>
    <mergeCell ref="H529:I529"/>
    <mergeCell ref="J529:K529"/>
    <mergeCell ref="C530:G530"/>
    <mergeCell ref="H530:I530"/>
    <mergeCell ref="J530:K530"/>
    <mergeCell ref="C541:G541"/>
    <mergeCell ref="C534:G534"/>
    <mergeCell ref="H534:I534"/>
    <mergeCell ref="J534:K534"/>
    <mergeCell ref="A537:B537"/>
    <mergeCell ref="C538:G538"/>
    <mergeCell ref="A540:B540"/>
    <mergeCell ref="C531:G531"/>
    <mergeCell ref="H531:I531"/>
    <mergeCell ref="J531:K531"/>
    <mergeCell ref="C532:G532"/>
    <mergeCell ref="H532:I532"/>
    <mergeCell ref="J532:K532"/>
    <mergeCell ref="C533:G533"/>
    <mergeCell ref="H533:I533"/>
    <mergeCell ref="J533:K533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E2625"/>
  <sheetViews>
    <sheetView topLeftCell="A1245" zoomScaleNormal="100" workbookViewId="0">
      <selection activeCell="I23" sqref="I23"/>
    </sheetView>
  </sheetViews>
  <sheetFormatPr defaultColWidth="9.140625" defaultRowHeight="12.75" x14ac:dyDescent="0.2"/>
  <cols>
    <col min="1" max="1" width="5.7109375" style="160" customWidth="1"/>
    <col min="2" max="2" width="11.7109375" style="160" customWidth="1"/>
    <col min="3" max="3" width="40.7109375" style="160" customWidth="1"/>
    <col min="4" max="4" width="19.140625" style="160" customWidth="1"/>
    <col min="5" max="6" width="11.7109375" style="160" customWidth="1"/>
    <col min="7" max="7" width="12.7109375" style="160" customWidth="1"/>
    <col min="8" max="8" width="10.7109375" style="160" customWidth="1"/>
    <col min="9" max="11" width="12.7109375" style="160" customWidth="1"/>
    <col min="12" max="14" width="9.140625" style="160"/>
    <col min="15" max="30" width="0" style="160" hidden="1" customWidth="1"/>
    <col min="31" max="31" width="150.7109375" style="160" hidden="1" customWidth="1"/>
    <col min="32" max="36" width="0" style="160" hidden="1" customWidth="1"/>
    <col min="37" max="16384" width="9.140625" style="160"/>
  </cols>
  <sheetData>
    <row r="1" spans="1:31" x14ac:dyDescent="0.2">
      <c r="A1" s="200" t="s">
        <v>1523</v>
      </c>
    </row>
    <row r="2" spans="1:31" ht="14.25" x14ac:dyDescent="0.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61" t="s">
        <v>381</v>
      </c>
    </row>
    <row r="3" spans="1:31" ht="16.5" x14ac:dyDescent="0.25">
      <c r="A3" s="199"/>
      <c r="B3" s="428" t="s">
        <v>380</v>
      </c>
      <c r="C3" s="428"/>
      <c r="D3" s="428"/>
      <c r="E3" s="428"/>
      <c r="F3" s="161"/>
      <c r="G3" s="428" t="s">
        <v>0</v>
      </c>
      <c r="H3" s="428"/>
      <c r="I3" s="428"/>
      <c r="J3" s="428"/>
      <c r="K3" s="428"/>
    </row>
    <row r="4" spans="1:31" ht="14.25" x14ac:dyDescent="0.2">
      <c r="A4" s="161"/>
      <c r="B4" s="418"/>
      <c r="C4" s="418"/>
      <c r="D4" s="418"/>
      <c r="E4" s="418"/>
      <c r="F4" s="161"/>
      <c r="G4" s="418"/>
      <c r="H4" s="418"/>
      <c r="I4" s="418"/>
      <c r="J4" s="418"/>
      <c r="K4" s="418"/>
    </row>
    <row r="5" spans="1:31" ht="14.25" x14ac:dyDescent="0.2">
      <c r="A5" s="198"/>
      <c r="B5" s="198"/>
      <c r="C5" s="197"/>
      <c r="D5" s="197"/>
      <c r="E5" s="197"/>
      <c r="F5" s="161"/>
      <c r="G5" s="189"/>
      <c r="H5" s="197"/>
      <c r="I5" s="197"/>
      <c r="J5" s="197"/>
      <c r="K5" s="189"/>
    </row>
    <row r="6" spans="1:31" ht="14.25" x14ac:dyDescent="0.2">
      <c r="A6" s="189"/>
      <c r="B6" s="418" t="s">
        <v>1524</v>
      </c>
      <c r="C6" s="418"/>
      <c r="D6" s="418"/>
      <c r="E6" s="418"/>
      <c r="F6" s="161"/>
      <c r="G6" s="418" t="s">
        <v>1524</v>
      </c>
      <c r="H6" s="418"/>
      <c r="I6" s="418"/>
      <c r="J6" s="418"/>
      <c r="K6" s="418"/>
    </row>
    <row r="7" spans="1:31" ht="14.25" x14ac:dyDescent="0.2">
      <c r="A7" s="196"/>
      <c r="B7" s="429" t="s">
        <v>379</v>
      </c>
      <c r="C7" s="429"/>
      <c r="D7" s="429"/>
      <c r="E7" s="429"/>
      <c r="F7" s="161"/>
      <c r="G7" s="429" t="s">
        <v>379</v>
      </c>
      <c r="H7" s="429"/>
      <c r="I7" s="429"/>
      <c r="J7" s="429"/>
      <c r="K7" s="429"/>
    </row>
    <row r="9" spans="1:31" ht="14.25" x14ac:dyDescent="0.2">
      <c r="A9" s="161"/>
      <c r="B9" s="161"/>
      <c r="C9" s="161"/>
      <c r="D9" s="161"/>
      <c r="E9" s="161"/>
      <c r="F9" s="161"/>
      <c r="G9" s="161"/>
      <c r="H9" s="161"/>
      <c r="I9" s="161"/>
      <c r="J9" s="161"/>
      <c r="K9" s="161"/>
    </row>
    <row r="10" spans="1:31" ht="47.25" x14ac:dyDescent="0.25">
      <c r="A10" s="431" t="s">
        <v>3850</v>
      </c>
      <c r="B10" s="431"/>
      <c r="C10" s="431"/>
      <c r="D10" s="431"/>
      <c r="E10" s="431"/>
      <c r="F10" s="431"/>
      <c r="G10" s="431"/>
      <c r="H10" s="431"/>
      <c r="I10" s="431"/>
      <c r="J10" s="431"/>
      <c r="K10" s="431"/>
      <c r="AE10" s="252" t="str">
        <f>IF([8]Source!G12&lt;&gt;"Новый объект", [8]Source!G12,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32" t="s">
        <v>75</v>
      </c>
      <c r="B11" s="432"/>
      <c r="C11" s="432"/>
      <c r="D11" s="432"/>
      <c r="E11" s="432"/>
      <c r="F11" s="432"/>
      <c r="G11" s="432"/>
      <c r="H11" s="432"/>
      <c r="I11" s="432"/>
      <c r="J11" s="432"/>
      <c r="K11" s="432"/>
    </row>
    <row r="12" spans="1:31" ht="14.25" x14ac:dyDescent="0.2">
      <c r="A12" s="161"/>
      <c r="B12" s="161"/>
      <c r="C12" s="161"/>
      <c r="D12" s="161"/>
      <c r="E12" s="161"/>
      <c r="F12" s="161"/>
      <c r="G12" s="161"/>
      <c r="H12" s="161"/>
      <c r="I12" s="161"/>
      <c r="J12" s="161"/>
      <c r="K12" s="161"/>
    </row>
    <row r="13" spans="1:31" ht="15.75" x14ac:dyDescent="0.25">
      <c r="A13" s="431" t="s">
        <v>3886</v>
      </c>
      <c r="B13" s="433"/>
      <c r="C13" s="433"/>
      <c r="D13" s="433"/>
      <c r="E13" s="433"/>
      <c r="F13" s="433"/>
      <c r="G13" s="433"/>
      <c r="H13" s="433"/>
      <c r="I13" s="433"/>
      <c r="J13" s="433"/>
      <c r="K13" s="433"/>
    </row>
    <row r="14" spans="1:31" ht="14.25" x14ac:dyDescent="0.2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</row>
    <row r="15" spans="1:31" ht="18" x14ac:dyDescent="0.25">
      <c r="A15" s="434" t="s">
        <v>169</v>
      </c>
      <c r="B15" s="434"/>
      <c r="C15" s="434"/>
      <c r="D15" s="434"/>
      <c r="E15" s="434"/>
      <c r="F15" s="434"/>
      <c r="G15" s="434"/>
      <c r="H15" s="434"/>
      <c r="I15" s="434"/>
      <c r="J15" s="434"/>
      <c r="K15" s="434"/>
    </row>
    <row r="16" spans="1:31" x14ac:dyDescent="0.2">
      <c r="A16" s="425" t="s">
        <v>378</v>
      </c>
      <c r="B16" s="426"/>
      <c r="C16" s="426"/>
      <c r="D16" s="426"/>
      <c r="E16" s="426"/>
      <c r="F16" s="426"/>
      <c r="G16" s="426"/>
      <c r="H16" s="426"/>
      <c r="I16" s="426"/>
      <c r="J16" s="426"/>
      <c r="K16" s="426"/>
    </row>
    <row r="17" spans="1:31" ht="14.25" x14ac:dyDescent="0.2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</row>
    <row r="18" spans="1:31" ht="14.25" x14ac:dyDescent="0.2">
      <c r="A18" s="435" t="s">
        <v>2570</v>
      </c>
      <c r="B18" s="435"/>
      <c r="C18" s="435"/>
      <c r="D18" s="435"/>
      <c r="E18" s="435"/>
      <c r="F18" s="435"/>
      <c r="G18" s="435"/>
      <c r="H18" s="435"/>
      <c r="I18" s="435"/>
      <c r="J18" s="435"/>
      <c r="K18" s="435"/>
    </row>
    <row r="19" spans="1:31" ht="14.25" x14ac:dyDescent="0.2">
      <c r="A19" s="195"/>
      <c r="B19" s="195"/>
      <c r="C19" s="195"/>
      <c r="D19" s="195"/>
      <c r="E19" s="195"/>
      <c r="F19" s="195"/>
      <c r="G19" s="195"/>
      <c r="H19" s="195"/>
      <c r="I19" s="195"/>
      <c r="J19" s="195"/>
      <c r="K19" s="195"/>
    </row>
    <row r="20" spans="1:31" ht="28.5" x14ac:dyDescent="0.2">
      <c r="A20" s="161"/>
      <c r="B20" s="161"/>
      <c r="C20" s="161"/>
      <c r="D20" s="161"/>
      <c r="E20" s="161"/>
      <c r="F20" s="161"/>
      <c r="G20" s="161"/>
      <c r="H20" s="161"/>
      <c r="I20" s="192" t="s">
        <v>377</v>
      </c>
      <c r="J20" s="192" t="s">
        <v>376</v>
      </c>
      <c r="K20" s="161"/>
    </row>
    <row r="21" spans="1:31" ht="15" x14ac:dyDescent="0.25">
      <c r="A21" s="161"/>
      <c r="B21" s="161"/>
      <c r="C21" s="274"/>
      <c r="D21" s="161"/>
      <c r="E21" s="161"/>
      <c r="F21" s="427" t="s">
        <v>375</v>
      </c>
      <c r="G21" s="427"/>
      <c r="H21" s="427"/>
      <c r="I21" s="191">
        <v>5501.3</v>
      </c>
      <c r="J21" s="191">
        <v>29673.4</v>
      </c>
      <c r="K21" s="190" t="s">
        <v>366</v>
      </c>
    </row>
    <row r="22" spans="1:31" ht="14.25" x14ac:dyDescent="0.2">
      <c r="A22" s="161"/>
      <c r="B22" s="161"/>
      <c r="C22" s="161"/>
      <c r="D22" s="161"/>
      <c r="E22" s="161"/>
      <c r="F22" s="418" t="s">
        <v>374</v>
      </c>
      <c r="G22" s="418"/>
      <c r="H22" s="418"/>
      <c r="I22" s="186">
        <v>1731.46</v>
      </c>
      <c r="J22" s="186">
        <v>11758.6</v>
      </c>
      <c r="K22" s="161" t="s">
        <v>366</v>
      </c>
    </row>
    <row r="23" spans="1:31" ht="14.25" x14ac:dyDescent="0.2">
      <c r="A23" s="161"/>
      <c r="B23" s="161"/>
      <c r="C23" s="161"/>
      <c r="D23" s="161"/>
      <c r="E23" s="161"/>
      <c r="F23" s="418" t="s">
        <v>373</v>
      </c>
      <c r="G23" s="418"/>
      <c r="H23" s="418"/>
      <c r="I23" s="186">
        <v>137.16999999999999</v>
      </c>
      <c r="J23" s="186">
        <v>1331.08</v>
      </c>
      <c r="K23" s="161" t="s">
        <v>366</v>
      </c>
    </row>
    <row r="24" spans="1:31" ht="14.25" x14ac:dyDescent="0.2">
      <c r="A24" s="161"/>
      <c r="B24" s="161"/>
      <c r="C24" s="161"/>
      <c r="D24" s="161"/>
      <c r="E24" s="161"/>
      <c r="F24" s="418" t="s">
        <v>106</v>
      </c>
      <c r="G24" s="418"/>
      <c r="H24" s="418"/>
      <c r="I24" s="186">
        <v>3597.76</v>
      </c>
      <c r="J24" s="186">
        <v>15894.07</v>
      </c>
      <c r="K24" s="161" t="s">
        <v>366</v>
      </c>
    </row>
    <row r="25" spans="1:31" ht="14.25" x14ac:dyDescent="0.2">
      <c r="A25" s="161"/>
      <c r="B25" s="161"/>
      <c r="C25" s="161"/>
      <c r="D25" s="161"/>
      <c r="E25" s="161"/>
      <c r="F25" s="418" t="s">
        <v>372</v>
      </c>
      <c r="G25" s="418"/>
      <c r="H25" s="418"/>
      <c r="I25" s="186">
        <v>34.909999999999997</v>
      </c>
      <c r="J25" s="186">
        <v>689.65</v>
      </c>
      <c r="K25" s="161" t="s">
        <v>366</v>
      </c>
    </row>
    <row r="26" spans="1:31" ht="14.25" x14ac:dyDescent="0.2">
      <c r="A26" s="161"/>
      <c r="B26" s="161"/>
      <c r="C26" s="161"/>
      <c r="D26" s="161"/>
      <c r="E26" s="161"/>
      <c r="F26" s="418" t="s">
        <v>371</v>
      </c>
      <c r="G26" s="418"/>
      <c r="H26" s="418"/>
      <c r="I26" s="186">
        <v>143.78</v>
      </c>
      <c r="J26" s="186">
        <v>3357.16</v>
      </c>
      <c r="K26" s="161" t="s">
        <v>366</v>
      </c>
    </row>
    <row r="27" spans="1:31" ht="14.25" x14ac:dyDescent="0.2">
      <c r="A27" s="161"/>
      <c r="B27" s="161"/>
      <c r="C27" s="161"/>
      <c r="D27" s="161"/>
      <c r="E27" s="161"/>
      <c r="F27" s="418" t="s">
        <v>370</v>
      </c>
      <c r="G27" s="418"/>
      <c r="H27" s="418"/>
      <c r="I27" s="186">
        <v>11201.75</v>
      </c>
      <c r="J27" s="186"/>
      <c r="K27" s="161" t="s">
        <v>369</v>
      </c>
    </row>
    <row r="28" spans="1:31" ht="14.25" x14ac:dyDescent="0.2">
      <c r="A28" s="161"/>
      <c r="B28" s="161"/>
      <c r="C28" s="161"/>
      <c r="D28" s="161"/>
      <c r="E28" s="161"/>
      <c r="F28" s="188" t="s">
        <v>368</v>
      </c>
      <c r="G28" s="188"/>
      <c r="H28" s="188"/>
      <c r="I28" s="186"/>
      <c r="J28" s="186"/>
      <c r="K28" s="161"/>
    </row>
    <row r="29" spans="1:31" ht="14.25" x14ac:dyDescent="0.2">
      <c r="A29" s="161"/>
      <c r="B29" s="161"/>
      <c r="C29" s="161"/>
      <c r="D29" s="161"/>
      <c r="E29" s="161"/>
      <c r="F29" s="419" t="s">
        <v>367</v>
      </c>
      <c r="G29" s="420"/>
      <c r="H29" s="420"/>
      <c r="I29" s="186">
        <v>-16.760000000000002</v>
      </c>
      <c r="J29" s="186">
        <v>-86.64</v>
      </c>
      <c r="K29" s="161" t="s">
        <v>366</v>
      </c>
    </row>
    <row r="30" spans="1:31" ht="14.25" x14ac:dyDescent="0.2">
      <c r="A30" s="161"/>
      <c r="B30" s="161"/>
      <c r="C30" s="161"/>
      <c r="D30" s="161"/>
      <c r="E30" s="161"/>
      <c r="F30" s="189"/>
      <c r="G30" s="189"/>
      <c r="H30" s="189"/>
      <c r="I30" s="186"/>
      <c r="J30" s="186"/>
      <c r="K30" s="161"/>
    </row>
    <row r="31" spans="1:31" ht="14.25" x14ac:dyDescent="0.2">
      <c r="A31" s="161" t="s">
        <v>365</v>
      </c>
      <c r="B31" s="161"/>
      <c r="C31" s="161"/>
      <c r="D31" s="161"/>
      <c r="E31" s="161"/>
      <c r="F31" s="189"/>
      <c r="G31" s="189"/>
      <c r="H31" s="189"/>
      <c r="I31" s="186"/>
      <c r="J31" s="186"/>
      <c r="K31" s="161"/>
    </row>
    <row r="32" spans="1:31" ht="28.5" x14ac:dyDescent="0.2">
      <c r="A32" s="435" t="s">
        <v>364</v>
      </c>
      <c r="B32" s="435"/>
      <c r="C32" s="435"/>
      <c r="D32" s="435"/>
      <c r="E32" s="435"/>
      <c r="F32" s="435"/>
      <c r="G32" s="435"/>
      <c r="H32" s="435"/>
      <c r="I32" s="435"/>
      <c r="J32" s="435"/>
      <c r="K32" s="435"/>
      <c r="AE32" s="251" t="s">
        <v>364</v>
      </c>
    </row>
    <row r="33" spans="1:22" ht="85.5" x14ac:dyDescent="0.2">
      <c r="A33" s="183" t="s">
        <v>81</v>
      </c>
      <c r="B33" s="183" t="s">
        <v>363</v>
      </c>
      <c r="C33" s="183" t="s">
        <v>83</v>
      </c>
      <c r="D33" s="183" t="s">
        <v>362</v>
      </c>
      <c r="E33" s="183" t="s">
        <v>361</v>
      </c>
      <c r="F33" s="183" t="s">
        <v>360</v>
      </c>
      <c r="G33" s="184" t="s">
        <v>359</v>
      </c>
      <c r="H33" s="184" t="s">
        <v>358</v>
      </c>
      <c r="I33" s="183" t="s">
        <v>357</v>
      </c>
      <c r="J33" s="183" t="s">
        <v>356</v>
      </c>
      <c r="K33" s="183" t="s">
        <v>355</v>
      </c>
    </row>
    <row r="34" spans="1:22" ht="14.25" x14ac:dyDescent="0.2">
      <c r="A34" s="183">
        <v>1</v>
      </c>
      <c r="B34" s="183">
        <v>2</v>
      </c>
      <c r="C34" s="183">
        <v>3</v>
      </c>
      <c r="D34" s="183">
        <v>4</v>
      </c>
      <c r="E34" s="183">
        <v>5</v>
      </c>
      <c r="F34" s="183">
        <v>6</v>
      </c>
      <c r="G34" s="183">
        <v>7</v>
      </c>
      <c r="H34" s="183">
        <v>8</v>
      </c>
      <c r="I34" s="183">
        <v>9</v>
      </c>
      <c r="J34" s="183">
        <v>10</v>
      </c>
      <c r="K34" s="183">
        <v>11</v>
      </c>
    </row>
    <row r="36" spans="1:22" ht="16.5" x14ac:dyDescent="0.25">
      <c r="A36" s="413" t="s">
        <v>2571</v>
      </c>
      <c r="B36" s="413"/>
      <c r="C36" s="413"/>
      <c r="D36" s="413"/>
      <c r="E36" s="413"/>
      <c r="F36" s="413"/>
      <c r="G36" s="413"/>
      <c r="H36" s="413"/>
      <c r="I36" s="413"/>
      <c r="J36" s="413"/>
      <c r="K36" s="413"/>
    </row>
    <row r="38" spans="1:22" ht="16.5" x14ac:dyDescent="0.25">
      <c r="A38" s="413" t="s">
        <v>2572</v>
      </c>
      <c r="B38" s="413"/>
      <c r="C38" s="413"/>
      <c r="D38" s="413"/>
      <c r="E38" s="413"/>
      <c r="F38" s="413"/>
      <c r="G38" s="413"/>
      <c r="H38" s="413"/>
      <c r="I38" s="413"/>
      <c r="J38" s="413"/>
      <c r="K38" s="413"/>
    </row>
    <row r="39" spans="1:22" ht="14.25" x14ac:dyDescent="0.2">
      <c r="A39" s="179" t="s">
        <v>719</v>
      </c>
      <c r="B39" s="178" t="s">
        <v>2573</v>
      </c>
      <c r="C39" s="178" t="s">
        <v>1108</v>
      </c>
      <c r="D39" s="177" t="s">
        <v>1536</v>
      </c>
      <c r="E39" s="174">
        <v>1.39</v>
      </c>
      <c r="F39" s="176"/>
      <c r="G39" s="175"/>
      <c r="H39" s="174"/>
      <c r="I39" s="173"/>
      <c r="J39" s="174"/>
      <c r="K39" s="173"/>
      <c r="Q39" s="160">
        <f>[8]Source!X32</f>
        <v>1434.82</v>
      </c>
      <c r="R39" s="160">
        <f>[8]Source!X33</f>
        <v>28477.67</v>
      </c>
      <c r="S39" s="160">
        <f>[8]Source!Y32</f>
        <v>986.44</v>
      </c>
      <c r="T39" s="160">
        <f>[8]Source!Y33</f>
        <v>17170.36</v>
      </c>
      <c r="U39" s="160">
        <f>ROUND((175/100)*ROUND([8]Source!R32, 2), 2)</f>
        <v>0</v>
      </c>
      <c r="V39" s="160">
        <f>ROUND((157/100)*ROUND([8]Source!R33, 2), 2)</f>
        <v>0</v>
      </c>
    </row>
    <row r="40" spans="1:22" x14ac:dyDescent="0.2">
      <c r="C40" s="181" t="s">
        <v>2574</v>
      </c>
    </row>
    <row r="41" spans="1:22" ht="14.25" x14ac:dyDescent="0.2">
      <c r="A41" s="179"/>
      <c r="B41" s="178"/>
      <c r="C41" s="178" t="s">
        <v>197</v>
      </c>
      <c r="D41" s="177"/>
      <c r="E41" s="174"/>
      <c r="F41" s="176">
        <v>1290.31</v>
      </c>
      <c r="G41" s="175" t="s">
        <v>195</v>
      </c>
      <c r="H41" s="174">
        <v>1</v>
      </c>
      <c r="I41" s="173">
        <v>1793.53</v>
      </c>
      <c r="J41" s="174">
        <v>23.35</v>
      </c>
      <c r="K41" s="173">
        <v>41878.93</v>
      </c>
    </row>
    <row r="42" spans="1:22" ht="28.5" x14ac:dyDescent="0.2">
      <c r="A42" s="179" t="s">
        <v>1531</v>
      </c>
      <c r="B42" s="178" t="s">
        <v>1532</v>
      </c>
      <c r="C42" s="178" t="s">
        <v>351</v>
      </c>
      <c r="D42" s="177" t="s">
        <v>1533</v>
      </c>
      <c r="E42" s="174">
        <v>-11.12</v>
      </c>
      <c r="F42" s="176">
        <v>0</v>
      </c>
      <c r="G42" s="182" t="s">
        <v>195</v>
      </c>
      <c r="H42" s="174">
        <v>1</v>
      </c>
      <c r="I42" s="173">
        <v>0</v>
      </c>
      <c r="J42" s="174">
        <v>5.42</v>
      </c>
      <c r="K42" s="173">
        <v>0</v>
      </c>
      <c r="Q42" s="160">
        <f>[8]Source!X34</f>
        <v>0</v>
      </c>
      <c r="R42" s="160">
        <f>[8]Source!X35</f>
        <v>0</v>
      </c>
      <c r="S42" s="160">
        <f>[8]Source!Y34</f>
        <v>0</v>
      </c>
      <c r="T42" s="160">
        <f>[8]Source!Y35</f>
        <v>0</v>
      </c>
      <c r="U42" s="160">
        <f>ROUND((175/100)*ROUND([8]Source!R34, 2), 2)</f>
        <v>0</v>
      </c>
      <c r="V42" s="160">
        <f>ROUND((157/100)*ROUND([8]Source!R35, 2), 2)</f>
        <v>0</v>
      </c>
    </row>
    <row r="43" spans="1:22" ht="14.25" x14ac:dyDescent="0.2">
      <c r="A43" s="179"/>
      <c r="B43" s="178"/>
      <c r="C43" s="178" t="s">
        <v>194</v>
      </c>
      <c r="D43" s="177" t="s">
        <v>187</v>
      </c>
      <c r="E43" s="174">
        <v>80</v>
      </c>
      <c r="F43" s="176"/>
      <c r="G43" s="175"/>
      <c r="H43" s="174"/>
      <c r="I43" s="173">
        <v>1434.82</v>
      </c>
      <c r="J43" s="174">
        <v>68</v>
      </c>
      <c r="K43" s="173">
        <v>28477.67</v>
      </c>
    </row>
    <row r="44" spans="1:22" ht="14.25" x14ac:dyDescent="0.2">
      <c r="A44" s="179"/>
      <c r="B44" s="178"/>
      <c r="C44" s="178" t="s">
        <v>193</v>
      </c>
      <c r="D44" s="177" t="s">
        <v>187</v>
      </c>
      <c r="E44" s="174">
        <v>55</v>
      </c>
      <c r="F44" s="176"/>
      <c r="G44" s="175"/>
      <c r="H44" s="174"/>
      <c r="I44" s="173">
        <v>986.44</v>
      </c>
      <c r="J44" s="174">
        <v>41</v>
      </c>
      <c r="K44" s="173">
        <v>17170.36</v>
      </c>
    </row>
    <row r="45" spans="1:22" ht="14.25" x14ac:dyDescent="0.2">
      <c r="A45" s="242"/>
      <c r="B45" s="241"/>
      <c r="C45" s="241" t="s">
        <v>192</v>
      </c>
      <c r="D45" s="240" t="s">
        <v>191</v>
      </c>
      <c r="E45" s="238">
        <v>120.59</v>
      </c>
      <c r="F45" s="253"/>
      <c r="G45" s="239" t="s">
        <v>195</v>
      </c>
      <c r="H45" s="238">
        <v>1</v>
      </c>
      <c r="I45" s="237">
        <v>167.62</v>
      </c>
      <c r="J45" s="238"/>
      <c r="K45" s="237"/>
    </row>
    <row r="46" spans="1:22" ht="15" x14ac:dyDescent="0.25">
      <c r="A46" s="235"/>
      <c r="B46" s="235"/>
      <c r="C46" s="236" t="s">
        <v>183</v>
      </c>
      <c r="D46" s="235"/>
      <c r="E46" s="235"/>
      <c r="F46" s="235"/>
      <c r="G46" s="235"/>
      <c r="H46" s="436">
        <v>4214.79</v>
      </c>
      <c r="I46" s="436"/>
      <c r="J46" s="436">
        <v>87526.96</v>
      </c>
      <c r="K46" s="436"/>
      <c r="O46" s="163">
        <f>I41+I43+I44+SUM(I42:I42)</f>
        <v>4214.79</v>
      </c>
      <c r="P46" s="163">
        <f>K41+K43+K44+SUM(K42:K42)</f>
        <v>87526.96</v>
      </c>
    </row>
    <row r="48" spans="1:22" ht="42.75" x14ac:dyDescent="0.2">
      <c r="A48" s="179" t="s">
        <v>1534</v>
      </c>
      <c r="B48" s="178" t="s">
        <v>2575</v>
      </c>
      <c r="C48" s="178" t="s">
        <v>1107</v>
      </c>
      <c r="D48" s="177" t="s">
        <v>1686</v>
      </c>
      <c r="E48" s="174">
        <v>17.93</v>
      </c>
      <c r="F48" s="176"/>
      <c r="G48" s="175"/>
      <c r="H48" s="174"/>
      <c r="I48" s="173"/>
      <c r="J48" s="174"/>
      <c r="K48" s="173"/>
      <c r="Q48" s="160">
        <f>[8]Source!X36</f>
        <v>6377.98</v>
      </c>
      <c r="R48" s="160">
        <f>[8]Source!X37</f>
        <v>126587.04</v>
      </c>
      <c r="S48" s="160">
        <f>[8]Source!Y36</f>
        <v>4384.8599999999997</v>
      </c>
      <c r="T48" s="160">
        <f>[8]Source!Y37</f>
        <v>76324.539999999994</v>
      </c>
      <c r="U48" s="160">
        <f>ROUND((175/100)*ROUND([8]Source!R36, 2), 2)</f>
        <v>13.18</v>
      </c>
      <c r="V48" s="160">
        <f>ROUND((157/100)*ROUND([8]Source!R37, 2), 2)</f>
        <v>276.05</v>
      </c>
    </row>
    <row r="49" spans="1:22" ht="25.5" x14ac:dyDescent="0.2">
      <c r="C49" s="181" t="s">
        <v>2576</v>
      </c>
    </row>
    <row r="50" spans="1:22" ht="14.25" x14ac:dyDescent="0.2">
      <c r="A50" s="179"/>
      <c r="B50" s="178"/>
      <c r="C50" s="178" t="s">
        <v>197</v>
      </c>
      <c r="D50" s="177"/>
      <c r="E50" s="174"/>
      <c r="F50" s="176">
        <v>542.25</v>
      </c>
      <c r="G50" s="175" t="s">
        <v>2577</v>
      </c>
      <c r="H50" s="174">
        <v>1</v>
      </c>
      <c r="I50" s="173">
        <v>7972.48</v>
      </c>
      <c r="J50" s="174">
        <v>23.35</v>
      </c>
      <c r="K50" s="173">
        <v>186157.41</v>
      </c>
    </row>
    <row r="51" spans="1:22" ht="14.25" x14ac:dyDescent="0.2">
      <c r="A51" s="179"/>
      <c r="B51" s="178"/>
      <c r="C51" s="178" t="s">
        <v>184</v>
      </c>
      <c r="D51" s="177"/>
      <c r="E51" s="174"/>
      <c r="F51" s="176">
        <v>5.12</v>
      </c>
      <c r="G51" s="175" t="s">
        <v>195</v>
      </c>
      <c r="H51" s="174">
        <v>1</v>
      </c>
      <c r="I51" s="173">
        <v>91.8</v>
      </c>
      <c r="J51" s="174">
        <v>6.83</v>
      </c>
      <c r="K51" s="173">
        <v>626.99</v>
      </c>
    </row>
    <row r="52" spans="1:22" ht="14.25" x14ac:dyDescent="0.2">
      <c r="A52" s="179"/>
      <c r="B52" s="178"/>
      <c r="C52" s="178" t="s">
        <v>189</v>
      </c>
      <c r="D52" s="177"/>
      <c r="E52" s="174"/>
      <c r="F52" s="176">
        <v>0.42</v>
      </c>
      <c r="G52" s="175" t="s">
        <v>195</v>
      </c>
      <c r="H52" s="174">
        <v>1</v>
      </c>
      <c r="I52" s="180">
        <v>7.53</v>
      </c>
      <c r="J52" s="174">
        <v>23.35</v>
      </c>
      <c r="K52" s="180">
        <v>175.83</v>
      </c>
    </row>
    <row r="53" spans="1:22" ht="14.25" x14ac:dyDescent="0.2">
      <c r="A53" s="179"/>
      <c r="B53" s="178"/>
      <c r="C53" s="178" t="s">
        <v>205</v>
      </c>
      <c r="D53" s="177"/>
      <c r="E53" s="174"/>
      <c r="F53" s="176">
        <v>40.24</v>
      </c>
      <c r="G53" s="175" t="s">
        <v>195</v>
      </c>
      <c r="H53" s="174">
        <v>1</v>
      </c>
      <c r="I53" s="173">
        <v>721.5</v>
      </c>
      <c r="J53" s="174">
        <v>7.33</v>
      </c>
      <c r="K53" s="173">
        <v>5288.6</v>
      </c>
    </row>
    <row r="54" spans="1:22" ht="28.5" x14ac:dyDescent="0.2">
      <c r="A54" s="179" t="s">
        <v>1538</v>
      </c>
      <c r="B54" s="178" t="s">
        <v>1532</v>
      </c>
      <c r="C54" s="178" t="s">
        <v>351</v>
      </c>
      <c r="D54" s="177" t="s">
        <v>1533</v>
      </c>
      <c r="E54" s="174">
        <v>-8.1402199999999993</v>
      </c>
      <c r="F54" s="176">
        <v>0</v>
      </c>
      <c r="G54" s="182" t="s">
        <v>195</v>
      </c>
      <c r="H54" s="174">
        <v>1</v>
      </c>
      <c r="I54" s="173">
        <v>0</v>
      </c>
      <c r="J54" s="174">
        <v>5.42</v>
      </c>
      <c r="K54" s="173">
        <v>0</v>
      </c>
      <c r="Q54" s="160">
        <f>[8]Source!X38</f>
        <v>0</v>
      </c>
      <c r="R54" s="160">
        <f>[8]Source!X39</f>
        <v>0</v>
      </c>
      <c r="S54" s="160">
        <f>[8]Source!Y38</f>
        <v>0</v>
      </c>
      <c r="T54" s="160">
        <f>[8]Source!Y39</f>
        <v>0</v>
      </c>
      <c r="U54" s="160">
        <f>ROUND((175/100)*ROUND([8]Source!R38, 2), 2)</f>
        <v>0</v>
      </c>
      <c r="V54" s="160">
        <f>ROUND((157/100)*ROUND([8]Source!R39, 2), 2)</f>
        <v>0</v>
      </c>
    </row>
    <row r="55" spans="1:22" ht="14.25" x14ac:dyDescent="0.2">
      <c r="A55" s="179"/>
      <c r="B55" s="178"/>
      <c r="C55" s="178" t="s">
        <v>194</v>
      </c>
      <c r="D55" s="177" t="s">
        <v>187</v>
      </c>
      <c r="E55" s="174">
        <v>80</v>
      </c>
      <c r="F55" s="176"/>
      <c r="G55" s="175"/>
      <c r="H55" s="174"/>
      <c r="I55" s="173">
        <v>6377.98</v>
      </c>
      <c r="J55" s="174">
        <v>68</v>
      </c>
      <c r="K55" s="173">
        <v>126587.04</v>
      </c>
    </row>
    <row r="56" spans="1:22" ht="14.25" x14ac:dyDescent="0.2">
      <c r="A56" s="179"/>
      <c r="B56" s="178"/>
      <c r="C56" s="178" t="s">
        <v>193</v>
      </c>
      <c r="D56" s="177" t="s">
        <v>187</v>
      </c>
      <c r="E56" s="174">
        <v>55</v>
      </c>
      <c r="F56" s="176"/>
      <c r="G56" s="175"/>
      <c r="H56" s="174"/>
      <c r="I56" s="173">
        <v>4384.8599999999997</v>
      </c>
      <c r="J56" s="174">
        <v>41</v>
      </c>
      <c r="K56" s="173">
        <v>76324.539999999994</v>
      </c>
    </row>
    <row r="57" spans="1:22" ht="14.25" x14ac:dyDescent="0.2">
      <c r="A57" s="179"/>
      <c r="B57" s="178"/>
      <c r="C57" s="178" t="s">
        <v>188</v>
      </c>
      <c r="D57" s="177" t="s">
        <v>187</v>
      </c>
      <c r="E57" s="174">
        <v>175</v>
      </c>
      <c r="F57" s="176"/>
      <c r="G57" s="175"/>
      <c r="H57" s="174"/>
      <c r="I57" s="173">
        <v>13.18</v>
      </c>
      <c r="J57" s="174">
        <v>157</v>
      </c>
      <c r="K57" s="173">
        <v>276.05</v>
      </c>
    </row>
    <row r="58" spans="1:22" ht="14.25" x14ac:dyDescent="0.2">
      <c r="A58" s="242"/>
      <c r="B58" s="241"/>
      <c r="C58" s="241" t="s">
        <v>192</v>
      </c>
      <c r="D58" s="240" t="s">
        <v>191</v>
      </c>
      <c r="E58" s="238">
        <v>49.34</v>
      </c>
      <c r="F58" s="253"/>
      <c r="G58" s="239" t="s">
        <v>2577</v>
      </c>
      <c r="H58" s="238">
        <v>1</v>
      </c>
      <c r="I58" s="237">
        <v>725.43</v>
      </c>
      <c r="J58" s="238"/>
      <c r="K58" s="237"/>
    </row>
    <row r="59" spans="1:22" ht="15" x14ac:dyDescent="0.25">
      <c r="A59" s="235"/>
      <c r="B59" s="235"/>
      <c r="C59" s="236" t="s">
        <v>183</v>
      </c>
      <c r="D59" s="235"/>
      <c r="E59" s="235"/>
      <c r="F59" s="235"/>
      <c r="G59" s="235"/>
      <c r="H59" s="436">
        <v>19561.8</v>
      </c>
      <c r="I59" s="436"/>
      <c r="J59" s="436">
        <v>395260.63</v>
      </c>
      <c r="K59" s="436"/>
      <c r="O59" s="163">
        <f>I50+I51+I53+I55+I56+I57+SUM(I54:I54)</f>
        <v>19561.8</v>
      </c>
      <c r="P59" s="163">
        <f>K50+K51+K53+K55+K56+K57+SUM(K54:K54)</f>
        <v>395260.63</v>
      </c>
    </row>
    <row r="61" spans="1:22" ht="42.75" x14ac:dyDescent="0.2">
      <c r="A61" s="179" t="s">
        <v>104</v>
      </c>
      <c r="B61" s="178" t="s">
        <v>2578</v>
      </c>
      <c r="C61" s="178" t="s">
        <v>1106</v>
      </c>
      <c r="D61" s="177" t="s">
        <v>1686</v>
      </c>
      <c r="E61" s="174">
        <v>0.9</v>
      </c>
      <c r="F61" s="176"/>
      <c r="G61" s="175"/>
      <c r="H61" s="174"/>
      <c r="I61" s="173"/>
      <c r="J61" s="174"/>
      <c r="K61" s="173"/>
      <c r="Q61" s="160">
        <f>[8]Source!X40</f>
        <v>483.58</v>
      </c>
      <c r="R61" s="160">
        <f>[8]Source!X41</f>
        <v>9597.93</v>
      </c>
      <c r="S61" s="160">
        <f>[8]Source!Y40</f>
        <v>332.46</v>
      </c>
      <c r="T61" s="160">
        <f>[8]Source!Y41</f>
        <v>5786.99</v>
      </c>
      <c r="U61" s="160">
        <f>ROUND((175/100)*ROUND([8]Source!R40, 2), 2)</f>
        <v>1.66</v>
      </c>
      <c r="V61" s="160">
        <f>ROUND((157/100)*ROUND([8]Source!R41, 2), 2)</f>
        <v>34.82</v>
      </c>
    </row>
    <row r="62" spans="1:22" x14ac:dyDescent="0.2">
      <c r="C62" s="181" t="s">
        <v>2153</v>
      </c>
    </row>
    <row r="63" spans="1:22" ht="14.25" x14ac:dyDescent="0.2">
      <c r="A63" s="179"/>
      <c r="B63" s="178"/>
      <c r="C63" s="178" t="s">
        <v>197</v>
      </c>
      <c r="D63" s="177"/>
      <c r="E63" s="174"/>
      <c r="F63" s="176">
        <v>819.08</v>
      </c>
      <c r="G63" s="175" t="s">
        <v>2577</v>
      </c>
      <c r="H63" s="174">
        <v>1</v>
      </c>
      <c r="I63" s="173">
        <v>604.48</v>
      </c>
      <c r="J63" s="174">
        <v>23.35</v>
      </c>
      <c r="K63" s="173">
        <v>14114.61</v>
      </c>
    </row>
    <row r="64" spans="1:22" ht="14.25" x14ac:dyDescent="0.2">
      <c r="A64" s="179"/>
      <c r="B64" s="178"/>
      <c r="C64" s="178" t="s">
        <v>184</v>
      </c>
      <c r="D64" s="177"/>
      <c r="E64" s="174"/>
      <c r="F64" s="176">
        <v>12.77</v>
      </c>
      <c r="G64" s="175" t="s">
        <v>195</v>
      </c>
      <c r="H64" s="174">
        <v>1</v>
      </c>
      <c r="I64" s="173">
        <v>11.49</v>
      </c>
      <c r="J64" s="174">
        <v>6.83</v>
      </c>
      <c r="K64" s="173">
        <v>78.48</v>
      </c>
    </row>
    <row r="65" spans="1:22" ht="14.25" x14ac:dyDescent="0.2">
      <c r="A65" s="179"/>
      <c r="B65" s="178"/>
      <c r="C65" s="178" t="s">
        <v>189</v>
      </c>
      <c r="D65" s="177"/>
      <c r="E65" s="174"/>
      <c r="F65" s="176">
        <v>1.05</v>
      </c>
      <c r="G65" s="175" t="s">
        <v>195</v>
      </c>
      <c r="H65" s="174">
        <v>1</v>
      </c>
      <c r="I65" s="180">
        <v>0.95</v>
      </c>
      <c r="J65" s="174">
        <v>23.35</v>
      </c>
      <c r="K65" s="180">
        <v>22.18</v>
      </c>
    </row>
    <row r="66" spans="1:22" ht="14.25" x14ac:dyDescent="0.2">
      <c r="A66" s="179"/>
      <c r="B66" s="178"/>
      <c r="C66" s="178" t="s">
        <v>205</v>
      </c>
      <c r="D66" s="177"/>
      <c r="E66" s="174"/>
      <c r="F66" s="176">
        <v>77.45</v>
      </c>
      <c r="G66" s="175" t="s">
        <v>195</v>
      </c>
      <c r="H66" s="174">
        <v>1</v>
      </c>
      <c r="I66" s="173">
        <v>69.709999999999994</v>
      </c>
      <c r="J66" s="174">
        <v>7.33</v>
      </c>
      <c r="K66" s="173">
        <v>510.97</v>
      </c>
    </row>
    <row r="67" spans="1:22" ht="28.5" x14ac:dyDescent="0.2">
      <c r="A67" s="179" t="s">
        <v>1542</v>
      </c>
      <c r="B67" s="178" t="s">
        <v>1532</v>
      </c>
      <c r="C67" s="178" t="s">
        <v>351</v>
      </c>
      <c r="D67" s="177" t="s">
        <v>1533</v>
      </c>
      <c r="E67" s="174">
        <v>-0.9</v>
      </c>
      <c r="F67" s="176">
        <v>0</v>
      </c>
      <c r="G67" s="182" t="s">
        <v>195</v>
      </c>
      <c r="H67" s="174">
        <v>1</v>
      </c>
      <c r="I67" s="173">
        <v>0</v>
      </c>
      <c r="J67" s="174">
        <v>5.42</v>
      </c>
      <c r="K67" s="173">
        <v>0</v>
      </c>
      <c r="Q67" s="160">
        <f>[8]Source!X42</f>
        <v>0</v>
      </c>
      <c r="R67" s="160">
        <f>[8]Source!X43</f>
        <v>0</v>
      </c>
      <c r="S67" s="160">
        <f>[8]Source!Y42</f>
        <v>0</v>
      </c>
      <c r="T67" s="160">
        <f>[8]Source!Y43</f>
        <v>0</v>
      </c>
      <c r="U67" s="160">
        <f>ROUND((175/100)*ROUND([8]Source!R42, 2), 2)</f>
        <v>0</v>
      </c>
      <c r="V67" s="160">
        <f>ROUND((157/100)*ROUND([8]Source!R43, 2), 2)</f>
        <v>0</v>
      </c>
    </row>
    <row r="68" spans="1:22" ht="14.25" x14ac:dyDescent="0.2">
      <c r="A68" s="179"/>
      <c r="B68" s="178"/>
      <c r="C68" s="178" t="s">
        <v>194</v>
      </c>
      <c r="D68" s="177" t="s">
        <v>187</v>
      </c>
      <c r="E68" s="174">
        <v>80</v>
      </c>
      <c r="F68" s="176"/>
      <c r="G68" s="175"/>
      <c r="H68" s="174"/>
      <c r="I68" s="173">
        <v>483.58</v>
      </c>
      <c r="J68" s="174">
        <v>68</v>
      </c>
      <c r="K68" s="173">
        <v>9597.93</v>
      </c>
    </row>
    <row r="69" spans="1:22" ht="14.25" x14ac:dyDescent="0.2">
      <c r="A69" s="179"/>
      <c r="B69" s="178"/>
      <c r="C69" s="178" t="s">
        <v>193</v>
      </c>
      <c r="D69" s="177" t="s">
        <v>187</v>
      </c>
      <c r="E69" s="174">
        <v>55</v>
      </c>
      <c r="F69" s="176"/>
      <c r="G69" s="175"/>
      <c r="H69" s="174"/>
      <c r="I69" s="173">
        <v>332.46</v>
      </c>
      <c r="J69" s="174">
        <v>41</v>
      </c>
      <c r="K69" s="173">
        <v>5786.99</v>
      </c>
    </row>
    <row r="70" spans="1:22" ht="14.25" x14ac:dyDescent="0.2">
      <c r="A70" s="179"/>
      <c r="B70" s="178"/>
      <c r="C70" s="178" t="s">
        <v>188</v>
      </c>
      <c r="D70" s="177" t="s">
        <v>187</v>
      </c>
      <c r="E70" s="174">
        <v>175</v>
      </c>
      <c r="F70" s="176"/>
      <c r="G70" s="175"/>
      <c r="H70" s="174"/>
      <c r="I70" s="173">
        <v>1.66</v>
      </c>
      <c r="J70" s="174">
        <v>157</v>
      </c>
      <c r="K70" s="173">
        <v>34.82</v>
      </c>
    </row>
    <row r="71" spans="1:22" ht="14.25" x14ac:dyDescent="0.2">
      <c r="A71" s="242"/>
      <c r="B71" s="241"/>
      <c r="C71" s="241" t="s">
        <v>192</v>
      </c>
      <c r="D71" s="240" t="s">
        <v>191</v>
      </c>
      <c r="E71" s="238">
        <v>74.53</v>
      </c>
      <c r="F71" s="253"/>
      <c r="G71" s="239" t="s">
        <v>2577</v>
      </c>
      <c r="H71" s="238">
        <v>1</v>
      </c>
      <c r="I71" s="237">
        <v>55</v>
      </c>
      <c r="J71" s="238"/>
      <c r="K71" s="237"/>
    </row>
    <row r="72" spans="1:22" ht="15" x14ac:dyDescent="0.25">
      <c r="A72" s="235"/>
      <c r="B72" s="235"/>
      <c r="C72" s="236" t="s">
        <v>183</v>
      </c>
      <c r="D72" s="235"/>
      <c r="E72" s="235"/>
      <c r="F72" s="235"/>
      <c r="G72" s="235"/>
      <c r="H72" s="436">
        <v>1503.38</v>
      </c>
      <c r="I72" s="436"/>
      <c r="J72" s="436">
        <v>30123.8</v>
      </c>
      <c r="K72" s="436"/>
      <c r="O72" s="163">
        <f>I63+I64+I66+I68+I69+I70+SUM(I67:I67)</f>
        <v>1503.38</v>
      </c>
      <c r="P72" s="163">
        <f>K63+K64+K66+K68+K69+K70+SUM(K67:K67)</f>
        <v>30123.8</v>
      </c>
    </row>
    <row r="74" spans="1:22" ht="42.75" x14ac:dyDescent="0.2">
      <c r="A74" s="179" t="s">
        <v>1546</v>
      </c>
      <c r="B74" s="178" t="s">
        <v>1923</v>
      </c>
      <c r="C74" s="178" t="s">
        <v>190</v>
      </c>
      <c r="D74" s="177" t="s">
        <v>1785</v>
      </c>
      <c r="E74" s="174">
        <v>11.12</v>
      </c>
      <c r="F74" s="176"/>
      <c r="G74" s="175"/>
      <c r="H74" s="174"/>
      <c r="I74" s="173"/>
      <c r="J74" s="174"/>
      <c r="K74" s="173"/>
      <c r="Q74" s="160">
        <f>[8]Source!X44</f>
        <v>0</v>
      </c>
      <c r="R74" s="160">
        <f>[8]Source!X45</f>
        <v>0</v>
      </c>
      <c r="S74" s="160">
        <f>[8]Source!Y44</f>
        <v>0</v>
      </c>
      <c r="T74" s="160">
        <f>[8]Source!Y45</f>
        <v>0</v>
      </c>
      <c r="U74" s="160">
        <f>ROUND((175/100)*ROUND([8]Source!R44, 2), 2)</f>
        <v>28.81</v>
      </c>
      <c r="V74" s="160">
        <f>ROUND((157/100)*ROUND([8]Source!R45, 2), 2)</f>
        <v>603.41</v>
      </c>
    </row>
    <row r="75" spans="1:22" ht="14.25" x14ac:dyDescent="0.2">
      <c r="A75" s="179"/>
      <c r="B75" s="178"/>
      <c r="C75" s="178" t="s">
        <v>184</v>
      </c>
      <c r="D75" s="177"/>
      <c r="E75" s="174"/>
      <c r="F75" s="176">
        <v>8.86</v>
      </c>
      <c r="G75" s="175" t="s">
        <v>195</v>
      </c>
      <c r="H75" s="174">
        <v>1</v>
      </c>
      <c r="I75" s="173">
        <v>98.52</v>
      </c>
      <c r="J75" s="174">
        <v>8.36</v>
      </c>
      <c r="K75" s="173">
        <v>823.63</v>
      </c>
    </row>
    <row r="76" spans="1:22" ht="14.25" x14ac:dyDescent="0.2">
      <c r="A76" s="179"/>
      <c r="B76" s="178"/>
      <c r="C76" s="178" t="s">
        <v>189</v>
      </c>
      <c r="D76" s="177"/>
      <c r="E76" s="174"/>
      <c r="F76" s="176">
        <v>1.48</v>
      </c>
      <c r="G76" s="175" t="s">
        <v>195</v>
      </c>
      <c r="H76" s="174">
        <v>1</v>
      </c>
      <c r="I76" s="180">
        <v>16.46</v>
      </c>
      <c r="J76" s="174">
        <v>23.35</v>
      </c>
      <c r="K76" s="180">
        <v>384.34</v>
      </c>
    </row>
    <row r="77" spans="1:22" ht="14.25" x14ac:dyDescent="0.2">
      <c r="A77" s="242"/>
      <c r="B77" s="241"/>
      <c r="C77" s="241" t="s">
        <v>188</v>
      </c>
      <c r="D77" s="240" t="s">
        <v>187</v>
      </c>
      <c r="E77" s="238">
        <v>175</v>
      </c>
      <c r="F77" s="253"/>
      <c r="G77" s="239"/>
      <c r="H77" s="238"/>
      <c r="I77" s="237">
        <v>28.81</v>
      </c>
      <c r="J77" s="238">
        <v>157</v>
      </c>
      <c r="K77" s="237">
        <v>603.41</v>
      </c>
    </row>
    <row r="78" spans="1:22" ht="15" x14ac:dyDescent="0.25">
      <c r="A78" s="235"/>
      <c r="B78" s="235"/>
      <c r="C78" s="236" t="s">
        <v>183</v>
      </c>
      <c r="D78" s="235"/>
      <c r="E78" s="235"/>
      <c r="F78" s="235"/>
      <c r="G78" s="235"/>
      <c r="H78" s="436">
        <v>127.33</v>
      </c>
      <c r="I78" s="436"/>
      <c r="J78" s="436">
        <v>1427.04</v>
      </c>
      <c r="K78" s="436"/>
      <c r="O78" s="163">
        <f>I75+I77</f>
        <v>127.33</v>
      </c>
      <c r="P78" s="163">
        <f>K75+K77</f>
        <v>1427.04</v>
      </c>
    </row>
    <row r="80" spans="1:22" ht="42.75" x14ac:dyDescent="0.2">
      <c r="A80" s="179" t="s">
        <v>105</v>
      </c>
      <c r="B80" s="178" t="s">
        <v>2579</v>
      </c>
      <c r="C80" s="178" t="s">
        <v>1105</v>
      </c>
      <c r="D80" s="177" t="s">
        <v>1785</v>
      </c>
      <c r="E80" s="174">
        <v>11.12</v>
      </c>
      <c r="F80" s="176"/>
      <c r="G80" s="175"/>
      <c r="H80" s="174"/>
      <c r="I80" s="173"/>
      <c r="J80" s="174"/>
      <c r="K80" s="173"/>
      <c r="Q80" s="160">
        <f>[8]Source!X46</f>
        <v>0</v>
      </c>
      <c r="R80" s="160">
        <f>[8]Source!X47</f>
        <v>0</v>
      </c>
      <c r="S80" s="160">
        <f>[8]Source!Y46</f>
        <v>0</v>
      </c>
      <c r="T80" s="160">
        <f>[8]Source!Y47</f>
        <v>0</v>
      </c>
      <c r="U80" s="160">
        <f>ROUND((175/100)*ROUND([8]Source!R46, 2), 2)</f>
        <v>0</v>
      </c>
      <c r="V80" s="160">
        <f>ROUND((157/100)*ROUND([8]Source!R47, 2), 2)</f>
        <v>0</v>
      </c>
    </row>
    <row r="81" spans="1:26" ht="14.25" x14ac:dyDescent="0.2">
      <c r="A81" s="242"/>
      <c r="B81" s="241"/>
      <c r="C81" s="241" t="s">
        <v>184</v>
      </c>
      <c r="D81" s="240"/>
      <c r="E81" s="238"/>
      <c r="F81" s="253">
        <v>27</v>
      </c>
      <c r="G81" s="239" t="s">
        <v>195</v>
      </c>
      <c r="H81" s="238">
        <v>1</v>
      </c>
      <c r="I81" s="237">
        <v>300.24</v>
      </c>
      <c r="J81" s="238">
        <v>1</v>
      </c>
      <c r="K81" s="237">
        <v>300.24</v>
      </c>
    </row>
    <row r="82" spans="1:26" ht="15" x14ac:dyDescent="0.25">
      <c r="A82" s="235"/>
      <c r="B82" s="235"/>
      <c r="C82" s="236" t="s">
        <v>183</v>
      </c>
      <c r="D82" s="235"/>
      <c r="E82" s="235"/>
      <c r="F82" s="235"/>
      <c r="G82" s="235"/>
      <c r="H82" s="436">
        <v>300.24</v>
      </c>
      <c r="I82" s="436"/>
      <c r="J82" s="436">
        <v>300.24</v>
      </c>
      <c r="K82" s="436"/>
      <c r="O82" s="163">
        <f>I81</f>
        <v>300.24</v>
      </c>
      <c r="P82" s="163">
        <f>K81</f>
        <v>300.24</v>
      </c>
    </row>
    <row r="84" spans="1:26" ht="57" x14ac:dyDescent="0.2">
      <c r="A84" s="179" t="s">
        <v>1560</v>
      </c>
      <c r="B84" s="178" t="s">
        <v>2454</v>
      </c>
      <c r="C84" s="178" t="s">
        <v>612</v>
      </c>
      <c r="D84" s="177" t="s">
        <v>1533</v>
      </c>
      <c r="E84" s="174">
        <v>-9.0402199999999997</v>
      </c>
      <c r="F84" s="176">
        <v>1853.64</v>
      </c>
      <c r="G84" s="175" t="s">
        <v>195</v>
      </c>
      <c r="H84" s="174">
        <v>1</v>
      </c>
      <c r="I84" s="173">
        <v>-16757.310000000001</v>
      </c>
      <c r="J84" s="174">
        <v>5.17</v>
      </c>
      <c r="K84" s="173">
        <v>-86635.29</v>
      </c>
      <c r="Q84" s="160">
        <f>[8]Source!X48</f>
        <v>0</v>
      </c>
      <c r="R84" s="160">
        <f>[8]Source!X49</f>
        <v>0</v>
      </c>
      <c r="S84" s="160">
        <f>[8]Source!Y48</f>
        <v>0</v>
      </c>
      <c r="T84" s="160">
        <f>[8]Source!Y49</f>
        <v>0</v>
      </c>
      <c r="U84" s="160">
        <f>ROUND((175/100)*ROUND([8]Source!R48, 2), 2)</f>
        <v>0</v>
      </c>
      <c r="V84" s="160">
        <f>ROUND((157/100)*ROUND([8]Source!R49, 2), 2)</f>
        <v>0</v>
      </c>
      <c r="Y84" s="163">
        <f>I84</f>
        <v>-16757.310000000001</v>
      </c>
      <c r="Z84" s="163">
        <f>K84</f>
        <v>-86635.29</v>
      </c>
    </row>
    <row r="85" spans="1:26" x14ac:dyDescent="0.2">
      <c r="A85" s="255"/>
      <c r="B85" s="255"/>
      <c r="C85" s="256" t="s">
        <v>2580</v>
      </c>
      <c r="D85" s="255"/>
      <c r="E85" s="255"/>
      <c r="F85" s="255"/>
      <c r="G85" s="255"/>
      <c r="H85" s="255"/>
      <c r="I85" s="255"/>
      <c r="J85" s="255"/>
      <c r="K85" s="255"/>
    </row>
    <row r="86" spans="1:26" ht="15" x14ac:dyDescent="0.25">
      <c r="A86" s="235"/>
      <c r="B86" s="235"/>
      <c r="C86" s="236" t="s">
        <v>183</v>
      </c>
      <c r="D86" s="235"/>
      <c r="E86" s="235"/>
      <c r="F86" s="235"/>
      <c r="G86" s="235"/>
      <c r="H86" s="436">
        <v>-16757.310000000001</v>
      </c>
      <c r="I86" s="436"/>
      <c r="J86" s="436">
        <v>-86635.29</v>
      </c>
      <c r="K86" s="436"/>
    </row>
    <row r="89" spans="1:26" ht="15" x14ac:dyDescent="0.25">
      <c r="A89" s="417" t="s">
        <v>2581</v>
      </c>
      <c r="B89" s="417"/>
      <c r="C89" s="417"/>
      <c r="D89" s="417"/>
      <c r="E89" s="417"/>
      <c r="F89" s="417"/>
      <c r="G89" s="417"/>
      <c r="H89" s="415">
        <v>25707.54</v>
      </c>
      <c r="I89" s="416"/>
      <c r="J89" s="415">
        <v>514638.67</v>
      </c>
      <c r="K89" s="416"/>
    </row>
    <row r="90" spans="1:26" hidden="1" x14ac:dyDescent="0.2">
      <c r="A90" s="160" t="s">
        <v>182</v>
      </c>
      <c r="I90" s="160">
        <v>0</v>
      </c>
      <c r="J90" s="160">
        <v>0</v>
      </c>
    </row>
    <row r="91" spans="1:26" ht="15" x14ac:dyDescent="0.25">
      <c r="A91" s="417" t="s">
        <v>181</v>
      </c>
      <c r="B91" s="417"/>
      <c r="C91" s="417"/>
      <c r="D91" s="417"/>
      <c r="E91" s="417"/>
      <c r="F91" s="417"/>
      <c r="G91" s="417"/>
      <c r="H91" s="415">
        <v>-16757.310000000001</v>
      </c>
      <c r="I91" s="416"/>
      <c r="J91" s="415">
        <v>-86635.29</v>
      </c>
      <c r="K91" s="416"/>
    </row>
    <row r="93" spans="1:26" ht="16.5" x14ac:dyDescent="0.25">
      <c r="A93" s="413" t="s">
        <v>2582</v>
      </c>
      <c r="B93" s="413"/>
      <c r="C93" s="413"/>
      <c r="D93" s="413"/>
      <c r="E93" s="413"/>
      <c r="F93" s="413"/>
      <c r="G93" s="413"/>
      <c r="H93" s="413"/>
      <c r="I93" s="413"/>
      <c r="J93" s="413"/>
      <c r="K93" s="413"/>
    </row>
    <row r="94" spans="1:26" ht="49.5" customHeight="1" x14ac:dyDescent="0.2">
      <c r="A94" s="179" t="s">
        <v>1565</v>
      </c>
      <c r="B94" s="178" t="s">
        <v>2583</v>
      </c>
      <c r="C94" s="178" t="s">
        <v>1104</v>
      </c>
      <c r="D94" s="177" t="s">
        <v>2584</v>
      </c>
      <c r="E94" s="174">
        <v>2.1280899999999998</v>
      </c>
      <c r="F94" s="176"/>
      <c r="G94" s="175"/>
      <c r="H94" s="174"/>
      <c r="I94" s="173"/>
      <c r="J94" s="174"/>
      <c r="K94" s="173"/>
      <c r="Q94" s="160">
        <f>[8]Source!X85</f>
        <v>1927.15</v>
      </c>
      <c r="R94" s="160">
        <f>[8]Source!X86</f>
        <v>35999.07</v>
      </c>
      <c r="S94" s="160">
        <f>[8]Source!Y85</f>
        <v>1296.44</v>
      </c>
      <c r="T94" s="160">
        <f>[8]Source!Y86</f>
        <v>16772.29</v>
      </c>
      <c r="U94" s="160">
        <f>ROUND((175/100)*ROUND([8]Source!R85, 2), 2)</f>
        <v>180.2</v>
      </c>
      <c r="V94" s="160">
        <f>ROUND((157/100)*ROUND([8]Source!R86, 2), 2)</f>
        <v>3774.83</v>
      </c>
    </row>
    <row r="95" spans="1:26" ht="38.25" x14ac:dyDescent="0.2">
      <c r="C95" s="181" t="s">
        <v>2585</v>
      </c>
    </row>
    <row r="96" spans="1:26" ht="14.25" x14ac:dyDescent="0.2">
      <c r="A96" s="179"/>
      <c r="B96" s="178"/>
      <c r="C96" s="178" t="s">
        <v>197</v>
      </c>
      <c r="D96" s="177"/>
      <c r="E96" s="174"/>
      <c r="F96" s="176">
        <v>695.02</v>
      </c>
      <c r="G96" s="175" t="s">
        <v>2586</v>
      </c>
      <c r="H96" s="174">
        <v>1</v>
      </c>
      <c r="I96" s="173">
        <v>1751.95</v>
      </c>
      <c r="J96" s="174">
        <v>23.35</v>
      </c>
      <c r="K96" s="173">
        <v>40908.03</v>
      </c>
    </row>
    <row r="97" spans="1:22" ht="14.25" x14ac:dyDescent="0.2">
      <c r="A97" s="179"/>
      <c r="B97" s="178"/>
      <c r="C97" s="178" t="s">
        <v>184</v>
      </c>
      <c r="D97" s="177"/>
      <c r="E97" s="174"/>
      <c r="F97" s="176">
        <v>157.05000000000001</v>
      </c>
      <c r="G97" s="175" t="s">
        <v>2587</v>
      </c>
      <c r="H97" s="174">
        <v>1</v>
      </c>
      <c r="I97" s="173">
        <v>430.3</v>
      </c>
      <c r="J97" s="174">
        <v>9.66</v>
      </c>
      <c r="K97" s="173">
        <v>4156.7</v>
      </c>
    </row>
    <row r="98" spans="1:22" ht="14.25" x14ac:dyDescent="0.2">
      <c r="A98" s="179"/>
      <c r="B98" s="178"/>
      <c r="C98" s="178" t="s">
        <v>189</v>
      </c>
      <c r="D98" s="177"/>
      <c r="E98" s="174"/>
      <c r="F98" s="176">
        <v>37.58</v>
      </c>
      <c r="G98" s="175" t="s">
        <v>2587</v>
      </c>
      <c r="H98" s="174">
        <v>1</v>
      </c>
      <c r="I98" s="180">
        <v>102.97</v>
      </c>
      <c r="J98" s="174">
        <v>23.35</v>
      </c>
      <c r="K98" s="180">
        <v>2404.35</v>
      </c>
    </row>
    <row r="99" spans="1:22" ht="14.25" x14ac:dyDescent="0.2">
      <c r="A99" s="179"/>
      <c r="B99" s="178"/>
      <c r="C99" s="178" t="s">
        <v>205</v>
      </c>
      <c r="D99" s="177"/>
      <c r="E99" s="174"/>
      <c r="F99" s="176">
        <v>774.56</v>
      </c>
      <c r="G99" s="175" t="s">
        <v>195</v>
      </c>
      <c r="H99" s="174">
        <v>1</v>
      </c>
      <c r="I99" s="173">
        <v>1648.33</v>
      </c>
      <c r="J99" s="174">
        <v>18.46</v>
      </c>
      <c r="K99" s="173">
        <v>30428.17</v>
      </c>
    </row>
    <row r="100" spans="1:22" ht="71.25" x14ac:dyDescent="0.2">
      <c r="A100" s="179" t="s">
        <v>1568</v>
      </c>
      <c r="B100" s="178" t="s">
        <v>2588</v>
      </c>
      <c r="C100" s="178" t="s">
        <v>1103</v>
      </c>
      <c r="D100" s="177" t="s">
        <v>1913</v>
      </c>
      <c r="E100" s="174">
        <v>16</v>
      </c>
      <c r="F100" s="176">
        <v>659.94</v>
      </c>
      <c r="G100" s="182" t="s">
        <v>195</v>
      </c>
      <c r="H100" s="174">
        <v>1</v>
      </c>
      <c r="I100" s="173">
        <v>10559.04</v>
      </c>
      <c r="J100" s="174">
        <v>4.2699999999999996</v>
      </c>
      <c r="K100" s="173">
        <v>45087.1</v>
      </c>
      <c r="Q100" s="160">
        <f>[8]Source!X87</f>
        <v>0</v>
      </c>
      <c r="R100" s="160">
        <f>[8]Source!X88</f>
        <v>0</v>
      </c>
      <c r="S100" s="160">
        <f>[8]Source!Y87</f>
        <v>0</v>
      </c>
      <c r="T100" s="160">
        <f>[8]Source!Y88</f>
        <v>0</v>
      </c>
      <c r="U100" s="160">
        <f>ROUND((175/100)*ROUND([8]Source!R87, 2), 2)</f>
        <v>0</v>
      </c>
      <c r="V100" s="160">
        <f>ROUND((157/100)*ROUND([8]Source!R88, 2), 2)</f>
        <v>0</v>
      </c>
    </row>
    <row r="101" spans="1:22" ht="71.25" x14ac:dyDescent="0.2">
      <c r="A101" s="179" t="s">
        <v>1570</v>
      </c>
      <c r="B101" s="178" t="s">
        <v>2589</v>
      </c>
      <c r="C101" s="178" t="s">
        <v>1102</v>
      </c>
      <c r="D101" s="177" t="s">
        <v>1913</v>
      </c>
      <c r="E101" s="174">
        <v>8</v>
      </c>
      <c r="F101" s="176">
        <v>735.89</v>
      </c>
      <c r="G101" s="182" t="s">
        <v>195</v>
      </c>
      <c r="H101" s="174">
        <v>1</v>
      </c>
      <c r="I101" s="173">
        <v>5887.12</v>
      </c>
      <c r="J101" s="174">
        <v>4.4400000000000004</v>
      </c>
      <c r="K101" s="173">
        <v>26138.81</v>
      </c>
      <c r="Q101" s="160">
        <f>[8]Source!X89</f>
        <v>0</v>
      </c>
      <c r="R101" s="160">
        <f>[8]Source!X90</f>
        <v>0</v>
      </c>
      <c r="S101" s="160">
        <f>[8]Source!Y89</f>
        <v>0</v>
      </c>
      <c r="T101" s="160">
        <f>[8]Source!Y90</f>
        <v>0</v>
      </c>
      <c r="U101" s="160">
        <f>ROUND((175/100)*ROUND([8]Source!R89, 2), 2)</f>
        <v>0</v>
      </c>
      <c r="V101" s="160">
        <f>ROUND((157/100)*ROUND([8]Source!R90, 2), 2)</f>
        <v>0</v>
      </c>
    </row>
    <row r="102" spans="1:22" ht="71.25" x14ac:dyDescent="0.2">
      <c r="A102" s="179" t="s">
        <v>2467</v>
      </c>
      <c r="B102" s="178" t="s">
        <v>2590</v>
      </c>
      <c r="C102" s="178" t="s">
        <v>1101</v>
      </c>
      <c r="D102" s="177" t="s">
        <v>1913</v>
      </c>
      <c r="E102" s="174">
        <v>55</v>
      </c>
      <c r="F102" s="176">
        <v>796.1</v>
      </c>
      <c r="G102" s="182" t="s">
        <v>195</v>
      </c>
      <c r="H102" s="174">
        <v>1</v>
      </c>
      <c r="I102" s="173">
        <v>43785.5</v>
      </c>
      <c r="J102" s="174">
        <v>4.3600000000000003</v>
      </c>
      <c r="K102" s="173">
        <v>190904.78</v>
      </c>
      <c r="Q102" s="160">
        <f>[8]Source!X91</f>
        <v>0</v>
      </c>
      <c r="R102" s="160">
        <f>[8]Source!X92</f>
        <v>0</v>
      </c>
      <c r="S102" s="160">
        <f>[8]Source!Y91</f>
        <v>0</v>
      </c>
      <c r="T102" s="160">
        <f>[8]Source!Y92</f>
        <v>0</v>
      </c>
      <c r="U102" s="160">
        <f>ROUND((175/100)*ROUND([8]Source!R91, 2), 2)</f>
        <v>0</v>
      </c>
      <c r="V102" s="160">
        <f>ROUND((157/100)*ROUND([8]Source!R92, 2), 2)</f>
        <v>0</v>
      </c>
    </row>
    <row r="103" spans="1:22" ht="71.25" x14ac:dyDescent="0.2">
      <c r="A103" s="179" t="s">
        <v>2468</v>
      </c>
      <c r="B103" s="178" t="s">
        <v>2591</v>
      </c>
      <c r="C103" s="178" t="s">
        <v>1100</v>
      </c>
      <c r="D103" s="177" t="s">
        <v>1913</v>
      </c>
      <c r="E103" s="174">
        <v>37</v>
      </c>
      <c r="F103" s="176">
        <v>815.05</v>
      </c>
      <c r="G103" s="182" t="s">
        <v>195</v>
      </c>
      <c r="H103" s="174">
        <v>1</v>
      </c>
      <c r="I103" s="173">
        <v>30156.85</v>
      </c>
      <c r="J103" s="174">
        <v>4.51</v>
      </c>
      <c r="K103" s="173">
        <v>136007.39000000001</v>
      </c>
      <c r="Q103" s="160">
        <f>[8]Source!X93</f>
        <v>0</v>
      </c>
      <c r="R103" s="160">
        <f>[8]Source!X94</f>
        <v>0</v>
      </c>
      <c r="S103" s="160">
        <f>[8]Source!Y93</f>
        <v>0</v>
      </c>
      <c r="T103" s="160">
        <f>[8]Source!Y94</f>
        <v>0</v>
      </c>
      <c r="U103" s="160">
        <f>ROUND((175/100)*ROUND([8]Source!R93, 2), 2)</f>
        <v>0</v>
      </c>
      <c r="V103" s="160">
        <f>ROUND((157/100)*ROUND([8]Source!R94, 2), 2)</f>
        <v>0</v>
      </c>
    </row>
    <row r="104" spans="1:22" ht="71.25" x14ac:dyDescent="0.2">
      <c r="A104" s="179" t="s">
        <v>2592</v>
      </c>
      <c r="B104" s="178" t="s">
        <v>2593</v>
      </c>
      <c r="C104" s="178" t="s">
        <v>1099</v>
      </c>
      <c r="D104" s="177" t="s">
        <v>1913</v>
      </c>
      <c r="E104" s="174">
        <v>7</v>
      </c>
      <c r="F104" s="176">
        <v>897.63</v>
      </c>
      <c r="G104" s="182" t="s">
        <v>195</v>
      </c>
      <c r="H104" s="174">
        <v>1</v>
      </c>
      <c r="I104" s="173">
        <v>6283.41</v>
      </c>
      <c r="J104" s="174">
        <v>4.58</v>
      </c>
      <c r="K104" s="173">
        <v>28778.02</v>
      </c>
      <c r="Q104" s="160">
        <f>[8]Source!X95</f>
        <v>0</v>
      </c>
      <c r="R104" s="160">
        <f>[8]Source!X96</f>
        <v>0</v>
      </c>
      <c r="S104" s="160">
        <f>[8]Source!Y95</f>
        <v>0</v>
      </c>
      <c r="T104" s="160">
        <f>[8]Source!Y96</f>
        <v>0</v>
      </c>
      <c r="U104" s="160">
        <f>ROUND((175/100)*ROUND([8]Source!R95, 2), 2)</f>
        <v>0</v>
      </c>
      <c r="V104" s="160">
        <f>ROUND((157/100)*ROUND([8]Source!R96, 2), 2)</f>
        <v>0</v>
      </c>
    </row>
    <row r="105" spans="1:22" ht="42.75" x14ac:dyDescent="0.2">
      <c r="A105" s="179" t="s">
        <v>2594</v>
      </c>
      <c r="B105" s="178" t="s">
        <v>2595</v>
      </c>
      <c r="C105" s="178" t="s">
        <v>1098</v>
      </c>
      <c r="D105" s="177" t="s">
        <v>1661</v>
      </c>
      <c r="E105" s="174">
        <v>16</v>
      </c>
      <c r="F105" s="176">
        <v>1375.44</v>
      </c>
      <c r="G105" s="182" t="s">
        <v>195</v>
      </c>
      <c r="H105" s="174">
        <v>1</v>
      </c>
      <c r="I105" s="173">
        <v>22007.040000000001</v>
      </c>
      <c r="J105" s="174">
        <v>2.83</v>
      </c>
      <c r="K105" s="173">
        <v>62279.92</v>
      </c>
      <c r="Q105" s="160">
        <f>[8]Source!X97</f>
        <v>0</v>
      </c>
      <c r="R105" s="160">
        <f>[8]Source!X98</f>
        <v>0</v>
      </c>
      <c r="S105" s="160">
        <f>[8]Source!Y97</f>
        <v>0</v>
      </c>
      <c r="T105" s="160">
        <f>[8]Source!Y98</f>
        <v>0</v>
      </c>
      <c r="U105" s="160">
        <f>ROUND((175/100)*ROUND([8]Source!R97, 2), 2)</f>
        <v>0</v>
      </c>
      <c r="V105" s="160">
        <f>ROUND((157/100)*ROUND([8]Source!R98, 2), 2)</f>
        <v>0</v>
      </c>
    </row>
    <row r="106" spans="1:22" ht="14.25" x14ac:dyDescent="0.2">
      <c r="A106" s="179"/>
      <c r="B106" s="178"/>
      <c r="C106" s="178" t="s">
        <v>194</v>
      </c>
      <c r="D106" s="177" t="s">
        <v>187</v>
      </c>
      <c r="E106" s="174">
        <v>110</v>
      </c>
      <c r="F106" s="176"/>
      <c r="G106" s="175"/>
      <c r="H106" s="174"/>
      <c r="I106" s="173">
        <v>1927.15</v>
      </c>
      <c r="J106" s="174">
        <v>88</v>
      </c>
      <c r="K106" s="173">
        <v>35999.07</v>
      </c>
    </row>
    <row r="107" spans="1:22" ht="14.25" x14ac:dyDescent="0.2">
      <c r="A107" s="179"/>
      <c r="B107" s="178"/>
      <c r="C107" s="178" t="s">
        <v>193</v>
      </c>
      <c r="D107" s="177" t="s">
        <v>187</v>
      </c>
      <c r="E107" s="174">
        <v>74</v>
      </c>
      <c r="F107" s="176"/>
      <c r="G107" s="175"/>
      <c r="H107" s="174"/>
      <c r="I107" s="173">
        <v>1296.44</v>
      </c>
      <c r="J107" s="174">
        <v>41</v>
      </c>
      <c r="K107" s="173">
        <v>16772.29</v>
      </c>
    </row>
    <row r="108" spans="1:22" ht="14.25" x14ac:dyDescent="0.2">
      <c r="A108" s="179"/>
      <c r="B108" s="178"/>
      <c r="C108" s="178" t="s">
        <v>188</v>
      </c>
      <c r="D108" s="177" t="s">
        <v>187</v>
      </c>
      <c r="E108" s="174">
        <v>175</v>
      </c>
      <c r="F108" s="176"/>
      <c r="G108" s="175"/>
      <c r="H108" s="174"/>
      <c r="I108" s="173">
        <v>180.2</v>
      </c>
      <c r="J108" s="174">
        <v>157</v>
      </c>
      <c r="K108" s="173">
        <v>3774.83</v>
      </c>
    </row>
    <row r="109" spans="1:22" ht="14.25" x14ac:dyDescent="0.2">
      <c r="A109" s="242"/>
      <c r="B109" s="241"/>
      <c r="C109" s="241" t="s">
        <v>192</v>
      </c>
      <c r="D109" s="240" t="s">
        <v>191</v>
      </c>
      <c r="E109" s="238">
        <v>59.1</v>
      </c>
      <c r="F109" s="253"/>
      <c r="G109" s="239" t="s">
        <v>2586</v>
      </c>
      <c r="H109" s="238">
        <v>1</v>
      </c>
      <c r="I109" s="237">
        <v>148.97</v>
      </c>
      <c r="J109" s="238"/>
      <c r="K109" s="237"/>
    </row>
    <row r="110" spans="1:22" ht="15" x14ac:dyDescent="0.25">
      <c r="A110" s="235"/>
      <c r="B110" s="235"/>
      <c r="C110" s="236" t="s">
        <v>183</v>
      </c>
      <c r="D110" s="235"/>
      <c r="E110" s="235"/>
      <c r="F110" s="235"/>
      <c r="G110" s="235"/>
      <c r="H110" s="436">
        <v>125913.33</v>
      </c>
      <c r="I110" s="436"/>
      <c r="J110" s="436">
        <v>621235.11</v>
      </c>
      <c r="K110" s="436"/>
      <c r="O110" s="163">
        <f>I96+I97+I99+I106+I107+I108+SUM(I100:I105)</f>
        <v>125913.33</v>
      </c>
      <c r="P110" s="163">
        <f>K96+K97+K99+K106+K107+K108+SUM(K100:K105)</f>
        <v>621235.11</v>
      </c>
    </row>
    <row r="112" spans="1:22" ht="14.25" x14ac:dyDescent="0.2">
      <c r="A112" s="179" t="s">
        <v>1578</v>
      </c>
      <c r="B112" s="178" t="s">
        <v>2596</v>
      </c>
      <c r="C112" s="178" t="s">
        <v>1097</v>
      </c>
      <c r="D112" s="177" t="s">
        <v>1903</v>
      </c>
      <c r="E112" s="174">
        <v>66</v>
      </c>
      <c r="F112" s="176"/>
      <c r="G112" s="175"/>
      <c r="H112" s="174"/>
      <c r="I112" s="173"/>
      <c r="J112" s="174"/>
      <c r="K112" s="173"/>
      <c r="Q112" s="160">
        <f>[8]Source!X103</f>
        <v>1685.5</v>
      </c>
      <c r="R112" s="160">
        <f>[8]Source!X104</f>
        <v>31485.08</v>
      </c>
      <c r="S112" s="160">
        <f>[8]Source!Y103</f>
        <v>1133.8800000000001</v>
      </c>
      <c r="T112" s="160">
        <f>[8]Source!Y104</f>
        <v>14669.19</v>
      </c>
      <c r="U112" s="160">
        <f>ROUND((175/100)*ROUND([8]Source!R103, 2), 2)</f>
        <v>181.42</v>
      </c>
      <c r="V112" s="160">
        <f>ROUND((157/100)*ROUND([8]Source!R104, 2), 2)</f>
        <v>3800.48</v>
      </c>
    </row>
    <row r="113" spans="1:22" ht="14.25" x14ac:dyDescent="0.2">
      <c r="A113" s="179"/>
      <c r="B113" s="178"/>
      <c r="C113" s="178" t="s">
        <v>197</v>
      </c>
      <c r="D113" s="177"/>
      <c r="E113" s="174"/>
      <c r="F113" s="176">
        <v>19.600000000000001</v>
      </c>
      <c r="G113" s="175" t="s">
        <v>2586</v>
      </c>
      <c r="H113" s="174">
        <v>1</v>
      </c>
      <c r="I113" s="173">
        <v>1532.27</v>
      </c>
      <c r="J113" s="174">
        <v>23.35</v>
      </c>
      <c r="K113" s="173">
        <v>35778.5</v>
      </c>
    </row>
    <row r="114" spans="1:22" ht="14.25" x14ac:dyDescent="0.2">
      <c r="A114" s="179"/>
      <c r="B114" s="178"/>
      <c r="C114" s="178" t="s">
        <v>184</v>
      </c>
      <c r="D114" s="177"/>
      <c r="E114" s="174"/>
      <c r="F114" s="176">
        <v>8.43</v>
      </c>
      <c r="G114" s="175" t="s">
        <v>2587</v>
      </c>
      <c r="H114" s="174">
        <v>1</v>
      </c>
      <c r="I114" s="173">
        <v>716.34</v>
      </c>
      <c r="J114" s="174">
        <v>8.4</v>
      </c>
      <c r="K114" s="173">
        <v>6017.26</v>
      </c>
    </row>
    <row r="115" spans="1:22" ht="14.25" x14ac:dyDescent="0.2">
      <c r="A115" s="179"/>
      <c r="B115" s="178"/>
      <c r="C115" s="178" t="s">
        <v>189</v>
      </c>
      <c r="D115" s="177"/>
      <c r="E115" s="174"/>
      <c r="F115" s="176">
        <v>1.22</v>
      </c>
      <c r="G115" s="175" t="s">
        <v>2587</v>
      </c>
      <c r="H115" s="174">
        <v>1</v>
      </c>
      <c r="I115" s="180">
        <v>103.67</v>
      </c>
      <c r="J115" s="174">
        <v>23.35</v>
      </c>
      <c r="K115" s="180">
        <v>2420.69</v>
      </c>
    </row>
    <row r="116" spans="1:22" ht="14.25" x14ac:dyDescent="0.2">
      <c r="A116" s="179"/>
      <c r="B116" s="178"/>
      <c r="C116" s="178" t="s">
        <v>205</v>
      </c>
      <c r="D116" s="177"/>
      <c r="E116" s="174"/>
      <c r="F116" s="176">
        <v>3.61</v>
      </c>
      <c r="G116" s="175" t="s">
        <v>195</v>
      </c>
      <c r="H116" s="174">
        <v>1</v>
      </c>
      <c r="I116" s="173">
        <v>238.26</v>
      </c>
      <c r="J116" s="174">
        <v>4.04</v>
      </c>
      <c r="K116" s="173">
        <v>962.57</v>
      </c>
    </row>
    <row r="117" spans="1:22" ht="42.75" x14ac:dyDescent="0.2">
      <c r="A117" s="179" t="s">
        <v>1581</v>
      </c>
      <c r="B117" s="178" t="s">
        <v>2597</v>
      </c>
      <c r="C117" s="178" t="s">
        <v>1096</v>
      </c>
      <c r="D117" s="177" t="s">
        <v>1661</v>
      </c>
      <c r="E117" s="174">
        <v>66</v>
      </c>
      <c r="F117" s="176">
        <v>132.38999999999999</v>
      </c>
      <c r="G117" s="182" t="s">
        <v>195</v>
      </c>
      <c r="H117" s="174">
        <v>1</v>
      </c>
      <c r="I117" s="173">
        <v>8737.74</v>
      </c>
      <c r="J117" s="174">
        <v>2.75</v>
      </c>
      <c r="K117" s="173">
        <v>24028.79</v>
      </c>
      <c r="Q117" s="160">
        <f>[8]Source!X105</f>
        <v>0</v>
      </c>
      <c r="R117" s="160">
        <f>[8]Source!X106</f>
        <v>0</v>
      </c>
      <c r="S117" s="160">
        <f>[8]Source!Y105</f>
        <v>0</v>
      </c>
      <c r="T117" s="160">
        <f>[8]Source!Y106</f>
        <v>0</v>
      </c>
      <c r="U117" s="160">
        <f>ROUND((175/100)*ROUND([8]Source!R105, 2), 2)</f>
        <v>0</v>
      </c>
      <c r="V117" s="160">
        <f>ROUND((157/100)*ROUND([8]Source!R106, 2), 2)</f>
        <v>0</v>
      </c>
    </row>
    <row r="118" spans="1:22" ht="14.25" x14ac:dyDescent="0.2">
      <c r="A118" s="179"/>
      <c r="B118" s="178"/>
      <c r="C118" s="178" t="s">
        <v>194</v>
      </c>
      <c r="D118" s="177" t="s">
        <v>187</v>
      </c>
      <c r="E118" s="174">
        <v>110</v>
      </c>
      <c r="F118" s="176"/>
      <c r="G118" s="175"/>
      <c r="H118" s="174"/>
      <c r="I118" s="173">
        <v>1685.5</v>
      </c>
      <c r="J118" s="174">
        <v>88</v>
      </c>
      <c r="K118" s="173">
        <v>31485.08</v>
      </c>
    </row>
    <row r="119" spans="1:22" ht="14.25" x14ac:dyDescent="0.2">
      <c r="A119" s="179"/>
      <c r="B119" s="178"/>
      <c r="C119" s="178" t="s">
        <v>193</v>
      </c>
      <c r="D119" s="177" t="s">
        <v>187</v>
      </c>
      <c r="E119" s="174">
        <v>74</v>
      </c>
      <c r="F119" s="176"/>
      <c r="G119" s="175"/>
      <c r="H119" s="174"/>
      <c r="I119" s="173">
        <v>1133.8800000000001</v>
      </c>
      <c r="J119" s="174">
        <v>41</v>
      </c>
      <c r="K119" s="173">
        <v>14669.19</v>
      </c>
    </row>
    <row r="120" spans="1:22" ht="14.25" x14ac:dyDescent="0.2">
      <c r="A120" s="179"/>
      <c r="B120" s="178"/>
      <c r="C120" s="178" t="s">
        <v>188</v>
      </c>
      <c r="D120" s="177" t="s">
        <v>187</v>
      </c>
      <c r="E120" s="174">
        <v>175</v>
      </c>
      <c r="F120" s="176"/>
      <c r="G120" s="175"/>
      <c r="H120" s="174"/>
      <c r="I120" s="173">
        <v>181.42</v>
      </c>
      <c r="J120" s="174">
        <v>157</v>
      </c>
      <c r="K120" s="173">
        <v>3800.48</v>
      </c>
    </row>
    <row r="121" spans="1:22" ht="14.25" x14ac:dyDescent="0.2">
      <c r="A121" s="242"/>
      <c r="B121" s="241"/>
      <c r="C121" s="241" t="s">
        <v>192</v>
      </c>
      <c r="D121" s="240" t="s">
        <v>191</v>
      </c>
      <c r="E121" s="238">
        <v>1.59</v>
      </c>
      <c r="F121" s="253"/>
      <c r="G121" s="239" t="s">
        <v>2586</v>
      </c>
      <c r="H121" s="238">
        <v>1</v>
      </c>
      <c r="I121" s="237">
        <v>124.3</v>
      </c>
      <c r="J121" s="238"/>
      <c r="K121" s="237"/>
    </row>
    <row r="122" spans="1:22" ht="15" x14ac:dyDescent="0.25">
      <c r="A122" s="235"/>
      <c r="B122" s="235"/>
      <c r="C122" s="236" t="s">
        <v>183</v>
      </c>
      <c r="D122" s="235"/>
      <c r="E122" s="235"/>
      <c r="F122" s="235"/>
      <c r="G122" s="235"/>
      <c r="H122" s="436">
        <v>14225.41</v>
      </c>
      <c r="I122" s="436"/>
      <c r="J122" s="436">
        <v>116741.87</v>
      </c>
      <c r="K122" s="436"/>
      <c r="O122" s="163">
        <f>I113+I114+I116+I118+I119+I120+SUM(I117:I117)</f>
        <v>14225.41</v>
      </c>
      <c r="P122" s="163">
        <f>K113+K114+K116+K118+K119+K120+SUM(K117:K117)</f>
        <v>116741.87</v>
      </c>
    </row>
    <row r="124" spans="1:22" ht="57" x14ac:dyDescent="0.2">
      <c r="A124" s="179" t="s">
        <v>1587</v>
      </c>
      <c r="B124" s="178" t="s">
        <v>2598</v>
      </c>
      <c r="C124" s="178" t="s">
        <v>1095</v>
      </c>
      <c r="D124" s="177" t="s">
        <v>2599</v>
      </c>
      <c r="E124" s="174">
        <v>13.15</v>
      </c>
      <c r="F124" s="176"/>
      <c r="G124" s="175"/>
      <c r="H124" s="174"/>
      <c r="I124" s="173"/>
      <c r="J124" s="174"/>
      <c r="K124" s="173"/>
      <c r="Q124" s="160">
        <f>[8]Source!X107</f>
        <v>6170.66</v>
      </c>
      <c r="R124" s="160">
        <f>[8]Source!X108</f>
        <v>115267.91</v>
      </c>
      <c r="S124" s="160">
        <f>[8]Source!Y107</f>
        <v>4151.17</v>
      </c>
      <c r="T124" s="160">
        <f>[8]Source!Y108</f>
        <v>53704.37</v>
      </c>
      <c r="U124" s="160">
        <f>ROUND((175/100)*ROUND([8]Source!R107, 2), 2)</f>
        <v>247.1</v>
      </c>
      <c r="V124" s="160">
        <f>ROUND((157/100)*ROUND([8]Source!R108, 2), 2)</f>
        <v>5176.32</v>
      </c>
    </row>
    <row r="125" spans="1:22" x14ac:dyDescent="0.2">
      <c r="C125" s="181" t="s">
        <v>2600</v>
      </c>
    </row>
    <row r="126" spans="1:22" ht="14.25" x14ac:dyDescent="0.2">
      <c r="A126" s="179"/>
      <c r="B126" s="178"/>
      <c r="C126" s="178" t="s">
        <v>197</v>
      </c>
      <c r="D126" s="177"/>
      <c r="E126" s="174"/>
      <c r="F126" s="176">
        <v>370.95</v>
      </c>
      <c r="G126" s="175" t="s">
        <v>2270</v>
      </c>
      <c r="H126" s="174">
        <v>1</v>
      </c>
      <c r="I126" s="173">
        <v>5609.69</v>
      </c>
      <c r="J126" s="174">
        <v>23.35</v>
      </c>
      <c r="K126" s="173">
        <v>130986.26</v>
      </c>
    </row>
    <row r="127" spans="1:22" ht="14.25" x14ac:dyDescent="0.2">
      <c r="A127" s="179"/>
      <c r="B127" s="178"/>
      <c r="C127" s="178" t="s">
        <v>184</v>
      </c>
      <c r="D127" s="177"/>
      <c r="E127" s="174"/>
      <c r="F127" s="176">
        <v>43.16</v>
      </c>
      <c r="G127" s="175" t="s">
        <v>2271</v>
      </c>
      <c r="H127" s="174">
        <v>1</v>
      </c>
      <c r="I127" s="173">
        <v>709.44</v>
      </c>
      <c r="J127" s="174">
        <v>8.93</v>
      </c>
      <c r="K127" s="173">
        <v>6335.3</v>
      </c>
    </row>
    <row r="128" spans="1:22" ht="14.25" x14ac:dyDescent="0.2">
      <c r="A128" s="179"/>
      <c r="B128" s="178"/>
      <c r="C128" s="178" t="s">
        <v>189</v>
      </c>
      <c r="D128" s="177"/>
      <c r="E128" s="174"/>
      <c r="F128" s="176">
        <v>8.59</v>
      </c>
      <c r="G128" s="175" t="s">
        <v>2271</v>
      </c>
      <c r="H128" s="174">
        <v>1</v>
      </c>
      <c r="I128" s="180">
        <v>141.19999999999999</v>
      </c>
      <c r="J128" s="174">
        <v>23.35</v>
      </c>
      <c r="K128" s="180">
        <v>3297.02</v>
      </c>
    </row>
    <row r="129" spans="1:22" ht="14.25" x14ac:dyDescent="0.2">
      <c r="A129" s="179"/>
      <c r="B129" s="178"/>
      <c r="C129" s="178" t="s">
        <v>205</v>
      </c>
      <c r="D129" s="177"/>
      <c r="E129" s="174"/>
      <c r="F129" s="176">
        <v>18.13</v>
      </c>
      <c r="G129" s="175" t="s">
        <v>195</v>
      </c>
      <c r="H129" s="174">
        <v>1</v>
      </c>
      <c r="I129" s="173">
        <v>238.41</v>
      </c>
      <c r="J129" s="174">
        <v>5.42</v>
      </c>
      <c r="K129" s="173">
        <v>1292.18</v>
      </c>
    </row>
    <row r="130" spans="1:22" ht="99.75" x14ac:dyDescent="0.2">
      <c r="A130" s="179" t="s">
        <v>1967</v>
      </c>
      <c r="B130" s="178" t="s">
        <v>2601</v>
      </c>
      <c r="C130" s="178" t="s">
        <v>1094</v>
      </c>
      <c r="D130" s="177" t="s">
        <v>1661</v>
      </c>
      <c r="E130" s="174">
        <v>33</v>
      </c>
      <c r="F130" s="176">
        <v>425.1</v>
      </c>
      <c r="G130" s="182" t="s">
        <v>195</v>
      </c>
      <c r="H130" s="174">
        <v>1</v>
      </c>
      <c r="I130" s="173">
        <v>14028.3</v>
      </c>
      <c r="J130" s="174">
        <v>4.4400000000000004</v>
      </c>
      <c r="K130" s="173">
        <v>62285.65</v>
      </c>
      <c r="Q130" s="160">
        <f>[8]Source!X111</f>
        <v>0</v>
      </c>
      <c r="R130" s="160">
        <f>[8]Source!X112</f>
        <v>0</v>
      </c>
      <c r="S130" s="160">
        <f>[8]Source!Y111</f>
        <v>0</v>
      </c>
      <c r="T130" s="160">
        <f>[8]Source!Y112</f>
        <v>0</v>
      </c>
      <c r="U130" s="160">
        <f>ROUND((175/100)*ROUND([8]Source!R111, 2), 2)</f>
        <v>0</v>
      </c>
      <c r="V130" s="160">
        <f>ROUND((157/100)*ROUND([8]Source!R112, 2), 2)</f>
        <v>0</v>
      </c>
    </row>
    <row r="131" spans="1:22" ht="57" x14ac:dyDescent="0.2">
      <c r="A131" s="179" t="s">
        <v>1968</v>
      </c>
      <c r="B131" s="178" t="s">
        <v>2602</v>
      </c>
      <c r="C131" s="178" t="s">
        <v>780</v>
      </c>
      <c r="D131" s="177" t="s">
        <v>1661</v>
      </c>
      <c r="E131" s="174">
        <v>344</v>
      </c>
      <c r="F131" s="176">
        <v>34.97</v>
      </c>
      <c r="G131" s="182" t="s">
        <v>195</v>
      </c>
      <c r="H131" s="174">
        <v>1</v>
      </c>
      <c r="I131" s="173">
        <v>12029.68</v>
      </c>
      <c r="J131" s="174">
        <v>11.3</v>
      </c>
      <c r="K131" s="173">
        <v>135935.38</v>
      </c>
      <c r="Q131" s="160">
        <f>[8]Source!X113</f>
        <v>0</v>
      </c>
      <c r="R131" s="160">
        <f>[8]Source!X114</f>
        <v>0</v>
      </c>
      <c r="S131" s="160">
        <f>[8]Source!Y113</f>
        <v>0</v>
      </c>
      <c r="T131" s="160">
        <f>[8]Source!Y114</f>
        <v>0</v>
      </c>
      <c r="U131" s="160">
        <f>ROUND((175/100)*ROUND([8]Source!R113, 2), 2)</f>
        <v>0</v>
      </c>
      <c r="V131" s="160">
        <f>ROUND((157/100)*ROUND([8]Source!R114, 2), 2)</f>
        <v>0</v>
      </c>
    </row>
    <row r="132" spans="1:22" ht="57" x14ac:dyDescent="0.2">
      <c r="A132" s="179" t="s">
        <v>2427</v>
      </c>
      <c r="B132" s="178" t="s">
        <v>2603</v>
      </c>
      <c r="C132" s="178" t="s">
        <v>1093</v>
      </c>
      <c r="D132" s="177" t="s">
        <v>1552</v>
      </c>
      <c r="E132" s="174">
        <v>1315</v>
      </c>
      <c r="F132" s="176">
        <v>30.15</v>
      </c>
      <c r="G132" s="182" t="s">
        <v>195</v>
      </c>
      <c r="H132" s="174">
        <v>1</v>
      </c>
      <c r="I132" s="173">
        <v>39647.25</v>
      </c>
      <c r="J132" s="174">
        <v>5.34</v>
      </c>
      <c r="K132" s="173">
        <v>211716.32</v>
      </c>
      <c r="Q132" s="160">
        <f>[8]Source!X115</f>
        <v>0</v>
      </c>
      <c r="R132" s="160">
        <f>[8]Source!X116</f>
        <v>0</v>
      </c>
      <c r="S132" s="160">
        <f>[8]Source!Y115</f>
        <v>0</v>
      </c>
      <c r="T132" s="160">
        <f>[8]Source!Y116</f>
        <v>0</v>
      </c>
      <c r="U132" s="160">
        <f>ROUND((175/100)*ROUND([8]Source!R115, 2), 2)</f>
        <v>0</v>
      </c>
      <c r="V132" s="160">
        <f>ROUND((157/100)*ROUND([8]Source!R116, 2), 2)</f>
        <v>0</v>
      </c>
    </row>
    <row r="133" spans="1:22" ht="14.25" x14ac:dyDescent="0.2">
      <c r="A133" s="179"/>
      <c r="B133" s="178"/>
      <c r="C133" s="178" t="s">
        <v>194</v>
      </c>
      <c r="D133" s="177" t="s">
        <v>187</v>
      </c>
      <c r="E133" s="174">
        <v>110</v>
      </c>
      <c r="F133" s="176"/>
      <c r="G133" s="175"/>
      <c r="H133" s="174"/>
      <c r="I133" s="173">
        <v>6170.66</v>
      </c>
      <c r="J133" s="174">
        <v>88</v>
      </c>
      <c r="K133" s="173">
        <v>115267.91</v>
      </c>
    </row>
    <row r="134" spans="1:22" ht="14.25" x14ac:dyDescent="0.2">
      <c r="A134" s="179"/>
      <c r="B134" s="178"/>
      <c r="C134" s="178" t="s">
        <v>193</v>
      </c>
      <c r="D134" s="177" t="s">
        <v>187</v>
      </c>
      <c r="E134" s="174">
        <v>74</v>
      </c>
      <c r="F134" s="176"/>
      <c r="G134" s="175"/>
      <c r="H134" s="174"/>
      <c r="I134" s="173">
        <v>4151.17</v>
      </c>
      <c r="J134" s="174">
        <v>41</v>
      </c>
      <c r="K134" s="173">
        <v>53704.37</v>
      </c>
    </row>
    <row r="135" spans="1:22" ht="14.25" x14ac:dyDescent="0.2">
      <c r="A135" s="179"/>
      <c r="B135" s="178"/>
      <c r="C135" s="178" t="s">
        <v>188</v>
      </c>
      <c r="D135" s="177" t="s">
        <v>187</v>
      </c>
      <c r="E135" s="174">
        <v>175</v>
      </c>
      <c r="F135" s="176"/>
      <c r="G135" s="175"/>
      <c r="H135" s="174"/>
      <c r="I135" s="173">
        <v>247.1</v>
      </c>
      <c r="J135" s="174">
        <v>157</v>
      </c>
      <c r="K135" s="173">
        <v>5176.32</v>
      </c>
    </row>
    <row r="136" spans="1:22" ht="14.25" x14ac:dyDescent="0.2">
      <c r="A136" s="242"/>
      <c r="B136" s="241"/>
      <c r="C136" s="241" t="s">
        <v>192</v>
      </c>
      <c r="D136" s="240" t="s">
        <v>191</v>
      </c>
      <c r="E136" s="238">
        <v>29.7</v>
      </c>
      <c r="F136" s="253"/>
      <c r="G136" s="239" t="s">
        <v>2270</v>
      </c>
      <c r="H136" s="238">
        <v>1</v>
      </c>
      <c r="I136" s="237">
        <v>449.14</v>
      </c>
      <c r="J136" s="238"/>
      <c r="K136" s="237"/>
    </row>
    <row r="137" spans="1:22" ht="15" x14ac:dyDescent="0.25">
      <c r="A137" s="235"/>
      <c r="B137" s="235"/>
      <c r="C137" s="236" t="s">
        <v>183</v>
      </c>
      <c r="D137" s="235"/>
      <c r="E137" s="235"/>
      <c r="F137" s="235"/>
      <c r="G137" s="235"/>
      <c r="H137" s="436">
        <v>82831.7</v>
      </c>
      <c r="I137" s="436"/>
      <c r="J137" s="436">
        <v>722699.69</v>
      </c>
      <c r="K137" s="436"/>
      <c r="O137" s="163">
        <f>I126+I127+I129+I133+I134+I135+SUM(I130:I132)</f>
        <v>82831.7</v>
      </c>
      <c r="P137" s="163">
        <f>K126+K127+K129+K133+K134+K135+SUM(K130:K132)</f>
        <v>722699.69</v>
      </c>
    </row>
    <row r="139" spans="1:22" ht="57" x14ac:dyDescent="0.2">
      <c r="A139" s="179" t="s">
        <v>1589</v>
      </c>
      <c r="B139" s="178" t="s">
        <v>2604</v>
      </c>
      <c r="C139" s="178" t="s">
        <v>1092</v>
      </c>
      <c r="D139" s="177" t="s">
        <v>2599</v>
      </c>
      <c r="E139" s="174">
        <v>0.82</v>
      </c>
      <c r="F139" s="176"/>
      <c r="G139" s="175"/>
      <c r="H139" s="174"/>
      <c r="I139" s="173"/>
      <c r="J139" s="174"/>
      <c r="K139" s="173"/>
      <c r="Q139" s="160">
        <f>[8]Source!X117</f>
        <v>384.79</v>
      </c>
      <c r="R139" s="160">
        <f>[8]Source!X118</f>
        <v>7187.89</v>
      </c>
      <c r="S139" s="160">
        <f>[8]Source!Y117</f>
        <v>258.86</v>
      </c>
      <c r="T139" s="160">
        <f>[8]Source!Y118</f>
        <v>3348.9</v>
      </c>
      <c r="U139" s="160">
        <f>ROUND((175/100)*ROUND([8]Source!R117, 2), 2)</f>
        <v>15.4</v>
      </c>
      <c r="V139" s="160">
        <f>ROUND((157/100)*ROUND([8]Source!R118, 2), 2)</f>
        <v>322.60000000000002</v>
      </c>
    </row>
    <row r="140" spans="1:22" x14ac:dyDescent="0.2">
      <c r="C140" s="181" t="s">
        <v>2605</v>
      </c>
    </row>
    <row r="141" spans="1:22" ht="14.25" x14ac:dyDescent="0.2">
      <c r="A141" s="179"/>
      <c r="B141" s="178"/>
      <c r="C141" s="178" t="s">
        <v>197</v>
      </c>
      <c r="D141" s="177"/>
      <c r="E141" s="174"/>
      <c r="F141" s="176">
        <v>370.95</v>
      </c>
      <c r="G141" s="175" t="s">
        <v>2270</v>
      </c>
      <c r="H141" s="174">
        <v>1</v>
      </c>
      <c r="I141" s="173">
        <v>349.81</v>
      </c>
      <c r="J141" s="174">
        <v>23.35</v>
      </c>
      <c r="K141" s="173">
        <v>8168.06</v>
      </c>
    </row>
    <row r="142" spans="1:22" ht="14.25" x14ac:dyDescent="0.2">
      <c r="A142" s="179"/>
      <c r="B142" s="178"/>
      <c r="C142" s="178" t="s">
        <v>184</v>
      </c>
      <c r="D142" s="177"/>
      <c r="E142" s="174"/>
      <c r="F142" s="176">
        <v>43.16</v>
      </c>
      <c r="G142" s="175" t="s">
        <v>2271</v>
      </c>
      <c r="H142" s="174">
        <v>1</v>
      </c>
      <c r="I142" s="173">
        <v>44.24</v>
      </c>
      <c r="J142" s="174">
        <v>8.93</v>
      </c>
      <c r="K142" s="173">
        <v>395.06</v>
      </c>
    </row>
    <row r="143" spans="1:22" ht="14.25" x14ac:dyDescent="0.2">
      <c r="A143" s="179"/>
      <c r="B143" s="178"/>
      <c r="C143" s="178" t="s">
        <v>189</v>
      </c>
      <c r="D143" s="177"/>
      <c r="E143" s="174"/>
      <c r="F143" s="176">
        <v>8.59</v>
      </c>
      <c r="G143" s="175" t="s">
        <v>2271</v>
      </c>
      <c r="H143" s="174">
        <v>1</v>
      </c>
      <c r="I143" s="180">
        <v>8.8000000000000007</v>
      </c>
      <c r="J143" s="174">
        <v>23.35</v>
      </c>
      <c r="K143" s="180">
        <v>205.48</v>
      </c>
    </row>
    <row r="144" spans="1:22" ht="14.25" x14ac:dyDescent="0.2">
      <c r="A144" s="179"/>
      <c r="B144" s="178"/>
      <c r="C144" s="178" t="s">
        <v>205</v>
      </c>
      <c r="D144" s="177"/>
      <c r="E144" s="174"/>
      <c r="F144" s="176">
        <v>18.13</v>
      </c>
      <c r="G144" s="175" t="s">
        <v>195</v>
      </c>
      <c r="H144" s="174">
        <v>1</v>
      </c>
      <c r="I144" s="173">
        <v>14.87</v>
      </c>
      <c r="J144" s="174">
        <v>5.42</v>
      </c>
      <c r="K144" s="173">
        <v>80.599999999999994</v>
      </c>
    </row>
    <row r="145" spans="1:22" ht="57" x14ac:dyDescent="0.2">
      <c r="A145" s="179" t="s">
        <v>1592</v>
      </c>
      <c r="B145" s="178" t="s">
        <v>2606</v>
      </c>
      <c r="C145" s="178" t="s">
        <v>775</v>
      </c>
      <c r="D145" s="177" t="s">
        <v>1661</v>
      </c>
      <c r="E145" s="174">
        <v>8</v>
      </c>
      <c r="F145" s="176">
        <v>47.24</v>
      </c>
      <c r="G145" s="182" t="s">
        <v>195</v>
      </c>
      <c r="H145" s="174">
        <v>1</v>
      </c>
      <c r="I145" s="173">
        <v>377.92</v>
      </c>
      <c r="J145" s="174">
        <v>12.35</v>
      </c>
      <c r="K145" s="173">
        <v>4667.3100000000004</v>
      </c>
      <c r="Q145" s="160">
        <f>[8]Source!X119</f>
        <v>0</v>
      </c>
      <c r="R145" s="160">
        <f>[8]Source!X120</f>
        <v>0</v>
      </c>
      <c r="S145" s="160">
        <f>[8]Source!Y119</f>
        <v>0</v>
      </c>
      <c r="T145" s="160">
        <f>[8]Source!Y120</f>
        <v>0</v>
      </c>
      <c r="U145" s="160">
        <f>ROUND((175/100)*ROUND([8]Source!R119, 2), 2)</f>
        <v>0</v>
      </c>
      <c r="V145" s="160">
        <f>ROUND((157/100)*ROUND([8]Source!R120, 2), 2)</f>
        <v>0</v>
      </c>
    </row>
    <row r="146" spans="1:22" ht="99.75" x14ac:dyDescent="0.2">
      <c r="A146" s="179" t="s">
        <v>1595</v>
      </c>
      <c r="B146" s="178" t="s">
        <v>2607</v>
      </c>
      <c r="C146" s="178" t="s">
        <v>774</v>
      </c>
      <c r="D146" s="177" t="s">
        <v>1661</v>
      </c>
      <c r="E146" s="174">
        <v>2</v>
      </c>
      <c r="F146" s="176">
        <v>510.16</v>
      </c>
      <c r="G146" s="182" t="s">
        <v>195</v>
      </c>
      <c r="H146" s="174">
        <v>1</v>
      </c>
      <c r="I146" s="173">
        <v>1020.32</v>
      </c>
      <c r="J146" s="174">
        <v>4.3099999999999996</v>
      </c>
      <c r="K146" s="173">
        <v>4397.58</v>
      </c>
      <c r="Q146" s="160">
        <f>[8]Source!X121</f>
        <v>0</v>
      </c>
      <c r="R146" s="160">
        <f>[8]Source!X122</f>
        <v>0</v>
      </c>
      <c r="S146" s="160">
        <f>[8]Source!Y121</f>
        <v>0</v>
      </c>
      <c r="T146" s="160">
        <f>[8]Source!Y122</f>
        <v>0</v>
      </c>
      <c r="U146" s="160">
        <f>ROUND((175/100)*ROUND([8]Source!R121, 2), 2)</f>
        <v>0</v>
      </c>
      <c r="V146" s="160">
        <f>ROUND((157/100)*ROUND([8]Source!R122, 2), 2)</f>
        <v>0</v>
      </c>
    </row>
    <row r="147" spans="1:22" ht="57" x14ac:dyDescent="0.2">
      <c r="A147" s="179" t="s">
        <v>1597</v>
      </c>
      <c r="B147" s="178" t="s">
        <v>2608</v>
      </c>
      <c r="C147" s="178" t="s">
        <v>1091</v>
      </c>
      <c r="D147" s="177" t="s">
        <v>1552</v>
      </c>
      <c r="E147" s="174">
        <v>82</v>
      </c>
      <c r="F147" s="176">
        <v>31.32</v>
      </c>
      <c r="G147" s="182" t="s">
        <v>195</v>
      </c>
      <c r="H147" s="174">
        <v>1</v>
      </c>
      <c r="I147" s="173">
        <v>2568.2399999999998</v>
      </c>
      <c r="J147" s="174">
        <v>6.49</v>
      </c>
      <c r="K147" s="173">
        <v>16667.88</v>
      </c>
      <c r="Q147" s="160">
        <f>[8]Source!X123</f>
        <v>0</v>
      </c>
      <c r="R147" s="160">
        <f>[8]Source!X124</f>
        <v>0</v>
      </c>
      <c r="S147" s="160">
        <f>[8]Source!Y123</f>
        <v>0</v>
      </c>
      <c r="T147" s="160">
        <f>[8]Source!Y124</f>
        <v>0</v>
      </c>
      <c r="U147" s="160">
        <f>ROUND((175/100)*ROUND([8]Source!R123, 2), 2)</f>
        <v>0</v>
      </c>
      <c r="V147" s="160">
        <f>ROUND((157/100)*ROUND([8]Source!R124, 2), 2)</f>
        <v>0</v>
      </c>
    </row>
    <row r="148" spans="1:22" ht="14.25" x14ac:dyDescent="0.2">
      <c r="A148" s="179"/>
      <c r="B148" s="178"/>
      <c r="C148" s="178" t="s">
        <v>194</v>
      </c>
      <c r="D148" s="177" t="s">
        <v>187</v>
      </c>
      <c r="E148" s="174">
        <v>110</v>
      </c>
      <c r="F148" s="176"/>
      <c r="G148" s="175"/>
      <c r="H148" s="174"/>
      <c r="I148" s="173">
        <v>384.79</v>
      </c>
      <c r="J148" s="174">
        <v>88</v>
      </c>
      <c r="K148" s="173">
        <v>7187.89</v>
      </c>
    </row>
    <row r="149" spans="1:22" ht="14.25" x14ac:dyDescent="0.2">
      <c r="A149" s="179"/>
      <c r="B149" s="178"/>
      <c r="C149" s="178" t="s">
        <v>193</v>
      </c>
      <c r="D149" s="177" t="s">
        <v>187</v>
      </c>
      <c r="E149" s="174">
        <v>74</v>
      </c>
      <c r="F149" s="176"/>
      <c r="G149" s="175"/>
      <c r="H149" s="174"/>
      <c r="I149" s="173">
        <v>258.86</v>
      </c>
      <c r="J149" s="174">
        <v>41</v>
      </c>
      <c r="K149" s="173">
        <v>3348.9</v>
      </c>
    </row>
    <row r="150" spans="1:22" ht="14.25" x14ac:dyDescent="0.2">
      <c r="A150" s="179"/>
      <c r="B150" s="178"/>
      <c r="C150" s="178" t="s">
        <v>188</v>
      </c>
      <c r="D150" s="177" t="s">
        <v>187</v>
      </c>
      <c r="E150" s="174">
        <v>175</v>
      </c>
      <c r="F150" s="176"/>
      <c r="G150" s="175"/>
      <c r="H150" s="174"/>
      <c r="I150" s="173">
        <v>15.4</v>
      </c>
      <c r="J150" s="174">
        <v>157</v>
      </c>
      <c r="K150" s="173">
        <v>322.60000000000002</v>
      </c>
    </row>
    <row r="151" spans="1:22" ht="14.25" x14ac:dyDescent="0.2">
      <c r="A151" s="242"/>
      <c r="B151" s="241"/>
      <c r="C151" s="241" t="s">
        <v>192</v>
      </c>
      <c r="D151" s="240" t="s">
        <v>191</v>
      </c>
      <c r="E151" s="238">
        <v>29.7</v>
      </c>
      <c r="F151" s="253"/>
      <c r="G151" s="239" t="s">
        <v>2270</v>
      </c>
      <c r="H151" s="238">
        <v>1</v>
      </c>
      <c r="I151" s="237">
        <v>28.01</v>
      </c>
      <c r="J151" s="238"/>
      <c r="K151" s="237"/>
    </row>
    <row r="152" spans="1:22" ht="15" x14ac:dyDescent="0.25">
      <c r="A152" s="235"/>
      <c r="B152" s="235"/>
      <c r="C152" s="236" t="s">
        <v>183</v>
      </c>
      <c r="D152" s="235"/>
      <c r="E152" s="235"/>
      <c r="F152" s="235"/>
      <c r="G152" s="235"/>
      <c r="H152" s="436">
        <v>5034.45</v>
      </c>
      <c r="I152" s="436"/>
      <c r="J152" s="436">
        <v>45235.88</v>
      </c>
      <c r="K152" s="436"/>
      <c r="O152" s="163">
        <f>I141+I142+I144+I148+I149+I150+SUM(I145:I147)</f>
        <v>5034.45</v>
      </c>
      <c r="P152" s="163">
        <f>K141+K142+K144+K148+K149+K150+SUM(K145:K147)</f>
        <v>45235.88</v>
      </c>
    </row>
    <row r="154" spans="1:22" ht="57" x14ac:dyDescent="0.2">
      <c r="A154" s="179" t="s">
        <v>1599</v>
      </c>
      <c r="B154" s="178" t="s">
        <v>2609</v>
      </c>
      <c r="C154" s="178" t="s">
        <v>920</v>
      </c>
      <c r="D154" s="177" t="s">
        <v>2599</v>
      </c>
      <c r="E154" s="174">
        <v>1.22</v>
      </c>
      <c r="F154" s="176"/>
      <c r="G154" s="175"/>
      <c r="H154" s="174"/>
      <c r="I154" s="173"/>
      <c r="J154" s="174"/>
      <c r="K154" s="173"/>
      <c r="Q154" s="160">
        <f>[8]Source!X125</f>
        <v>572.48</v>
      </c>
      <c r="R154" s="160">
        <f>[8]Source!X126</f>
        <v>10694</v>
      </c>
      <c r="S154" s="160">
        <f>[8]Source!Y125</f>
        <v>385.13</v>
      </c>
      <c r="T154" s="160">
        <f>[8]Source!Y126</f>
        <v>4982.43</v>
      </c>
      <c r="U154" s="160">
        <f>ROUND((175/100)*ROUND([8]Source!R125, 2), 2)</f>
        <v>22.93</v>
      </c>
      <c r="V154" s="160">
        <f>ROUND((157/100)*ROUND([8]Source!R126, 2), 2)</f>
        <v>480.25</v>
      </c>
    </row>
    <row r="155" spans="1:22" x14ac:dyDescent="0.2">
      <c r="C155" s="181" t="s">
        <v>2610</v>
      </c>
    </row>
    <row r="156" spans="1:22" ht="14.25" x14ac:dyDescent="0.2">
      <c r="A156" s="179"/>
      <c r="B156" s="178"/>
      <c r="C156" s="178" t="s">
        <v>197</v>
      </c>
      <c r="D156" s="177"/>
      <c r="E156" s="174"/>
      <c r="F156" s="176">
        <v>370.95</v>
      </c>
      <c r="G156" s="175" t="s">
        <v>2270</v>
      </c>
      <c r="H156" s="174">
        <v>1</v>
      </c>
      <c r="I156" s="173">
        <v>520.44000000000005</v>
      </c>
      <c r="J156" s="174">
        <v>23.35</v>
      </c>
      <c r="K156" s="173">
        <v>12152.27</v>
      </c>
    </row>
    <row r="157" spans="1:22" ht="14.25" x14ac:dyDescent="0.2">
      <c r="A157" s="179"/>
      <c r="B157" s="178"/>
      <c r="C157" s="178" t="s">
        <v>184</v>
      </c>
      <c r="D157" s="177"/>
      <c r="E157" s="174"/>
      <c r="F157" s="176">
        <v>43.16</v>
      </c>
      <c r="G157" s="175" t="s">
        <v>2271</v>
      </c>
      <c r="H157" s="174">
        <v>1</v>
      </c>
      <c r="I157" s="173">
        <v>65.819999999999993</v>
      </c>
      <c r="J157" s="174">
        <v>8.93</v>
      </c>
      <c r="K157" s="173">
        <v>587.77</v>
      </c>
    </row>
    <row r="158" spans="1:22" ht="14.25" x14ac:dyDescent="0.2">
      <c r="A158" s="179"/>
      <c r="B158" s="178"/>
      <c r="C158" s="178" t="s">
        <v>189</v>
      </c>
      <c r="D158" s="177"/>
      <c r="E158" s="174"/>
      <c r="F158" s="176">
        <v>8.59</v>
      </c>
      <c r="G158" s="175" t="s">
        <v>2271</v>
      </c>
      <c r="H158" s="174">
        <v>1</v>
      </c>
      <c r="I158" s="180">
        <v>13.1</v>
      </c>
      <c r="J158" s="174">
        <v>23.35</v>
      </c>
      <c r="K158" s="180">
        <v>305.89</v>
      </c>
    </row>
    <row r="159" spans="1:22" ht="14.25" x14ac:dyDescent="0.2">
      <c r="A159" s="179"/>
      <c r="B159" s="178"/>
      <c r="C159" s="178" t="s">
        <v>205</v>
      </c>
      <c r="D159" s="177"/>
      <c r="E159" s="174"/>
      <c r="F159" s="176">
        <v>18.13</v>
      </c>
      <c r="G159" s="175" t="s">
        <v>195</v>
      </c>
      <c r="H159" s="174">
        <v>1</v>
      </c>
      <c r="I159" s="173">
        <v>22.12</v>
      </c>
      <c r="J159" s="174">
        <v>5.42</v>
      </c>
      <c r="K159" s="173">
        <v>119.89</v>
      </c>
    </row>
    <row r="160" spans="1:22" ht="57" x14ac:dyDescent="0.2">
      <c r="A160" s="179" t="s">
        <v>1601</v>
      </c>
      <c r="B160" s="178" t="s">
        <v>2611</v>
      </c>
      <c r="C160" s="178" t="s">
        <v>735</v>
      </c>
      <c r="D160" s="177" t="s">
        <v>1661</v>
      </c>
      <c r="E160" s="174">
        <v>4</v>
      </c>
      <c r="F160" s="176">
        <v>74.37</v>
      </c>
      <c r="G160" s="182" t="s">
        <v>195</v>
      </c>
      <c r="H160" s="174">
        <v>1</v>
      </c>
      <c r="I160" s="173">
        <v>297.48</v>
      </c>
      <c r="J160" s="174">
        <v>11.27</v>
      </c>
      <c r="K160" s="173">
        <v>3352.6</v>
      </c>
      <c r="Q160" s="160">
        <f>[8]Source!X129</f>
        <v>0</v>
      </c>
      <c r="R160" s="160">
        <f>[8]Source!X130</f>
        <v>0</v>
      </c>
      <c r="S160" s="160">
        <f>[8]Source!Y129</f>
        <v>0</v>
      </c>
      <c r="T160" s="160">
        <f>[8]Source!Y130</f>
        <v>0</v>
      </c>
      <c r="U160" s="160">
        <f>ROUND((175/100)*ROUND([8]Source!R129, 2), 2)</f>
        <v>0</v>
      </c>
      <c r="V160" s="160">
        <f>ROUND((157/100)*ROUND([8]Source!R130, 2), 2)</f>
        <v>0</v>
      </c>
    </row>
    <row r="161" spans="1:22" ht="57" x14ac:dyDescent="0.2">
      <c r="A161" s="179" t="s">
        <v>2612</v>
      </c>
      <c r="B161" s="178" t="s">
        <v>2613</v>
      </c>
      <c r="C161" s="178" t="s">
        <v>919</v>
      </c>
      <c r="D161" s="177" t="s">
        <v>1552</v>
      </c>
      <c r="E161" s="174">
        <v>122</v>
      </c>
      <c r="F161" s="176">
        <v>31.75</v>
      </c>
      <c r="G161" s="182" t="s">
        <v>195</v>
      </c>
      <c r="H161" s="174">
        <v>1</v>
      </c>
      <c r="I161" s="173">
        <v>3873.5</v>
      </c>
      <c r="J161" s="174">
        <v>8.52</v>
      </c>
      <c r="K161" s="173">
        <v>33002.22</v>
      </c>
      <c r="Q161" s="160">
        <f>[8]Source!X131</f>
        <v>0</v>
      </c>
      <c r="R161" s="160">
        <f>[8]Source!X132</f>
        <v>0</v>
      </c>
      <c r="S161" s="160">
        <f>[8]Source!Y131</f>
        <v>0</v>
      </c>
      <c r="T161" s="160">
        <f>[8]Source!Y132</f>
        <v>0</v>
      </c>
      <c r="U161" s="160">
        <f>ROUND((175/100)*ROUND([8]Source!R131, 2), 2)</f>
        <v>0</v>
      </c>
      <c r="V161" s="160">
        <f>ROUND((157/100)*ROUND([8]Source!R132, 2), 2)</f>
        <v>0</v>
      </c>
    </row>
    <row r="162" spans="1:22" ht="14.25" x14ac:dyDescent="0.2">
      <c r="A162" s="179"/>
      <c r="B162" s="178"/>
      <c r="C162" s="178" t="s">
        <v>194</v>
      </c>
      <c r="D162" s="177" t="s">
        <v>187</v>
      </c>
      <c r="E162" s="174">
        <v>110</v>
      </c>
      <c r="F162" s="176"/>
      <c r="G162" s="175"/>
      <c r="H162" s="174"/>
      <c r="I162" s="173">
        <v>572.48</v>
      </c>
      <c r="J162" s="174">
        <v>88</v>
      </c>
      <c r="K162" s="173">
        <v>10694</v>
      </c>
    </row>
    <row r="163" spans="1:22" ht="14.25" x14ac:dyDescent="0.2">
      <c r="A163" s="179"/>
      <c r="B163" s="178"/>
      <c r="C163" s="178" t="s">
        <v>193</v>
      </c>
      <c r="D163" s="177" t="s">
        <v>187</v>
      </c>
      <c r="E163" s="174">
        <v>74</v>
      </c>
      <c r="F163" s="176"/>
      <c r="G163" s="175"/>
      <c r="H163" s="174"/>
      <c r="I163" s="173">
        <v>385.13</v>
      </c>
      <c r="J163" s="174">
        <v>41</v>
      </c>
      <c r="K163" s="173">
        <v>4982.43</v>
      </c>
    </row>
    <row r="164" spans="1:22" ht="14.25" x14ac:dyDescent="0.2">
      <c r="A164" s="179"/>
      <c r="B164" s="178"/>
      <c r="C164" s="178" t="s">
        <v>188</v>
      </c>
      <c r="D164" s="177" t="s">
        <v>187</v>
      </c>
      <c r="E164" s="174">
        <v>175</v>
      </c>
      <c r="F164" s="176"/>
      <c r="G164" s="175"/>
      <c r="H164" s="174"/>
      <c r="I164" s="173">
        <v>22.93</v>
      </c>
      <c r="J164" s="174">
        <v>157</v>
      </c>
      <c r="K164" s="173">
        <v>480.25</v>
      </c>
    </row>
    <row r="165" spans="1:22" ht="14.25" x14ac:dyDescent="0.2">
      <c r="A165" s="242"/>
      <c r="B165" s="241"/>
      <c r="C165" s="241" t="s">
        <v>192</v>
      </c>
      <c r="D165" s="240" t="s">
        <v>191</v>
      </c>
      <c r="E165" s="238">
        <v>29.7</v>
      </c>
      <c r="F165" s="253"/>
      <c r="G165" s="239" t="s">
        <v>2270</v>
      </c>
      <c r="H165" s="238">
        <v>1</v>
      </c>
      <c r="I165" s="237">
        <v>41.67</v>
      </c>
      <c r="J165" s="238"/>
      <c r="K165" s="237"/>
    </row>
    <row r="166" spans="1:22" ht="15" x14ac:dyDescent="0.25">
      <c r="A166" s="235"/>
      <c r="B166" s="235"/>
      <c r="C166" s="236" t="s">
        <v>183</v>
      </c>
      <c r="D166" s="235"/>
      <c r="E166" s="235"/>
      <c r="F166" s="235"/>
      <c r="G166" s="235"/>
      <c r="H166" s="436">
        <v>5759.9</v>
      </c>
      <c r="I166" s="436"/>
      <c r="J166" s="436">
        <v>65371.43</v>
      </c>
      <c r="K166" s="436"/>
      <c r="O166" s="163">
        <f>I156+I157+I159+I162+I163+I164+SUM(I160:I161)</f>
        <v>5759.9</v>
      </c>
      <c r="P166" s="163">
        <f>K156+K157+K159+K162+K163+K164+SUM(K160:K161)</f>
        <v>65371.43</v>
      </c>
    </row>
    <row r="168" spans="1:22" ht="57" x14ac:dyDescent="0.2">
      <c r="A168" s="179" t="s">
        <v>1602</v>
      </c>
      <c r="B168" s="178" t="s">
        <v>2614</v>
      </c>
      <c r="C168" s="178" t="s">
        <v>918</v>
      </c>
      <c r="D168" s="177" t="s">
        <v>2599</v>
      </c>
      <c r="E168" s="174">
        <v>1.36</v>
      </c>
      <c r="F168" s="176"/>
      <c r="G168" s="175"/>
      <c r="H168" s="174"/>
      <c r="I168" s="173"/>
      <c r="J168" s="174"/>
      <c r="K168" s="173"/>
      <c r="Q168" s="160">
        <f>[8]Source!X133</f>
        <v>638.19000000000005</v>
      </c>
      <c r="R168" s="160">
        <f>[8]Source!X134</f>
        <v>11921.33</v>
      </c>
      <c r="S168" s="160">
        <f>[8]Source!Y133</f>
        <v>429.33</v>
      </c>
      <c r="T168" s="160">
        <f>[8]Source!Y134</f>
        <v>5554.26</v>
      </c>
      <c r="U168" s="160">
        <f>ROUND((175/100)*ROUND([8]Source!R133, 2), 2)</f>
        <v>25.55</v>
      </c>
      <c r="V168" s="160">
        <f>ROUND((157/100)*ROUND([8]Source!R134, 2), 2)</f>
        <v>535.23</v>
      </c>
    </row>
    <row r="169" spans="1:22" x14ac:dyDescent="0.2">
      <c r="C169" s="181" t="s">
        <v>2615</v>
      </c>
    </row>
    <row r="170" spans="1:22" ht="14.25" x14ac:dyDescent="0.2">
      <c r="A170" s="179"/>
      <c r="B170" s="178"/>
      <c r="C170" s="178" t="s">
        <v>197</v>
      </c>
      <c r="D170" s="177"/>
      <c r="E170" s="174"/>
      <c r="F170" s="176">
        <v>370.95</v>
      </c>
      <c r="G170" s="175" t="s">
        <v>2270</v>
      </c>
      <c r="H170" s="174">
        <v>1</v>
      </c>
      <c r="I170" s="173">
        <v>580.16999999999996</v>
      </c>
      <c r="J170" s="174">
        <v>23.35</v>
      </c>
      <c r="K170" s="173">
        <v>13546.97</v>
      </c>
    </row>
    <row r="171" spans="1:22" ht="14.25" x14ac:dyDescent="0.2">
      <c r="A171" s="179"/>
      <c r="B171" s="178"/>
      <c r="C171" s="178" t="s">
        <v>184</v>
      </c>
      <c r="D171" s="177"/>
      <c r="E171" s="174"/>
      <c r="F171" s="176">
        <v>43.16</v>
      </c>
      <c r="G171" s="175" t="s">
        <v>2271</v>
      </c>
      <c r="H171" s="174">
        <v>1</v>
      </c>
      <c r="I171" s="173">
        <v>73.37</v>
      </c>
      <c r="J171" s="174">
        <v>8.93</v>
      </c>
      <c r="K171" s="173">
        <v>655.19000000000005</v>
      </c>
    </row>
    <row r="172" spans="1:22" ht="14.25" x14ac:dyDescent="0.2">
      <c r="A172" s="179"/>
      <c r="B172" s="178"/>
      <c r="C172" s="178" t="s">
        <v>189</v>
      </c>
      <c r="D172" s="177"/>
      <c r="E172" s="174"/>
      <c r="F172" s="176">
        <v>8.59</v>
      </c>
      <c r="G172" s="175" t="s">
        <v>2271</v>
      </c>
      <c r="H172" s="174">
        <v>1</v>
      </c>
      <c r="I172" s="180">
        <v>14.6</v>
      </c>
      <c r="J172" s="174">
        <v>23.35</v>
      </c>
      <c r="K172" s="180">
        <v>340.91</v>
      </c>
    </row>
    <row r="173" spans="1:22" ht="14.25" x14ac:dyDescent="0.2">
      <c r="A173" s="179"/>
      <c r="B173" s="178"/>
      <c r="C173" s="178" t="s">
        <v>205</v>
      </c>
      <c r="D173" s="177"/>
      <c r="E173" s="174"/>
      <c r="F173" s="176">
        <v>18.13</v>
      </c>
      <c r="G173" s="175" t="s">
        <v>195</v>
      </c>
      <c r="H173" s="174">
        <v>1</v>
      </c>
      <c r="I173" s="173">
        <v>24.66</v>
      </c>
      <c r="J173" s="174">
        <v>5.42</v>
      </c>
      <c r="K173" s="173">
        <v>133.66</v>
      </c>
    </row>
    <row r="174" spans="1:22" ht="99.75" x14ac:dyDescent="0.2">
      <c r="A174" s="179" t="s">
        <v>1605</v>
      </c>
      <c r="B174" s="178" t="s">
        <v>2616</v>
      </c>
      <c r="C174" s="178" t="s">
        <v>766</v>
      </c>
      <c r="D174" s="177" t="s">
        <v>1661</v>
      </c>
      <c r="E174" s="174">
        <v>2</v>
      </c>
      <c r="F174" s="176">
        <v>985.51</v>
      </c>
      <c r="G174" s="182" t="s">
        <v>195</v>
      </c>
      <c r="H174" s="174">
        <v>1</v>
      </c>
      <c r="I174" s="173">
        <v>1971.02</v>
      </c>
      <c r="J174" s="174">
        <v>4.26</v>
      </c>
      <c r="K174" s="173">
        <v>8396.5499999999993</v>
      </c>
      <c r="Q174" s="160">
        <f>[8]Source!X137</f>
        <v>0</v>
      </c>
      <c r="R174" s="160">
        <f>[8]Source!X138</f>
        <v>0</v>
      </c>
      <c r="S174" s="160">
        <f>[8]Source!Y137</f>
        <v>0</v>
      </c>
      <c r="T174" s="160">
        <f>[8]Source!Y138</f>
        <v>0</v>
      </c>
      <c r="U174" s="160">
        <f>ROUND((175/100)*ROUND([8]Source!R137, 2), 2)</f>
        <v>0</v>
      </c>
      <c r="V174" s="160">
        <f>ROUND((157/100)*ROUND([8]Source!R138, 2), 2)</f>
        <v>0</v>
      </c>
    </row>
    <row r="175" spans="1:22" ht="57" x14ac:dyDescent="0.2">
      <c r="A175" s="179" t="s">
        <v>1606</v>
      </c>
      <c r="B175" s="178" t="s">
        <v>2617</v>
      </c>
      <c r="C175" s="178" t="s">
        <v>917</v>
      </c>
      <c r="D175" s="177" t="s">
        <v>1552</v>
      </c>
      <c r="E175" s="174">
        <v>136</v>
      </c>
      <c r="F175" s="176">
        <v>33.31</v>
      </c>
      <c r="G175" s="182" t="s">
        <v>195</v>
      </c>
      <c r="H175" s="174">
        <v>1</v>
      </c>
      <c r="I175" s="173">
        <v>4530.16</v>
      </c>
      <c r="J175" s="174">
        <v>10.32</v>
      </c>
      <c r="K175" s="173">
        <v>46751.25</v>
      </c>
      <c r="Q175" s="160">
        <f>[8]Source!X139</f>
        <v>0</v>
      </c>
      <c r="R175" s="160">
        <f>[8]Source!X140</f>
        <v>0</v>
      </c>
      <c r="S175" s="160">
        <f>[8]Source!Y139</f>
        <v>0</v>
      </c>
      <c r="T175" s="160">
        <f>[8]Source!Y140</f>
        <v>0</v>
      </c>
      <c r="U175" s="160">
        <f>ROUND((175/100)*ROUND([8]Source!R139, 2), 2)</f>
        <v>0</v>
      </c>
      <c r="V175" s="160">
        <f>ROUND((157/100)*ROUND([8]Source!R140, 2), 2)</f>
        <v>0</v>
      </c>
    </row>
    <row r="176" spans="1:22" ht="14.25" x14ac:dyDescent="0.2">
      <c r="A176" s="179"/>
      <c r="B176" s="178"/>
      <c r="C176" s="178" t="s">
        <v>194</v>
      </c>
      <c r="D176" s="177" t="s">
        <v>187</v>
      </c>
      <c r="E176" s="174">
        <v>110</v>
      </c>
      <c r="F176" s="176"/>
      <c r="G176" s="175"/>
      <c r="H176" s="174"/>
      <c r="I176" s="173">
        <v>638.19000000000005</v>
      </c>
      <c r="J176" s="174">
        <v>88</v>
      </c>
      <c r="K176" s="173">
        <v>11921.33</v>
      </c>
    </row>
    <row r="177" spans="1:22" ht="14.25" x14ac:dyDescent="0.2">
      <c r="A177" s="179"/>
      <c r="B177" s="178"/>
      <c r="C177" s="178" t="s">
        <v>193</v>
      </c>
      <c r="D177" s="177" t="s">
        <v>187</v>
      </c>
      <c r="E177" s="174">
        <v>74</v>
      </c>
      <c r="F177" s="176"/>
      <c r="G177" s="175"/>
      <c r="H177" s="174"/>
      <c r="I177" s="173">
        <v>429.33</v>
      </c>
      <c r="J177" s="174">
        <v>41</v>
      </c>
      <c r="K177" s="173">
        <v>5554.26</v>
      </c>
    </row>
    <row r="178" spans="1:22" ht="14.25" x14ac:dyDescent="0.2">
      <c r="A178" s="179"/>
      <c r="B178" s="178"/>
      <c r="C178" s="178" t="s">
        <v>188</v>
      </c>
      <c r="D178" s="177" t="s">
        <v>187</v>
      </c>
      <c r="E178" s="174">
        <v>175</v>
      </c>
      <c r="F178" s="176"/>
      <c r="G178" s="175"/>
      <c r="H178" s="174"/>
      <c r="I178" s="173">
        <v>25.55</v>
      </c>
      <c r="J178" s="174">
        <v>157</v>
      </c>
      <c r="K178" s="173">
        <v>535.23</v>
      </c>
    </row>
    <row r="179" spans="1:22" ht="14.25" x14ac:dyDescent="0.2">
      <c r="A179" s="242"/>
      <c r="B179" s="241"/>
      <c r="C179" s="241" t="s">
        <v>192</v>
      </c>
      <c r="D179" s="240" t="s">
        <v>191</v>
      </c>
      <c r="E179" s="238">
        <v>29.7</v>
      </c>
      <c r="F179" s="253"/>
      <c r="G179" s="239" t="s">
        <v>2270</v>
      </c>
      <c r="H179" s="238">
        <v>1</v>
      </c>
      <c r="I179" s="237">
        <v>46.45</v>
      </c>
      <c r="J179" s="238"/>
      <c r="K179" s="237"/>
    </row>
    <row r="180" spans="1:22" ht="15" x14ac:dyDescent="0.25">
      <c r="A180" s="235"/>
      <c r="B180" s="235"/>
      <c r="C180" s="236" t="s">
        <v>183</v>
      </c>
      <c r="D180" s="235"/>
      <c r="E180" s="235"/>
      <c r="F180" s="235"/>
      <c r="G180" s="235"/>
      <c r="H180" s="436">
        <v>8272.4500000000007</v>
      </c>
      <c r="I180" s="436"/>
      <c r="J180" s="436">
        <v>87494.44</v>
      </c>
      <c r="K180" s="436"/>
      <c r="O180" s="163">
        <f>I170+I171+I173+I176+I177+I178+SUM(I174:I175)</f>
        <v>8272.4500000000007</v>
      </c>
      <c r="P180" s="163">
        <f>K170+K171+K173+K176+K177+K178+SUM(K174:K175)</f>
        <v>87494.44</v>
      </c>
    </row>
    <row r="182" spans="1:22" ht="57" x14ac:dyDescent="0.2">
      <c r="A182" s="179" t="s">
        <v>1607</v>
      </c>
      <c r="B182" s="178" t="s">
        <v>2618</v>
      </c>
      <c r="C182" s="178" t="s">
        <v>1090</v>
      </c>
      <c r="D182" s="177" t="s">
        <v>2599</v>
      </c>
      <c r="E182" s="174">
        <v>0.98</v>
      </c>
      <c r="F182" s="176"/>
      <c r="G182" s="175"/>
      <c r="H182" s="174"/>
      <c r="I182" s="173"/>
      <c r="J182" s="174"/>
      <c r="K182" s="173"/>
      <c r="Q182" s="160">
        <f>[8]Source!X141</f>
        <v>459.87</v>
      </c>
      <c r="R182" s="160">
        <f>[8]Source!X142</f>
        <v>8590.2999999999993</v>
      </c>
      <c r="S182" s="160">
        <f>[8]Source!Y141</f>
        <v>309.36</v>
      </c>
      <c r="T182" s="160">
        <f>[8]Source!Y142</f>
        <v>4002.3</v>
      </c>
      <c r="U182" s="160">
        <f>ROUND((175/100)*ROUND([8]Source!R141, 2), 2)</f>
        <v>18.41</v>
      </c>
      <c r="V182" s="160">
        <f>ROUND((157/100)*ROUND([8]Source!R142, 2), 2)</f>
        <v>385.65</v>
      </c>
    </row>
    <row r="183" spans="1:22" x14ac:dyDescent="0.2">
      <c r="C183" s="181" t="s">
        <v>2619</v>
      </c>
    </row>
    <row r="184" spans="1:22" ht="14.25" x14ac:dyDescent="0.2">
      <c r="A184" s="179"/>
      <c r="B184" s="178"/>
      <c r="C184" s="178" t="s">
        <v>197</v>
      </c>
      <c r="D184" s="177"/>
      <c r="E184" s="174"/>
      <c r="F184" s="176">
        <v>370.95</v>
      </c>
      <c r="G184" s="175" t="s">
        <v>2270</v>
      </c>
      <c r="H184" s="174">
        <v>1</v>
      </c>
      <c r="I184" s="173">
        <v>418.06</v>
      </c>
      <c r="J184" s="174">
        <v>23.35</v>
      </c>
      <c r="K184" s="173">
        <v>9761.7000000000007</v>
      </c>
    </row>
    <row r="185" spans="1:22" ht="14.25" x14ac:dyDescent="0.2">
      <c r="A185" s="179"/>
      <c r="B185" s="178"/>
      <c r="C185" s="178" t="s">
        <v>184</v>
      </c>
      <c r="D185" s="177"/>
      <c r="E185" s="174"/>
      <c r="F185" s="176">
        <v>43.16</v>
      </c>
      <c r="G185" s="175" t="s">
        <v>2271</v>
      </c>
      <c r="H185" s="174">
        <v>1</v>
      </c>
      <c r="I185" s="173">
        <v>52.87</v>
      </c>
      <c r="J185" s="174">
        <v>8.93</v>
      </c>
      <c r="K185" s="173">
        <v>472.13</v>
      </c>
    </row>
    <row r="186" spans="1:22" ht="14.25" x14ac:dyDescent="0.2">
      <c r="A186" s="179"/>
      <c r="B186" s="178"/>
      <c r="C186" s="178" t="s">
        <v>189</v>
      </c>
      <c r="D186" s="177"/>
      <c r="E186" s="174"/>
      <c r="F186" s="176">
        <v>8.59</v>
      </c>
      <c r="G186" s="175" t="s">
        <v>2271</v>
      </c>
      <c r="H186" s="174">
        <v>1</v>
      </c>
      <c r="I186" s="180">
        <v>10.52</v>
      </c>
      <c r="J186" s="174">
        <v>23.35</v>
      </c>
      <c r="K186" s="180">
        <v>245.64</v>
      </c>
    </row>
    <row r="187" spans="1:22" ht="14.25" x14ac:dyDescent="0.2">
      <c r="A187" s="179"/>
      <c r="B187" s="178"/>
      <c r="C187" s="178" t="s">
        <v>205</v>
      </c>
      <c r="D187" s="177"/>
      <c r="E187" s="174"/>
      <c r="F187" s="176">
        <v>18.13</v>
      </c>
      <c r="G187" s="175" t="s">
        <v>195</v>
      </c>
      <c r="H187" s="174">
        <v>1</v>
      </c>
      <c r="I187" s="173">
        <v>17.77</v>
      </c>
      <c r="J187" s="174">
        <v>5.42</v>
      </c>
      <c r="K187" s="173">
        <v>96.31</v>
      </c>
    </row>
    <row r="188" spans="1:22" ht="57" x14ac:dyDescent="0.2">
      <c r="A188" s="179" t="s">
        <v>2484</v>
      </c>
      <c r="B188" s="178" t="s">
        <v>2620</v>
      </c>
      <c r="C188" s="178" t="s">
        <v>1089</v>
      </c>
      <c r="D188" s="177" t="s">
        <v>1552</v>
      </c>
      <c r="E188" s="174">
        <v>98</v>
      </c>
      <c r="F188" s="176">
        <v>36.01</v>
      </c>
      <c r="G188" s="182" t="s">
        <v>195</v>
      </c>
      <c r="H188" s="174">
        <v>1</v>
      </c>
      <c r="I188" s="173">
        <v>3528.98</v>
      </c>
      <c r="J188" s="174">
        <v>11.41</v>
      </c>
      <c r="K188" s="173">
        <v>40265.660000000003</v>
      </c>
      <c r="Q188" s="160">
        <f>[8]Source!X147</f>
        <v>0</v>
      </c>
      <c r="R188" s="160">
        <f>[8]Source!X148</f>
        <v>0</v>
      </c>
      <c r="S188" s="160">
        <f>[8]Source!Y147</f>
        <v>0</v>
      </c>
      <c r="T188" s="160">
        <f>[8]Source!Y148</f>
        <v>0</v>
      </c>
      <c r="U188" s="160">
        <f>ROUND((175/100)*ROUND([8]Source!R147, 2), 2)</f>
        <v>0</v>
      </c>
      <c r="V188" s="160">
        <f>ROUND((157/100)*ROUND([8]Source!R148, 2), 2)</f>
        <v>0</v>
      </c>
    </row>
    <row r="189" spans="1:22" ht="14.25" x14ac:dyDescent="0.2">
      <c r="A189" s="179"/>
      <c r="B189" s="178"/>
      <c r="C189" s="178" t="s">
        <v>194</v>
      </c>
      <c r="D189" s="177" t="s">
        <v>187</v>
      </c>
      <c r="E189" s="174">
        <v>110</v>
      </c>
      <c r="F189" s="176"/>
      <c r="G189" s="175"/>
      <c r="H189" s="174"/>
      <c r="I189" s="173">
        <v>459.87</v>
      </c>
      <c r="J189" s="174">
        <v>88</v>
      </c>
      <c r="K189" s="173">
        <v>8590.2999999999993</v>
      </c>
    </row>
    <row r="190" spans="1:22" ht="14.25" x14ac:dyDescent="0.2">
      <c r="A190" s="179"/>
      <c r="B190" s="178"/>
      <c r="C190" s="178" t="s">
        <v>193</v>
      </c>
      <c r="D190" s="177" t="s">
        <v>187</v>
      </c>
      <c r="E190" s="174">
        <v>74</v>
      </c>
      <c r="F190" s="176"/>
      <c r="G190" s="175"/>
      <c r="H190" s="174"/>
      <c r="I190" s="173">
        <v>309.36</v>
      </c>
      <c r="J190" s="174">
        <v>41</v>
      </c>
      <c r="K190" s="173">
        <v>4002.3</v>
      </c>
    </row>
    <row r="191" spans="1:22" ht="14.25" x14ac:dyDescent="0.2">
      <c r="A191" s="179"/>
      <c r="B191" s="178"/>
      <c r="C191" s="178" t="s">
        <v>188</v>
      </c>
      <c r="D191" s="177" t="s">
        <v>187</v>
      </c>
      <c r="E191" s="174">
        <v>175</v>
      </c>
      <c r="F191" s="176"/>
      <c r="G191" s="175"/>
      <c r="H191" s="174"/>
      <c r="I191" s="173">
        <v>18.41</v>
      </c>
      <c r="J191" s="174">
        <v>157</v>
      </c>
      <c r="K191" s="173">
        <v>385.65</v>
      </c>
    </row>
    <row r="192" spans="1:22" ht="14.25" x14ac:dyDescent="0.2">
      <c r="A192" s="242"/>
      <c r="B192" s="241"/>
      <c r="C192" s="241" t="s">
        <v>192</v>
      </c>
      <c r="D192" s="240" t="s">
        <v>191</v>
      </c>
      <c r="E192" s="238">
        <v>29.7</v>
      </c>
      <c r="F192" s="253"/>
      <c r="G192" s="239" t="s">
        <v>2270</v>
      </c>
      <c r="H192" s="238">
        <v>1</v>
      </c>
      <c r="I192" s="237">
        <v>33.47</v>
      </c>
      <c r="J192" s="238"/>
      <c r="K192" s="237"/>
    </row>
    <row r="193" spans="1:22" ht="15" x14ac:dyDescent="0.25">
      <c r="A193" s="235"/>
      <c r="B193" s="235"/>
      <c r="C193" s="236" t="s">
        <v>183</v>
      </c>
      <c r="D193" s="235"/>
      <c r="E193" s="235"/>
      <c r="F193" s="235"/>
      <c r="G193" s="235"/>
      <c r="H193" s="436">
        <v>4805.32</v>
      </c>
      <c r="I193" s="436"/>
      <c r="J193" s="436">
        <v>63574.05</v>
      </c>
      <c r="K193" s="436"/>
      <c r="O193" s="163">
        <f>I184+I185+I187+I189+I190+I191+SUM(I188:I188)</f>
        <v>4805.32</v>
      </c>
      <c r="P193" s="163">
        <f>K184+K185+K187+K189+K190+K191+SUM(K188:K188)</f>
        <v>63574.05</v>
      </c>
    </row>
    <row r="195" spans="1:22" ht="57" x14ac:dyDescent="0.2">
      <c r="A195" s="179" t="s">
        <v>1609</v>
      </c>
      <c r="B195" s="178" t="s">
        <v>2621</v>
      </c>
      <c r="C195" s="178" t="s">
        <v>916</v>
      </c>
      <c r="D195" s="177" t="s">
        <v>2599</v>
      </c>
      <c r="E195" s="174">
        <v>0.4</v>
      </c>
      <c r="F195" s="176"/>
      <c r="G195" s="175"/>
      <c r="H195" s="174"/>
      <c r="I195" s="173"/>
      <c r="J195" s="174"/>
      <c r="K195" s="173"/>
      <c r="Q195" s="160">
        <f>[8]Source!X149</f>
        <v>235.1</v>
      </c>
      <c r="R195" s="160">
        <f>[8]Source!X150</f>
        <v>4391.7299999999996</v>
      </c>
      <c r="S195" s="160">
        <f>[8]Source!Y149</f>
        <v>158.16</v>
      </c>
      <c r="T195" s="160">
        <f>[8]Source!Y150</f>
        <v>2046.15</v>
      </c>
      <c r="U195" s="160">
        <f>ROUND((175/100)*ROUND([8]Source!R149, 2), 2)</f>
        <v>10.96</v>
      </c>
      <c r="V195" s="160">
        <f>ROUND((157/100)*ROUND([8]Source!R150, 2), 2)</f>
        <v>229.49</v>
      </c>
    </row>
    <row r="196" spans="1:22" x14ac:dyDescent="0.2">
      <c r="C196" s="181" t="s">
        <v>2622</v>
      </c>
    </row>
    <row r="197" spans="1:22" ht="14.25" x14ac:dyDescent="0.2">
      <c r="A197" s="179"/>
      <c r="B197" s="178"/>
      <c r="C197" s="178" t="s">
        <v>197</v>
      </c>
      <c r="D197" s="177"/>
      <c r="E197" s="174"/>
      <c r="F197" s="176">
        <v>464.63</v>
      </c>
      <c r="G197" s="175" t="s">
        <v>2270</v>
      </c>
      <c r="H197" s="174">
        <v>1</v>
      </c>
      <c r="I197" s="173">
        <v>213.73</v>
      </c>
      <c r="J197" s="174">
        <v>23.35</v>
      </c>
      <c r="K197" s="173">
        <v>4990.6000000000004</v>
      </c>
    </row>
    <row r="198" spans="1:22" ht="14.25" x14ac:dyDescent="0.2">
      <c r="A198" s="179"/>
      <c r="B198" s="178"/>
      <c r="C198" s="178" t="s">
        <v>184</v>
      </c>
      <c r="D198" s="177"/>
      <c r="E198" s="174"/>
      <c r="F198" s="176">
        <v>79</v>
      </c>
      <c r="G198" s="175" t="s">
        <v>2271</v>
      </c>
      <c r="H198" s="174">
        <v>1</v>
      </c>
      <c r="I198" s="173">
        <v>39.5</v>
      </c>
      <c r="J198" s="174">
        <v>8.1999999999999993</v>
      </c>
      <c r="K198" s="173">
        <v>323.89999999999998</v>
      </c>
    </row>
    <row r="199" spans="1:22" ht="14.25" x14ac:dyDescent="0.2">
      <c r="A199" s="179"/>
      <c r="B199" s="178"/>
      <c r="C199" s="178" t="s">
        <v>189</v>
      </c>
      <c r="D199" s="177"/>
      <c r="E199" s="174"/>
      <c r="F199" s="176">
        <v>12.52</v>
      </c>
      <c r="G199" s="175" t="s">
        <v>2271</v>
      </c>
      <c r="H199" s="174">
        <v>1</v>
      </c>
      <c r="I199" s="180">
        <v>6.26</v>
      </c>
      <c r="J199" s="174">
        <v>23.35</v>
      </c>
      <c r="K199" s="180">
        <v>146.16999999999999</v>
      </c>
    </row>
    <row r="200" spans="1:22" ht="14.25" x14ac:dyDescent="0.2">
      <c r="A200" s="179"/>
      <c r="B200" s="178"/>
      <c r="C200" s="178" t="s">
        <v>205</v>
      </c>
      <c r="D200" s="177"/>
      <c r="E200" s="174"/>
      <c r="F200" s="176">
        <v>21.21</v>
      </c>
      <c r="G200" s="175" t="s">
        <v>195</v>
      </c>
      <c r="H200" s="174">
        <v>1</v>
      </c>
      <c r="I200" s="173">
        <v>8.48</v>
      </c>
      <c r="J200" s="174">
        <v>5.42</v>
      </c>
      <c r="K200" s="173">
        <v>45.96</v>
      </c>
    </row>
    <row r="201" spans="1:22" ht="57" x14ac:dyDescent="0.2">
      <c r="A201" s="179" t="s">
        <v>1613</v>
      </c>
      <c r="B201" s="178" t="s">
        <v>2623</v>
      </c>
      <c r="C201" s="178" t="s">
        <v>758</v>
      </c>
      <c r="D201" s="177" t="s">
        <v>1661</v>
      </c>
      <c r="E201" s="174">
        <v>4</v>
      </c>
      <c r="F201" s="176">
        <v>255</v>
      </c>
      <c r="G201" s="182" t="s">
        <v>195</v>
      </c>
      <c r="H201" s="174">
        <v>1</v>
      </c>
      <c r="I201" s="173">
        <v>1020</v>
      </c>
      <c r="J201" s="174">
        <v>11.85</v>
      </c>
      <c r="K201" s="173">
        <v>12087</v>
      </c>
      <c r="Q201" s="160">
        <f>[8]Source!X153</f>
        <v>0</v>
      </c>
      <c r="R201" s="160">
        <f>[8]Source!X154</f>
        <v>0</v>
      </c>
      <c r="S201" s="160">
        <f>[8]Source!Y153</f>
        <v>0</v>
      </c>
      <c r="T201" s="160">
        <f>[8]Source!Y154</f>
        <v>0</v>
      </c>
      <c r="U201" s="160">
        <f>ROUND((175/100)*ROUND([8]Source!R153, 2), 2)</f>
        <v>0</v>
      </c>
      <c r="V201" s="160">
        <f>ROUND((157/100)*ROUND([8]Source!R154, 2), 2)</f>
        <v>0</v>
      </c>
    </row>
    <row r="202" spans="1:22" ht="99.75" x14ac:dyDescent="0.2">
      <c r="A202" s="179" t="s">
        <v>1615</v>
      </c>
      <c r="B202" s="178" t="s">
        <v>2624</v>
      </c>
      <c r="C202" s="178" t="s">
        <v>1088</v>
      </c>
      <c r="D202" s="177" t="s">
        <v>1661</v>
      </c>
      <c r="E202" s="174">
        <v>2</v>
      </c>
      <c r="F202" s="176">
        <v>2092.86</v>
      </c>
      <c r="G202" s="182" t="s">
        <v>195</v>
      </c>
      <c r="H202" s="174">
        <v>1</v>
      </c>
      <c r="I202" s="173">
        <v>4185.72</v>
      </c>
      <c r="J202" s="174">
        <v>4.2699999999999996</v>
      </c>
      <c r="K202" s="173">
        <v>17873.02</v>
      </c>
      <c r="Q202" s="160">
        <f>[8]Source!X155</f>
        <v>0</v>
      </c>
      <c r="R202" s="160">
        <f>[8]Source!X156</f>
        <v>0</v>
      </c>
      <c r="S202" s="160">
        <f>[8]Source!Y155</f>
        <v>0</v>
      </c>
      <c r="T202" s="160">
        <f>[8]Source!Y156</f>
        <v>0</v>
      </c>
      <c r="U202" s="160">
        <f>ROUND((175/100)*ROUND([8]Source!R155, 2), 2)</f>
        <v>0</v>
      </c>
      <c r="V202" s="160">
        <f>ROUND((157/100)*ROUND([8]Source!R156, 2), 2)</f>
        <v>0</v>
      </c>
    </row>
    <row r="203" spans="1:22" ht="57" x14ac:dyDescent="0.2">
      <c r="A203" s="179" t="s">
        <v>2625</v>
      </c>
      <c r="B203" s="178" t="s">
        <v>2626</v>
      </c>
      <c r="C203" s="178" t="s">
        <v>915</v>
      </c>
      <c r="D203" s="177" t="s">
        <v>1552</v>
      </c>
      <c r="E203" s="174">
        <v>40</v>
      </c>
      <c r="F203" s="176">
        <v>44.54</v>
      </c>
      <c r="G203" s="182" t="s">
        <v>195</v>
      </c>
      <c r="H203" s="174">
        <v>1</v>
      </c>
      <c r="I203" s="173">
        <v>1781.6</v>
      </c>
      <c r="J203" s="174">
        <v>10.79</v>
      </c>
      <c r="K203" s="173">
        <v>19223.46</v>
      </c>
      <c r="Q203" s="160">
        <f>[8]Source!X157</f>
        <v>0</v>
      </c>
      <c r="R203" s="160">
        <f>[8]Source!X158</f>
        <v>0</v>
      </c>
      <c r="S203" s="160">
        <f>[8]Source!Y157</f>
        <v>0</v>
      </c>
      <c r="T203" s="160">
        <f>[8]Source!Y158</f>
        <v>0</v>
      </c>
      <c r="U203" s="160">
        <f>ROUND((175/100)*ROUND([8]Source!R157, 2), 2)</f>
        <v>0</v>
      </c>
      <c r="V203" s="160">
        <f>ROUND((157/100)*ROUND([8]Source!R158, 2), 2)</f>
        <v>0</v>
      </c>
    </row>
    <row r="204" spans="1:22" ht="14.25" x14ac:dyDescent="0.2">
      <c r="A204" s="179"/>
      <c r="B204" s="178"/>
      <c r="C204" s="178" t="s">
        <v>194</v>
      </c>
      <c r="D204" s="177" t="s">
        <v>187</v>
      </c>
      <c r="E204" s="174">
        <v>110</v>
      </c>
      <c r="F204" s="176"/>
      <c r="G204" s="175"/>
      <c r="H204" s="174"/>
      <c r="I204" s="173">
        <v>235.1</v>
      </c>
      <c r="J204" s="174">
        <v>88</v>
      </c>
      <c r="K204" s="173">
        <v>4391.7299999999996</v>
      </c>
    </row>
    <row r="205" spans="1:22" ht="14.25" x14ac:dyDescent="0.2">
      <c r="A205" s="179"/>
      <c r="B205" s="178"/>
      <c r="C205" s="178" t="s">
        <v>193</v>
      </c>
      <c r="D205" s="177" t="s">
        <v>187</v>
      </c>
      <c r="E205" s="174">
        <v>74</v>
      </c>
      <c r="F205" s="176"/>
      <c r="G205" s="175"/>
      <c r="H205" s="174"/>
      <c r="I205" s="173">
        <v>158.16</v>
      </c>
      <c r="J205" s="174">
        <v>41</v>
      </c>
      <c r="K205" s="173">
        <v>2046.15</v>
      </c>
    </row>
    <row r="206" spans="1:22" ht="14.25" x14ac:dyDescent="0.2">
      <c r="A206" s="179"/>
      <c r="B206" s="178"/>
      <c r="C206" s="178" t="s">
        <v>188</v>
      </c>
      <c r="D206" s="177" t="s">
        <v>187</v>
      </c>
      <c r="E206" s="174">
        <v>175</v>
      </c>
      <c r="F206" s="176"/>
      <c r="G206" s="175"/>
      <c r="H206" s="174"/>
      <c r="I206" s="173">
        <v>10.96</v>
      </c>
      <c r="J206" s="174">
        <v>157</v>
      </c>
      <c r="K206" s="173">
        <v>229.49</v>
      </c>
    </row>
    <row r="207" spans="1:22" ht="14.25" x14ac:dyDescent="0.2">
      <c r="A207" s="242"/>
      <c r="B207" s="241"/>
      <c r="C207" s="241" t="s">
        <v>192</v>
      </c>
      <c r="D207" s="240" t="s">
        <v>191</v>
      </c>
      <c r="E207" s="238">
        <v>37.200000000000003</v>
      </c>
      <c r="F207" s="253"/>
      <c r="G207" s="239" t="s">
        <v>2270</v>
      </c>
      <c r="H207" s="238">
        <v>1</v>
      </c>
      <c r="I207" s="237">
        <v>17.11</v>
      </c>
      <c r="J207" s="238"/>
      <c r="K207" s="237"/>
    </row>
    <row r="208" spans="1:22" ht="15" x14ac:dyDescent="0.25">
      <c r="A208" s="235"/>
      <c r="B208" s="235"/>
      <c r="C208" s="236" t="s">
        <v>183</v>
      </c>
      <c r="D208" s="235"/>
      <c r="E208" s="235"/>
      <c r="F208" s="235"/>
      <c r="G208" s="235"/>
      <c r="H208" s="436">
        <v>7653.25</v>
      </c>
      <c r="I208" s="436"/>
      <c r="J208" s="436">
        <v>61211.31</v>
      </c>
      <c r="K208" s="436"/>
      <c r="O208" s="163">
        <f>I197+I198+I200+I204+I205+I206+SUM(I201:I203)</f>
        <v>7653.25</v>
      </c>
      <c r="P208" s="163">
        <f>K197+K198+K200+K204+K205+K206+SUM(K201:K203)</f>
        <v>61211.31</v>
      </c>
    </row>
    <row r="210" spans="1:22" ht="57" x14ac:dyDescent="0.2">
      <c r="A210" s="179" t="s">
        <v>1617</v>
      </c>
      <c r="B210" s="178" t="s">
        <v>2627</v>
      </c>
      <c r="C210" s="178" t="s">
        <v>913</v>
      </c>
      <c r="D210" s="177" t="s">
        <v>2599</v>
      </c>
      <c r="E210" s="174">
        <v>0.9</v>
      </c>
      <c r="F210" s="176"/>
      <c r="G210" s="175"/>
      <c r="H210" s="174"/>
      <c r="I210" s="173"/>
      <c r="J210" s="174"/>
      <c r="K210" s="173"/>
      <c r="Q210" s="160">
        <f>[8]Source!X159</f>
        <v>760.13</v>
      </c>
      <c r="R210" s="160">
        <f>[8]Source!X160</f>
        <v>14199.28</v>
      </c>
      <c r="S210" s="160">
        <f>[8]Source!Y159</f>
        <v>511.36</v>
      </c>
      <c r="T210" s="160">
        <f>[8]Source!Y160</f>
        <v>6615.58</v>
      </c>
      <c r="U210" s="160">
        <f>ROUND((175/100)*ROUND([8]Source!R159, 2), 2)</f>
        <v>34.76</v>
      </c>
      <c r="V210" s="160">
        <f>ROUND((157/100)*ROUND([8]Source!R160, 2), 2)</f>
        <v>728.06</v>
      </c>
    </row>
    <row r="211" spans="1:22" x14ac:dyDescent="0.2">
      <c r="C211" s="181" t="s">
        <v>2153</v>
      </c>
    </row>
    <row r="212" spans="1:22" ht="14.25" x14ac:dyDescent="0.2">
      <c r="A212" s="179"/>
      <c r="B212" s="178"/>
      <c r="C212" s="178" t="s">
        <v>197</v>
      </c>
      <c r="D212" s="177"/>
      <c r="E212" s="174"/>
      <c r="F212" s="176">
        <v>667.66</v>
      </c>
      <c r="G212" s="175" t="s">
        <v>2270</v>
      </c>
      <c r="H212" s="174">
        <v>1</v>
      </c>
      <c r="I212" s="173">
        <v>691.03</v>
      </c>
      <c r="J212" s="174">
        <v>23.35</v>
      </c>
      <c r="K212" s="173">
        <v>16135.55</v>
      </c>
    </row>
    <row r="213" spans="1:22" ht="14.25" x14ac:dyDescent="0.2">
      <c r="A213" s="179"/>
      <c r="B213" s="178"/>
      <c r="C213" s="178" t="s">
        <v>184</v>
      </c>
      <c r="D213" s="177"/>
      <c r="E213" s="174"/>
      <c r="F213" s="176">
        <v>121.61</v>
      </c>
      <c r="G213" s="175" t="s">
        <v>2271</v>
      </c>
      <c r="H213" s="174">
        <v>1</v>
      </c>
      <c r="I213" s="173">
        <v>136.81</v>
      </c>
      <c r="J213" s="174">
        <v>9.14</v>
      </c>
      <c r="K213" s="173">
        <v>1250.44</v>
      </c>
    </row>
    <row r="214" spans="1:22" ht="14.25" x14ac:dyDescent="0.2">
      <c r="A214" s="179"/>
      <c r="B214" s="178"/>
      <c r="C214" s="178" t="s">
        <v>189</v>
      </c>
      <c r="D214" s="177"/>
      <c r="E214" s="174"/>
      <c r="F214" s="176">
        <v>17.649999999999999</v>
      </c>
      <c r="G214" s="175" t="s">
        <v>2271</v>
      </c>
      <c r="H214" s="174">
        <v>1</v>
      </c>
      <c r="I214" s="180">
        <v>19.86</v>
      </c>
      <c r="J214" s="174">
        <v>23.35</v>
      </c>
      <c r="K214" s="180">
        <v>463.73</v>
      </c>
    </row>
    <row r="215" spans="1:22" ht="14.25" x14ac:dyDescent="0.2">
      <c r="A215" s="179"/>
      <c r="B215" s="178"/>
      <c r="C215" s="178" t="s">
        <v>205</v>
      </c>
      <c r="D215" s="177"/>
      <c r="E215" s="174"/>
      <c r="F215" s="176">
        <v>146.32</v>
      </c>
      <c r="G215" s="175" t="s">
        <v>195</v>
      </c>
      <c r="H215" s="174">
        <v>1</v>
      </c>
      <c r="I215" s="173">
        <v>131.69</v>
      </c>
      <c r="J215" s="174">
        <v>5.51</v>
      </c>
      <c r="K215" s="173">
        <v>725.61</v>
      </c>
    </row>
    <row r="216" spans="1:22" ht="57" x14ac:dyDescent="0.2">
      <c r="A216" s="179" t="s">
        <v>1619</v>
      </c>
      <c r="B216" s="178" t="s">
        <v>2628</v>
      </c>
      <c r="C216" s="178" t="s">
        <v>911</v>
      </c>
      <c r="D216" s="177" t="s">
        <v>1552</v>
      </c>
      <c r="E216" s="174">
        <v>90</v>
      </c>
      <c r="F216" s="176">
        <v>111.92</v>
      </c>
      <c r="G216" s="182" t="s">
        <v>195</v>
      </c>
      <c r="H216" s="174">
        <v>1</v>
      </c>
      <c r="I216" s="173">
        <v>10072.799999999999</v>
      </c>
      <c r="J216" s="174">
        <v>10.01</v>
      </c>
      <c r="K216" s="173">
        <v>100828.73</v>
      </c>
      <c r="Q216" s="160">
        <f>[8]Source!X161</f>
        <v>0</v>
      </c>
      <c r="R216" s="160">
        <f>[8]Source!X162</f>
        <v>0</v>
      </c>
      <c r="S216" s="160">
        <f>[8]Source!Y161</f>
        <v>0</v>
      </c>
      <c r="T216" s="160">
        <f>[8]Source!Y162</f>
        <v>0</v>
      </c>
      <c r="U216" s="160">
        <f>ROUND((175/100)*ROUND([8]Source!R161, 2), 2)</f>
        <v>0</v>
      </c>
      <c r="V216" s="160">
        <f>ROUND((157/100)*ROUND([8]Source!R162, 2), 2)</f>
        <v>0</v>
      </c>
    </row>
    <row r="217" spans="1:22" ht="14.25" x14ac:dyDescent="0.2">
      <c r="A217" s="179"/>
      <c r="B217" s="178"/>
      <c r="C217" s="178" t="s">
        <v>194</v>
      </c>
      <c r="D217" s="177" t="s">
        <v>187</v>
      </c>
      <c r="E217" s="174">
        <v>110</v>
      </c>
      <c r="F217" s="176"/>
      <c r="G217" s="175"/>
      <c r="H217" s="174"/>
      <c r="I217" s="173">
        <v>760.13</v>
      </c>
      <c r="J217" s="174">
        <v>88</v>
      </c>
      <c r="K217" s="173">
        <v>14199.28</v>
      </c>
    </row>
    <row r="218" spans="1:22" ht="14.25" x14ac:dyDescent="0.2">
      <c r="A218" s="179"/>
      <c r="B218" s="178"/>
      <c r="C218" s="178" t="s">
        <v>193</v>
      </c>
      <c r="D218" s="177" t="s">
        <v>187</v>
      </c>
      <c r="E218" s="174">
        <v>74</v>
      </c>
      <c r="F218" s="176"/>
      <c r="G218" s="175"/>
      <c r="H218" s="174"/>
      <c r="I218" s="173">
        <v>511.36</v>
      </c>
      <c r="J218" s="174">
        <v>41</v>
      </c>
      <c r="K218" s="173">
        <v>6615.58</v>
      </c>
    </row>
    <row r="219" spans="1:22" ht="14.25" x14ac:dyDescent="0.2">
      <c r="A219" s="179"/>
      <c r="B219" s="178"/>
      <c r="C219" s="178" t="s">
        <v>188</v>
      </c>
      <c r="D219" s="177" t="s">
        <v>187</v>
      </c>
      <c r="E219" s="174">
        <v>175</v>
      </c>
      <c r="F219" s="176"/>
      <c r="G219" s="175"/>
      <c r="H219" s="174"/>
      <c r="I219" s="173">
        <v>34.76</v>
      </c>
      <c r="J219" s="174">
        <v>157</v>
      </c>
      <c r="K219" s="173">
        <v>728.06</v>
      </c>
    </row>
    <row r="220" spans="1:22" ht="14.25" x14ac:dyDescent="0.2">
      <c r="A220" s="242"/>
      <c r="B220" s="241"/>
      <c r="C220" s="241" t="s">
        <v>192</v>
      </c>
      <c r="D220" s="240" t="s">
        <v>191</v>
      </c>
      <c r="E220" s="238">
        <v>55.5</v>
      </c>
      <c r="F220" s="253"/>
      <c r="G220" s="239" t="s">
        <v>2270</v>
      </c>
      <c r="H220" s="238">
        <v>1</v>
      </c>
      <c r="I220" s="237">
        <v>57.44</v>
      </c>
      <c r="J220" s="238"/>
      <c r="K220" s="237"/>
    </row>
    <row r="221" spans="1:22" ht="15" x14ac:dyDescent="0.25">
      <c r="A221" s="235"/>
      <c r="B221" s="235"/>
      <c r="C221" s="236" t="s">
        <v>183</v>
      </c>
      <c r="D221" s="235"/>
      <c r="E221" s="235"/>
      <c r="F221" s="235"/>
      <c r="G221" s="235"/>
      <c r="H221" s="436">
        <v>12338.58</v>
      </c>
      <c r="I221" s="436"/>
      <c r="J221" s="436">
        <v>140483.25</v>
      </c>
      <c r="K221" s="436"/>
      <c r="O221" s="163">
        <f>I212+I213+I215+I217+I218+I219+SUM(I216:I216)</f>
        <v>12338.58</v>
      </c>
      <c r="P221" s="163">
        <f>K212+K213+K215+K217+K218+K219+SUM(K216:K216)</f>
        <v>140483.25</v>
      </c>
    </row>
    <row r="223" spans="1:22" ht="57" x14ac:dyDescent="0.2">
      <c r="A223" s="179" t="s">
        <v>1625</v>
      </c>
      <c r="B223" s="178" t="s">
        <v>2629</v>
      </c>
      <c r="C223" s="178" t="s">
        <v>910</v>
      </c>
      <c r="D223" s="177" t="s">
        <v>1561</v>
      </c>
      <c r="E223" s="174">
        <v>0.49759999999999999</v>
      </c>
      <c r="F223" s="176"/>
      <c r="G223" s="175"/>
      <c r="H223" s="174"/>
      <c r="I223" s="173"/>
      <c r="J223" s="174"/>
      <c r="K223" s="173"/>
      <c r="Q223" s="160">
        <f>[8]Source!X167</f>
        <v>434.73</v>
      </c>
      <c r="R223" s="160">
        <f>[8]Source!X168</f>
        <v>8222.27</v>
      </c>
      <c r="S223" s="160">
        <f>[8]Source!Y167</f>
        <v>278.23</v>
      </c>
      <c r="T223" s="160">
        <f>[8]Source!Y168</f>
        <v>4161.8900000000003</v>
      </c>
      <c r="U223" s="160">
        <f>ROUND((175/100)*ROUND([8]Source!R167, 2), 2)</f>
        <v>0.19</v>
      </c>
      <c r="V223" s="160">
        <f>ROUND((157/100)*ROUND([8]Source!R168, 2), 2)</f>
        <v>4.03</v>
      </c>
    </row>
    <row r="224" spans="1:22" x14ac:dyDescent="0.2">
      <c r="C224" s="181" t="s">
        <v>2630</v>
      </c>
    </row>
    <row r="225" spans="1:22" ht="14.25" x14ac:dyDescent="0.2">
      <c r="A225" s="179"/>
      <c r="B225" s="178"/>
      <c r="C225" s="178" t="s">
        <v>197</v>
      </c>
      <c r="D225" s="177"/>
      <c r="E225" s="174"/>
      <c r="F225" s="176">
        <v>759.7</v>
      </c>
      <c r="G225" s="175" t="s">
        <v>2270</v>
      </c>
      <c r="H225" s="174">
        <v>1</v>
      </c>
      <c r="I225" s="173">
        <v>434.73</v>
      </c>
      <c r="J225" s="174">
        <v>23.35</v>
      </c>
      <c r="K225" s="173">
        <v>10150.950000000001</v>
      </c>
    </row>
    <row r="226" spans="1:22" ht="14.25" x14ac:dyDescent="0.2">
      <c r="A226" s="179"/>
      <c r="B226" s="178"/>
      <c r="C226" s="178" t="s">
        <v>184</v>
      </c>
      <c r="D226" s="177"/>
      <c r="E226" s="174"/>
      <c r="F226" s="176">
        <v>0.74</v>
      </c>
      <c r="G226" s="175" t="s">
        <v>2271</v>
      </c>
      <c r="H226" s="174">
        <v>1</v>
      </c>
      <c r="I226" s="173">
        <v>0.46</v>
      </c>
      <c r="J226" s="174">
        <v>9.73</v>
      </c>
      <c r="K226" s="173">
        <v>4.4800000000000004</v>
      </c>
    </row>
    <row r="227" spans="1:22" ht="14.25" x14ac:dyDescent="0.2">
      <c r="A227" s="179"/>
      <c r="B227" s="178"/>
      <c r="C227" s="178" t="s">
        <v>189</v>
      </c>
      <c r="D227" s="177"/>
      <c r="E227" s="174"/>
      <c r="F227" s="176">
        <v>0.18</v>
      </c>
      <c r="G227" s="175" t="s">
        <v>2271</v>
      </c>
      <c r="H227" s="174">
        <v>1</v>
      </c>
      <c r="I227" s="180">
        <v>0.11</v>
      </c>
      <c r="J227" s="174">
        <v>23.35</v>
      </c>
      <c r="K227" s="180">
        <v>2.57</v>
      </c>
    </row>
    <row r="228" spans="1:22" ht="14.25" x14ac:dyDescent="0.2">
      <c r="A228" s="179"/>
      <c r="B228" s="178"/>
      <c r="C228" s="178" t="s">
        <v>205</v>
      </c>
      <c r="D228" s="177"/>
      <c r="E228" s="174"/>
      <c r="F228" s="176">
        <v>1.68</v>
      </c>
      <c r="G228" s="175" t="s">
        <v>195</v>
      </c>
      <c r="H228" s="174">
        <v>1</v>
      </c>
      <c r="I228" s="173">
        <v>0.84</v>
      </c>
      <c r="J228" s="174">
        <v>5.42</v>
      </c>
      <c r="K228" s="173">
        <v>4.55</v>
      </c>
    </row>
    <row r="229" spans="1:22" ht="57" x14ac:dyDescent="0.2">
      <c r="A229" s="179" t="s">
        <v>1627</v>
      </c>
      <c r="B229" s="178" t="s">
        <v>2631</v>
      </c>
      <c r="C229" s="178" t="s">
        <v>1087</v>
      </c>
      <c r="D229" s="177" t="s">
        <v>1533</v>
      </c>
      <c r="E229" s="174">
        <v>1.2241E-2</v>
      </c>
      <c r="F229" s="176">
        <v>20009.47</v>
      </c>
      <c r="G229" s="182" t="s">
        <v>195</v>
      </c>
      <c r="H229" s="174">
        <v>1</v>
      </c>
      <c r="I229" s="173">
        <v>244.94</v>
      </c>
      <c r="J229" s="174">
        <v>2.46</v>
      </c>
      <c r="K229" s="173">
        <v>602.54999999999995</v>
      </c>
      <c r="Q229" s="160">
        <f>[8]Source!X169</f>
        <v>0</v>
      </c>
      <c r="R229" s="160">
        <f>[8]Source!X170</f>
        <v>0</v>
      </c>
      <c r="S229" s="160">
        <f>[8]Source!Y169</f>
        <v>0</v>
      </c>
      <c r="T229" s="160">
        <f>[8]Source!Y170</f>
        <v>0</v>
      </c>
      <c r="U229" s="160">
        <f>ROUND((175/100)*ROUND([8]Source!R169, 2), 2)</f>
        <v>0</v>
      </c>
      <c r="V229" s="160">
        <f>ROUND((157/100)*ROUND([8]Source!R170, 2), 2)</f>
        <v>0</v>
      </c>
    </row>
    <row r="230" spans="1:22" ht="28.5" x14ac:dyDescent="0.2">
      <c r="A230" s="179" t="s">
        <v>2449</v>
      </c>
      <c r="B230" s="178" t="s">
        <v>2632</v>
      </c>
      <c r="C230" s="178" t="s">
        <v>909</v>
      </c>
      <c r="D230" s="177" t="s">
        <v>1584</v>
      </c>
      <c r="E230" s="174">
        <v>1.34352</v>
      </c>
      <c r="F230" s="176">
        <v>20.190000000000001</v>
      </c>
      <c r="G230" s="182" t="s">
        <v>195</v>
      </c>
      <c r="H230" s="174">
        <v>1</v>
      </c>
      <c r="I230" s="173">
        <v>27.13</v>
      </c>
      <c r="J230" s="174">
        <v>2.56</v>
      </c>
      <c r="K230" s="173">
        <v>69.45</v>
      </c>
      <c r="Q230" s="160">
        <f>[8]Source!X171</f>
        <v>0</v>
      </c>
      <c r="R230" s="160">
        <f>[8]Source!X172</f>
        <v>0</v>
      </c>
      <c r="S230" s="160">
        <f>[8]Source!Y171</f>
        <v>0</v>
      </c>
      <c r="T230" s="160">
        <f>[8]Source!Y172</f>
        <v>0</v>
      </c>
      <c r="U230" s="160">
        <f>ROUND((175/100)*ROUND([8]Source!R171, 2), 2)</f>
        <v>0</v>
      </c>
      <c r="V230" s="160">
        <f>ROUND((157/100)*ROUND([8]Source!R172, 2), 2)</f>
        <v>0</v>
      </c>
    </row>
    <row r="231" spans="1:22" ht="14.25" x14ac:dyDescent="0.2">
      <c r="A231" s="179"/>
      <c r="B231" s="178"/>
      <c r="C231" s="178" t="s">
        <v>194</v>
      </c>
      <c r="D231" s="177" t="s">
        <v>187</v>
      </c>
      <c r="E231" s="174">
        <v>100</v>
      </c>
      <c r="F231" s="176"/>
      <c r="G231" s="175"/>
      <c r="H231" s="174"/>
      <c r="I231" s="173">
        <v>434.73</v>
      </c>
      <c r="J231" s="174">
        <v>81</v>
      </c>
      <c r="K231" s="173">
        <v>8222.27</v>
      </c>
    </row>
    <row r="232" spans="1:22" ht="14.25" x14ac:dyDescent="0.2">
      <c r="A232" s="179"/>
      <c r="B232" s="178"/>
      <c r="C232" s="178" t="s">
        <v>193</v>
      </c>
      <c r="D232" s="177" t="s">
        <v>187</v>
      </c>
      <c r="E232" s="174">
        <v>64</v>
      </c>
      <c r="F232" s="176"/>
      <c r="G232" s="175"/>
      <c r="H232" s="174"/>
      <c r="I232" s="173">
        <v>278.23</v>
      </c>
      <c r="J232" s="174">
        <v>41</v>
      </c>
      <c r="K232" s="173">
        <v>4161.8900000000003</v>
      </c>
    </row>
    <row r="233" spans="1:22" ht="14.25" x14ac:dyDescent="0.2">
      <c r="A233" s="179"/>
      <c r="B233" s="178"/>
      <c r="C233" s="178" t="s">
        <v>188</v>
      </c>
      <c r="D233" s="177" t="s">
        <v>187</v>
      </c>
      <c r="E233" s="174">
        <v>175</v>
      </c>
      <c r="F233" s="176"/>
      <c r="G233" s="175"/>
      <c r="H233" s="174"/>
      <c r="I233" s="173">
        <v>0.19</v>
      </c>
      <c r="J233" s="174">
        <v>157</v>
      </c>
      <c r="K233" s="173">
        <v>4.03</v>
      </c>
    </row>
    <row r="234" spans="1:22" ht="14.25" x14ac:dyDescent="0.2">
      <c r="A234" s="242"/>
      <c r="B234" s="241"/>
      <c r="C234" s="241" t="s">
        <v>192</v>
      </c>
      <c r="D234" s="240" t="s">
        <v>191</v>
      </c>
      <c r="E234" s="238">
        <v>64.599999999999994</v>
      </c>
      <c r="F234" s="253"/>
      <c r="G234" s="239" t="s">
        <v>2270</v>
      </c>
      <c r="H234" s="238">
        <v>1</v>
      </c>
      <c r="I234" s="237">
        <v>36.97</v>
      </c>
      <c r="J234" s="238"/>
      <c r="K234" s="237"/>
    </row>
    <row r="235" spans="1:22" ht="15" x14ac:dyDescent="0.25">
      <c r="A235" s="235"/>
      <c r="B235" s="235"/>
      <c r="C235" s="236" t="s">
        <v>183</v>
      </c>
      <c r="D235" s="235"/>
      <c r="E235" s="235"/>
      <c r="F235" s="235"/>
      <c r="G235" s="235"/>
      <c r="H235" s="436">
        <v>1421.25</v>
      </c>
      <c r="I235" s="436"/>
      <c r="J235" s="436">
        <v>23220.17</v>
      </c>
      <c r="K235" s="436"/>
      <c r="O235" s="163">
        <f>I225+I226+I228+I231+I232+I233+SUM(I229:I230)</f>
        <v>1421.25</v>
      </c>
      <c r="P235" s="163">
        <f>K225+K226+K228+K231+K232+K233+SUM(K229:K230)</f>
        <v>23220.17</v>
      </c>
    </row>
    <row r="237" spans="1:22" ht="42.75" x14ac:dyDescent="0.2">
      <c r="A237" s="179" t="s">
        <v>1629</v>
      </c>
      <c r="B237" s="178" t="s">
        <v>2633</v>
      </c>
      <c r="C237" s="178" t="s">
        <v>747</v>
      </c>
      <c r="D237" s="177" t="s">
        <v>2634</v>
      </c>
      <c r="E237" s="174">
        <v>63.36</v>
      </c>
      <c r="F237" s="176"/>
      <c r="G237" s="175"/>
      <c r="H237" s="174"/>
      <c r="I237" s="173"/>
      <c r="J237" s="174"/>
      <c r="K237" s="173"/>
      <c r="Q237" s="160">
        <f>[8]Source!X173</f>
        <v>1896.36</v>
      </c>
      <c r="R237" s="160">
        <f>[8]Source!X174</f>
        <v>35521.29</v>
      </c>
      <c r="S237" s="160">
        <f>[8]Source!Y173</f>
        <v>1458.74</v>
      </c>
      <c r="T237" s="160">
        <f>[8]Source!Y174</f>
        <v>19950.310000000001</v>
      </c>
      <c r="U237" s="160">
        <f>ROUND((175/100)*ROUND([8]Source!R173, 2), 2)</f>
        <v>365.91</v>
      </c>
      <c r="V237" s="160">
        <f>ROUND((157/100)*ROUND([8]Source!R174, 2), 2)</f>
        <v>7665.13</v>
      </c>
    </row>
    <row r="238" spans="1:22" ht="25.5" x14ac:dyDescent="0.2">
      <c r="C238" s="181" t="s">
        <v>2635</v>
      </c>
    </row>
    <row r="239" spans="1:22" ht="14.25" x14ac:dyDescent="0.2">
      <c r="A239" s="179"/>
      <c r="B239" s="178"/>
      <c r="C239" s="178" t="s">
        <v>197</v>
      </c>
      <c r="D239" s="177"/>
      <c r="E239" s="174"/>
      <c r="F239" s="176">
        <v>28.6</v>
      </c>
      <c r="G239" s="175" t="s">
        <v>2270</v>
      </c>
      <c r="H239" s="174">
        <v>1</v>
      </c>
      <c r="I239" s="173">
        <v>2083.91</v>
      </c>
      <c r="J239" s="174">
        <v>23.35</v>
      </c>
      <c r="K239" s="173">
        <v>48659.3</v>
      </c>
    </row>
    <row r="240" spans="1:22" ht="14.25" x14ac:dyDescent="0.2">
      <c r="A240" s="179"/>
      <c r="B240" s="178"/>
      <c r="C240" s="178" t="s">
        <v>184</v>
      </c>
      <c r="D240" s="177"/>
      <c r="E240" s="174"/>
      <c r="F240" s="176">
        <v>13.2</v>
      </c>
      <c r="G240" s="175" t="s">
        <v>2271</v>
      </c>
      <c r="H240" s="174">
        <v>1</v>
      </c>
      <c r="I240" s="173">
        <v>1045.44</v>
      </c>
      <c r="J240" s="174">
        <v>8.9499999999999993</v>
      </c>
      <c r="K240" s="173">
        <v>9356.69</v>
      </c>
    </row>
    <row r="241" spans="1:22" ht="14.25" x14ac:dyDescent="0.2">
      <c r="A241" s="179"/>
      <c r="B241" s="178"/>
      <c r="C241" s="178" t="s">
        <v>189</v>
      </c>
      <c r="D241" s="177"/>
      <c r="E241" s="174"/>
      <c r="F241" s="176">
        <v>2.64</v>
      </c>
      <c r="G241" s="175" t="s">
        <v>2271</v>
      </c>
      <c r="H241" s="174">
        <v>1</v>
      </c>
      <c r="I241" s="180">
        <v>209.09</v>
      </c>
      <c r="J241" s="174">
        <v>23.35</v>
      </c>
      <c r="K241" s="180">
        <v>4882.25</v>
      </c>
    </row>
    <row r="242" spans="1:22" ht="14.25" x14ac:dyDescent="0.2">
      <c r="A242" s="179"/>
      <c r="B242" s="178"/>
      <c r="C242" s="178" t="s">
        <v>205</v>
      </c>
      <c r="D242" s="177"/>
      <c r="E242" s="174"/>
      <c r="F242" s="176">
        <v>59.82</v>
      </c>
      <c r="G242" s="175" t="s">
        <v>195</v>
      </c>
      <c r="H242" s="174">
        <v>1</v>
      </c>
      <c r="I242" s="173">
        <v>3790.2</v>
      </c>
      <c r="J242" s="174">
        <v>19.829999999999998</v>
      </c>
      <c r="K242" s="173">
        <v>75159.67</v>
      </c>
    </row>
    <row r="243" spans="1:22" ht="71.25" x14ac:dyDescent="0.2">
      <c r="A243" s="179" t="s">
        <v>1630</v>
      </c>
      <c r="B243" s="178" t="s">
        <v>2636</v>
      </c>
      <c r="C243" s="178" t="s">
        <v>908</v>
      </c>
      <c r="D243" s="177" t="s">
        <v>1552</v>
      </c>
      <c r="E243" s="174">
        <v>950.4</v>
      </c>
      <c r="F243" s="176">
        <v>6.29</v>
      </c>
      <c r="G243" s="182" t="s">
        <v>195</v>
      </c>
      <c r="H243" s="174">
        <v>1</v>
      </c>
      <c r="I243" s="173">
        <v>5978.02</v>
      </c>
      <c r="J243" s="174">
        <v>5.68</v>
      </c>
      <c r="K243" s="173">
        <v>33955.15</v>
      </c>
      <c r="Q243" s="160">
        <f>[8]Source!X175</f>
        <v>0</v>
      </c>
      <c r="R243" s="160">
        <f>[8]Source!X176</f>
        <v>0</v>
      </c>
      <c r="S243" s="160">
        <f>[8]Source!Y175</f>
        <v>0</v>
      </c>
      <c r="T243" s="160">
        <f>[8]Source!Y176</f>
        <v>0</v>
      </c>
      <c r="U243" s="160">
        <f>ROUND((175/100)*ROUND([8]Source!R175, 2), 2)</f>
        <v>0</v>
      </c>
      <c r="V243" s="160">
        <f>ROUND((157/100)*ROUND([8]Source!R176, 2), 2)</f>
        <v>0</v>
      </c>
    </row>
    <row r="244" spans="1:22" ht="114" x14ac:dyDescent="0.2">
      <c r="A244" s="179" t="s">
        <v>1631</v>
      </c>
      <c r="B244" s="178" t="s">
        <v>2637</v>
      </c>
      <c r="C244" s="178" t="s">
        <v>907</v>
      </c>
      <c r="D244" s="177" t="s">
        <v>1557</v>
      </c>
      <c r="E244" s="174">
        <v>15.84</v>
      </c>
      <c r="F244" s="176">
        <v>126.76</v>
      </c>
      <c r="G244" s="182" t="s">
        <v>195</v>
      </c>
      <c r="H244" s="174">
        <v>1</v>
      </c>
      <c r="I244" s="173">
        <v>2007.88</v>
      </c>
      <c r="J244" s="174">
        <v>5.83</v>
      </c>
      <c r="K244" s="173">
        <v>11705.94</v>
      </c>
      <c r="Q244" s="160">
        <f>[8]Source!X177</f>
        <v>0</v>
      </c>
      <c r="R244" s="160">
        <f>[8]Source!X178</f>
        <v>0</v>
      </c>
      <c r="S244" s="160">
        <f>[8]Source!Y177</f>
        <v>0</v>
      </c>
      <c r="T244" s="160">
        <f>[8]Source!Y178</f>
        <v>0</v>
      </c>
      <c r="U244" s="160">
        <f>ROUND((175/100)*ROUND([8]Source!R177, 2), 2)</f>
        <v>0</v>
      </c>
      <c r="V244" s="160">
        <f>ROUND((157/100)*ROUND([8]Source!R178, 2), 2)</f>
        <v>0</v>
      </c>
    </row>
    <row r="245" spans="1:22" ht="57" x14ac:dyDescent="0.2">
      <c r="A245" s="179" t="s">
        <v>1632</v>
      </c>
      <c r="B245" s="178" t="s">
        <v>2638</v>
      </c>
      <c r="C245" s="178" t="s">
        <v>741</v>
      </c>
      <c r="D245" s="177" t="s">
        <v>2639</v>
      </c>
      <c r="E245" s="174">
        <v>7.92</v>
      </c>
      <c r="F245" s="176">
        <v>231.64</v>
      </c>
      <c r="G245" s="182" t="s">
        <v>195</v>
      </c>
      <c r="H245" s="174">
        <v>1</v>
      </c>
      <c r="I245" s="173">
        <v>1834.59</v>
      </c>
      <c r="J245" s="174">
        <v>2.88</v>
      </c>
      <c r="K245" s="173">
        <v>5283.62</v>
      </c>
      <c r="Q245" s="160">
        <f>[8]Source!X179</f>
        <v>0</v>
      </c>
      <c r="R245" s="160">
        <f>[8]Source!X180</f>
        <v>0</v>
      </c>
      <c r="S245" s="160">
        <f>[8]Source!Y179</f>
        <v>0</v>
      </c>
      <c r="T245" s="160">
        <f>[8]Source!Y180</f>
        <v>0</v>
      </c>
      <c r="U245" s="160">
        <f>ROUND((175/100)*ROUND([8]Source!R179, 2), 2)</f>
        <v>0</v>
      </c>
      <c r="V245" s="160">
        <f>ROUND((157/100)*ROUND([8]Source!R180, 2), 2)</f>
        <v>0</v>
      </c>
    </row>
    <row r="246" spans="1:22" ht="57" x14ac:dyDescent="0.2">
      <c r="A246" s="179" t="s">
        <v>2640</v>
      </c>
      <c r="B246" s="178" t="s">
        <v>2641</v>
      </c>
      <c r="C246" s="178" t="s">
        <v>740</v>
      </c>
      <c r="D246" s="177" t="s">
        <v>2639</v>
      </c>
      <c r="E246" s="174">
        <v>-58.924799999999998</v>
      </c>
      <c r="F246" s="176">
        <v>34.75</v>
      </c>
      <c r="G246" s="182" t="s">
        <v>195</v>
      </c>
      <c r="H246" s="174">
        <v>1</v>
      </c>
      <c r="I246" s="173">
        <v>-2047.64</v>
      </c>
      <c r="J246" s="174">
        <v>34.270000000000003</v>
      </c>
      <c r="K246" s="173">
        <v>-70172.62</v>
      </c>
      <c r="Q246" s="160">
        <f>[8]Source!X181</f>
        <v>0</v>
      </c>
      <c r="R246" s="160">
        <f>[8]Source!X182</f>
        <v>0</v>
      </c>
      <c r="S246" s="160">
        <f>[8]Source!Y181</f>
        <v>0</v>
      </c>
      <c r="T246" s="160">
        <f>[8]Source!Y182</f>
        <v>0</v>
      </c>
      <c r="U246" s="160">
        <f>ROUND((175/100)*ROUND([8]Source!R181, 2), 2)</f>
        <v>0</v>
      </c>
      <c r="V246" s="160">
        <f>ROUND((157/100)*ROUND([8]Source!R182, 2), 2)</f>
        <v>0</v>
      </c>
    </row>
    <row r="247" spans="1:22" ht="14.25" x14ac:dyDescent="0.2">
      <c r="A247" s="179"/>
      <c r="B247" s="178"/>
      <c r="C247" s="178" t="s">
        <v>194</v>
      </c>
      <c r="D247" s="177" t="s">
        <v>187</v>
      </c>
      <c r="E247" s="174">
        <v>91</v>
      </c>
      <c r="F247" s="176"/>
      <c r="G247" s="175"/>
      <c r="H247" s="174"/>
      <c r="I247" s="173">
        <v>1896.36</v>
      </c>
      <c r="J247" s="174">
        <v>73</v>
      </c>
      <c r="K247" s="173">
        <v>35521.29</v>
      </c>
    </row>
    <row r="248" spans="1:22" ht="14.25" x14ac:dyDescent="0.2">
      <c r="A248" s="179"/>
      <c r="B248" s="178"/>
      <c r="C248" s="178" t="s">
        <v>193</v>
      </c>
      <c r="D248" s="177" t="s">
        <v>187</v>
      </c>
      <c r="E248" s="174">
        <v>70</v>
      </c>
      <c r="F248" s="176"/>
      <c r="G248" s="175"/>
      <c r="H248" s="174"/>
      <c r="I248" s="173">
        <v>1458.74</v>
      </c>
      <c r="J248" s="174">
        <v>41</v>
      </c>
      <c r="K248" s="173">
        <v>19950.310000000001</v>
      </c>
    </row>
    <row r="249" spans="1:22" ht="14.25" x14ac:dyDescent="0.2">
      <c r="A249" s="179"/>
      <c r="B249" s="178"/>
      <c r="C249" s="178" t="s">
        <v>188</v>
      </c>
      <c r="D249" s="177" t="s">
        <v>187</v>
      </c>
      <c r="E249" s="174">
        <v>175</v>
      </c>
      <c r="F249" s="176"/>
      <c r="G249" s="175"/>
      <c r="H249" s="174"/>
      <c r="I249" s="173">
        <v>365.91</v>
      </c>
      <c r="J249" s="174">
        <v>157</v>
      </c>
      <c r="K249" s="173">
        <v>7665.13</v>
      </c>
    </row>
    <row r="250" spans="1:22" ht="14.25" x14ac:dyDescent="0.2">
      <c r="A250" s="242"/>
      <c r="B250" s="241"/>
      <c r="C250" s="241" t="s">
        <v>192</v>
      </c>
      <c r="D250" s="240" t="s">
        <v>191</v>
      </c>
      <c r="E250" s="238">
        <v>2.2000000000000002</v>
      </c>
      <c r="F250" s="253"/>
      <c r="G250" s="239" t="s">
        <v>2270</v>
      </c>
      <c r="H250" s="238">
        <v>1</v>
      </c>
      <c r="I250" s="237">
        <v>160.30000000000001</v>
      </c>
      <c r="J250" s="238"/>
      <c r="K250" s="237"/>
    </row>
    <row r="251" spans="1:22" ht="15" x14ac:dyDescent="0.25">
      <c r="A251" s="235"/>
      <c r="B251" s="235"/>
      <c r="C251" s="236" t="s">
        <v>183</v>
      </c>
      <c r="D251" s="235"/>
      <c r="E251" s="235"/>
      <c r="F251" s="235"/>
      <c r="G251" s="235"/>
      <c r="H251" s="436">
        <v>18413.41</v>
      </c>
      <c r="I251" s="436"/>
      <c r="J251" s="436">
        <v>177084.48</v>
      </c>
      <c r="K251" s="436"/>
      <c r="O251" s="163">
        <f>I239+I240+I242+I247+I248+I249+SUM(I243:I246)</f>
        <v>18413.41</v>
      </c>
      <c r="P251" s="163">
        <f>K239+K240+K242+K247+K248+K249+SUM(K243:K246)</f>
        <v>177084.48</v>
      </c>
    </row>
    <row r="253" spans="1:22" ht="128.25" x14ac:dyDescent="0.2">
      <c r="A253" s="179" t="s">
        <v>1633</v>
      </c>
      <c r="B253" s="178" t="s">
        <v>2642</v>
      </c>
      <c r="C253" s="178" t="s">
        <v>1086</v>
      </c>
      <c r="D253" s="177" t="s">
        <v>1552</v>
      </c>
      <c r="E253" s="174">
        <v>154.97999999999999</v>
      </c>
      <c r="F253" s="176">
        <v>45.17</v>
      </c>
      <c r="G253" s="175" t="s">
        <v>195</v>
      </c>
      <c r="H253" s="174">
        <v>1</v>
      </c>
      <c r="I253" s="173">
        <v>7000.45</v>
      </c>
      <c r="J253" s="174">
        <v>2.91</v>
      </c>
      <c r="K253" s="173">
        <v>20371.310000000001</v>
      </c>
      <c r="Q253" s="160">
        <f>[8]Source!X183</f>
        <v>0</v>
      </c>
      <c r="R253" s="160">
        <f>[8]Source!X184</f>
        <v>0</v>
      </c>
      <c r="S253" s="160">
        <f>[8]Source!Y183</f>
        <v>0</v>
      </c>
      <c r="T253" s="160">
        <f>[8]Source!Y184</f>
        <v>0</v>
      </c>
      <c r="U253" s="160">
        <f>ROUND((175/100)*ROUND([8]Source!R183, 2), 2)</f>
        <v>0</v>
      </c>
      <c r="V253" s="160">
        <f>ROUND((157/100)*ROUND([8]Source!R184, 2), 2)</f>
        <v>0</v>
      </c>
    </row>
    <row r="254" spans="1:22" x14ac:dyDescent="0.2">
      <c r="A254" s="255"/>
      <c r="B254" s="255"/>
      <c r="C254" s="256" t="s">
        <v>2643</v>
      </c>
      <c r="D254" s="255"/>
      <c r="E254" s="255"/>
      <c r="F254" s="255"/>
      <c r="G254" s="255"/>
      <c r="H254" s="255"/>
      <c r="I254" s="255"/>
      <c r="J254" s="255"/>
      <c r="K254" s="255"/>
    </row>
    <row r="255" spans="1:22" ht="15" x14ac:dyDescent="0.25">
      <c r="A255" s="235"/>
      <c r="B255" s="235"/>
      <c r="C255" s="236" t="s">
        <v>183</v>
      </c>
      <c r="D255" s="235"/>
      <c r="E255" s="235"/>
      <c r="F255" s="235"/>
      <c r="G255" s="235"/>
      <c r="H255" s="436">
        <v>7000.45</v>
      </c>
      <c r="I255" s="436"/>
      <c r="J255" s="436">
        <v>20371.310000000001</v>
      </c>
      <c r="K255" s="436"/>
      <c r="O255" s="163">
        <f>I253</f>
        <v>7000.45</v>
      </c>
      <c r="P255" s="163">
        <f>K253</f>
        <v>20371.310000000001</v>
      </c>
    </row>
    <row r="257" spans="1:22" ht="128.25" x14ac:dyDescent="0.2">
      <c r="A257" s="179" t="s">
        <v>1635</v>
      </c>
      <c r="B257" s="178" t="s">
        <v>2644</v>
      </c>
      <c r="C257" s="178" t="s">
        <v>906</v>
      </c>
      <c r="D257" s="177" t="s">
        <v>1552</v>
      </c>
      <c r="E257" s="174">
        <v>128.1</v>
      </c>
      <c r="F257" s="176">
        <v>50.57</v>
      </c>
      <c r="G257" s="175" t="s">
        <v>195</v>
      </c>
      <c r="H257" s="174">
        <v>1</v>
      </c>
      <c r="I257" s="173">
        <v>6478.02</v>
      </c>
      <c r="J257" s="174">
        <v>2.91</v>
      </c>
      <c r="K257" s="173">
        <v>18851.04</v>
      </c>
      <c r="Q257" s="160">
        <f>[8]Source!X185</f>
        <v>0</v>
      </c>
      <c r="R257" s="160">
        <f>[8]Source!X186</f>
        <v>0</v>
      </c>
      <c r="S257" s="160">
        <f>[8]Source!Y185</f>
        <v>0</v>
      </c>
      <c r="T257" s="160">
        <f>[8]Source!Y186</f>
        <v>0</v>
      </c>
      <c r="U257" s="160">
        <f>ROUND((175/100)*ROUND([8]Source!R185, 2), 2)</f>
        <v>0</v>
      </c>
      <c r="V257" s="160">
        <f>ROUND((157/100)*ROUND([8]Source!R186, 2), 2)</f>
        <v>0</v>
      </c>
    </row>
    <row r="258" spans="1:22" x14ac:dyDescent="0.2">
      <c r="A258" s="255"/>
      <c r="B258" s="255"/>
      <c r="C258" s="256" t="s">
        <v>2645</v>
      </c>
      <c r="D258" s="255"/>
      <c r="E258" s="255"/>
      <c r="F258" s="255"/>
      <c r="G258" s="255"/>
      <c r="H258" s="255"/>
      <c r="I258" s="255"/>
      <c r="J258" s="255"/>
      <c r="K258" s="255"/>
    </row>
    <row r="259" spans="1:22" ht="15" x14ac:dyDescent="0.25">
      <c r="A259" s="235"/>
      <c r="B259" s="235"/>
      <c r="C259" s="236" t="s">
        <v>183</v>
      </c>
      <c r="D259" s="235"/>
      <c r="E259" s="235"/>
      <c r="F259" s="235"/>
      <c r="G259" s="235"/>
      <c r="H259" s="436">
        <v>6478.02</v>
      </c>
      <c r="I259" s="436"/>
      <c r="J259" s="436">
        <v>18851.04</v>
      </c>
      <c r="K259" s="436"/>
      <c r="O259" s="163">
        <f>I257</f>
        <v>6478.02</v>
      </c>
      <c r="P259" s="163">
        <f>K257</f>
        <v>18851.04</v>
      </c>
    </row>
    <row r="261" spans="1:22" ht="128.25" x14ac:dyDescent="0.2">
      <c r="A261" s="179" t="s">
        <v>1645</v>
      </c>
      <c r="B261" s="178" t="s">
        <v>2646</v>
      </c>
      <c r="C261" s="178" t="s">
        <v>905</v>
      </c>
      <c r="D261" s="177" t="s">
        <v>1552</v>
      </c>
      <c r="E261" s="174">
        <v>142.80000000000001</v>
      </c>
      <c r="F261" s="176">
        <v>56.82</v>
      </c>
      <c r="G261" s="175" t="s">
        <v>195</v>
      </c>
      <c r="H261" s="174">
        <v>1</v>
      </c>
      <c r="I261" s="173">
        <v>8113.9</v>
      </c>
      <c r="J261" s="174">
        <v>2.86</v>
      </c>
      <c r="K261" s="173">
        <v>23205.75</v>
      </c>
      <c r="Q261" s="160">
        <f>[8]Source!X187</f>
        <v>0</v>
      </c>
      <c r="R261" s="160">
        <f>[8]Source!X188</f>
        <v>0</v>
      </c>
      <c r="S261" s="160">
        <f>[8]Source!Y187</f>
        <v>0</v>
      </c>
      <c r="T261" s="160">
        <f>[8]Source!Y188</f>
        <v>0</v>
      </c>
      <c r="U261" s="160">
        <f>ROUND((175/100)*ROUND([8]Source!R187, 2), 2)</f>
        <v>0</v>
      </c>
      <c r="V261" s="160">
        <f>ROUND((157/100)*ROUND([8]Source!R188, 2), 2)</f>
        <v>0</v>
      </c>
    </row>
    <row r="262" spans="1:22" x14ac:dyDescent="0.2">
      <c r="A262" s="255"/>
      <c r="B262" s="255"/>
      <c r="C262" s="256" t="s">
        <v>2647</v>
      </c>
      <c r="D262" s="255"/>
      <c r="E262" s="255"/>
      <c r="F262" s="255"/>
      <c r="G262" s="255"/>
      <c r="H262" s="255"/>
      <c r="I262" s="255"/>
      <c r="J262" s="255"/>
      <c r="K262" s="255"/>
    </row>
    <row r="263" spans="1:22" ht="15" x14ac:dyDescent="0.25">
      <c r="A263" s="235"/>
      <c r="B263" s="235"/>
      <c r="C263" s="236" t="s">
        <v>183</v>
      </c>
      <c r="D263" s="235"/>
      <c r="E263" s="235"/>
      <c r="F263" s="235"/>
      <c r="G263" s="235"/>
      <c r="H263" s="436">
        <v>8113.9</v>
      </c>
      <c r="I263" s="436"/>
      <c r="J263" s="436">
        <v>23205.75</v>
      </c>
      <c r="K263" s="436"/>
      <c r="O263" s="163">
        <f>I261</f>
        <v>8113.9</v>
      </c>
      <c r="P263" s="163">
        <f>K261</f>
        <v>23205.75</v>
      </c>
    </row>
    <row r="265" spans="1:22" ht="128.25" x14ac:dyDescent="0.2">
      <c r="A265" s="179" t="s">
        <v>1652</v>
      </c>
      <c r="B265" s="178" t="s">
        <v>2648</v>
      </c>
      <c r="C265" s="178" t="s">
        <v>1085</v>
      </c>
      <c r="D265" s="177" t="s">
        <v>1552</v>
      </c>
      <c r="E265" s="174">
        <v>102.9</v>
      </c>
      <c r="F265" s="176">
        <v>65.069999999999993</v>
      </c>
      <c r="G265" s="175" t="s">
        <v>195</v>
      </c>
      <c r="H265" s="174">
        <v>1</v>
      </c>
      <c r="I265" s="173">
        <v>6695.7</v>
      </c>
      <c r="J265" s="174">
        <v>2.86</v>
      </c>
      <c r="K265" s="173">
        <v>19149.7</v>
      </c>
      <c r="Q265" s="160">
        <f>[8]Source!X189</f>
        <v>0</v>
      </c>
      <c r="R265" s="160">
        <f>[8]Source!X190</f>
        <v>0</v>
      </c>
      <c r="S265" s="160">
        <f>[8]Source!Y189</f>
        <v>0</v>
      </c>
      <c r="T265" s="160">
        <f>[8]Source!Y190</f>
        <v>0</v>
      </c>
      <c r="U265" s="160">
        <f>ROUND((175/100)*ROUND([8]Source!R189, 2), 2)</f>
        <v>0</v>
      </c>
      <c r="V265" s="160">
        <f>ROUND((157/100)*ROUND([8]Source!R190, 2), 2)</f>
        <v>0</v>
      </c>
    </row>
    <row r="266" spans="1:22" x14ac:dyDescent="0.2">
      <c r="A266" s="255"/>
      <c r="B266" s="255"/>
      <c r="C266" s="256" t="s">
        <v>2649</v>
      </c>
      <c r="D266" s="255"/>
      <c r="E266" s="255"/>
      <c r="F266" s="255"/>
      <c r="G266" s="255"/>
      <c r="H266" s="255"/>
      <c r="I266" s="255"/>
      <c r="J266" s="255"/>
      <c r="K266" s="255"/>
    </row>
    <row r="267" spans="1:22" ht="15" x14ac:dyDescent="0.25">
      <c r="A267" s="235"/>
      <c r="B267" s="235"/>
      <c r="C267" s="236" t="s">
        <v>183</v>
      </c>
      <c r="D267" s="235"/>
      <c r="E267" s="235"/>
      <c r="F267" s="235"/>
      <c r="G267" s="235"/>
      <c r="H267" s="436">
        <v>6695.7</v>
      </c>
      <c r="I267" s="436"/>
      <c r="J267" s="436">
        <v>19149.7</v>
      </c>
      <c r="K267" s="436"/>
      <c r="O267" s="163">
        <f>I265</f>
        <v>6695.7</v>
      </c>
      <c r="P267" s="163">
        <f>K265</f>
        <v>19149.7</v>
      </c>
    </row>
    <row r="269" spans="1:22" ht="128.25" x14ac:dyDescent="0.2">
      <c r="A269" s="179" t="s">
        <v>1665</v>
      </c>
      <c r="B269" s="178" t="s">
        <v>2650</v>
      </c>
      <c r="C269" s="178" t="s">
        <v>904</v>
      </c>
      <c r="D269" s="177" t="s">
        <v>1552</v>
      </c>
      <c r="E269" s="174">
        <v>42</v>
      </c>
      <c r="F269" s="176">
        <v>110.23</v>
      </c>
      <c r="G269" s="175" t="s">
        <v>195</v>
      </c>
      <c r="H269" s="174">
        <v>1</v>
      </c>
      <c r="I269" s="173">
        <v>4629.66</v>
      </c>
      <c r="J269" s="174">
        <v>2.89</v>
      </c>
      <c r="K269" s="173">
        <v>13379.72</v>
      </c>
      <c r="Q269" s="160">
        <f>[8]Source!X191</f>
        <v>0</v>
      </c>
      <c r="R269" s="160">
        <f>[8]Source!X192</f>
        <v>0</v>
      </c>
      <c r="S269" s="160">
        <f>[8]Source!Y191</f>
        <v>0</v>
      </c>
      <c r="T269" s="160">
        <f>[8]Source!Y192</f>
        <v>0</v>
      </c>
      <c r="U269" s="160">
        <f>ROUND((175/100)*ROUND([8]Source!R191, 2), 2)</f>
        <v>0</v>
      </c>
      <c r="V269" s="160">
        <f>ROUND((157/100)*ROUND([8]Source!R192, 2), 2)</f>
        <v>0</v>
      </c>
    </row>
    <row r="270" spans="1:22" x14ac:dyDescent="0.2">
      <c r="A270" s="255"/>
      <c r="B270" s="255"/>
      <c r="C270" s="256" t="s">
        <v>2651</v>
      </c>
      <c r="D270" s="255"/>
      <c r="E270" s="255"/>
      <c r="F270" s="255"/>
      <c r="G270" s="255"/>
      <c r="H270" s="255"/>
      <c r="I270" s="255"/>
      <c r="J270" s="255"/>
      <c r="K270" s="255"/>
    </row>
    <row r="271" spans="1:22" ht="15" x14ac:dyDescent="0.25">
      <c r="A271" s="235"/>
      <c r="B271" s="235"/>
      <c r="C271" s="236" t="s">
        <v>183</v>
      </c>
      <c r="D271" s="235"/>
      <c r="E271" s="235"/>
      <c r="F271" s="235"/>
      <c r="G271" s="235"/>
      <c r="H271" s="436">
        <v>4629.66</v>
      </c>
      <c r="I271" s="436"/>
      <c r="J271" s="436">
        <v>13379.72</v>
      </c>
      <c r="K271" s="436"/>
      <c r="O271" s="163">
        <f>I269</f>
        <v>4629.66</v>
      </c>
      <c r="P271" s="163">
        <f>K269</f>
        <v>13379.72</v>
      </c>
    </row>
    <row r="273" spans="1:22" ht="128.25" x14ac:dyDescent="0.2">
      <c r="A273" s="179" t="s">
        <v>1672</v>
      </c>
      <c r="B273" s="178" t="s">
        <v>2652</v>
      </c>
      <c r="C273" s="178" t="s">
        <v>902</v>
      </c>
      <c r="D273" s="177" t="s">
        <v>1552</v>
      </c>
      <c r="E273" s="174">
        <v>94.5</v>
      </c>
      <c r="F273" s="176">
        <v>159.38</v>
      </c>
      <c r="G273" s="175" t="s">
        <v>195</v>
      </c>
      <c r="H273" s="174">
        <v>1</v>
      </c>
      <c r="I273" s="173">
        <v>15061.41</v>
      </c>
      <c r="J273" s="174">
        <v>2.89</v>
      </c>
      <c r="K273" s="173">
        <v>43527.47</v>
      </c>
      <c r="Q273" s="160">
        <f>[8]Source!X193</f>
        <v>0</v>
      </c>
      <c r="R273" s="160">
        <f>[8]Source!X194</f>
        <v>0</v>
      </c>
      <c r="S273" s="160">
        <f>[8]Source!Y193</f>
        <v>0</v>
      </c>
      <c r="T273" s="160">
        <f>[8]Source!Y194</f>
        <v>0</v>
      </c>
      <c r="U273" s="160">
        <f>ROUND((175/100)*ROUND([8]Source!R193, 2), 2)</f>
        <v>0</v>
      </c>
      <c r="V273" s="160">
        <f>ROUND((157/100)*ROUND([8]Source!R194, 2), 2)</f>
        <v>0</v>
      </c>
    </row>
    <row r="274" spans="1:22" x14ac:dyDescent="0.2">
      <c r="A274" s="255"/>
      <c r="B274" s="255"/>
      <c r="C274" s="256" t="s">
        <v>2653</v>
      </c>
      <c r="D274" s="255"/>
      <c r="E274" s="255"/>
      <c r="F274" s="255"/>
      <c r="G274" s="255"/>
      <c r="H274" s="255"/>
      <c r="I274" s="255"/>
      <c r="J274" s="255"/>
      <c r="K274" s="255"/>
    </row>
    <row r="275" spans="1:22" ht="15" x14ac:dyDescent="0.25">
      <c r="A275" s="235"/>
      <c r="B275" s="235"/>
      <c r="C275" s="236" t="s">
        <v>183</v>
      </c>
      <c r="D275" s="235"/>
      <c r="E275" s="235"/>
      <c r="F275" s="235"/>
      <c r="G275" s="235"/>
      <c r="H275" s="436">
        <v>15061.41</v>
      </c>
      <c r="I275" s="436"/>
      <c r="J275" s="436">
        <v>43527.47</v>
      </c>
      <c r="K275" s="436"/>
      <c r="O275" s="163">
        <f>I273</f>
        <v>15061.41</v>
      </c>
      <c r="P275" s="163">
        <f>K273</f>
        <v>43527.47</v>
      </c>
    </row>
    <row r="277" spans="1:22" ht="57" x14ac:dyDescent="0.2">
      <c r="A277" s="179" t="s">
        <v>1685</v>
      </c>
      <c r="B277" s="178" t="s">
        <v>2654</v>
      </c>
      <c r="C277" s="178" t="s">
        <v>751</v>
      </c>
      <c r="D277" s="177" t="s">
        <v>2599</v>
      </c>
      <c r="E277" s="174">
        <v>17.93</v>
      </c>
      <c r="F277" s="176"/>
      <c r="G277" s="175"/>
      <c r="H277" s="174"/>
      <c r="I277" s="173"/>
      <c r="J277" s="174"/>
      <c r="K277" s="173"/>
      <c r="Q277" s="160">
        <f>[8]Source!X195</f>
        <v>3151.36</v>
      </c>
      <c r="R277" s="160">
        <f>[8]Source!X196</f>
        <v>58867.34</v>
      </c>
      <c r="S277" s="160">
        <f>[8]Source!Y195</f>
        <v>2120</v>
      </c>
      <c r="T277" s="160">
        <f>[8]Source!Y196</f>
        <v>27426.83</v>
      </c>
      <c r="U277" s="160">
        <f>ROUND((175/100)*ROUND([8]Source!R195, 2), 2)</f>
        <v>0</v>
      </c>
      <c r="V277" s="160">
        <f>ROUND((157/100)*ROUND([8]Source!R196, 2), 2)</f>
        <v>0</v>
      </c>
    </row>
    <row r="278" spans="1:22" ht="25.5" x14ac:dyDescent="0.2">
      <c r="C278" s="181" t="s">
        <v>2576</v>
      </c>
    </row>
    <row r="279" spans="1:22" ht="14.25" x14ac:dyDescent="0.2">
      <c r="A279" s="179"/>
      <c r="B279" s="178"/>
      <c r="C279" s="178" t="s">
        <v>197</v>
      </c>
      <c r="D279" s="177"/>
      <c r="E279" s="174"/>
      <c r="F279" s="176">
        <v>138.94</v>
      </c>
      <c r="G279" s="175" t="s">
        <v>2270</v>
      </c>
      <c r="H279" s="174">
        <v>1</v>
      </c>
      <c r="I279" s="173">
        <v>2864.87</v>
      </c>
      <c r="J279" s="174">
        <v>23.35</v>
      </c>
      <c r="K279" s="173">
        <v>66894.710000000006</v>
      </c>
    </row>
    <row r="280" spans="1:22" ht="14.25" x14ac:dyDescent="0.2">
      <c r="A280" s="179"/>
      <c r="B280" s="178"/>
      <c r="C280" s="178" t="s">
        <v>205</v>
      </c>
      <c r="D280" s="177"/>
      <c r="E280" s="174"/>
      <c r="F280" s="176">
        <v>8.4</v>
      </c>
      <c r="G280" s="175" t="s">
        <v>195</v>
      </c>
      <c r="H280" s="174">
        <v>1</v>
      </c>
      <c r="I280" s="173">
        <v>150.61000000000001</v>
      </c>
      <c r="J280" s="174">
        <v>4.87</v>
      </c>
      <c r="K280" s="173">
        <v>733.47</v>
      </c>
    </row>
    <row r="281" spans="1:22" ht="14.25" x14ac:dyDescent="0.2">
      <c r="A281" s="179"/>
      <c r="B281" s="178"/>
      <c r="C281" s="178" t="s">
        <v>194</v>
      </c>
      <c r="D281" s="177" t="s">
        <v>187</v>
      </c>
      <c r="E281" s="174">
        <v>110</v>
      </c>
      <c r="F281" s="176"/>
      <c r="G281" s="175"/>
      <c r="H281" s="174"/>
      <c r="I281" s="173">
        <v>3151.36</v>
      </c>
      <c r="J281" s="174">
        <v>88</v>
      </c>
      <c r="K281" s="173">
        <v>58867.34</v>
      </c>
    </row>
    <row r="282" spans="1:22" ht="14.25" x14ac:dyDescent="0.2">
      <c r="A282" s="179"/>
      <c r="B282" s="178"/>
      <c r="C282" s="178" t="s">
        <v>193</v>
      </c>
      <c r="D282" s="177" t="s">
        <v>187</v>
      </c>
      <c r="E282" s="174">
        <v>74</v>
      </c>
      <c r="F282" s="176"/>
      <c r="G282" s="175"/>
      <c r="H282" s="174"/>
      <c r="I282" s="173">
        <v>2120</v>
      </c>
      <c r="J282" s="174">
        <v>41</v>
      </c>
      <c r="K282" s="173">
        <v>27426.83</v>
      </c>
    </row>
    <row r="283" spans="1:22" ht="14.25" x14ac:dyDescent="0.2">
      <c r="A283" s="242"/>
      <c r="B283" s="241"/>
      <c r="C283" s="241" t="s">
        <v>192</v>
      </c>
      <c r="D283" s="240" t="s">
        <v>191</v>
      </c>
      <c r="E283" s="238">
        <v>9.25</v>
      </c>
      <c r="F283" s="253"/>
      <c r="G283" s="239" t="s">
        <v>2270</v>
      </c>
      <c r="H283" s="238">
        <v>1</v>
      </c>
      <c r="I283" s="237">
        <v>190.73</v>
      </c>
      <c r="J283" s="238"/>
      <c r="K283" s="237"/>
    </row>
    <row r="284" spans="1:22" ht="15" x14ac:dyDescent="0.25">
      <c r="A284" s="235"/>
      <c r="B284" s="235"/>
      <c r="C284" s="236" t="s">
        <v>183</v>
      </c>
      <c r="D284" s="235"/>
      <c r="E284" s="235"/>
      <c r="F284" s="235"/>
      <c r="G284" s="235"/>
      <c r="H284" s="436">
        <v>8286.84</v>
      </c>
      <c r="I284" s="436"/>
      <c r="J284" s="436">
        <v>153922.35</v>
      </c>
      <c r="K284" s="436"/>
      <c r="O284" s="163">
        <f>I279+I280+I281+I282</f>
        <v>8286.84</v>
      </c>
      <c r="P284" s="163">
        <f>K279+K280+K281+K282</f>
        <v>153922.35</v>
      </c>
    </row>
    <row r="286" spans="1:22" ht="57" x14ac:dyDescent="0.2">
      <c r="A286" s="179" t="s">
        <v>1696</v>
      </c>
      <c r="B286" s="178" t="s">
        <v>2655</v>
      </c>
      <c r="C286" s="178" t="s">
        <v>749</v>
      </c>
      <c r="D286" s="177" t="s">
        <v>2599</v>
      </c>
      <c r="E286" s="174">
        <v>0.9</v>
      </c>
      <c r="F286" s="176"/>
      <c r="G286" s="175"/>
      <c r="H286" s="174"/>
      <c r="I286" s="173"/>
      <c r="J286" s="174"/>
      <c r="K286" s="173"/>
      <c r="Q286" s="160">
        <f>[8]Source!X197</f>
        <v>158.18</v>
      </c>
      <c r="R286" s="160">
        <f>[8]Source!X198</f>
        <v>2954.8</v>
      </c>
      <c r="S286" s="160">
        <f>[8]Source!Y197</f>
        <v>106.41</v>
      </c>
      <c r="T286" s="160">
        <f>[8]Source!Y198</f>
        <v>1376.67</v>
      </c>
      <c r="U286" s="160">
        <f>ROUND((175/100)*ROUND([8]Source!R197, 2), 2)</f>
        <v>0</v>
      </c>
      <c r="V286" s="160">
        <f>ROUND((157/100)*ROUND([8]Source!R198, 2), 2)</f>
        <v>0</v>
      </c>
    </row>
    <row r="287" spans="1:22" x14ac:dyDescent="0.2">
      <c r="C287" s="181" t="s">
        <v>2656</v>
      </c>
    </row>
    <row r="288" spans="1:22" ht="14.25" x14ac:dyDescent="0.2">
      <c r="A288" s="179"/>
      <c r="B288" s="178"/>
      <c r="C288" s="178" t="s">
        <v>197</v>
      </c>
      <c r="D288" s="177"/>
      <c r="E288" s="174"/>
      <c r="F288" s="176">
        <v>138.94</v>
      </c>
      <c r="G288" s="175" t="s">
        <v>2270</v>
      </c>
      <c r="H288" s="174">
        <v>1</v>
      </c>
      <c r="I288" s="173">
        <v>143.80000000000001</v>
      </c>
      <c r="J288" s="174">
        <v>23.35</v>
      </c>
      <c r="K288" s="173">
        <v>3357.73</v>
      </c>
    </row>
    <row r="289" spans="1:22" ht="14.25" x14ac:dyDescent="0.2">
      <c r="A289" s="179"/>
      <c r="B289" s="178"/>
      <c r="C289" s="178" t="s">
        <v>205</v>
      </c>
      <c r="D289" s="177"/>
      <c r="E289" s="174"/>
      <c r="F289" s="176">
        <v>28.2</v>
      </c>
      <c r="G289" s="175" t="s">
        <v>195</v>
      </c>
      <c r="H289" s="174">
        <v>1</v>
      </c>
      <c r="I289" s="173">
        <v>25.38</v>
      </c>
      <c r="J289" s="174">
        <v>4.8</v>
      </c>
      <c r="K289" s="173">
        <v>121.82</v>
      </c>
    </row>
    <row r="290" spans="1:22" ht="14.25" x14ac:dyDescent="0.2">
      <c r="A290" s="179"/>
      <c r="B290" s="178"/>
      <c r="C290" s="178" t="s">
        <v>194</v>
      </c>
      <c r="D290" s="177" t="s">
        <v>187</v>
      </c>
      <c r="E290" s="174">
        <v>110</v>
      </c>
      <c r="F290" s="176"/>
      <c r="G290" s="175"/>
      <c r="H290" s="174"/>
      <c r="I290" s="173">
        <v>158.18</v>
      </c>
      <c r="J290" s="174">
        <v>88</v>
      </c>
      <c r="K290" s="173">
        <v>2954.8</v>
      </c>
    </row>
    <row r="291" spans="1:22" ht="14.25" x14ac:dyDescent="0.2">
      <c r="A291" s="179"/>
      <c r="B291" s="178"/>
      <c r="C291" s="178" t="s">
        <v>193</v>
      </c>
      <c r="D291" s="177" t="s">
        <v>187</v>
      </c>
      <c r="E291" s="174">
        <v>74</v>
      </c>
      <c r="F291" s="176"/>
      <c r="G291" s="175"/>
      <c r="H291" s="174"/>
      <c r="I291" s="173">
        <v>106.41</v>
      </c>
      <c r="J291" s="174">
        <v>41</v>
      </c>
      <c r="K291" s="173">
        <v>1376.67</v>
      </c>
    </row>
    <row r="292" spans="1:22" ht="14.25" x14ac:dyDescent="0.2">
      <c r="A292" s="242"/>
      <c r="B292" s="241"/>
      <c r="C292" s="241" t="s">
        <v>192</v>
      </c>
      <c r="D292" s="240" t="s">
        <v>191</v>
      </c>
      <c r="E292" s="238">
        <v>9.25</v>
      </c>
      <c r="F292" s="253"/>
      <c r="G292" s="239" t="s">
        <v>2270</v>
      </c>
      <c r="H292" s="238">
        <v>1</v>
      </c>
      <c r="I292" s="237">
        <v>9.57</v>
      </c>
      <c r="J292" s="238"/>
      <c r="K292" s="237"/>
    </row>
    <row r="293" spans="1:22" ht="15" x14ac:dyDescent="0.25">
      <c r="A293" s="235"/>
      <c r="B293" s="235"/>
      <c r="C293" s="236" t="s">
        <v>183</v>
      </c>
      <c r="D293" s="235"/>
      <c r="E293" s="235"/>
      <c r="F293" s="235"/>
      <c r="G293" s="235"/>
      <c r="H293" s="436">
        <v>433.77</v>
      </c>
      <c r="I293" s="436"/>
      <c r="J293" s="436">
        <v>7811.02</v>
      </c>
      <c r="K293" s="436"/>
      <c r="O293" s="163">
        <f>I288+I289+I290+I291</f>
        <v>433.77</v>
      </c>
      <c r="P293" s="163">
        <f>K288+K289+K290+K291</f>
        <v>7811.02</v>
      </c>
    </row>
    <row r="295" spans="1:22" ht="57" x14ac:dyDescent="0.2">
      <c r="A295" s="179" t="s">
        <v>1705</v>
      </c>
      <c r="B295" s="178" t="s">
        <v>2657</v>
      </c>
      <c r="C295" s="178" t="s">
        <v>815</v>
      </c>
      <c r="D295" s="177" t="s">
        <v>1903</v>
      </c>
      <c r="E295" s="174">
        <v>4</v>
      </c>
      <c r="F295" s="176"/>
      <c r="G295" s="175"/>
      <c r="H295" s="174"/>
      <c r="I295" s="173"/>
      <c r="J295" s="174"/>
      <c r="K295" s="173"/>
      <c r="Q295" s="160">
        <f>[8]Source!X199</f>
        <v>160.35</v>
      </c>
      <c r="R295" s="160">
        <f>[8]Source!X200</f>
        <v>2995.28</v>
      </c>
      <c r="S295" s="160">
        <f>[8]Source!Y199</f>
        <v>107.87</v>
      </c>
      <c r="T295" s="160">
        <f>[8]Source!Y200</f>
        <v>1395.53</v>
      </c>
      <c r="U295" s="160">
        <f>ROUND((175/100)*ROUND([8]Source!R199, 2), 2)</f>
        <v>13.21</v>
      </c>
      <c r="V295" s="160">
        <f>ROUND((157/100)*ROUND([8]Source!R200, 2), 2)</f>
        <v>276.77999999999997</v>
      </c>
    </row>
    <row r="296" spans="1:22" ht="14.25" x14ac:dyDescent="0.2">
      <c r="A296" s="179"/>
      <c r="B296" s="178"/>
      <c r="C296" s="178" t="s">
        <v>197</v>
      </c>
      <c r="D296" s="177"/>
      <c r="E296" s="174"/>
      <c r="F296" s="176">
        <v>31.69</v>
      </c>
      <c r="G296" s="175" t="s">
        <v>2270</v>
      </c>
      <c r="H296" s="174">
        <v>1</v>
      </c>
      <c r="I296" s="173">
        <v>145.77000000000001</v>
      </c>
      <c r="J296" s="174">
        <v>23.35</v>
      </c>
      <c r="K296" s="173">
        <v>3403.73</v>
      </c>
    </row>
    <row r="297" spans="1:22" ht="14.25" x14ac:dyDescent="0.2">
      <c r="A297" s="179"/>
      <c r="B297" s="178"/>
      <c r="C297" s="178" t="s">
        <v>184</v>
      </c>
      <c r="D297" s="177"/>
      <c r="E297" s="174"/>
      <c r="F297" s="176">
        <v>8.85</v>
      </c>
      <c r="G297" s="175" t="s">
        <v>2271</v>
      </c>
      <c r="H297" s="174">
        <v>1</v>
      </c>
      <c r="I297" s="173">
        <v>44.25</v>
      </c>
      <c r="J297" s="174">
        <v>8.42</v>
      </c>
      <c r="K297" s="173">
        <v>372.59</v>
      </c>
    </row>
    <row r="298" spans="1:22" ht="14.25" x14ac:dyDescent="0.2">
      <c r="A298" s="179"/>
      <c r="B298" s="178"/>
      <c r="C298" s="178" t="s">
        <v>189</v>
      </c>
      <c r="D298" s="177"/>
      <c r="E298" s="174"/>
      <c r="F298" s="176">
        <v>1.51</v>
      </c>
      <c r="G298" s="175" t="s">
        <v>2271</v>
      </c>
      <c r="H298" s="174">
        <v>1</v>
      </c>
      <c r="I298" s="180">
        <v>7.55</v>
      </c>
      <c r="J298" s="174">
        <v>23.35</v>
      </c>
      <c r="K298" s="180">
        <v>176.29</v>
      </c>
    </row>
    <row r="299" spans="1:22" ht="14.25" x14ac:dyDescent="0.2">
      <c r="A299" s="179"/>
      <c r="B299" s="178"/>
      <c r="C299" s="178" t="s">
        <v>205</v>
      </c>
      <c r="D299" s="177"/>
      <c r="E299" s="174"/>
      <c r="F299" s="176">
        <v>39.46</v>
      </c>
      <c r="G299" s="175" t="s">
        <v>195</v>
      </c>
      <c r="H299" s="174">
        <v>1</v>
      </c>
      <c r="I299" s="173">
        <v>157.84</v>
      </c>
      <c r="J299" s="174">
        <v>4.43</v>
      </c>
      <c r="K299" s="173">
        <v>699.23</v>
      </c>
    </row>
    <row r="300" spans="1:22" ht="71.25" x14ac:dyDescent="0.2">
      <c r="A300" s="179" t="s">
        <v>1707</v>
      </c>
      <c r="B300" s="178" t="s">
        <v>2658</v>
      </c>
      <c r="C300" s="178" t="s">
        <v>1084</v>
      </c>
      <c r="D300" s="177" t="s">
        <v>1661</v>
      </c>
      <c r="E300" s="174">
        <v>8</v>
      </c>
      <c r="F300" s="176">
        <v>73.55</v>
      </c>
      <c r="G300" s="182" t="s">
        <v>195</v>
      </c>
      <c r="H300" s="174">
        <v>1</v>
      </c>
      <c r="I300" s="173">
        <v>588.4</v>
      </c>
      <c r="J300" s="174">
        <v>4.17</v>
      </c>
      <c r="K300" s="173">
        <v>2453.63</v>
      </c>
      <c r="Q300" s="160">
        <f>[8]Source!X201</f>
        <v>0</v>
      </c>
      <c r="R300" s="160">
        <f>[8]Source!X202</f>
        <v>0</v>
      </c>
      <c r="S300" s="160">
        <f>[8]Source!Y201</f>
        <v>0</v>
      </c>
      <c r="T300" s="160">
        <f>[8]Source!Y202</f>
        <v>0</v>
      </c>
      <c r="U300" s="160">
        <f>ROUND((175/100)*ROUND([8]Source!R201, 2), 2)</f>
        <v>0</v>
      </c>
      <c r="V300" s="160">
        <f>ROUND((157/100)*ROUND([8]Source!R202, 2), 2)</f>
        <v>0</v>
      </c>
    </row>
    <row r="301" spans="1:22" ht="54" x14ac:dyDescent="0.2">
      <c r="A301" s="179" t="s">
        <v>1708</v>
      </c>
      <c r="B301" s="178" t="s">
        <v>2659</v>
      </c>
      <c r="C301" s="178" t="s">
        <v>1083</v>
      </c>
      <c r="D301" s="177" t="s">
        <v>1661</v>
      </c>
      <c r="E301" s="174">
        <v>4</v>
      </c>
      <c r="F301" s="176">
        <v>931.08</v>
      </c>
      <c r="G301" s="182" t="s">
        <v>195</v>
      </c>
      <c r="H301" s="174">
        <v>1</v>
      </c>
      <c r="I301" s="173">
        <v>3724.32</v>
      </c>
      <c r="J301" s="174">
        <v>5.42</v>
      </c>
      <c r="K301" s="173">
        <v>20185.810000000001</v>
      </c>
      <c r="Q301" s="160">
        <f>[8]Source!X203</f>
        <v>0</v>
      </c>
      <c r="R301" s="160">
        <f>[8]Source!X204</f>
        <v>0</v>
      </c>
      <c r="S301" s="160">
        <f>[8]Source!Y203</f>
        <v>0</v>
      </c>
      <c r="T301" s="160">
        <f>[8]Source!Y204</f>
        <v>0</v>
      </c>
      <c r="U301" s="160">
        <f>ROUND((175/100)*ROUND([8]Source!R203, 2), 2)</f>
        <v>0</v>
      </c>
      <c r="V301" s="160">
        <f>ROUND((157/100)*ROUND([8]Source!R204, 2), 2)</f>
        <v>0</v>
      </c>
    </row>
    <row r="302" spans="1:22" ht="14.25" x14ac:dyDescent="0.2">
      <c r="A302" s="179"/>
      <c r="B302" s="178"/>
      <c r="C302" s="178" t="s">
        <v>194</v>
      </c>
      <c r="D302" s="177" t="s">
        <v>187</v>
      </c>
      <c r="E302" s="174">
        <v>110</v>
      </c>
      <c r="F302" s="176"/>
      <c r="G302" s="175"/>
      <c r="H302" s="174"/>
      <c r="I302" s="173">
        <v>160.35</v>
      </c>
      <c r="J302" s="174">
        <v>88</v>
      </c>
      <c r="K302" s="173">
        <v>2995.28</v>
      </c>
    </row>
    <row r="303" spans="1:22" ht="14.25" x14ac:dyDescent="0.2">
      <c r="A303" s="179"/>
      <c r="B303" s="178"/>
      <c r="C303" s="178" t="s">
        <v>193</v>
      </c>
      <c r="D303" s="177" t="s">
        <v>187</v>
      </c>
      <c r="E303" s="174">
        <v>74</v>
      </c>
      <c r="F303" s="176"/>
      <c r="G303" s="175"/>
      <c r="H303" s="174"/>
      <c r="I303" s="173">
        <v>107.87</v>
      </c>
      <c r="J303" s="174">
        <v>41</v>
      </c>
      <c r="K303" s="173">
        <v>1395.53</v>
      </c>
    </row>
    <row r="304" spans="1:22" ht="14.25" x14ac:dyDescent="0.2">
      <c r="A304" s="179"/>
      <c r="B304" s="178"/>
      <c r="C304" s="178" t="s">
        <v>188</v>
      </c>
      <c r="D304" s="177" t="s">
        <v>187</v>
      </c>
      <c r="E304" s="174">
        <v>175</v>
      </c>
      <c r="F304" s="176"/>
      <c r="G304" s="175"/>
      <c r="H304" s="174"/>
      <c r="I304" s="173">
        <v>13.21</v>
      </c>
      <c r="J304" s="174">
        <v>157</v>
      </c>
      <c r="K304" s="173">
        <v>276.77999999999997</v>
      </c>
    </row>
    <row r="305" spans="1:22" ht="14.25" x14ac:dyDescent="0.2">
      <c r="A305" s="242"/>
      <c r="B305" s="241"/>
      <c r="C305" s="241" t="s">
        <v>192</v>
      </c>
      <c r="D305" s="240" t="s">
        <v>191</v>
      </c>
      <c r="E305" s="238">
        <v>2.6</v>
      </c>
      <c r="F305" s="253"/>
      <c r="G305" s="239" t="s">
        <v>2270</v>
      </c>
      <c r="H305" s="238">
        <v>1</v>
      </c>
      <c r="I305" s="237">
        <v>11.96</v>
      </c>
      <c r="J305" s="238"/>
      <c r="K305" s="237"/>
    </row>
    <row r="306" spans="1:22" ht="15" x14ac:dyDescent="0.25">
      <c r="A306" s="235"/>
      <c r="B306" s="235"/>
      <c r="C306" s="236" t="s">
        <v>183</v>
      </c>
      <c r="D306" s="235"/>
      <c r="E306" s="235"/>
      <c r="F306" s="235"/>
      <c r="G306" s="235"/>
      <c r="H306" s="436">
        <v>4942.01</v>
      </c>
      <c r="I306" s="436"/>
      <c r="J306" s="436">
        <v>31782.58</v>
      </c>
      <c r="K306" s="436"/>
      <c r="O306" s="163">
        <f>I296+I297+I299+I302+I303+I304+SUM(I300:I301)</f>
        <v>4942.01</v>
      </c>
      <c r="P306" s="163">
        <f>K296+K297+K299+K302+K303+K304+SUM(K300:K301)</f>
        <v>31782.58</v>
      </c>
    </row>
    <row r="308" spans="1:22" ht="28.5" x14ac:dyDescent="0.2">
      <c r="A308" s="179" t="s">
        <v>1712</v>
      </c>
      <c r="B308" s="178" t="s">
        <v>2660</v>
      </c>
      <c r="C308" s="178" t="s">
        <v>1082</v>
      </c>
      <c r="D308" s="177" t="s">
        <v>1903</v>
      </c>
      <c r="E308" s="174">
        <v>2</v>
      </c>
      <c r="F308" s="176"/>
      <c r="G308" s="175"/>
      <c r="H308" s="174"/>
      <c r="I308" s="173"/>
      <c r="J308" s="174"/>
      <c r="K308" s="173"/>
      <c r="Q308" s="160">
        <f>[8]Source!X205</f>
        <v>113.72</v>
      </c>
      <c r="R308" s="160">
        <f>[8]Source!X206</f>
        <v>2124.25</v>
      </c>
      <c r="S308" s="160">
        <f>[8]Source!Y205</f>
        <v>76.5</v>
      </c>
      <c r="T308" s="160">
        <f>[8]Source!Y206</f>
        <v>989.71</v>
      </c>
      <c r="U308" s="160">
        <f>ROUND((175/100)*ROUND([8]Source!R205, 2), 2)</f>
        <v>4.5199999999999996</v>
      </c>
      <c r="V308" s="160">
        <f>ROUND((157/100)*ROUND([8]Source!R206, 2), 2)</f>
        <v>94.58</v>
      </c>
    </row>
    <row r="309" spans="1:22" ht="14.25" x14ac:dyDescent="0.2">
      <c r="A309" s="179"/>
      <c r="B309" s="178"/>
      <c r="C309" s="178" t="s">
        <v>197</v>
      </c>
      <c r="D309" s="177"/>
      <c r="E309" s="174"/>
      <c r="F309" s="176">
        <v>43.64</v>
      </c>
      <c r="G309" s="175" t="s">
        <v>2586</v>
      </c>
      <c r="H309" s="174">
        <v>1</v>
      </c>
      <c r="I309" s="173">
        <v>103.38</v>
      </c>
      <c r="J309" s="174">
        <v>23.35</v>
      </c>
      <c r="K309" s="173">
        <v>2413.92</v>
      </c>
    </row>
    <row r="310" spans="1:22" ht="14.25" x14ac:dyDescent="0.2">
      <c r="A310" s="179"/>
      <c r="B310" s="178"/>
      <c r="C310" s="178" t="s">
        <v>184</v>
      </c>
      <c r="D310" s="177"/>
      <c r="E310" s="174"/>
      <c r="F310" s="176">
        <v>12.82</v>
      </c>
      <c r="G310" s="175" t="s">
        <v>2587</v>
      </c>
      <c r="H310" s="174">
        <v>1</v>
      </c>
      <c r="I310" s="173">
        <v>33.01</v>
      </c>
      <c r="J310" s="174">
        <v>7.06</v>
      </c>
      <c r="K310" s="173">
        <v>233.05</v>
      </c>
    </row>
    <row r="311" spans="1:22" ht="14.25" x14ac:dyDescent="0.2">
      <c r="A311" s="179"/>
      <c r="B311" s="178"/>
      <c r="C311" s="178" t="s">
        <v>189</v>
      </c>
      <c r="D311" s="177"/>
      <c r="E311" s="174"/>
      <c r="F311" s="176">
        <v>1</v>
      </c>
      <c r="G311" s="175" t="s">
        <v>2587</v>
      </c>
      <c r="H311" s="174">
        <v>1</v>
      </c>
      <c r="I311" s="180">
        <v>2.58</v>
      </c>
      <c r="J311" s="174">
        <v>23.35</v>
      </c>
      <c r="K311" s="180">
        <v>60.24</v>
      </c>
    </row>
    <row r="312" spans="1:22" ht="14.25" x14ac:dyDescent="0.2">
      <c r="A312" s="179"/>
      <c r="B312" s="178"/>
      <c r="C312" s="178" t="s">
        <v>205</v>
      </c>
      <c r="D312" s="177"/>
      <c r="E312" s="174"/>
      <c r="F312" s="176">
        <v>353.05</v>
      </c>
      <c r="G312" s="175" t="s">
        <v>195</v>
      </c>
      <c r="H312" s="174">
        <v>1</v>
      </c>
      <c r="I312" s="173">
        <v>706.1</v>
      </c>
      <c r="J312" s="174">
        <v>4.68</v>
      </c>
      <c r="K312" s="173">
        <v>3304.55</v>
      </c>
    </row>
    <row r="313" spans="1:22" ht="42.75" x14ac:dyDescent="0.2">
      <c r="A313" s="179" t="s">
        <v>1715</v>
      </c>
      <c r="B313" s="178" t="s">
        <v>2661</v>
      </c>
      <c r="C313" s="178" t="s">
        <v>1081</v>
      </c>
      <c r="D313" s="177" t="s">
        <v>1661</v>
      </c>
      <c r="E313" s="174">
        <v>2</v>
      </c>
      <c r="F313" s="176">
        <v>950.97</v>
      </c>
      <c r="G313" s="182" t="s">
        <v>195</v>
      </c>
      <c r="H313" s="174">
        <v>1</v>
      </c>
      <c r="I313" s="173">
        <v>1901.94</v>
      </c>
      <c r="J313" s="174">
        <v>3.36</v>
      </c>
      <c r="K313" s="173">
        <v>6390.52</v>
      </c>
      <c r="Q313" s="160">
        <f>[8]Source!X207</f>
        <v>0</v>
      </c>
      <c r="R313" s="160">
        <f>[8]Source!X208</f>
        <v>0</v>
      </c>
      <c r="S313" s="160">
        <f>[8]Source!Y207</f>
        <v>0</v>
      </c>
      <c r="T313" s="160">
        <f>[8]Source!Y208</f>
        <v>0</v>
      </c>
      <c r="U313" s="160">
        <f>ROUND((175/100)*ROUND([8]Source!R207, 2), 2)</f>
        <v>0</v>
      </c>
      <c r="V313" s="160">
        <f>ROUND((157/100)*ROUND([8]Source!R208, 2), 2)</f>
        <v>0</v>
      </c>
    </row>
    <row r="314" spans="1:22" ht="14.25" x14ac:dyDescent="0.2">
      <c r="A314" s="179"/>
      <c r="B314" s="178"/>
      <c r="C314" s="178" t="s">
        <v>194</v>
      </c>
      <c r="D314" s="177" t="s">
        <v>187</v>
      </c>
      <c r="E314" s="174">
        <v>110</v>
      </c>
      <c r="F314" s="176"/>
      <c r="G314" s="175"/>
      <c r="H314" s="174"/>
      <c r="I314" s="173">
        <v>113.72</v>
      </c>
      <c r="J314" s="174">
        <v>88</v>
      </c>
      <c r="K314" s="173">
        <v>2124.25</v>
      </c>
    </row>
    <row r="315" spans="1:22" ht="14.25" x14ac:dyDescent="0.2">
      <c r="A315" s="179"/>
      <c r="B315" s="178"/>
      <c r="C315" s="178" t="s">
        <v>193</v>
      </c>
      <c r="D315" s="177" t="s">
        <v>187</v>
      </c>
      <c r="E315" s="174">
        <v>74</v>
      </c>
      <c r="F315" s="176"/>
      <c r="G315" s="175"/>
      <c r="H315" s="174"/>
      <c r="I315" s="173">
        <v>76.5</v>
      </c>
      <c r="J315" s="174">
        <v>41</v>
      </c>
      <c r="K315" s="173">
        <v>989.71</v>
      </c>
    </row>
    <row r="316" spans="1:22" ht="14.25" x14ac:dyDescent="0.2">
      <c r="A316" s="179"/>
      <c r="B316" s="178"/>
      <c r="C316" s="178" t="s">
        <v>188</v>
      </c>
      <c r="D316" s="177" t="s">
        <v>187</v>
      </c>
      <c r="E316" s="174">
        <v>175</v>
      </c>
      <c r="F316" s="176"/>
      <c r="G316" s="175"/>
      <c r="H316" s="174"/>
      <c r="I316" s="173">
        <v>4.5199999999999996</v>
      </c>
      <c r="J316" s="174">
        <v>157</v>
      </c>
      <c r="K316" s="173">
        <v>94.58</v>
      </c>
    </row>
    <row r="317" spans="1:22" ht="14.25" x14ac:dyDescent="0.2">
      <c r="A317" s="242"/>
      <c r="B317" s="241"/>
      <c r="C317" s="241" t="s">
        <v>192</v>
      </c>
      <c r="D317" s="240" t="s">
        <v>191</v>
      </c>
      <c r="E317" s="238">
        <v>3.58</v>
      </c>
      <c r="F317" s="253"/>
      <c r="G317" s="239" t="s">
        <v>2586</v>
      </c>
      <c r="H317" s="238">
        <v>1</v>
      </c>
      <c r="I317" s="237">
        <v>8.48</v>
      </c>
      <c r="J317" s="238"/>
      <c r="K317" s="237"/>
    </row>
    <row r="318" spans="1:22" ht="15" x14ac:dyDescent="0.25">
      <c r="A318" s="235"/>
      <c r="B318" s="235"/>
      <c r="C318" s="236" t="s">
        <v>183</v>
      </c>
      <c r="D318" s="235"/>
      <c r="E318" s="235"/>
      <c r="F318" s="235"/>
      <c r="G318" s="235"/>
      <c r="H318" s="436">
        <v>2939.17</v>
      </c>
      <c r="I318" s="436"/>
      <c r="J318" s="436">
        <v>15550.58</v>
      </c>
      <c r="K318" s="436"/>
      <c r="O318" s="163">
        <f>I309+I310+I312+I314+I315+I316+SUM(I313:I313)</f>
        <v>2939.17</v>
      </c>
      <c r="P318" s="163">
        <f>K309+K310+K312+K314+K315+K316+SUM(K313:K313)</f>
        <v>15550.58</v>
      </c>
    </row>
    <row r="321" spans="1:22" ht="15" x14ac:dyDescent="0.25">
      <c r="A321" s="417" t="s">
        <v>2662</v>
      </c>
      <c r="B321" s="417"/>
      <c r="C321" s="417"/>
      <c r="D321" s="417"/>
      <c r="E321" s="417"/>
      <c r="F321" s="417"/>
      <c r="G321" s="417"/>
      <c r="H321" s="415">
        <v>351249.98</v>
      </c>
      <c r="I321" s="416"/>
      <c r="J321" s="415">
        <v>2471903.2000000002</v>
      </c>
      <c r="K321" s="416"/>
    </row>
    <row r="322" spans="1:22" hidden="1" x14ac:dyDescent="0.2">
      <c r="A322" s="160" t="s">
        <v>182</v>
      </c>
      <c r="I322" s="160">
        <v>0</v>
      </c>
      <c r="J322" s="160">
        <v>0</v>
      </c>
    </row>
    <row r="323" spans="1:22" hidden="1" x14ac:dyDescent="0.2">
      <c r="A323" s="160" t="s">
        <v>181</v>
      </c>
      <c r="I323" s="160">
        <v>0</v>
      </c>
      <c r="J323" s="160">
        <v>0</v>
      </c>
    </row>
    <row r="325" spans="1:22" ht="15" x14ac:dyDescent="0.25">
      <c r="A325" s="417" t="s">
        <v>2663</v>
      </c>
      <c r="B325" s="417"/>
      <c r="C325" s="417"/>
      <c r="D325" s="417"/>
      <c r="E325" s="417"/>
      <c r="F325" s="417"/>
      <c r="G325" s="417"/>
      <c r="H325" s="415">
        <v>376957.52</v>
      </c>
      <c r="I325" s="416"/>
      <c r="J325" s="415">
        <v>2986541.87</v>
      </c>
      <c r="K325" s="416"/>
    </row>
    <row r="326" spans="1:22" hidden="1" x14ac:dyDescent="0.2">
      <c r="A326" s="160" t="s">
        <v>182</v>
      </c>
      <c r="I326" s="160">
        <v>0</v>
      </c>
      <c r="J326" s="160">
        <v>0</v>
      </c>
    </row>
    <row r="327" spans="1:22" ht="15" x14ac:dyDescent="0.25">
      <c r="A327" s="417" t="s">
        <v>181</v>
      </c>
      <c r="B327" s="417"/>
      <c r="C327" s="417"/>
      <c r="D327" s="417"/>
      <c r="E327" s="417"/>
      <c r="F327" s="417"/>
      <c r="G327" s="417"/>
      <c r="H327" s="415">
        <v>-16757.310000000001</v>
      </c>
      <c r="I327" s="416"/>
      <c r="J327" s="415">
        <v>-86635.29</v>
      </c>
      <c r="K327" s="416"/>
    </row>
    <row r="329" spans="1:22" ht="16.5" x14ac:dyDescent="0.25">
      <c r="A329" s="413" t="s">
        <v>2664</v>
      </c>
      <c r="B329" s="413"/>
      <c r="C329" s="413"/>
      <c r="D329" s="413"/>
      <c r="E329" s="413"/>
      <c r="F329" s="413"/>
      <c r="G329" s="413"/>
      <c r="H329" s="413"/>
      <c r="I329" s="413"/>
      <c r="J329" s="413"/>
      <c r="K329" s="413"/>
    </row>
    <row r="331" spans="1:22" ht="16.5" x14ac:dyDescent="0.25">
      <c r="A331" s="413" t="s">
        <v>2665</v>
      </c>
      <c r="B331" s="413"/>
      <c r="C331" s="413"/>
      <c r="D331" s="413"/>
      <c r="E331" s="413"/>
      <c r="F331" s="413"/>
      <c r="G331" s="413"/>
      <c r="H331" s="413"/>
      <c r="I331" s="413"/>
      <c r="J331" s="413"/>
      <c r="K331" s="413"/>
    </row>
    <row r="332" spans="1:22" ht="57" x14ac:dyDescent="0.2">
      <c r="A332" s="179" t="s">
        <v>1722</v>
      </c>
      <c r="B332" s="178" t="s">
        <v>2666</v>
      </c>
      <c r="C332" s="178" t="s">
        <v>1043</v>
      </c>
      <c r="D332" s="177" t="s">
        <v>2667</v>
      </c>
      <c r="E332" s="174">
        <v>1</v>
      </c>
      <c r="F332" s="176"/>
      <c r="G332" s="175"/>
      <c r="H332" s="174"/>
      <c r="I332" s="173"/>
      <c r="J332" s="174"/>
      <c r="K332" s="173"/>
      <c r="Q332" s="160">
        <f>[8]Source!X282</f>
        <v>640.75</v>
      </c>
      <c r="R332" s="160">
        <f>[8]Source!X283</f>
        <v>11969.21</v>
      </c>
      <c r="S332" s="160">
        <f>[8]Source!Y282</f>
        <v>431.05</v>
      </c>
      <c r="T332" s="160">
        <f>[8]Source!Y283</f>
        <v>5576.57</v>
      </c>
      <c r="U332" s="160">
        <f>ROUND((175/100)*ROUND([8]Source!R282, 2), 2)</f>
        <v>19.2</v>
      </c>
      <c r="V332" s="160">
        <f>ROUND((157/100)*ROUND([8]Source!R283, 2), 2)</f>
        <v>402.16</v>
      </c>
    </row>
    <row r="333" spans="1:22" ht="14.25" x14ac:dyDescent="0.2">
      <c r="A333" s="179"/>
      <c r="B333" s="178"/>
      <c r="C333" s="178" t="s">
        <v>197</v>
      </c>
      <c r="D333" s="177"/>
      <c r="E333" s="174"/>
      <c r="F333" s="176">
        <v>482.4</v>
      </c>
      <c r="G333" s="175" t="s">
        <v>2668</v>
      </c>
      <c r="H333" s="174">
        <v>1</v>
      </c>
      <c r="I333" s="173">
        <v>582.5</v>
      </c>
      <c r="J333" s="174">
        <v>23.35</v>
      </c>
      <c r="K333" s="173">
        <v>13601.38</v>
      </c>
    </row>
    <row r="334" spans="1:22" ht="14.25" x14ac:dyDescent="0.2">
      <c r="A334" s="179"/>
      <c r="B334" s="178"/>
      <c r="C334" s="178" t="s">
        <v>184</v>
      </c>
      <c r="D334" s="177"/>
      <c r="E334" s="174"/>
      <c r="F334" s="176">
        <v>70.25</v>
      </c>
      <c r="G334" s="175" t="s">
        <v>2669</v>
      </c>
      <c r="H334" s="174">
        <v>1</v>
      </c>
      <c r="I334" s="173">
        <v>92.2</v>
      </c>
      <c r="J334" s="174">
        <v>7.98</v>
      </c>
      <c r="K334" s="173">
        <v>735.76</v>
      </c>
    </row>
    <row r="335" spans="1:22" ht="14.25" x14ac:dyDescent="0.2">
      <c r="A335" s="179"/>
      <c r="B335" s="178"/>
      <c r="C335" s="178" t="s">
        <v>189</v>
      </c>
      <c r="D335" s="177"/>
      <c r="E335" s="174"/>
      <c r="F335" s="176">
        <v>8.36</v>
      </c>
      <c r="G335" s="175" t="s">
        <v>2669</v>
      </c>
      <c r="H335" s="174">
        <v>1</v>
      </c>
      <c r="I335" s="180">
        <v>10.97</v>
      </c>
      <c r="J335" s="174">
        <v>23.35</v>
      </c>
      <c r="K335" s="180">
        <v>256.14999999999998</v>
      </c>
    </row>
    <row r="336" spans="1:22" ht="14.25" x14ac:dyDescent="0.2">
      <c r="A336" s="179"/>
      <c r="B336" s="178"/>
      <c r="C336" s="178" t="s">
        <v>205</v>
      </c>
      <c r="D336" s="177"/>
      <c r="E336" s="174"/>
      <c r="F336" s="176">
        <v>223.58</v>
      </c>
      <c r="G336" s="175" t="s">
        <v>195</v>
      </c>
      <c r="H336" s="174">
        <v>1</v>
      </c>
      <c r="I336" s="173">
        <v>223.58</v>
      </c>
      <c r="J336" s="174">
        <v>4.9800000000000004</v>
      </c>
      <c r="K336" s="173">
        <v>1113.43</v>
      </c>
    </row>
    <row r="337" spans="1:22" ht="81" x14ac:dyDescent="0.2">
      <c r="A337" s="228" t="s">
        <v>1724</v>
      </c>
      <c r="B337" s="227" t="s">
        <v>2670</v>
      </c>
      <c r="C337" s="227" t="s">
        <v>1080</v>
      </c>
      <c r="D337" s="226" t="s">
        <v>1913</v>
      </c>
      <c r="E337" s="223">
        <v>1</v>
      </c>
      <c r="F337" s="225">
        <v>30709.91</v>
      </c>
      <c r="G337" s="224" t="s">
        <v>195</v>
      </c>
      <c r="H337" s="223">
        <v>1</v>
      </c>
      <c r="I337" s="222">
        <v>30709.91</v>
      </c>
      <c r="J337" s="223">
        <v>4.4000000000000004</v>
      </c>
      <c r="K337" s="222">
        <v>135123.6</v>
      </c>
      <c r="Q337" s="160">
        <f>[8]Source!X284</f>
        <v>0</v>
      </c>
      <c r="R337" s="160">
        <f>[8]Source!X285</f>
        <v>0</v>
      </c>
      <c r="S337" s="160">
        <f>[8]Source!Y284</f>
        <v>0</v>
      </c>
      <c r="T337" s="160">
        <f>[8]Source!Y285</f>
        <v>0</v>
      </c>
      <c r="U337" s="160">
        <f>ROUND((175/100)*ROUND([8]Source!R284, 2), 2)</f>
        <v>0</v>
      </c>
      <c r="V337" s="160">
        <f>ROUND((157/100)*ROUND([8]Source!R285, 2), 2)</f>
        <v>0</v>
      </c>
    </row>
    <row r="338" spans="1:22" ht="14.25" x14ac:dyDescent="0.2">
      <c r="A338" s="179"/>
      <c r="B338" s="178"/>
      <c r="C338" s="178" t="s">
        <v>194</v>
      </c>
      <c r="D338" s="177" t="s">
        <v>187</v>
      </c>
      <c r="E338" s="174">
        <v>110</v>
      </c>
      <c r="F338" s="176"/>
      <c r="G338" s="175"/>
      <c r="H338" s="174"/>
      <c r="I338" s="173">
        <v>640.75</v>
      </c>
      <c r="J338" s="174">
        <v>88</v>
      </c>
      <c r="K338" s="173">
        <v>11969.21</v>
      </c>
    </row>
    <row r="339" spans="1:22" ht="14.25" x14ac:dyDescent="0.2">
      <c r="A339" s="179"/>
      <c r="B339" s="178"/>
      <c r="C339" s="178" t="s">
        <v>193</v>
      </c>
      <c r="D339" s="177" t="s">
        <v>187</v>
      </c>
      <c r="E339" s="174">
        <v>74</v>
      </c>
      <c r="F339" s="176"/>
      <c r="G339" s="175"/>
      <c r="H339" s="174"/>
      <c r="I339" s="173">
        <v>431.05</v>
      </c>
      <c r="J339" s="174">
        <v>41</v>
      </c>
      <c r="K339" s="173">
        <v>5576.57</v>
      </c>
    </row>
    <row r="340" spans="1:22" ht="14.25" x14ac:dyDescent="0.2">
      <c r="A340" s="179"/>
      <c r="B340" s="178"/>
      <c r="C340" s="178" t="s">
        <v>188</v>
      </c>
      <c r="D340" s="177" t="s">
        <v>187</v>
      </c>
      <c r="E340" s="174">
        <v>175</v>
      </c>
      <c r="F340" s="176"/>
      <c r="G340" s="175"/>
      <c r="H340" s="174"/>
      <c r="I340" s="173">
        <v>19.2</v>
      </c>
      <c r="J340" s="174">
        <v>157</v>
      </c>
      <c r="K340" s="173">
        <v>402.16</v>
      </c>
    </row>
    <row r="341" spans="1:22" ht="14.25" x14ac:dyDescent="0.2">
      <c r="A341" s="242"/>
      <c r="B341" s="241"/>
      <c r="C341" s="241" t="s">
        <v>192</v>
      </c>
      <c r="D341" s="240" t="s">
        <v>191</v>
      </c>
      <c r="E341" s="238">
        <v>40.1</v>
      </c>
      <c r="F341" s="253"/>
      <c r="G341" s="239" t="s">
        <v>2668</v>
      </c>
      <c r="H341" s="238">
        <v>1</v>
      </c>
      <c r="I341" s="237">
        <v>48.42</v>
      </c>
      <c r="J341" s="238"/>
      <c r="K341" s="237"/>
    </row>
    <row r="342" spans="1:22" ht="15" x14ac:dyDescent="0.25">
      <c r="A342" s="235"/>
      <c r="B342" s="235"/>
      <c r="C342" s="236" t="s">
        <v>183</v>
      </c>
      <c r="D342" s="235"/>
      <c r="E342" s="235"/>
      <c r="F342" s="235"/>
      <c r="G342" s="235"/>
      <c r="H342" s="436">
        <v>32699.19</v>
      </c>
      <c r="I342" s="436"/>
      <c r="J342" s="436">
        <v>168522.11</v>
      </c>
      <c r="K342" s="436"/>
      <c r="O342" s="163">
        <f>I333+I334+I336+I338+I339+I340+SUM(I337:I337)</f>
        <v>32699.19</v>
      </c>
      <c r="P342" s="163">
        <f>K333+K334+K336+K338+K339+K340+SUM(K337:K337)</f>
        <v>168522.11</v>
      </c>
    </row>
    <row r="344" spans="1:22" ht="57" x14ac:dyDescent="0.2">
      <c r="A344" s="179" t="s">
        <v>1729</v>
      </c>
      <c r="B344" s="178" t="s">
        <v>2666</v>
      </c>
      <c r="C344" s="178" t="s">
        <v>1043</v>
      </c>
      <c r="D344" s="177" t="s">
        <v>2667</v>
      </c>
      <c r="E344" s="174">
        <v>1</v>
      </c>
      <c r="F344" s="176"/>
      <c r="G344" s="175"/>
      <c r="H344" s="174"/>
      <c r="I344" s="173"/>
      <c r="J344" s="174"/>
      <c r="K344" s="173"/>
      <c r="Q344" s="160">
        <f>[8]Source!X286</f>
        <v>640.75</v>
      </c>
      <c r="R344" s="160">
        <f>[8]Source!X287</f>
        <v>11969.21</v>
      </c>
      <c r="S344" s="160">
        <f>[8]Source!Y286</f>
        <v>431.05</v>
      </c>
      <c r="T344" s="160">
        <f>[8]Source!Y287</f>
        <v>5576.57</v>
      </c>
      <c r="U344" s="160">
        <f>ROUND((175/100)*ROUND([8]Source!R286, 2), 2)</f>
        <v>19.2</v>
      </c>
      <c r="V344" s="160">
        <f>ROUND((157/100)*ROUND([8]Source!R287, 2), 2)</f>
        <v>402.16</v>
      </c>
    </row>
    <row r="345" spans="1:22" ht="14.25" x14ac:dyDescent="0.2">
      <c r="A345" s="179"/>
      <c r="B345" s="178"/>
      <c r="C345" s="178" t="s">
        <v>197</v>
      </c>
      <c r="D345" s="177"/>
      <c r="E345" s="174"/>
      <c r="F345" s="176">
        <v>482.4</v>
      </c>
      <c r="G345" s="175" t="s">
        <v>2668</v>
      </c>
      <c r="H345" s="174">
        <v>1</v>
      </c>
      <c r="I345" s="173">
        <v>582.5</v>
      </c>
      <c r="J345" s="174">
        <v>23.35</v>
      </c>
      <c r="K345" s="173">
        <v>13601.38</v>
      </c>
    </row>
    <row r="346" spans="1:22" ht="14.25" x14ac:dyDescent="0.2">
      <c r="A346" s="179"/>
      <c r="B346" s="178"/>
      <c r="C346" s="178" t="s">
        <v>184</v>
      </c>
      <c r="D346" s="177"/>
      <c r="E346" s="174"/>
      <c r="F346" s="176">
        <v>70.25</v>
      </c>
      <c r="G346" s="175" t="s">
        <v>2669</v>
      </c>
      <c r="H346" s="174">
        <v>1</v>
      </c>
      <c r="I346" s="173">
        <v>92.2</v>
      </c>
      <c r="J346" s="174">
        <v>7.98</v>
      </c>
      <c r="K346" s="173">
        <v>735.76</v>
      </c>
    </row>
    <row r="347" spans="1:22" ht="14.25" x14ac:dyDescent="0.2">
      <c r="A347" s="179"/>
      <c r="B347" s="178"/>
      <c r="C347" s="178" t="s">
        <v>189</v>
      </c>
      <c r="D347" s="177"/>
      <c r="E347" s="174"/>
      <c r="F347" s="176">
        <v>8.36</v>
      </c>
      <c r="G347" s="175" t="s">
        <v>2669</v>
      </c>
      <c r="H347" s="174">
        <v>1</v>
      </c>
      <c r="I347" s="180">
        <v>10.97</v>
      </c>
      <c r="J347" s="174">
        <v>23.35</v>
      </c>
      <c r="K347" s="180">
        <v>256.14999999999998</v>
      </c>
    </row>
    <row r="348" spans="1:22" ht="14.25" x14ac:dyDescent="0.2">
      <c r="A348" s="179"/>
      <c r="B348" s="178"/>
      <c r="C348" s="178" t="s">
        <v>205</v>
      </c>
      <c r="D348" s="177"/>
      <c r="E348" s="174"/>
      <c r="F348" s="176">
        <v>223.58</v>
      </c>
      <c r="G348" s="175" t="s">
        <v>195</v>
      </c>
      <c r="H348" s="174">
        <v>1</v>
      </c>
      <c r="I348" s="173">
        <v>223.58</v>
      </c>
      <c r="J348" s="174">
        <v>4.9800000000000004</v>
      </c>
      <c r="K348" s="173">
        <v>1113.43</v>
      </c>
    </row>
    <row r="349" spans="1:22" ht="81" x14ac:dyDescent="0.2">
      <c r="A349" s="228" t="s">
        <v>1730</v>
      </c>
      <c r="B349" s="227" t="s">
        <v>2670</v>
      </c>
      <c r="C349" s="227" t="s">
        <v>1079</v>
      </c>
      <c r="D349" s="226" t="s">
        <v>1913</v>
      </c>
      <c r="E349" s="223">
        <v>1</v>
      </c>
      <c r="F349" s="225">
        <v>235916.76</v>
      </c>
      <c r="G349" s="224" t="s">
        <v>195</v>
      </c>
      <c r="H349" s="223">
        <v>1</v>
      </c>
      <c r="I349" s="222">
        <v>235916.76</v>
      </c>
      <c r="J349" s="223">
        <v>4.4000000000000004</v>
      </c>
      <c r="K349" s="222">
        <v>1038033.74</v>
      </c>
      <c r="Q349" s="160">
        <f>[8]Source!X288</f>
        <v>0</v>
      </c>
      <c r="R349" s="160">
        <f>[8]Source!X289</f>
        <v>0</v>
      </c>
      <c r="S349" s="160">
        <f>[8]Source!Y288</f>
        <v>0</v>
      </c>
      <c r="T349" s="160">
        <f>[8]Source!Y289</f>
        <v>0</v>
      </c>
      <c r="U349" s="160">
        <f>ROUND((175/100)*ROUND([8]Source!R288, 2), 2)</f>
        <v>0</v>
      </c>
      <c r="V349" s="160">
        <f>ROUND((157/100)*ROUND([8]Source!R289, 2), 2)</f>
        <v>0</v>
      </c>
    </row>
    <row r="350" spans="1:22" ht="14.25" x14ac:dyDescent="0.2">
      <c r="A350" s="179"/>
      <c r="B350" s="178"/>
      <c r="C350" s="178" t="s">
        <v>194</v>
      </c>
      <c r="D350" s="177" t="s">
        <v>187</v>
      </c>
      <c r="E350" s="174">
        <v>110</v>
      </c>
      <c r="F350" s="176"/>
      <c r="G350" s="175"/>
      <c r="H350" s="174"/>
      <c r="I350" s="173">
        <v>640.75</v>
      </c>
      <c r="J350" s="174">
        <v>88</v>
      </c>
      <c r="K350" s="173">
        <v>11969.21</v>
      </c>
    </row>
    <row r="351" spans="1:22" ht="14.25" x14ac:dyDescent="0.2">
      <c r="A351" s="179"/>
      <c r="B351" s="178"/>
      <c r="C351" s="178" t="s">
        <v>193</v>
      </c>
      <c r="D351" s="177" t="s">
        <v>187</v>
      </c>
      <c r="E351" s="174">
        <v>74</v>
      </c>
      <c r="F351" s="176"/>
      <c r="G351" s="175"/>
      <c r="H351" s="174"/>
      <c r="I351" s="173">
        <v>431.05</v>
      </c>
      <c r="J351" s="174">
        <v>41</v>
      </c>
      <c r="K351" s="173">
        <v>5576.57</v>
      </c>
    </row>
    <row r="352" spans="1:22" ht="14.25" x14ac:dyDescent="0.2">
      <c r="A352" s="179"/>
      <c r="B352" s="178"/>
      <c r="C352" s="178" t="s">
        <v>188</v>
      </c>
      <c r="D352" s="177" t="s">
        <v>187</v>
      </c>
      <c r="E352" s="174">
        <v>175</v>
      </c>
      <c r="F352" s="176"/>
      <c r="G352" s="175"/>
      <c r="H352" s="174"/>
      <c r="I352" s="173">
        <v>19.2</v>
      </c>
      <c r="J352" s="174">
        <v>157</v>
      </c>
      <c r="K352" s="173">
        <v>402.16</v>
      </c>
    </row>
    <row r="353" spans="1:22" ht="14.25" x14ac:dyDescent="0.2">
      <c r="A353" s="242"/>
      <c r="B353" s="241"/>
      <c r="C353" s="241" t="s">
        <v>192</v>
      </c>
      <c r="D353" s="240" t="s">
        <v>191</v>
      </c>
      <c r="E353" s="238">
        <v>40.1</v>
      </c>
      <c r="F353" s="253"/>
      <c r="G353" s="239" t="s">
        <v>2668</v>
      </c>
      <c r="H353" s="238">
        <v>1</v>
      </c>
      <c r="I353" s="237">
        <v>48.42</v>
      </c>
      <c r="J353" s="238"/>
      <c r="K353" s="237"/>
    </row>
    <row r="354" spans="1:22" ht="15" x14ac:dyDescent="0.25">
      <c r="A354" s="235"/>
      <c r="B354" s="235"/>
      <c r="C354" s="236" t="s">
        <v>183</v>
      </c>
      <c r="D354" s="235"/>
      <c r="E354" s="235"/>
      <c r="F354" s="235"/>
      <c r="G354" s="235"/>
      <c r="H354" s="436">
        <v>237906.04</v>
      </c>
      <c r="I354" s="436"/>
      <c r="J354" s="436">
        <v>1071432.25</v>
      </c>
      <c r="K354" s="436"/>
      <c r="O354" s="163">
        <f>I345+I346+I348+I350+I351+I352+SUM(I349:I349)</f>
        <v>237906.04</v>
      </c>
      <c r="P354" s="163">
        <f>K345+K346+K348+K350+K351+K352+SUM(K349:K349)</f>
        <v>1071432.25</v>
      </c>
    </row>
    <row r="356" spans="1:22" ht="57" x14ac:dyDescent="0.2">
      <c r="A356" s="179" t="s">
        <v>1737</v>
      </c>
      <c r="B356" s="178" t="s">
        <v>2666</v>
      </c>
      <c r="C356" s="178" t="s">
        <v>1043</v>
      </c>
      <c r="D356" s="177" t="s">
        <v>2667</v>
      </c>
      <c r="E356" s="174">
        <v>1</v>
      </c>
      <c r="F356" s="176"/>
      <c r="G356" s="175"/>
      <c r="H356" s="174"/>
      <c r="I356" s="173"/>
      <c r="J356" s="174"/>
      <c r="K356" s="173"/>
      <c r="Q356" s="160">
        <f>[8]Source!X290</f>
        <v>640.75</v>
      </c>
      <c r="R356" s="160">
        <f>[8]Source!X291</f>
        <v>11969.21</v>
      </c>
      <c r="S356" s="160">
        <f>[8]Source!Y290</f>
        <v>431.05</v>
      </c>
      <c r="T356" s="160">
        <f>[8]Source!Y291</f>
        <v>5576.57</v>
      </c>
      <c r="U356" s="160">
        <f>ROUND((175/100)*ROUND([8]Source!R290, 2), 2)</f>
        <v>19.2</v>
      </c>
      <c r="V356" s="160">
        <f>ROUND((157/100)*ROUND([8]Source!R291, 2), 2)</f>
        <v>402.16</v>
      </c>
    </row>
    <row r="357" spans="1:22" ht="14.25" x14ac:dyDescent="0.2">
      <c r="A357" s="179"/>
      <c r="B357" s="178"/>
      <c r="C357" s="178" t="s">
        <v>197</v>
      </c>
      <c r="D357" s="177"/>
      <c r="E357" s="174"/>
      <c r="F357" s="176">
        <v>482.4</v>
      </c>
      <c r="G357" s="175" t="s">
        <v>2668</v>
      </c>
      <c r="H357" s="174">
        <v>1</v>
      </c>
      <c r="I357" s="173">
        <v>582.5</v>
      </c>
      <c r="J357" s="174">
        <v>23.35</v>
      </c>
      <c r="K357" s="173">
        <v>13601.38</v>
      </c>
    </row>
    <row r="358" spans="1:22" ht="14.25" x14ac:dyDescent="0.2">
      <c r="A358" s="179"/>
      <c r="B358" s="178"/>
      <c r="C358" s="178" t="s">
        <v>184</v>
      </c>
      <c r="D358" s="177"/>
      <c r="E358" s="174"/>
      <c r="F358" s="176">
        <v>70.25</v>
      </c>
      <c r="G358" s="175" t="s">
        <v>2669</v>
      </c>
      <c r="H358" s="174">
        <v>1</v>
      </c>
      <c r="I358" s="173">
        <v>92.2</v>
      </c>
      <c r="J358" s="174">
        <v>7.98</v>
      </c>
      <c r="K358" s="173">
        <v>735.76</v>
      </c>
    </row>
    <row r="359" spans="1:22" ht="14.25" x14ac:dyDescent="0.2">
      <c r="A359" s="179"/>
      <c r="B359" s="178"/>
      <c r="C359" s="178" t="s">
        <v>189</v>
      </c>
      <c r="D359" s="177"/>
      <c r="E359" s="174"/>
      <c r="F359" s="176">
        <v>8.36</v>
      </c>
      <c r="G359" s="175" t="s">
        <v>2669</v>
      </c>
      <c r="H359" s="174">
        <v>1</v>
      </c>
      <c r="I359" s="180">
        <v>10.97</v>
      </c>
      <c r="J359" s="174">
        <v>23.35</v>
      </c>
      <c r="K359" s="180">
        <v>256.14999999999998</v>
      </c>
    </row>
    <row r="360" spans="1:22" ht="14.25" x14ac:dyDescent="0.2">
      <c r="A360" s="179"/>
      <c r="B360" s="178"/>
      <c r="C360" s="178" t="s">
        <v>205</v>
      </c>
      <c r="D360" s="177"/>
      <c r="E360" s="174"/>
      <c r="F360" s="176">
        <v>223.58</v>
      </c>
      <c r="G360" s="175" t="s">
        <v>195</v>
      </c>
      <c r="H360" s="174">
        <v>1</v>
      </c>
      <c r="I360" s="173">
        <v>223.58</v>
      </c>
      <c r="J360" s="174">
        <v>4.9800000000000004</v>
      </c>
      <c r="K360" s="173">
        <v>1113.43</v>
      </c>
    </row>
    <row r="361" spans="1:22" ht="81" x14ac:dyDescent="0.2">
      <c r="A361" s="228" t="s">
        <v>2181</v>
      </c>
      <c r="B361" s="227" t="s">
        <v>2670</v>
      </c>
      <c r="C361" s="227" t="s">
        <v>1078</v>
      </c>
      <c r="D361" s="226" t="s">
        <v>1913</v>
      </c>
      <c r="E361" s="223">
        <v>1</v>
      </c>
      <c r="F361" s="225">
        <v>148094.37</v>
      </c>
      <c r="G361" s="224" t="s">
        <v>195</v>
      </c>
      <c r="H361" s="223">
        <v>1</v>
      </c>
      <c r="I361" s="222">
        <v>148094.37</v>
      </c>
      <c r="J361" s="223">
        <v>4.4000000000000004</v>
      </c>
      <c r="K361" s="222">
        <v>651615.23</v>
      </c>
      <c r="Q361" s="160">
        <f>[8]Source!X292</f>
        <v>0</v>
      </c>
      <c r="R361" s="160">
        <f>[8]Source!X293</f>
        <v>0</v>
      </c>
      <c r="S361" s="160">
        <f>[8]Source!Y292</f>
        <v>0</v>
      </c>
      <c r="T361" s="160">
        <f>[8]Source!Y293</f>
        <v>0</v>
      </c>
      <c r="U361" s="160">
        <f>ROUND((175/100)*ROUND([8]Source!R292, 2), 2)</f>
        <v>0</v>
      </c>
      <c r="V361" s="160">
        <f>ROUND((157/100)*ROUND([8]Source!R293, 2), 2)</f>
        <v>0</v>
      </c>
    </row>
    <row r="362" spans="1:22" ht="14.25" x14ac:dyDescent="0.2">
      <c r="A362" s="179"/>
      <c r="B362" s="178"/>
      <c r="C362" s="178" t="s">
        <v>194</v>
      </c>
      <c r="D362" s="177" t="s">
        <v>187</v>
      </c>
      <c r="E362" s="174">
        <v>110</v>
      </c>
      <c r="F362" s="176"/>
      <c r="G362" s="175"/>
      <c r="H362" s="174"/>
      <c r="I362" s="173">
        <v>640.75</v>
      </c>
      <c r="J362" s="174">
        <v>88</v>
      </c>
      <c r="K362" s="173">
        <v>11969.21</v>
      </c>
    </row>
    <row r="363" spans="1:22" ht="14.25" x14ac:dyDescent="0.2">
      <c r="A363" s="179"/>
      <c r="B363" s="178"/>
      <c r="C363" s="178" t="s">
        <v>193</v>
      </c>
      <c r="D363" s="177" t="s">
        <v>187</v>
      </c>
      <c r="E363" s="174">
        <v>74</v>
      </c>
      <c r="F363" s="176"/>
      <c r="G363" s="175"/>
      <c r="H363" s="174"/>
      <c r="I363" s="173">
        <v>431.05</v>
      </c>
      <c r="J363" s="174">
        <v>41</v>
      </c>
      <c r="K363" s="173">
        <v>5576.57</v>
      </c>
    </row>
    <row r="364" spans="1:22" ht="14.25" x14ac:dyDescent="0.2">
      <c r="A364" s="179"/>
      <c r="B364" s="178"/>
      <c r="C364" s="178" t="s">
        <v>188</v>
      </c>
      <c r="D364" s="177" t="s">
        <v>187</v>
      </c>
      <c r="E364" s="174">
        <v>175</v>
      </c>
      <c r="F364" s="176"/>
      <c r="G364" s="175"/>
      <c r="H364" s="174"/>
      <c r="I364" s="173">
        <v>19.2</v>
      </c>
      <c r="J364" s="174">
        <v>157</v>
      </c>
      <c r="K364" s="173">
        <v>402.16</v>
      </c>
    </row>
    <row r="365" spans="1:22" ht="14.25" x14ac:dyDescent="0.2">
      <c r="A365" s="242"/>
      <c r="B365" s="241"/>
      <c r="C365" s="241" t="s">
        <v>192</v>
      </c>
      <c r="D365" s="240" t="s">
        <v>191</v>
      </c>
      <c r="E365" s="238">
        <v>40.1</v>
      </c>
      <c r="F365" s="253"/>
      <c r="G365" s="239" t="s">
        <v>2668</v>
      </c>
      <c r="H365" s="238">
        <v>1</v>
      </c>
      <c r="I365" s="237">
        <v>48.42</v>
      </c>
      <c r="J365" s="238"/>
      <c r="K365" s="237"/>
    </row>
    <row r="366" spans="1:22" ht="15" x14ac:dyDescent="0.25">
      <c r="A366" s="235"/>
      <c r="B366" s="235"/>
      <c r="C366" s="236" t="s">
        <v>183</v>
      </c>
      <c r="D366" s="235"/>
      <c r="E366" s="235"/>
      <c r="F366" s="235"/>
      <c r="G366" s="235"/>
      <c r="H366" s="436">
        <v>150083.65</v>
      </c>
      <c r="I366" s="436"/>
      <c r="J366" s="436">
        <v>685013.74</v>
      </c>
      <c r="K366" s="436"/>
      <c r="O366" s="163">
        <f>I357+I358+I360+I362+I363+I364+SUM(I361:I361)</f>
        <v>150083.65</v>
      </c>
      <c r="P366" s="163">
        <f>K357+K358+K360+K362+K363+K364+SUM(K361:K361)</f>
        <v>685013.74</v>
      </c>
    </row>
    <row r="368" spans="1:22" ht="57" x14ac:dyDescent="0.2">
      <c r="A368" s="179" t="s">
        <v>1740</v>
      </c>
      <c r="B368" s="178" t="s">
        <v>2666</v>
      </c>
      <c r="C368" s="178" t="s">
        <v>1043</v>
      </c>
      <c r="D368" s="177" t="s">
        <v>2667</v>
      </c>
      <c r="E368" s="174">
        <v>1</v>
      </c>
      <c r="F368" s="176"/>
      <c r="G368" s="175"/>
      <c r="H368" s="174"/>
      <c r="I368" s="173"/>
      <c r="J368" s="174"/>
      <c r="K368" s="173"/>
      <c r="Q368" s="160">
        <f>[8]Source!X294</f>
        <v>640.75</v>
      </c>
      <c r="R368" s="160">
        <f>[8]Source!X295</f>
        <v>11969.21</v>
      </c>
      <c r="S368" s="160">
        <f>[8]Source!Y294</f>
        <v>431.05</v>
      </c>
      <c r="T368" s="160">
        <f>[8]Source!Y295</f>
        <v>5576.57</v>
      </c>
      <c r="U368" s="160">
        <f>ROUND((175/100)*ROUND([8]Source!R294, 2), 2)</f>
        <v>19.2</v>
      </c>
      <c r="V368" s="160">
        <f>ROUND((157/100)*ROUND([8]Source!R295, 2), 2)</f>
        <v>402.16</v>
      </c>
    </row>
    <row r="369" spans="1:22" ht="14.25" x14ac:dyDescent="0.2">
      <c r="A369" s="179"/>
      <c r="B369" s="178"/>
      <c r="C369" s="178" t="s">
        <v>197</v>
      </c>
      <c r="D369" s="177"/>
      <c r="E369" s="174"/>
      <c r="F369" s="176">
        <v>482.4</v>
      </c>
      <c r="G369" s="175" t="s">
        <v>2668</v>
      </c>
      <c r="H369" s="174">
        <v>1</v>
      </c>
      <c r="I369" s="173">
        <v>582.5</v>
      </c>
      <c r="J369" s="174">
        <v>23.35</v>
      </c>
      <c r="K369" s="173">
        <v>13601.38</v>
      </c>
    </row>
    <row r="370" spans="1:22" ht="14.25" x14ac:dyDescent="0.2">
      <c r="A370" s="179"/>
      <c r="B370" s="178"/>
      <c r="C370" s="178" t="s">
        <v>184</v>
      </c>
      <c r="D370" s="177"/>
      <c r="E370" s="174"/>
      <c r="F370" s="176">
        <v>70.25</v>
      </c>
      <c r="G370" s="175" t="s">
        <v>2669</v>
      </c>
      <c r="H370" s="174">
        <v>1</v>
      </c>
      <c r="I370" s="173">
        <v>92.2</v>
      </c>
      <c r="J370" s="174">
        <v>7.98</v>
      </c>
      <c r="K370" s="173">
        <v>735.76</v>
      </c>
    </row>
    <row r="371" spans="1:22" ht="14.25" x14ac:dyDescent="0.2">
      <c r="A371" s="179"/>
      <c r="B371" s="178"/>
      <c r="C371" s="178" t="s">
        <v>189</v>
      </c>
      <c r="D371" s="177"/>
      <c r="E371" s="174"/>
      <c r="F371" s="176">
        <v>8.36</v>
      </c>
      <c r="G371" s="175" t="s">
        <v>2669</v>
      </c>
      <c r="H371" s="174">
        <v>1</v>
      </c>
      <c r="I371" s="180">
        <v>10.97</v>
      </c>
      <c r="J371" s="174">
        <v>23.35</v>
      </c>
      <c r="K371" s="180">
        <v>256.14999999999998</v>
      </c>
    </row>
    <row r="372" spans="1:22" ht="14.25" x14ac:dyDescent="0.2">
      <c r="A372" s="179"/>
      <c r="B372" s="178"/>
      <c r="C372" s="178" t="s">
        <v>205</v>
      </c>
      <c r="D372" s="177"/>
      <c r="E372" s="174"/>
      <c r="F372" s="176">
        <v>223.58</v>
      </c>
      <c r="G372" s="175" t="s">
        <v>195</v>
      </c>
      <c r="H372" s="174">
        <v>1</v>
      </c>
      <c r="I372" s="173">
        <v>223.58</v>
      </c>
      <c r="J372" s="174">
        <v>4.9800000000000004</v>
      </c>
      <c r="K372" s="173">
        <v>1113.43</v>
      </c>
    </row>
    <row r="373" spans="1:22" ht="81" x14ac:dyDescent="0.2">
      <c r="A373" s="228" t="s">
        <v>1742</v>
      </c>
      <c r="B373" s="227" t="s">
        <v>2670</v>
      </c>
      <c r="C373" s="227" t="s">
        <v>1077</v>
      </c>
      <c r="D373" s="226" t="s">
        <v>1913</v>
      </c>
      <c r="E373" s="223">
        <v>1</v>
      </c>
      <c r="F373" s="225">
        <v>67468.37</v>
      </c>
      <c r="G373" s="224" t="s">
        <v>195</v>
      </c>
      <c r="H373" s="223">
        <v>1</v>
      </c>
      <c r="I373" s="222">
        <v>67468.37</v>
      </c>
      <c r="J373" s="223">
        <v>4.4000000000000004</v>
      </c>
      <c r="K373" s="222">
        <v>296860.83</v>
      </c>
      <c r="Q373" s="160">
        <f>[8]Source!X296</f>
        <v>0</v>
      </c>
      <c r="R373" s="160">
        <f>[8]Source!X297</f>
        <v>0</v>
      </c>
      <c r="S373" s="160">
        <f>[8]Source!Y296</f>
        <v>0</v>
      </c>
      <c r="T373" s="160">
        <f>[8]Source!Y297</f>
        <v>0</v>
      </c>
      <c r="U373" s="160">
        <f>ROUND((175/100)*ROUND([8]Source!R296, 2), 2)</f>
        <v>0</v>
      </c>
      <c r="V373" s="160">
        <f>ROUND((157/100)*ROUND([8]Source!R297, 2), 2)</f>
        <v>0</v>
      </c>
    </row>
    <row r="374" spans="1:22" ht="14.25" x14ac:dyDescent="0.2">
      <c r="A374" s="179"/>
      <c r="B374" s="178"/>
      <c r="C374" s="178" t="s">
        <v>194</v>
      </c>
      <c r="D374" s="177" t="s">
        <v>187</v>
      </c>
      <c r="E374" s="174">
        <v>110</v>
      </c>
      <c r="F374" s="176"/>
      <c r="G374" s="175"/>
      <c r="H374" s="174"/>
      <c r="I374" s="173">
        <v>640.75</v>
      </c>
      <c r="J374" s="174">
        <v>88</v>
      </c>
      <c r="K374" s="173">
        <v>11969.21</v>
      </c>
    </row>
    <row r="375" spans="1:22" ht="14.25" x14ac:dyDescent="0.2">
      <c r="A375" s="179"/>
      <c r="B375" s="178"/>
      <c r="C375" s="178" t="s">
        <v>193</v>
      </c>
      <c r="D375" s="177" t="s">
        <v>187</v>
      </c>
      <c r="E375" s="174">
        <v>74</v>
      </c>
      <c r="F375" s="176"/>
      <c r="G375" s="175"/>
      <c r="H375" s="174"/>
      <c r="I375" s="173">
        <v>431.05</v>
      </c>
      <c r="J375" s="174">
        <v>41</v>
      </c>
      <c r="K375" s="173">
        <v>5576.57</v>
      </c>
    </row>
    <row r="376" spans="1:22" ht="14.25" x14ac:dyDescent="0.2">
      <c r="A376" s="179"/>
      <c r="B376" s="178"/>
      <c r="C376" s="178" t="s">
        <v>188</v>
      </c>
      <c r="D376" s="177" t="s">
        <v>187</v>
      </c>
      <c r="E376" s="174">
        <v>175</v>
      </c>
      <c r="F376" s="176"/>
      <c r="G376" s="175"/>
      <c r="H376" s="174"/>
      <c r="I376" s="173">
        <v>19.2</v>
      </c>
      <c r="J376" s="174">
        <v>157</v>
      </c>
      <c r="K376" s="173">
        <v>402.16</v>
      </c>
    </row>
    <row r="377" spans="1:22" ht="14.25" x14ac:dyDescent="0.2">
      <c r="A377" s="242"/>
      <c r="B377" s="241"/>
      <c r="C377" s="241" t="s">
        <v>192</v>
      </c>
      <c r="D377" s="240" t="s">
        <v>191</v>
      </c>
      <c r="E377" s="238">
        <v>40.1</v>
      </c>
      <c r="F377" s="253"/>
      <c r="G377" s="239" t="s">
        <v>2668</v>
      </c>
      <c r="H377" s="238">
        <v>1</v>
      </c>
      <c r="I377" s="237">
        <v>48.42</v>
      </c>
      <c r="J377" s="238"/>
      <c r="K377" s="237"/>
    </row>
    <row r="378" spans="1:22" ht="15" x14ac:dyDescent="0.25">
      <c r="A378" s="235"/>
      <c r="B378" s="235"/>
      <c r="C378" s="236" t="s">
        <v>183</v>
      </c>
      <c r="D378" s="235"/>
      <c r="E378" s="235"/>
      <c r="F378" s="235"/>
      <c r="G378" s="235"/>
      <c r="H378" s="436">
        <v>69457.649999999994</v>
      </c>
      <c r="I378" s="436"/>
      <c r="J378" s="436">
        <v>330259.34000000003</v>
      </c>
      <c r="K378" s="436"/>
      <c r="O378" s="163">
        <f>I369+I370+I372+I374+I375+I376+SUM(I373:I373)</f>
        <v>69457.649999999994</v>
      </c>
      <c r="P378" s="163">
        <f>K369+K370+K372+K374+K375+K376+SUM(K373:K373)</f>
        <v>330259.34000000003</v>
      </c>
    </row>
    <row r="380" spans="1:22" ht="57" x14ac:dyDescent="0.2">
      <c r="A380" s="179" t="s">
        <v>1744</v>
      </c>
      <c r="B380" s="178" t="s">
        <v>2666</v>
      </c>
      <c r="C380" s="178" t="s">
        <v>1043</v>
      </c>
      <c r="D380" s="177" t="s">
        <v>2667</v>
      </c>
      <c r="E380" s="174">
        <v>1</v>
      </c>
      <c r="F380" s="176"/>
      <c r="G380" s="175"/>
      <c r="H380" s="174"/>
      <c r="I380" s="173"/>
      <c r="J380" s="174"/>
      <c r="K380" s="173"/>
      <c r="Q380" s="160">
        <f>[8]Source!X298</f>
        <v>640.75</v>
      </c>
      <c r="R380" s="160">
        <f>[8]Source!X299</f>
        <v>11969.21</v>
      </c>
      <c r="S380" s="160">
        <f>[8]Source!Y298</f>
        <v>431.05</v>
      </c>
      <c r="T380" s="160">
        <f>[8]Source!Y299</f>
        <v>5576.57</v>
      </c>
      <c r="U380" s="160">
        <f>ROUND((175/100)*ROUND([8]Source!R298, 2), 2)</f>
        <v>19.2</v>
      </c>
      <c r="V380" s="160">
        <f>ROUND((157/100)*ROUND([8]Source!R299, 2), 2)</f>
        <v>402.16</v>
      </c>
    </row>
    <row r="381" spans="1:22" ht="14.25" x14ac:dyDescent="0.2">
      <c r="A381" s="179"/>
      <c r="B381" s="178"/>
      <c r="C381" s="178" t="s">
        <v>197</v>
      </c>
      <c r="D381" s="177"/>
      <c r="E381" s="174"/>
      <c r="F381" s="176">
        <v>482.4</v>
      </c>
      <c r="G381" s="175" t="s">
        <v>2668</v>
      </c>
      <c r="H381" s="174">
        <v>1</v>
      </c>
      <c r="I381" s="173">
        <v>582.5</v>
      </c>
      <c r="J381" s="174">
        <v>23.35</v>
      </c>
      <c r="K381" s="173">
        <v>13601.38</v>
      </c>
    </row>
    <row r="382" spans="1:22" ht="14.25" x14ac:dyDescent="0.2">
      <c r="A382" s="179"/>
      <c r="B382" s="178"/>
      <c r="C382" s="178" t="s">
        <v>184</v>
      </c>
      <c r="D382" s="177"/>
      <c r="E382" s="174"/>
      <c r="F382" s="176">
        <v>70.25</v>
      </c>
      <c r="G382" s="175" t="s">
        <v>2669</v>
      </c>
      <c r="H382" s="174">
        <v>1</v>
      </c>
      <c r="I382" s="173">
        <v>92.2</v>
      </c>
      <c r="J382" s="174">
        <v>7.98</v>
      </c>
      <c r="K382" s="173">
        <v>735.76</v>
      </c>
    </row>
    <row r="383" spans="1:22" ht="14.25" x14ac:dyDescent="0.2">
      <c r="A383" s="179"/>
      <c r="B383" s="178"/>
      <c r="C383" s="178" t="s">
        <v>189</v>
      </c>
      <c r="D383" s="177"/>
      <c r="E383" s="174"/>
      <c r="F383" s="176">
        <v>8.36</v>
      </c>
      <c r="G383" s="175" t="s">
        <v>2669</v>
      </c>
      <c r="H383" s="174">
        <v>1</v>
      </c>
      <c r="I383" s="180">
        <v>10.97</v>
      </c>
      <c r="J383" s="174">
        <v>23.35</v>
      </c>
      <c r="K383" s="180">
        <v>256.14999999999998</v>
      </c>
    </row>
    <row r="384" spans="1:22" ht="14.25" x14ac:dyDescent="0.2">
      <c r="A384" s="179"/>
      <c r="B384" s="178"/>
      <c r="C384" s="178" t="s">
        <v>205</v>
      </c>
      <c r="D384" s="177"/>
      <c r="E384" s="174"/>
      <c r="F384" s="176">
        <v>223.58</v>
      </c>
      <c r="G384" s="175" t="s">
        <v>195</v>
      </c>
      <c r="H384" s="174">
        <v>1</v>
      </c>
      <c r="I384" s="173">
        <v>223.58</v>
      </c>
      <c r="J384" s="174">
        <v>4.9800000000000004</v>
      </c>
      <c r="K384" s="173">
        <v>1113.43</v>
      </c>
    </row>
    <row r="385" spans="1:22" ht="81" x14ac:dyDescent="0.2">
      <c r="A385" s="228" t="s">
        <v>1747</v>
      </c>
      <c r="B385" s="227" t="s">
        <v>2670</v>
      </c>
      <c r="C385" s="227" t="s">
        <v>1076</v>
      </c>
      <c r="D385" s="226" t="s">
        <v>1913</v>
      </c>
      <c r="E385" s="223">
        <v>1</v>
      </c>
      <c r="F385" s="225">
        <v>66428.88</v>
      </c>
      <c r="G385" s="224" t="s">
        <v>195</v>
      </c>
      <c r="H385" s="223">
        <v>1</v>
      </c>
      <c r="I385" s="222">
        <v>66428.88</v>
      </c>
      <c r="J385" s="223">
        <v>4.4000000000000004</v>
      </c>
      <c r="K385" s="222">
        <v>292287.07</v>
      </c>
      <c r="Q385" s="160">
        <f>[8]Source!X300</f>
        <v>0</v>
      </c>
      <c r="R385" s="160">
        <f>[8]Source!X301</f>
        <v>0</v>
      </c>
      <c r="S385" s="160">
        <f>[8]Source!Y300</f>
        <v>0</v>
      </c>
      <c r="T385" s="160">
        <f>[8]Source!Y301</f>
        <v>0</v>
      </c>
      <c r="U385" s="160">
        <f>ROUND((175/100)*ROUND([8]Source!R300, 2), 2)</f>
        <v>0</v>
      </c>
      <c r="V385" s="160">
        <f>ROUND((157/100)*ROUND([8]Source!R301, 2), 2)</f>
        <v>0</v>
      </c>
    </row>
    <row r="386" spans="1:22" ht="14.25" x14ac:dyDescent="0.2">
      <c r="A386" s="179"/>
      <c r="B386" s="178"/>
      <c r="C386" s="178" t="s">
        <v>194</v>
      </c>
      <c r="D386" s="177" t="s">
        <v>187</v>
      </c>
      <c r="E386" s="174">
        <v>110</v>
      </c>
      <c r="F386" s="176"/>
      <c r="G386" s="175"/>
      <c r="H386" s="174"/>
      <c r="I386" s="173">
        <v>640.75</v>
      </c>
      <c r="J386" s="174">
        <v>88</v>
      </c>
      <c r="K386" s="173">
        <v>11969.21</v>
      </c>
    </row>
    <row r="387" spans="1:22" ht="14.25" x14ac:dyDescent="0.2">
      <c r="A387" s="179"/>
      <c r="B387" s="178"/>
      <c r="C387" s="178" t="s">
        <v>193</v>
      </c>
      <c r="D387" s="177" t="s">
        <v>187</v>
      </c>
      <c r="E387" s="174">
        <v>74</v>
      </c>
      <c r="F387" s="176"/>
      <c r="G387" s="175"/>
      <c r="H387" s="174"/>
      <c r="I387" s="173">
        <v>431.05</v>
      </c>
      <c r="J387" s="174">
        <v>41</v>
      </c>
      <c r="K387" s="173">
        <v>5576.57</v>
      </c>
    </row>
    <row r="388" spans="1:22" ht="14.25" x14ac:dyDescent="0.2">
      <c r="A388" s="179"/>
      <c r="B388" s="178"/>
      <c r="C388" s="178" t="s">
        <v>188</v>
      </c>
      <c r="D388" s="177" t="s">
        <v>187</v>
      </c>
      <c r="E388" s="174">
        <v>175</v>
      </c>
      <c r="F388" s="176"/>
      <c r="G388" s="175"/>
      <c r="H388" s="174"/>
      <c r="I388" s="173">
        <v>19.2</v>
      </c>
      <c r="J388" s="174">
        <v>157</v>
      </c>
      <c r="K388" s="173">
        <v>402.16</v>
      </c>
    </row>
    <row r="389" spans="1:22" ht="14.25" x14ac:dyDescent="0.2">
      <c r="A389" s="242"/>
      <c r="B389" s="241"/>
      <c r="C389" s="241" t="s">
        <v>192</v>
      </c>
      <c r="D389" s="240" t="s">
        <v>191</v>
      </c>
      <c r="E389" s="238">
        <v>40.1</v>
      </c>
      <c r="F389" s="253"/>
      <c r="G389" s="239" t="s">
        <v>2668</v>
      </c>
      <c r="H389" s="238">
        <v>1</v>
      </c>
      <c r="I389" s="237">
        <v>48.42</v>
      </c>
      <c r="J389" s="238"/>
      <c r="K389" s="237"/>
    </row>
    <row r="390" spans="1:22" ht="15" x14ac:dyDescent="0.25">
      <c r="A390" s="235"/>
      <c r="B390" s="235"/>
      <c r="C390" s="236" t="s">
        <v>183</v>
      </c>
      <c r="D390" s="235"/>
      <c r="E390" s="235"/>
      <c r="F390" s="235"/>
      <c r="G390" s="235"/>
      <c r="H390" s="436">
        <v>68418.16</v>
      </c>
      <c r="I390" s="436"/>
      <c r="J390" s="436">
        <v>325685.58</v>
      </c>
      <c r="K390" s="436"/>
      <c r="O390" s="163">
        <f>I381+I382+I384+I386+I387+I388+SUM(I385:I385)</f>
        <v>68418.16</v>
      </c>
      <c r="P390" s="163">
        <f>K381+K382+K384+K386+K387+K388+SUM(K385:K385)</f>
        <v>325685.58</v>
      </c>
    </row>
    <row r="392" spans="1:22" ht="57" x14ac:dyDescent="0.2">
      <c r="A392" s="179" t="s">
        <v>2040</v>
      </c>
      <c r="B392" s="178" t="s">
        <v>2666</v>
      </c>
      <c r="C392" s="178" t="s">
        <v>1043</v>
      </c>
      <c r="D392" s="177" t="s">
        <v>2667</v>
      </c>
      <c r="E392" s="174">
        <v>1</v>
      </c>
      <c r="F392" s="176"/>
      <c r="G392" s="175"/>
      <c r="H392" s="174"/>
      <c r="I392" s="173"/>
      <c r="J392" s="174"/>
      <c r="K392" s="173"/>
      <c r="Q392" s="160">
        <f>[8]Source!X302</f>
        <v>640.75</v>
      </c>
      <c r="R392" s="160">
        <f>[8]Source!X303</f>
        <v>11969.21</v>
      </c>
      <c r="S392" s="160">
        <f>[8]Source!Y302</f>
        <v>431.05</v>
      </c>
      <c r="T392" s="160">
        <f>[8]Source!Y303</f>
        <v>5576.57</v>
      </c>
      <c r="U392" s="160">
        <f>ROUND((175/100)*ROUND([8]Source!R302, 2), 2)</f>
        <v>19.2</v>
      </c>
      <c r="V392" s="160">
        <f>ROUND((157/100)*ROUND([8]Source!R303, 2), 2)</f>
        <v>402.16</v>
      </c>
    </row>
    <row r="393" spans="1:22" ht="14.25" x14ac:dyDescent="0.2">
      <c r="A393" s="179"/>
      <c r="B393" s="178"/>
      <c r="C393" s="178" t="s">
        <v>197</v>
      </c>
      <c r="D393" s="177"/>
      <c r="E393" s="174"/>
      <c r="F393" s="176">
        <v>482.4</v>
      </c>
      <c r="G393" s="175" t="s">
        <v>2668</v>
      </c>
      <c r="H393" s="174">
        <v>1</v>
      </c>
      <c r="I393" s="173">
        <v>582.5</v>
      </c>
      <c r="J393" s="174">
        <v>23.35</v>
      </c>
      <c r="K393" s="173">
        <v>13601.38</v>
      </c>
    </row>
    <row r="394" spans="1:22" ht="14.25" x14ac:dyDescent="0.2">
      <c r="A394" s="179"/>
      <c r="B394" s="178"/>
      <c r="C394" s="178" t="s">
        <v>184</v>
      </c>
      <c r="D394" s="177"/>
      <c r="E394" s="174"/>
      <c r="F394" s="176">
        <v>70.25</v>
      </c>
      <c r="G394" s="175" t="s">
        <v>2669</v>
      </c>
      <c r="H394" s="174">
        <v>1</v>
      </c>
      <c r="I394" s="173">
        <v>92.2</v>
      </c>
      <c r="J394" s="174">
        <v>7.98</v>
      </c>
      <c r="K394" s="173">
        <v>735.76</v>
      </c>
    </row>
    <row r="395" spans="1:22" ht="14.25" x14ac:dyDescent="0.2">
      <c r="A395" s="179"/>
      <c r="B395" s="178"/>
      <c r="C395" s="178" t="s">
        <v>189</v>
      </c>
      <c r="D395" s="177"/>
      <c r="E395" s="174"/>
      <c r="F395" s="176">
        <v>8.36</v>
      </c>
      <c r="G395" s="175" t="s">
        <v>2669</v>
      </c>
      <c r="H395" s="174">
        <v>1</v>
      </c>
      <c r="I395" s="180">
        <v>10.97</v>
      </c>
      <c r="J395" s="174">
        <v>23.35</v>
      </c>
      <c r="K395" s="180">
        <v>256.14999999999998</v>
      </c>
    </row>
    <row r="396" spans="1:22" ht="14.25" x14ac:dyDescent="0.2">
      <c r="A396" s="179"/>
      <c r="B396" s="178"/>
      <c r="C396" s="178" t="s">
        <v>205</v>
      </c>
      <c r="D396" s="177"/>
      <c r="E396" s="174"/>
      <c r="F396" s="176">
        <v>223.58</v>
      </c>
      <c r="G396" s="175" t="s">
        <v>195</v>
      </c>
      <c r="H396" s="174">
        <v>1</v>
      </c>
      <c r="I396" s="173">
        <v>223.58</v>
      </c>
      <c r="J396" s="174">
        <v>4.9800000000000004</v>
      </c>
      <c r="K396" s="173">
        <v>1113.43</v>
      </c>
    </row>
    <row r="397" spans="1:22" ht="81" x14ac:dyDescent="0.2">
      <c r="A397" s="228" t="s">
        <v>2043</v>
      </c>
      <c r="B397" s="227" t="s">
        <v>2670</v>
      </c>
      <c r="C397" s="227" t="s">
        <v>1075</v>
      </c>
      <c r="D397" s="226" t="s">
        <v>1913</v>
      </c>
      <c r="E397" s="223">
        <v>1</v>
      </c>
      <c r="F397" s="225">
        <v>68267.97</v>
      </c>
      <c r="G397" s="224" t="s">
        <v>195</v>
      </c>
      <c r="H397" s="223">
        <v>1</v>
      </c>
      <c r="I397" s="222">
        <v>68267.97</v>
      </c>
      <c r="J397" s="223">
        <v>4.4000000000000004</v>
      </c>
      <c r="K397" s="222">
        <v>300379.07</v>
      </c>
      <c r="Q397" s="160">
        <f>[8]Source!X304</f>
        <v>0</v>
      </c>
      <c r="R397" s="160">
        <f>[8]Source!X305</f>
        <v>0</v>
      </c>
      <c r="S397" s="160">
        <f>[8]Source!Y304</f>
        <v>0</v>
      </c>
      <c r="T397" s="160">
        <f>[8]Source!Y305</f>
        <v>0</v>
      </c>
      <c r="U397" s="160">
        <f>ROUND((175/100)*ROUND([8]Source!R304, 2), 2)</f>
        <v>0</v>
      </c>
      <c r="V397" s="160">
        <f>ROUND((157/100)*ROUND([8]Source!R305, 2), 2)</f>
        <v>0</v>
      </c>
    </row>
    <row r="398" spans="1:22" ht="14.25" x14ac:dyDescent="0.2">
      <c r="A398" s="179"/>
      <c r="B398" s="178"/>
      <c r="C398" s="178" t="s">
        <v>194</v>
      </c>
      <c r="D398" s="177" t="s">
        <v>187</v>
      </c>
      <c r="E398" s="174">
        <v>110</v>
      </c>
      <c r="F398" s="176"/>
      <c r="G398" s="175"/>
      <c r="H398" s="174"/>
      <c r="I398" s="173">
        <v>640.75</v>
      </c>
      <c r="J398" s="174">
        <v>88</v>
      </c>
      <c r="K398" s="173">
        <v>11969.21</v>
      </c>
    </row>
    <row r="399" spans="1:22" ht="14.25" x14ac:dyDescent="0.2">
      <c r="A399" s="179"/>
      <c r="B399" s="178"/>
      <c r="C399" s="178" t="s">
        <v>193</v>
      </c>
      <c r="D399" s="177" t="s">
        <v>187</v>
      </c>
      <c r="E399" s="174">
        <v>74</v>
      </c>
      <c r="F399" s="176"/>
      <c r="G399" s="175"/>
      <c r="H399" s="174"/>
      <c r="I399" s="173">
        <v>431.05</v>
      </c>
      <c r="J399" s="174">
        <v>41</v>
      </c>
      <c r="K399" s="173">
        <v>5576.57</v>
      </c>
    </row>
    <row r="400" spans="1:22" ht="14.25" x14ac:dyDescent="0.2">
      <c r="A400" s="179"/>
      <c r="B400" s="178"/>
      <c r="C400" s="178" t="s">
        <v>188</v>
      </c>
      <c r="D400" s="177" t="s">
        <v>187</v>
      </c>
      <c r="E400" s="174">
        <v>175</v>
      </c>
      <c r="F400" s="176"/>
      <c r="G400" s="175"/>
      <c r="H400" s="174"/>
      <c r="I400" s="173">
        <v>19.2</v>
      </c>
      <c r="J400" s="174">
        <v>157</v>
      </c>
      <c r="K400" s="173">
        <v>402.16</v>
      </c>
    </row>
    <row r="401" spans="1:22" ht="14.25" x14ac:dyDescent="0.2">
      <c r="A401" s="242"/>
      <c r="B401" s="241"/>
      <c r="C401" s="241" t="s">
        <v>192</v>
      </c>
      <c r="D401" s="240" t="s">
        <v>191</v>
      </c>
      <c r="E401" s="238">
        <v>40.1</v>
      </c>
      <c r="F401" s="253"/>
      <c r="G401" s="239" t="s">
        <v>2668</v>
      </c>
      <c r="H401" s="238">
        <v>1</v>
      </c>
      <c r="I401" s="237">
        <v>48.42</v>
      </c>
      <c r="J401" s="238"/>
      <c r="K401" s="237"/>
    </row>
    <row r="402" spans="1:22" ht="15" x14ac:dyDescent="0.25">
      <c r="A402" s="235"/>
      <c r="B402" s="235"/>
      <c r="C402" s="236" t="s">
        <v>183</v>
      </c>
      <c r="D402" s="235"/>
      <c r="E402" s="235"/>
      <c r="F402" s="235"/>
      <c r="G402" s="235"/>
      <c r="H402" s="436">
        <v>70257.25</v>
      </c>
      <c r="I402" s="436"/>
      <c r="J402" s="436">
        <v>333777.58</v>
      </c>
      <c r="K402" s="436"/>
      <c r="O402" s="163">
        <f>I393+I394+I396+I398+I399+I400+SUM(I397:I397)</f>
        <v>70257.25</v>
      </c>
      <c r="P402" s="163">
        <f>K393+K394+K396+K398+K399+K400+SUM(K397:K397)</f>
        <v>333777.58</v>
      </c>
    </row>
    <row r="405" spans="1:22" ht="15" x14ac:dyDescent="0.25">
      <c r="A405" s="417" t="s">
        <v>2671</v>
      </c>
      <c r="B405" s="417"/>
      <c r="C405" s="417"/>
      <c r="D405" s="417"/>
      <c r="E405" s="417"/>
      <c r="F405" s="417"/>
      <c r="G405" s="417"/>
      <c r="H405" s="415">
        <v>628821.93999999994</v>
      </c>
      <c r="I405" s="416"/>
      <c r="J405" s="415">
        <v>2914690.6</v>
      </c>
      <c r="K405" s="416"/>
    </row>
    <row r="406" spans="1:22" hidden="1" x14ac:dyDescent="0.2">
      <c r="A406" s="160" t="s">
        <v>182</v>
      </c>
      <c r="I406" s="160">
        <v>0</v>
      </c>
      <c r="J406" s="160">
        <v>0</v>
      </c>
    </row>
    <row r="407" spans="1:22" hidden="1" x14ac:dyDescent="0.2">
      <c r="A407" s="160" t="s">
        <v>181</v>
      </c>
      <c r="I407" s="160">
        <v>0</v>
      </c>
      <c r="J407" s="160">
        <v>0</v>
      </c>
    </row>
    <row r="409" spans="1:22" ht="16.5" x14ac:dyDescent="0.25">
      <c r="A409" s="413" t="s">
        <v>2672</v>
      </c>
      <c r="B409" s="413"/>
      <c r="C409" s="413"/>
      <c r="D409" s="413"/>
      <c r="E409" s="413"/>
      <c r="F409" s="413"/>
      <c r="G409" s="413"/>
      <c r="H409" s="413"/>
      <c r="I409" s="413"/>
      <c r="J409" s="413"/>
      <c r="K409" s="413"/>
    </row>
    <row r="410" spans="1:22" ht="28.5" x14ac:dyDescent="0.2">
      <c r="A410" s="179" t="s">
        <v>1748</v>
      </c>
      <c r="B410" s="178" t="s">
        <v>2673</v>
      </c>
      <c r="C410" s="178" t="s">
        <v>1046</v>
      </c>
      <c r="D410" s="177" t="s">
        <v>2674</v>
      </c>
      <c r="E410" s="174">
        <v>1</v>
      </c>
      <c r="F410" s="176"/>
      <c r="G410" s="175"/>
      <c r="H410" s="174"/>
      <c r="I410" s="173"/>
      <c r="J410" s="174"/>
      <c r="K410" s="173"/>
      <c r="Q410" s="160">
        <f>[8]Source!X346</f>
        <v>83.15</v>
      </c>
      <c r="R410" s="160">
        <f>[8]Source!X347</f>
        <v>1553.23</v>
      </c>
      <c r="S410" s="160">
        <f>[8]Source!Y346</f>
        <v>55.94</v>
      </c>
      <c r="T410" s="160">
        <f>[8]Source!Y347</f>
        <v>723.66</v>
      </c>
      <c r="U410" s="160">
        <f>ROUND((175/100)*ROUND([8]Source!R346, 2), 2)</f>
        <v>3.38</v>
      </c>
      <c r="V410" s="160">
        <f>ROUND((157/100)*ROUND([8]Source!R347, 2), 2)</f>
        <v>70.760000000000005</v>
      </c>
    </row>
    <row r="411" spans="1:22" ht="14.25" x14ac:dyDescent="0.2">
      <c r="A411" s="179"/>
      <c r="B411" s="178"/>
      <c r="C411" s="178" t="s">
        <v>197</v>
      </c>
      <c r="D411" s="177"/>
      <c r="E411" s="174"/>
      <c r="F411" s="176">
        <v>62.6</v>
      </c>
      <c r="G411" s="175" t="s">
        <v>2668</v>
      </c>
      <c r="H411" s="174">
        <v>1</v>
      </c>
      <c r="I411" s="173">
        <v>75.59</v>
      </c>
      <c r="J411" s="174">
        <v>23.35</v>
      </c>
      <c r="K411" s="173">
        <v>1765.03</v>
      </c>
    </row>
    <row r="412" spans="1:22" ht="14.25" x14ac:dyDescent="0.2">
      <c r="A412" s="179"/>
      <c r="B412" s="178"/>
      <c r="C412" s="178" t="s">
        <v>184</v>
      </c>
      <c r="D412" s="177"/>
      <c r="E412" s="174"/>
      <c r="F412" s="176">
        <v>8.82</v>
      </c>
      <c r="G412" s="175" t="s">
        <v>2669</v>
      </c>
      <c r="H412" s="174">
        <v>1</v>
      </c>
      <c r="I412" s="173">
        <v>11.58</v>
      </c>
      <c r="J412" s="174">
        <v>8.66</v>
      </c>
      <c r="K412" s="173">
        <v>100.28</v>
      </c>
    </row>
    <row r="413" spans="1:22" ht="14.25" x14ac:dyDescent="0.2">
      <c r="A413" s="179"/>
      <c r="B413" s="178"/>
      <c r="C413" s="178" t="s">
        <v>189</v>
      </c>
      <c r="D413" s="177"/>
      <c r="E413" s="174"/>
      <c r="F413" s="176">
        <v>1.47</v>
      </c>
      <c r="G413" s="175" t="s">
        <v>2669</v>
      </c>
      <c r="H413" s="174">
        <v>1</v>
      </c>
      <c r="I413" s="180">
        <v>1.93</v>
      </c>
      <c r="J413" s="174">
        <v>23.35</v>
      </c>
      <c r="K413" s="180">
        <v>45.07</v>
      </c>
    </row>
    <row r="414" spans="1:22" ht="14.25" x14ac:dyDescent="0.2">
      <c r="A414" s="179"/>
      <c r="B414" s="178"/>
      <c r="C414" s="178" t="s">
        <v>205</v>
      </c>
      <c r="D414" s="177"/>
      <c r="E414" s="174"/>
      <c r="F414" s="176">
        <v>2.62</v>
      </c>
      <c r="G414" s="175" t="s">
        <v>195</v>
      </c>
      <c r="H414" s="174">
        <v>1</v>
      </c>
      <c r="I414" s="173">
        <v>2.62</v>
      </c>
      <c r="J414" s="174">
        <v>2.5299999999999998</v>
      </c>
      <c r="K414" s="173">
        <v>6.63</v>
      </c>
    </row>
    <row r="415" spans="1:22" ht="14.25" x14ac:dyDescent="0.2">
      <c r="A415" s="179"/>
      <c r="B415" s="178"/>
      <c r="C415" s="178" t="s">
        <v>194</v>
      </c>
      <c r="D415" s="177" t="s">
        <v>187</v>
      </c>
      <c r="E415" s="174">
        <v>110</v>
      </c>
      <c r="F415" s="176"/>
      <c r="G415" s="175"/>
      <c r="H415" s="174"/>
      <c r="I415" s="173">
        <v>83.15</v>
      </c>
      <c r="J415" s="174">
        <v>88</v>
      </c>
      <c r="K415" s="173">
        <v>1553.23</v>
      </c>
    </row>
    <row r="416" spans="1:22" ht="14.25" x14ac:dyDescent="0.2">
      <c r="A416" s="179"/>
      <c r="B416" s="178"/>
      <c r="C416" s="178" t="s">
        <v>193</v>
      </c>
      <c r="D416" s="177" t="s">
        <v>187</v>
      </c>
      <c r="E416" s="174">
        <v>74</v>
      </c>
      <c r="F416" s="176"/>
      <c r="G416" s="175"/>
      <c r="H416" s="174"/>
      <c r="I416" s="173">
        <v>55.94</v>
      </c>
      <c r="J416" s="174">
        <v>41</v>
      </c>
      <c r="K416" s="173">
        <v>723.66</v>
      </c>
    </row>
    <row r="417" spans="1:22" ht="14.25" x14ac:dyDescent="0.2">
      <c r="A417" s="179"/>
      <c r="B417" s="178"/>
      <c r="C417" s="178" t="s">
        <v>188</v>
      </c>
      <c r="D417" s="177" t="s">
        <v>187</v>
      </c>
      <c r="E417" s="174">
        <v>175</v>
      </c>
      <c r="F417" s="176"/>
      <c r="G417" s="175"/>
      <c r="H417" s="174"/>
      <c r="I417" s="173">
        <v>3.38</v>
      </c>
      <c r="J417" s="174">
        <v>157</v>
      </c>
      <c r="K417" s="173">
        <v>70.760000000000005</v>
      </c>
    </row>
    <row r="418" spans="1:22" ht="14.25" x14ac:dyDescent="0.2">
      <c r="A418" s="242"/>
      <c r="B418" s="241"/>
      <c r="C418" s="241" t="s">
        <v>192</v>
      </c>
      <c r="D418" s="240" t="s">
        <v>191</v>
      </c>
      <c r="E418" s="238">
        <v>4.96</v>
      </c>
      <c r="F418" s="253"/>
      <c r="G418" s="239" t="s">
        <v>2668</v>
      </c>
      <c r="H418" s="238">
        <v>1</v>
      </c>
      <c r="I418" s="237">
        <v>5.99</v>
      </c>
      <c r="J418" s="238"/>
      <c r="K418" s="237"/>
    </row>
    <row r="419" spans="1:22" ht="15" x14ac:dyDescent="0.25">
      <c r="A419" s="235"/>
      <c r="B419" s="235"/>
      <c r="C419" s="236" t="s">
        <v>183</v>
      </c>
      <c r="D419" s="235"/>
      <c r="E419" s="235"/>
      <c r="F419" s="235"/>
      <c r="G419" s="235"/>
      <c r="H419" s="436">
        <v>232.26</v>
      </c>
      <c r="I419" s="436"/>
      <c r="J419" s="436">
        <v>4219.59</v>
      </c>
      <c r="K419" s="436"/>
      <c r="O419" s="163">
        <f>I411+I412+I414+I415+I416+I417</f>
        <v>232.26</v>
      </c>
      <c r="P419" s="163">
        <f>K411+K412+K414+K415+K416+K417</f>
        <v>4219.59</v>
      </c>
    </row>
    <row r="421" spans="1:22" ht="28.5" x14ac:dyDescent="0.2">
      <c r="A421" s="179" t="s">
        <v>1756</v>
      </c>
      <c r="B421" s="178" t="s">
        <v>2675</v>
      </c>
      <c r="C421" s="178" t="s">
        <v>1026</v>
      </c>
      <c r="D421" s="177" t="s">
        <v>2676</v>
      </c>
      <c r="E421" s="174">
        <v>1</v>
      </c>
      <c r="F421" s="176"/>
      <c r="G421" s="175"/>
      <c r="H421" s="174"/>
      <c r="I421" s="173"/>
      <c r="J421" s="174"/>
      <c r="K421" s="173"/>
      <c r="Q421" s="160">
        <f>[8]Source!X350</f>
        <v>15.88</v>
      </c>
      <c r="R421" s="160">
        <f>[8]Source!X351</f>
        <v>296.70999999999998</v>
      </c>
      <c r="S421" s="160">
        <f>[8]Source!Y350</f>
        <v>10.69</v>
      </c>
      <c r="T421" s="160">
        <f>[8]Source!Y351</f>
        <v>138.24</v>
      </c>
      <c r="U421" s="160">
        <f>ROUND((175/100)*ROUND([8]Source!R350, 2), 2)</f>
        <v>0.42</v>
      </c>
      <c r="V421" s="160">
        <f>ROUND((157/100)*ROUND([8]Source!R351, 2), 2)</f>
        <v>8.7899999999999991</v>
      </c>
    </row>
    <row r="422" spans="1:22" ht="14.25" x14ac:dyDescent="0.2">
      <c r="A422" s="179"/>
      <c r="B422" s="178"/>
      <c r="C422" s="178" t="s">
        <v>197</v>
      </c>
      <c r="D422" s="177"/>
      <c r="E422" s="174"/>
      <c r="F422" s="176">
        <v>11.96</v>
      </c>
      <c r="G422" s="175" t="s">
        <v>2668</v>
      </c>
      <c r="H422" s="174">
        <v>1</v>
      </c>
      <c r="I422" s="173">
        <v>14.44</v>
      </c>
      <c r="J422" s="174">
        <v>23.35</v>
      </c>
      <c r="K422" s="173">
        <v>337.17</v>
      </c>
    </row>
    <row r="423" spans="1:22" ht="14.25" x14ac:dyDescent="0.2">
      <c r="A423" s="179"/>
      <c r="B423" s="178"/>
      <c r="C423" s="178" t="s">
        <v>184</v>
      </c>
      <c r="D423" s="177"/>
      <c r="E423" s="174"/>
      <c r="F423" s="176">
        <v>0.74</v>
      </c>
      <c r="G423" s="175" t="s">
        <v>2669</v>
      </c>
      <c r="H423" s="174">
        <v>1</v>
      </c>
      <c r="I423" s="173">
        <v>0.97</v>
      </c>
      <c r="J423" s="174">
        <v>9.73</v>
      </c>
      <c r="K423" s="173">
        <v>9.44</v>
      </c>
    </row>
    <row r="424" spans="1:22" ht="14.25" x14ac:dyDescent="0.2">
      <c r="A424" s="179"/>
      <c r="B424" s="178"/>
      <c r="C424" s="178" t="s">
        <v>189</v>
      </c>
      <c r="D424" s="177"/>
      <c r="E424" s="174"/>
      <c r="F424" s="176">
        <v>0.18</v>
      </c>
      <c r="G424" s="175" t="s">
        <v>2669</v>
      </c>
      <c r="H424" s="174">
        <v>1</v>
      </c>
      <c r="I424" s="180">
        <v>0.24</v>
      </c>
      <c r="J424" s="174">
        <v>23.35</v>
      </c>
      <c r="K424" s="180">
        <v>5.6</v>
      </c>
    </row>
    <row r="425" spans="1:22" ht="14.25" x14ac:dyDescent="0.2">
      <c r="A425" s="179"/>
      <c r="B425" s="178"/>
      <c r="C425" s="178" t="s">
        <v>205</v>
      </c>
      <c r="D425" s="177"/>
      <c r="E425" s="174"/>
      <c r="F425" s="176">
        <v>4.41</v>
      </c>
      <c r="G425" s="175" t="s">
        <v>195</v>
      </c>
      <c r="H425" s="174">
        <v>1</v>
      </c>
      <c r="I425" s="173">
        <v>4.41</v>
      </c>
      <c r="J425" s="174">
        <v>5.42</v>
      </c>
      <c r="K425" s="173">
        <v>23.9</v>
      </c>
    </row>
    <row r="426" spans="1:22" ht="14.25" x14ac:dyDescent="0.2">
      <c r="A426" s="179"/>
      <c r="B426" s="178"/>
      <c r="C426" s="178" t="s">
        <v>194</v>
      </c>
      <c r="D426" s="177" t="s">
        <v>187</v>
      </c>
      <c r="E426" s="174">
        <v>110</v>
      </c>
      <c r="F426" s="176"/>
      <c r="G426" s="175"/>
      <c r="H426" s="174"/>
      <c r="I426" s="173">
        <v>15.88</v>
      </c>
      <c r="J426" s="174">
        <v>88</v>
      </c>
      <c r="K426" s="173">
        <v>296.70999999999998</v>
      </c>
    </row>
    <row r="427" spans="1:22" ht="14.25" x14ac:dyDescent="0.2">
      <c r="A427" s="179"/>
      <c r="B427" s="178"/>
      <c r="C427" s="178" t="s">
        <v>193</v>
      </c>
      <c r="D427" s="177" t="s">
        <v>187</v>
      </c>
      <c r="E427" s="174">
        <v>74</v>
      </c>
      <c r="F427" s="176"/>
      <c r="G427" s="175"/>
      <c r="H427" s="174"/>
      <c r="I427" s="173">
        <v>10.69</v>
      </c>
      <c r="J427" s="174">
        <v>41</v>
      </c>
      <c r="K427" s="173">
        <v>138.24</v>
      </c>
    </row>
    <row r="428" spans="1:22" ht="14.25" x14ac:dyDescent="0.2">
      <c r="A428" s="179"/>
      <c r="B428" s="178"/>
      <c r="C428" s="178" t="s">
        <v>188</v>
      </c>
      <c r="D428" s="177" t="s">
        <v>187</v>
      </c>
      <c r="E428" s="174">
        <v>175</v>
      </c>
      <c r="F428" s="176"/>
      <c r="G428" s="175"/>
      <c r="H428" s="174"/>
      <c r="I428" s="173">
        <v>0.42</v>
      </c>
      <c r="J428" s="174">
        <v>157</v>
      </c>
      <c r="K428" s="173">
        <v>8.7899999999999991</v>
      </c>
    </row>
    <row r="429" spans="1:22" ht="14.25" x14ac:dyDescent="0.2">
      <c r="A429" s="242"/>
      <c r="B429" s="241"/>
      <c r="C429" s="241" t="s">
        <v>192</v>
      </c>
      <c r="D429" s="240" t="s">
        <v>191</v>
      </c>
      <c r="E429" s="238">
        <v>1.03</v>
      </c>
      <c r="F429" s="253"/>
      <c r="G429" s="239" t="s">
        <v>2668</v>
      </c>
      <c r="H429" s="238">
        <v>1</v>
      </c>
      <c r="I429" s="237">
        <v>1.24</v>
      </c>
      <c r="J429" s="238"/>
      <c r="K429" s="237"/>
    </row>
    <row r="430" spans="1:22" ht="15" x14ac:dyDescent="0.25">
      <c r="A430" s="235"/>
      <c r="B430" s="235"/>
      <c r="C430" s="236" t="s">
        <v>183</v>
      </c>
      <c r="D430" s="235"/>
      <c r="E430" s="235"/>
      <c r="F430" s="235"/>
      <c r="G430" s="235"/>
      <c r="H430" s="436">
        <v>46.81</v>
      </c>
      <c r="I430" s="436"/>
      <c r="J430" s="436">
        <v>814.25</v>
      </c>
      <c r="K430" s="436"/>
      <c r="O430" s="163">
        <f>I422+I423+I425+I426+I427+I428</f>
        <v>46.81</v>
      </c>
      <c r="P430" s="163">
        <f>K422+K423+K425+K426+K427+K428</f>
        <v>814.25</v>
      </c>
    </row>
    <row r="432" spans="1:22" ht="28.5" x14ac:dyDescent="0.2">
      <c r="A432" s="179" t="s">
        <v>1760</v>
      </c>
      <c r="B432" s="178" t="s">
        <v>2677</v>
      </c>
      <c r="C432" s="178" t="s">
        <v>1045</v>
      </c>
      <c r="D432" s="177" t="s">
        <v>2678</v>
      </c>
      <c r="E432" s="174">
        <v>0.15</v>
      </c>
      <c r="F432" s="176"/>
      <c r="G432" s="175"/>
      <c r="H432" s="174"/>
      <c r="I432" s="173"/>
      <c r="J432" s="174"/>
      <c r="K432" s="173"/>
      <c r="Q432" s="160">
        <f>[8]Source!X352</f>
        <v>12.03</v>
      </c>
      <c r="R432" s="160">
        <f>[8]Source!X353</f>
        <v>224.8</v>
      </c>
      <c r="S432" s="160">
        <f>[8]Source!Y352</f>
        <v>8.1</v>
      </c>
      <c r="T432" s="160">
        <f>[8]Source!Y353</f>
        <v>104.73</v>
      </c>
      <c r="U432" s="160">
        <f>ROUND((175/100)*ROUND([8]Source!R352, 2), 2)</f>
        <v>1.4</v>
      </c>
      <c r="V432" s="160">
        <f>ROUND((157/100)*ROUND([8]Source!R353, 2), 2)</f>
        <v>29.33</v>
      </c>
    </row>
    <row r="433" spans="1:22" x14ac:dyDescent="0.2">
      <c r="C433" s="181" t="s">
        <v>2679</v>
      </c>
    </row>
    <row r="434" spans="1:22" ht="14.25" x14ac:dyDescent="0.2">
      <c r="A434" s="179"/>
      <c r="B434" s="178"/>
      <c r="C434" s="178" t="s">
        <v>197</v>
      </c>
      <c r="D434" s="177"/>
      <c r="E434" s="174"/>
      <c r="F434" s="176">
        <v>60.39</v>
      </c>
      <c r="G434" s="175" t="s">
        <v>2668</v>
      </c>
      <c r="H434" s="174">
        <v>1</v>
      </c>
      <c r="I434" s="173">
        <v>10.94</v>
      </c>
      <c r="J434" s="174">
        <v>23.35</v>
      </c>
      <c r="K434" s="173">
        <v>255.45</v>
      </c>
    </row>
    <row r="435" spans="1:22" ht="14.25" x14ac:dyDescent="0.2">
      <c r="A435" s="179"/>
      <c r="B435" s="178"/>
      <c r="C435" s="178" t="s">
        <v>184</v>
      </c>
      <c r="D435" s="177"/>
      <c r="E435" s="174"/>
      <c r="F435" s="176">
        <v>20.05</v>
      </c>
      <c r="G435" s="175" t="s">
        <v>2669</v>
      </c>
      <c r="H435" s="174">
        <v>1</v>
      </c>
      <c r="I435" s="173">
        <v>3.95</v>
      </c>
      <c r="J435" s="174">
        <v>8.98</v>
      </c>
      <c r="K435" s="173">
        <v>35.47</v>
      </c>
    </row>
    <row r="436" spans="1:22" ht="14.25" x14ac:dyDescent="0.2">
      <c r="A436" s="179"/>
      <c r="B436" s="178"/>
      <c r="C436" s="178" t="s">
        <v>189</v>
      </c>
      <c r="D436" s="177"/>
      <c r="E436" s="174"/>
      <c r="F436" s="176">
        <v>4.04</v>
      </c>
      <c r="G436" s="175" t="s">
        <v>2669</v>
      </c>
      <c r="H436" s="174">
        <v>1</v>
      </c>
      <c r="I436" s="180">
        <v>0.8</v>
      </c>
      <c r="J436" s="174">
        <v>23.35</v>
      </c>
      <c r="K436" s="180">
        <v>18.68</v>
      </c>
    </row>
    <row r="437" spans="1:22" ht="14.25" x14ac:dyDescent="0.2">
      <c r="A437" s="179"/>
      <c r="B437" s="178"/>
      <c r="C437" s="178" t="s">
        <v>205</v>
      </c>
      <c r="D437" s="177"/>
      <c r="E437" s="174"/>
      <c r="F437" s="176">
        <v>25.9</v>
      </c>
      <c r="G437" s="175" t="s">
        <v>195</v>
      </c>
      <c r="H437" s="174">
        <v>1</v>
      </c>
      <c r="I437" s="173">
        <v>3.89</v>
      </c>
      <c r="J437" s="174">
        <v>5.42</v>
      </c>
      <c r="K437" s="173">
        <v>21.08</v>
      </c>
    </row>
    <row r="438" spans="1:22" ht="14.25" x14ac:dyDescent="0.2">
      <c r="A438" s="179"/>
      <c r="B438" s="178"/>
      <c r="C438" s="178" t="s">
        <v>194</v>
      </c>
      <c r="D438" s="177" t="s">
        <v>187</v>
      </c>
      <c r="E438" s="174">
        <v>110</v>
      </c>
      <c r="F438" s="176"/>
      <c r="G438" s="175"/>
      <c r="H438" s="174"/>
      <c r="I438" s="173">
        <v>12.03</v>
      </c>
      <c r="J438" s="174">
        <v>88</v>
      </c>
      <c r="K438" s="173">
        <v>224.8</v>
      </c>
    </row>
    <row r="439" spans="1:22" ht="14.25" x14ac:dyDescent="0.2">
      <c r="A439" s="179"/>
      <c r="B439" s="178"/>
      <c r="C439" s="178" t="s">
        <v>193</v>
      </c>
      <c r="D439" s="177" t="s">
        <v>187</v>
      </c>
      <c r="E439" s="174">
        <v>74</v>
      </c>
      <c r="F439" s="176"/>
      <c r="G439" s="175"/>
      <c r="H439" s="174"/>
      <c r="I439" s="173">
        <v>8.1</v>
      </c>
      <c r="J439" s="174">
        <v>41</v>
      </c>
      <c r="K439" s="173">
        <v>104.73</v>
      </c>
    </row>
    <row r="440" spans="1:22" ht="14.25" x14ac:dyDescent="0.2">
      <c r="A440" s="179"/>
      <c r="B440" s="178"/>
      <c r="C440" s="178" t="s">
        <v>188</v>
      </c>
      <c r="D440" s="177" t="s">
        <v>187</v>
      </c>
      <c r="E440" s="174">
        <v>175</v>
      </c>
      <c r="F440" s="176"/>
      <c r="G440" s="175"/>
      <c r="H440" s="174"/>
      <c r="I440" s="173">
        <v>1.4</v>
      </c>
      <c r="J440" s="174">
        <v>157</v>
      </c>
      <c r="K440" s="173">
        <v>29.33</v>
      </c>
    </row>
    <row r="441" spans="1:22" ht="14.25" x14ac:dyDescent="0.2">
      <c r="A441" s="242"/>
      <c r="B441" s="241"/>
      <c r="C441" s="241" t="s">
        <v>192</v>
      </c>
      <c r="D441" s="240" t="s">
        <v>191</v>
      </c>
      <c r="E441" s="238">
        <v>5.0199999999999996</v>
      </c>
      <c r="F441" s="253"/>
      <c r="G441" s="239" t="s">
        <v>2668</v>
      </c>
      <c r="H441" s="238">
        <v>1</v>
      </c>
      <c r="I441" s="237">
        <v>0.91</v>
      </c>
      <c r="J441" s="238"/>
      <c r="K441" s="237"/>
    </row>
    <row r="442" spans="1:22" ht="15" x14ac:dyDescent="0.25">
      <c r="A442" s="235"/>
      <c r="B442" s="235"/>
      <c r="C442" s="236" t="s">
        <v>183</v>
      </c>
      <c r="D442" s="235"/>
      <c r="E442" s="235"/>
      <c r="F442" s="235"/>
      <c r="G442" s="235"/>
      <c r="H442" s="436">
        <v>40.31</v>
      </c>
      <c r="I442" s="436"/>
      <c r="J442" s="436">
        <v>670.86</v>
      </c>
      <c r="K442" s="436"/>
      <c r="O442" s="163">
        <f>I434+I435+I437+I438+I439+I440</f>
        <v>40.31</v>
      </c>
      <c r="P442" s="163">
        <f>K434+K435+K437+K438+K439+K440</f>
        <v>670.86</v>
      </c>
    </row>
    <row r="444" spans="1:22" ht="57" x14ac:dyDescent="0.2">
      <c r="A444" s="179" t="s">
        <v>1768</v>
      </c>
      <c r="B444" s="178" t="s">
        <v>2680</v>
      </c>
      <c r="C444" s="178" t="s">
        <v>1052</v>
      </c>
      <c r="D444" s="177" t="s">
        <v>1903</v>
      </c>
      <c r="E444" s="174">
        <v>2</v>
      </c>
      <c r="F444" s="176"/>
      <c r="G444" s="175"/>
      <c r="H444" s="174"/>
      <c r="I444" s="173"/>
      <c r="J444" s="174"/>
      <c r="K444" s="173"/>
      <c r="Q444" s="160">
        <f>[8]Source!X354</f>
        <v>33.21</v>
      </c>
      <c r="R444" s="160">
        <f>[8]Source!X355</f>
        <v>620.35</v>
      </c>
      <c r="S444" s="160">
        <f>[8]Source!Y354</f>
        <v>22.34</v>
      </c>
      <c r="T444" s="160">
        <f>[8]Source!Y355</f>
        <v>289.02999999999997</v>
      </c>
      <c r="U444" s="160">
        <f>ROUND((175/100)*ROUND([8]Source!R354, 2), 2)</f>
        <v>1.61</v>
      </c>
      <c r="V444" s="160">
        <f>ROUND((157/100)*ROUND([8]Source!R355, 2), 2)</f>
        <v>33.72</v>
      </c>
    </row>
    <row r="445" spans="1:22" ht="14.25" x14ac:dyDescent="0.2">
      <c r="A445" s="179"/>
      <c r="B445" s="178"/>
      <c r="C445" s="178" t="s">
        <v>197</v>
      </c>
      <c r="D445" s="177"/>
      <c r="E445" s="174"/>
      <c r="F445" s="176">
        <v>12.5</v>
      </c>
      <c r="G445" s="175" t="s">
        <v>2668</v>
      </c>
      <c r="H445" s="174">
        <v>1</v>
      </c>
      <c r="I445" s="173">
        <v>30.19</v>
      </c>
      <c r="J445" s="174">
        <v>23.35</v>
      </c>
      <c r="K445" s="173">
        <v>704.94</v>
      </c>
    </row>
    <row r="446" spans="1:22" ht="14.25" x14ac:dyDescent="0.2">
      <c r="A446" s="179"/>
      <c r="B446" s="178"/>
      <c r="C446" s="178" t="s">
        <v>184</v>
      </c>
      <c r="D446" s="177"/>
      <c r="E446" s="174"/>
      <c r="F446" s="176">
        <v>1.49</v>
      </c>
      <c r="G446" s="175" t="s">
        <v>2669</v>
      </c>
      <c r="H446" s="174">
        <v>1</v>
      </c>
      <c r="I446" s="173">
        <v>3.91</v>
      </c>
      <c r="J446" s="174">
        <v>9.58</v>
      </c>
      <c r="K446" s="173">
        <v>37.46</v>
      </c>
    </row>
    <row r="447" spans="1:22" ht="14.25" x14ac:dyDescent="0.2">
      <c r="A447" s="179"/>
      <c r="B447" s="178"/>
      <c r="C447" s="178" t="s">
        <v>189</v>
      </c>
      <c r="D447" s="177"/>
      <c r="E447" s="174"/>
      <c r="F447" s="176">
        <v>0.35</v>
      </c>
      <c r="G447" s="175" t="s">
        <v>2669</v>
      </c>
      <c r="H447" s="174">
        <v>1</v>
      </c>
      <c r="I447" s="180">
        <v>0.92</v>
      </c>
      <c r="J447" s="174">
        <v>23.35</v>
      </c>
      <c r="K447" s="180">
        <v>21.48</v>
      </c>
    </row>
    <row r="448" spans="1:22" ht="14.25" x14ac:dyDescent="0.2">
      <c r="A448" s="179"/>
      <c r="B448" s="178"/>
      <c r="C448" s="178" t="s">
        <v>205</v>
      </c>
      <c r="D448" s="177"/>
      <c r="E448" s="174"/>
      <c r="F448" s="176">
        <v>6.23</v>
      </c>
      <c r="G448" s="175" t="s">
        <v>195</v>
      </c>
      <c r="H448" s="174">
        <v>1</v>
      </c>
      <c r="I448" s="173">
        <v>12.46</v>
      </c>
      <c r="J448" s="174">
        <v>5.42</v>
      </c>
      <c r="K448" s="173">
        <v>67.53</v>
      </c>
    </row>
    <row r="449" spans="1:22" ht="14.25" x14ac:dyDescent="0.2">
      <c r="A449" s="179"/>
      <c r="B449" s="178"/>
      <c r="C449" s="178" t="s">
        <v>194</v>
      </c>
      <c r="D449" s="177" t="s">
        <v>187</v>
      </c>
      <c r="E449" s="174">
        <v>110</v>
      </c>
      <c r="F449" s="176"/>
      <c r="G449" s="175"/>
      <c r="H449" s="174"/>
      <c r="I449" s="173">
        <v>33.21</v>
      </c>
      <c r="J449" s="174">
        <v>88</v>
      </c>
      <c r="K449" s="173">
        <v>620.35</v>
      </c>
    </row>
    <row r="450" spans="1:22" ht="14.25" x14ac:dyDescent="0.2">
      <c r="A450" s="179"/>
      <c r="B450" s="178"/>
      <c r="C450" s="178" t="s">
        <v>193</v>
      </c>
      <c r="D450" s="177" t="s">
        <v>187</v>
      </c>
      <c r="E450" s="174">
        <v>74</v>
      </c>
      <c r="F450" s="176"/>
      <c r="G450" s="175"/>
      <c r="H450" s="174"/>
      <c r="I450" s="173">
        <v>22.34</v>
      </c>
      <c r="J450" s="174">
        <v>41</v>
      </c>
      <c r="K450" s="173">
        <v>289.02999999999997</v>
      </c>
    </row>
    <row r="451" spans="1:22" ht="14.25" x14ac:dyDescent="0.2">
      <c r="A451" s="179"/>
      <c r="B451" s="178"/>
      <c r="C451" s="178" t="s">
        <v>188</v>
      </c>
      <c r="D451" s="177" t="s">
        <v>187</v>
      </c>
      <c r="E451" s="174">
        <v>175</v>
      </c>
      <c r="F451" s="176"/>
      <c r="G451" s="175"/>
      <c r="H451" s="174"/>
      <c r="I451" s="173">
        <v>1.61</v>
      </c>
      <c r="J451" s="174">
        <v>157</v>
      </c>
      <c r="K451" s="173">
        <v>33.72</v>
      </c>
    </row>
    <row r="452" spans="1:22" ht="14.25" x14ac:dyDescent="0.2">
      <c r="A452" s="242"/>
      <c r="B452" s="241"/>
      <c r="C452" s="241" t="s">
        <v>192</v>
      </c>
      <c r="D452" s="240" t="s">
        <v>191</v>
      </c>
      <c r="E452" s="238">
        <v>1.0900000000000001</v>
      </c>
      <c r="F452" s="253"/>
      <c r="G452" s="239" t="s">
        <v>2668</v>
      </c>
      <c r="H452" s="238">
        <v>1</v>
      </c>
      <c r="I452" s="237">
        <v>2.63</v>
      </c>
      <c r="J452" s="238"/>
      <c r="K452" s="237"/>
    </row>
    <row r="453" spans="1:22" ht="15" x14ac:dyDescent="0.25">
      <c r="A453" s="235"/>
      <c r="B453" s="235"/>
      <c r="C453" s="236" t="s">
        <v>183</v>
      </c>
      <c r="D453" s="235"/>
      <c r="E453" s="235"/>
      <c r="F453" s="235"/>
      <c r="G453" s="235"/>
      <c r="H453" s="436">
        <v>103.72</v>
      </c>
      <c r="I453" s="436"/>
      <c r="J453" s="436">
        <v>1753.03</v>
      </c>
      <c r="K453" s="436"/>
      <c r="O453" s="163">
        <f>I445+I446+I448+I449+I450+I451</f>
        <v>103.72</v>
      </c>
      <c r="P453" s="163">
        <f>K445+K446+K448+K449+K450+K451</f>
        <v>1753.03</v>
      </c>
    </row>
    <row r="455" spans="1:22" ht="68.25" x14ac:dyDescent="0.2">
      <c r="A455" s="250" t="s">
        <v>1771</v>
      </c>
      <c r="B455" s="249" t="s">
        <v>2670</v>
      </c>
      <c r="C455" s="249" t="s">
        <v>1074</v>
      </c>
      <c r="D455" s="248" t="s">
        <v>1913</v>
      </c>
      <c r="E455" s="246">
        <v>1</v>
      </c>
      <c r="F455" s="254">
        <v>2892.24</v>
      </c>
      <c r="G455" s="247" t="s">
        <v>195</v>
      </c>
      <c r="H455" s="246">
        <v>1</v>
      </c>
      <c r="I455" s="245">
        <v>2892.24</v>
      </c>
      <c r="J455" s="246">
        <v>4.4000000000000004</v>
      </c>
      <c r="K455" s="245">
        <v>12725.86</v>
      </c>
      <c r="Q455" s="160">
        <f>[8]Source!X356</f>
        <v>0</v>
      </c>
      <c r="R455" s="160">
        <f>[8]Source!X357</f>
        <v>0</v>
      </c>
      <c r="S455" s="160">
        <f>[8]Source!Y356</f>
        <v>0</v>
      </c>
      <c r="T455" s="160">
        <f>[8]Source!Y357</f>
        <v>0</v>
      </c>
      <c r="U455" s="160">
        <f>ROUND((175/100)*ROUND([8]Source!R356, 2), 2)</f>
        <v>0</v>
      </c>
      <c r="V455" s="160">
        <f>ROUND((157/100)*ROUND([8]Source!R357, 2), 2)</f>
        <v>0</v>
      </c>
    </row>
    <row r="456" spans="1:22" ht="15" x14ac:dyDescent="0.25">
      <c r="A456" s="243"/>
      <c r="B456" s="243"/>
      <c r="C456" s="244" t="s">
        <v>183</v>
      </c>
      <c r="D456" s="243"/>
      <c r="E456" s="243"/>
      <c r="F456" s="243"/>
      <c r="G456" s="243"/>
      <c r="H456" s="437">
        <v>2892.24</v>
      </c>
      <c r="I456" s="437"/>
      <c r="J456" s="437">
        <v>12725.86</v>
      </c>
      <c r="K456" s="437"/>
      <c r="O456" s="163">
        <f>I455</f>
        <v>2892.24</v>
      </c>
      <c r="P456" s="163">
        <f>K455</f>
        <v>12725.86</v>
      </c>
    </row>
    <row r="458" spans="1:22" ht="28.5" x14ac:dyDescent="0.2">
      <c r="A458" s="179" t="s">
        <v>1775</v>
      </c>
      <c r="B458" s="178" t="s">
        <v>2673</v>
      </c>
      <c r="C458" s="178" t="s">
        <v>1046</v>
      </c>
      <c r="D458" s="177" t="s">
        <v>2674</v>
      </c>
      <c r="E458" s="174">
        <v>1</v>
      </c>
      <c r="F458" s="176"/>
      <c r="G458" s="175"/>
      <c r="H458" s="174"/>
      <c r="I458" s="173"/>
      <c r="J458" s="174"/>
      <c r="K458" s="173"/>
      <c r="Q458" s="160">
        <f>[8]Source!X359</f>
        <v>83.15</v>
      </c>
      <c r="R458" s="160">
        <f>[8]Source!X360</f>
        <v>1553.23</v>
      </c>
      <c r="S458" s="160">
        <f>[8]Source!Y359</f>
        <v>55.94</v>
      </c>
      <c r="T458" s="160">
        <f>[8]Source!Y360</f>
        <v>723.66</v>
      </c>
      <c r="U458" s="160">
        <f>ROUND((175/100)*ROUND([8]Source!R359, 2), 2)</f>
        <v>3.38</v>
      </c>
      <c r="V458" s="160">
        <f>ROUND((157/100)*ROUND([8]Source!R360, 2), 2)</f>
        <v>70.760000000000005</v>
      </c>
    </row>
    <row r="459" spans="1:22" ht="14.25" x14ac:dyDescent="0.2">
      <c r="A459" s="179"/>
      <c r="B459" s="178"/>
      <c r="C459" s="178" t="s">
        <v>197</v>
      </c>
      <c r="D459" s="177"/>
      <c r="E459" s="174"/>
      <c r="F459" s="176">
        <v>62.6</v>
      </c>
      <c r="G459" s="175" t="s">
        <v>2668</v>
      </c>
      <c r="H459" s="174">
        <v>1</v>
      </c>
      <c r="I459" s="173">
        <v>75.59</v>
      </c>
      <c r="J459" s="174">
        <v>23.35</v>
      </c>
      <c r="K459" s="173">
        <v>1765.03</v>
      </c>
    </row>
    <row r="460" spans="1:22" ht="14.25" x14ac:dyDescent="0.2">
      <c r="A460" s="179"/>
      <c r="B460" s="178"/>
      <c r="C460" s="178" t="s">
        <v>184</v>
      </c>
      <c r="D460" s="177"/>
      <c r="E460" s="174"/>
      <c r="F460" s="176">
        <v>8.82</v>
      </c>
      <c r="G460" s="175" t="s">
        <v>2669</v>
      </c>
      <c r="H460" s="174">
        <v>1</v>
      </c>
      <c r="I460" s="173">
        <v>11.58</v>
      </c>
      <c r="J460" s="174">
        <v>8.66</v>
      </c>
      <c r="K460" s="173">
        <v>100.28</v>
      </c>
    </row>
    <row r="461" spans="1:22" ht="14.25" x14ac:dyDescent="0.2">
      <c r="A461" s="179"/>
      <c r="B461" s="178"/>
      <c r="C461" s="178" t="s">
        <v>189</v>
      </c>
      <c r="D461" s="177"/>
      <c r="E461" s="174"/>
      <c r="F461" s="176">
        <v>1.47</v>
      </c>
      <c r="G461" s="175" t="s">
        <v>2669</v>
      </c>
      <c r="H461" s="174">
        <v>1</v>
      </c>
      <c r="I461" s="180">
        <v>1.93</v>
      </c>
      <c r="J461" s="174">
        <v>23.35</v>
      </c>
      <c r="K461" s="180">
        <v>45.07</v>
      </c>
    </row>
    <row r="462" spans="1:22" ht="14.25" x14ac:dyDescent="0.2">
      <c r="A462" s="179"/>
      <c r="B462" s="178"/>
      <c r="C462" s="178" t="s">
        <v>205</v>
      </c>
      <c r="D462" s="177"/>
      <c r="E462" s="174"/>
      <c r="F462" s="176">
        <v>2.62</v>
      </c>
      <c r="G462" s="175" t="s">
        <v>195</v>
      </c>
      <c r="H462" s="174">
        <v>1</v>
      </c>
      <c r="I462" s="173">
        <v>2.62</v>
      </c>
      <c r="J462" s="174">
        <v>2.5299999999999998</v>
      </c>
      <c r="K462" s="173">
        <v>6.63</v>
      </c>
    </row>
    <row r="463" spans="1:22" ht="14.25" x14ac:dyDescent="0.2">
      <c r="A463" s="179"/>
      <c r="B463" s="178"/>
      <c r="C463" s="178" t="s">
        <v>194</v>
      </c>
      <c r="D463" s="177" t="s">
        <v>187</v>
      </c>
      <c r="E463" s="174">
        <v>110</v>
      </c>
      <c r="F463" s="176"/>
      <c r="G463" s="175"/>
      <c r="H463" s="174"/>
      <c r="I463" s="173">
        <v>83.15</v>
      </c>
      <c r="J463" s="174">
        <v>88</v>
      </c>
      <c r="K463" s="173">
        <v>1553.23</v>
      </c>
    </row>
    <row r="464" spans="1:22" ht="14.25" x14ac:dyDescent="0.2">
      <c r="A464" s="179"/>
      <c r="B464" s="178"/>
      <c r="C464" s="178" t="s">
        <v>193</v>
      </c>
      <c r="D464" s="177" t="s">
        <v>187</v>
      </c>
      <c r="E464" s="174">
        <v>74</v>
      </c>
      <c r="F464" s="176"/>
      <c r="G464" s="175"/>
      <c r="H464" s="174"/>
      <c r="I464" s="173">
        <v>55.94</v>
      </c>
      <c r="J464" s="174">
        <v>41</v>
      </c>
      <c r="K464" s="173">
        <v>723.66</v>
      </c>
    </row>
    <row r="465" spans="1:22" ht="14.25" x14ac:dyDescent="0.2">
      <c r="A465" s="179"/>
      <c r="B465" s="178"/>
      <c r="C465" s="178" t="s">
        <v>188</v>
      </c>
      <c r="D465" s="177" t="s">
        <v>187</v>
      </c>
      <c r="E465" s="174">
        <v>175</v>
      </c>
      <c r="F465" s="176"/>
      <c r="G465" s="175"/>
      <c r="H465" s="174"/>
      <c r="I465" s="173">
        <v>3.38</v>
      </c>
      <c r="J465" s="174">
        <v>157</v>
      </c>
      <c r="K465" s="173">
        <v>70.760000000000005</v>
      </c>
    </row>
    <row r="466" spans="1:22" ht="14.25" x14ac:dyDescent="0.2">
      <c r="A466" s="242"/>
      <c r="B466" s="241"/>
      <c r="C466" s="241" t="s">
        <v>192</v>
      </c>
      <c r="D466" s="240" t="s">
        <v>191</v>
      </c>
      <c r="E466" s="238">
        <v>4.96</v>
      </c>
      <c r="F466" s="253"/>
      <c r="G466" s="239" t="s">
        <v>2668</v>
      </c>
      <c r="H466" s="238">
        <v>1</v>
      </c>
      <c r="I466" s="237">
        <v>5.99</v>
      </c>
      <c r="J466" s="238"/>
      <c r="K466" s="237"/>
    </row>
    <row r="467" spans="1:22" ht="15" x14ac:dyDescent="0.25">
      <c r="A467" s="235"/>
      <c r="B467" s="235"/>
      <c r="C467" s="236" t="s">
        <v>183</v>
      </c>
      <c r="D467" s="235"/>
      <c r="E467" s="235"/>
      <c r="F467" s="235"/>
      <c r="G467" s="235"/>
      <c r="H467" s="436">
        <v>232.26</v>
      </c>
      <c r="I467" s="436"/>
      <c r="J467" s="436">
        <v>4219.59</v>
      </c>
      <c r="K467" s="436"/>
      <c r="O467" s="163">
        <f>I459+I460+I462+I463+I464+I465</f>
        <v>232.26</v>
      </c>
      <c r="P467" s="163">
        <f>K459+K460+K462+K463+K464+K465</f>
        <v>4219.59</v>
      </c>
    </row>
    <row r="469" spans="1:22" ht="28.5" x14ac:dyDescent="0.2">
      <c r="A469" s="179" t="s">
        <v>1780</v>
      </c>
      <c r="B469" s="178" t="s">
        <v>2675</v>
      </c>
      <c r="C469" s="178" t="s">
        <v>1026</v>
      </c>
      <c r="D469" s="177" t="s">
        <v>2676</v>
      </c>
      <c r="E469" s="174">
        <v>1</v>
      </c>
      <c r="F469" s="176"/>
      <c r="G469" s="175"/>
      <c r="H469" s="174"/>
      <c r="I469" s="173"/>
      <c r="J469" s="174"/>
      <c r="K469" s="173"/>
      <c r="Q469" s="160">
        <f>[8]Source!X363</f>
        <v>15.88</v>
      </c>
      <c r="R469" s="160">
        <f>[8]Source!X364</f>
        <v>296.70999999999998</v>
      </c>
      <c r="S469" s="160">
        <f>[8]Source!Y363</f>
        <v>10.69</v>
      </c>
      <c r="T469" s="160">
        <f>[8]Source!Y364</f>
        <v>138.24</v>
      </c>
      <c r="U469" s="160">
        <f>ROUND((175/100)*ROUND([8]Source!R363, 2), 2)</f>
        <v>0.42</v>
      </c>
      <c r="V469" s="160">
        <f>ROUND((157/100)*ROUND([8]Source!R364, 2), 2)</f>
        <v>8.7899999999999991</v>
      </c>
    </row>
    <row r="470" spans="1:22" ht="14.25" x14ac:dyDescent="0.2">
      <c r="A470" s="179"/>
      <c r="B470" s="178"/>
      <c r="C470" s="178" t="s">
        <v>197</v>
      </c>
      <c r="D470" s="177"/>
      <c r="E470" s="174"/>
      <c r="F470" s="176">
        <v>11.96</v>
      </c>
      <c r="G470" s="175" t="s">
        <v>2668</v>
      </c>
      <c r="H470" s="174">
        <v>1</v>
      </c>
      <c r="I470" s="173">
        <v>14.44</v>
      </c>
      <c r="J470" s="174">
        <v>23.35</v>
      </c>
      <c r="K470" s="173">
        <v>337.17</v>
      </c>
    </row>
    <row r="471" spans="1:22" ht="14.25" x14ac:dyDescent="0.2">
      <c r="A471" s="179"/>
      <c r="B471" s="178"/>
      <c r="C471" s="178" t="s">
        <v>184</v>
      </c>
      <c r="D471" s="177"/>
      <c r="E471" s="174"/>
      <c r="F471" s="176">
        <v>0.74</v>
      </c>
      <c r="G471" s="175" t="s">
        <v>2669</v>
      </c>
      <c r="H471" s="174">
        <v>1</v>
      </c>
      <c r="I471" s="173">
        <v>0.97</v>
      </c>
      <c r="J471" s="174">
        <v>9.73</v>
      </c>
      <c r="K471" s="173">
        <v>9.44</v>
      </c>
    </row>
    <row r="472" spans="1:22" ht="14.25" x14ac:dyDescent="0.2">
      <c r="A472" s="179"/>
      <c r="B472" s="178"/>
      <c r="C472" s="178" t="s">
        <v>189</v>
      </c>
      <c r="D472" s="177"/>
      <c r="E472" s="174"/>
      <c r="F472" s="176">
        <v>0.18</v>
      </c>
      <c r="G472" s="175" t="s">
        <v>2669</v>
      </c>
      <c r="H472" s="174">
        <v>1</v>
      </c>
      <c r="I472" s="180">
        <v>0.24</v>
      </c>
      <c r="J472" s="174">
        <v>23.35</v>
      </c>
      <c r="K472" s="180">
        <v>5.6</v>
      </c>
    </row>
    <row r="473" spans="1:22" ht="14.25" x14ac:dyDescent="0.2">
      <c r="A473" s="179"/>
      <c r="B473" s="178"/>
      <c r="C473" s="178" t="s">
        <v>205</v>
      </c>
      <c r="D473" s="177"/>
      <c r="E473" s="174"/>
      <c r="F473" s="176">
        <v>4.41</v>
      </c>
      <c r="G473" s="175" t="s">
        <v>195</v>
      </c>
      <c r="H473" s="174">
        <v>1</v>
      </c>
      <c r="I473" s="173">
        <v>4.41</v>
      </c>
      <c r="J473" s="174">
        <v>5.42</v>
      </c>
      <c r="K473" s="173">
        <v>23.9</v>
      </c>
    </row>
    <row r="474" spans="1:22" ht="14.25" x14ac:dyDescent="0.2">
      <c r="A474" s="179"/>
      <c r="B474" s="178"/>
      <c r="C474" s="178" t="s">
        <v>194</v>
      </c>
      <c r="D474" s="177" t="s">
        <v>187</v>
      </c>
      <c r="E474" s="174">
        <v>110</v>
      </c>
      <c r="F474" s="176"/>
      <c r="G474" s="175"/>
      <c r="H474" s="174"/>
      <c r="I474" s="173">
        <v>15.88</v>
      </c>
      <c r="J474" s="174">
        <v>88</v>
      </c>
      <c r="K474" s="173">
        <v>296.70999999999998</v>
      </c>
    </row>
    <row r="475" spans="1:22" ht="14.25" x14ac:dyDescent="0.2">
      <c r="A475" s="179"/>
      <c r="B475" s="178"/>
      <c r="C475" s="178" t="s">
        <v>193</v>
      </c>
      <c r="D475" s="177" t="s">
        <v>187</v>
      </c>
      <c r="E475" s="174">
        <v>74</v>
      </c>
      <c r="F475" s="176"/>
      <c r="G475" s="175"/>
      <c r="H475" s="174"/>
      <c r="I475" s="173">
        <v>10.69</v>
      </c>
      <c r="J475" s="174">
        <v>41</v>
      </c>
      <c r="K475" s="173">
        <v>138.24</v>
      </c>
    </row>
    <row r="476" spans="1:22" ht="14.25" x14ac:dyDescent="0.2">
      <c r="A476" s="179"/>
      <c r="B476" s="178"/>
      <c r="C476" s="178" t="s">
        <v>188</v>
      </c>
      <c r="D476" s="177" t="s">
        <v>187</v>
      </c>
      <c r="E476" s="174">
        <v>175</v>
      </c>
      <c r="F476" s="176"/>
      <c r="G476" s="175"/>
      <c r="H476" s="174"/>
      <c r="I476" s="173">
        <v>0.42</v>
      </c>
      <c r="J476" s="174">
        <v>157</v>
      </c>
      <c r="K476" s="173">
        <v>8.7899999999999991</v>
      </c>
    </row>
    <row r="477" spans="1:22" ht="14.25" x14ac:dyDescent="0.2">
      <c r="A477" s="242"/>
      <c r="B477" s="241"/>
      <c r="C477" s="241" t="s">
        <v>192</v>
      </c>
      <c r="D477" s="240" t="s">
        <v>191</v>
      </c>
      <c r="E477" s="238">
        <v>1.03</v>
      </c>
      <c r="F477" s="253"/>
      <c r="G477" s="239" t="s">
        <v>2668</v>
      </c>
      <c r="H477" s="238">
        <v>1</v>
      </c>
      <c r="I477" s="237">
        <v>1.24</v>
      </c>
      <c r="J477" s="238"/>
      <c r="K477" s="237"/>
    </row>
    <row r="478" spans="1:22" ht="15" x14ac:dyDescent="0.25">
      <c r="A478" s="235"/>
      <c r="B478" s="235"/>
      <c r="C478" s="236" t="s">
        <v>183</v>
      </c>
      <c r="D478" s="235"/>
      <c r="E478" s="235"/>
      <c r="F478" s="235"/>
      <c r="G478" s="235"/>
      <c r="H478" s="436">
        <v>46.81</v>
      </c>
      <c r="I478" s="436"/>
      <c r="J478" s="436">
        <v>814.25</v>
      </c>
      <c r="K478" s="436"/>
      <c r="O478" s="163">
        <f>I470+I471+I473+I474+I475+I476</f>
        <v>46.81</v>
      </c>
      <c r="P478" s="163">
        <f>K470+K471+K473+K474+K475+K476</f>
        <v>814.25</v>
      </c>
    </row>
    <row r="480" spans="1:22" ht="28.5" x14ac:dyDescent="0.2">
      <c r="A480" s="179" t="s">
        <v>1784</v>
      </c>
      <c r="B480" s="178" t="s">
        <v>2677</v>
      </c>
      <c r="C480" s="178" t="s">
        <v>1045</v>
      </c>
      <c r="D480" s="177" t="s">
        <v>2678</v>
      </c>
      <c r="E480" s="174">
        <v>0.15</v>
      </c>
      <c r="F480" s="176"/>
      <c r="G480" s="175"/>
      <c r="H480" s="174"/>
      <c r="I480" s="173"/>
      <c r="J480" s="174"/>
      <c r="K480" s="173"/>
      <c r="Q480" s="160">
        <f>[8]Source!X365</f>
        <v>12.03</v>
      </c>
      <c r="R480" s="160">
        <f>[8]Source!X366</f>
        <v>224.8</v>
      </c>
      <c r="S480" s="160">
        <f>[8]Source!Y365</f>
        <v>8.1</v>
      </c>
      <c r="T480" s="160">
        <f>[8]Source!Y366</f>
        <v>104.73</v>
      </c>
      <c r="U480" s="160">
        <f>ROUND((175/100)*ROUND([8]Source!R365, 2), 2)</f>
        <v>1.4</v>
      </c>
      <c r="V480" s="160">
        <f>ROUND((157/100)*ROUND([8]Source!R366, 2), 2)</f>
        <v>29.33</v>
      </c>
    </row>
    <row r="481" spans="1:22" x14ac:dyDescent="0.2">
      <c r="C481" s="181" t="s">
        <v>2679</v>
      </c>
    </row>
    <row r="482" spans="1:22" ht="14.25" x14ac:dyDescent="0.2">
      <c r="A482" s="179"/>
      <c r="B482" s="178"/>
      <c r="C482" s="178" t="s">
        <v>197</v>
      </c>
      <c r="D482" s="177"/>
      <c r="E482" s="174"/>
      <c r="F482" s="176">
        <v>60.39</v>
      </c>
      <c r="G482" s="175" t="s">
        <v>2668</v>
      </c>
      <c r="H482" s="174">
        <v>1</v>
      </c>
      <c r="I482" s="173">
        <v>10.94</v>
      </c>
      <c r="J482" s="174">
        <v>23.35</v>
      </c>
      <c r="K482" s="173">
        <v>255.45</v>
      </c>
    </row>
    <row r="483" spans="1:22" ht="14.25" x14ac:dyDescent="0.2">
      <c r="A483" s="179"/>
      <c r="B483" s="178"/>
      <c r="C483" s="178" t="s">
        <v>184</v>
      </c>
      <c r="D483" s="177"/>
      <c r="E483" s="174"/>
      <c r="F483" s="176">
        <v>20.05</v>
      </c>
      <c r="G483" s="175" t="s">
        <v>2669</v>
      </c>
      <c r="H483" s="174">
        <v>1</v>
      </c>
      <c r="I483" s="173">
        <v>3.95</v>
      </c>
      <c r="J483" s="174">
        <v>8.98</v>
      </c>
      <c r="K483" s="173">
        <v>35.47</v>
      </c>
    </row>
    <row r="484" spans="1:22" ht="14.25" x14ac:dyDescent="0.2">
      <c r="A484" s="179"/>
      <c r="B484" s="178"/>
      <c r="C484" s="178" t="s">
        <v>189</v>
      </c>
      <c r="D484" s="177"/>
      <c r="E484" s="174"/>
      <c r="F484" s="176">
        <v>4.04</v>
      </c>
      <c r="G484" s="175" t="s">
        <v>2669</v>
      </c>
      <c r="H484" s="174">
        <v>1</v>
      </c>
      <c r="I484" s="180">
        <v>0.8</v>
      </c>
      <c r="J484" s="174">
        <v>23.35</v>
      </c>
      <c r="K484" s="180">
        <v>18.68</v>
      </c>
    </row>
    <row r="485" spans="1:22" ht="14.25" x14ac:dyDescent="0.2">
      <c r="A485" s="179"/>
      <c r="B485" s="178"/>
      <c r="C485" s="178" t="s">
        <v>205</v>
      </c>
      <c r="D485" s="177"/>
      <c r="E485" s="174"/>
      <c r="F485" s="176">
        <v>25.9</v>
      </c>
      <c r="G485" s="175" t="s">
        <v>195</v>
      </c>
      <c r="H485" s="174">
        <v>1</v>
      </c>
      <c r="I485" s="173">
        <v>3.89</v>
      </c>
      <c r="J485" s="174">
        <v>5.42</v>
      </c>
      <c r="K485" s="173">
        <v>21.08</v>
      </c>
    </row>
    <row r="486" spans="1:22" ht="14.25" x14ac:dyDescent="0.2">
      <c r="A486" s="179"/>
      <c r="B486" s="178"/>
      <c r="C486" s="178" t="s">
        <v>194</v>
      </c>
      <c r="D486" s="177" t="s">
        <v>187</v>
      </c>
      <c r="E486" s="174">
        <v>110</v>
      </c>
      <c r="F486" s="176"/>
      <c r="G486" s="175"/>
      <c r="H486" s="174"/>
      <c r="I486" s="173">
        <v>12.03</v>
      </c>
      <c r="J486" s="174">
        <v>88</v>
      </c>
      <c r="K486" s="173">
        <v>224.8</v>
      </c>
    </row>
    <row r="487" spans="1:22" ht="14.25" x14ac:dyDescent="0.2">
      <c r="A487" s="179"/>
      <c r="B487" s="178"/>
      <c r="C487" s="178" t="s">
        <v>193</v>
      </c>
      <c r="D487" s="177" t="s">
        <v>187</v>
      </c>
      <c r="E487" s="174">
        <v>74</v>
      </c>
      <c r="F487" s="176"/>
      <c r="G487" s="175"/>
      <c r="H487" s="174"/>
      <c r="I487" s="173">
        <v>8.1</v>
      </c>
      <c r="J487" s="174">
        <v>41</v>
      </c>
      <c r="K487" s="173">
        <v>104.73</v>
      </c>
    </row>
    <row r="488" spans="1:22" ht="14.25" x14ac:dyDescent="0.2">
      <c r="A488" s="179"/>
      <c r="B488" s="178"/>
      <c r="C488" s="178" t="s">
        <v>188</v>
      </c>
      <c r="D488" s="177" t="s">
        <v>187</v>
      </c>
      <c r="E488" s="174">
        <v>175</v>
      </c>
      <c r="F488" s="176"/>
      <c r="G488" s="175"/>
      <c r="H488" s="174"/>
      <c r="I488" s="173">
        <v>1.4</v>
      </c>
      <c r="J488" s="174">
        <v>157</v>
      </c>
      <c r="K488" s="173">
        <v>29.33</v>
      </c>
    </row>
    <row r="489" spans="1:22" ht="14.25" x14ac:dyDescent="0.2">
      <c r="A489" s="242"/>
      <c r="B489" s="241"/>
      <c r="C489" s="241" t="s">
        <v>192</v>
      </c>
      <c r="D489" s="240" t="s">
        <v>191</v>
      </c>
      <c r="E489" s="238">
        <v>5.0199999999999996</v>
      </c>
      <c r="F489" s="253"/>
      <c r="G489" s="239" t="s">
        <v>2668</v>
      </c>
      <c r="H489" s="238">
        <v>1</v>
      </c>
      <c r="I489" s="237">
        <v>0.91</v>
      </c>
      <c r="J489" s="238"/>
      <c r="K489" s="237"/>
    </row>
    <row r="490" spans="1:22" ht="15" x14ac:dyDescent="0.25">
      <c r="A490" s="235"/>
      <c r="B490" s="235"/>
      <c r="C490" s="236" t="s">
        <v>183</v>
      </c>
      <c r="D490" s="235"/>
      <c r="E490" s="235"/>
      <c r="F490" s="235"/>
      <c r="G490" s="235"/>
      <c r="H490" s="436">
        <v>40.31</v>
      </c>
      <c r="I490" s="436"/>
      <c r="J490" s="436">
        <v>670.86</v>
      </c>
      <c r="K490" s="436"/>
      <c r="O490" s="163">
        <f>I482+I483+I485+I486+I487+I488</f>
        <v>40.31</v>
      </c>
      <c r="P490" s="163">
        <f>K482+K483+K485+K486+K487+K488</f>
        <v>670.86</v>
      </c>
    </row>
    <row r="492" spans="1:22" ht="57" x14ac:dyDescent="0.2">
      <c r="A492" s="179" t="s">
        <v>1789</v>
      </c>
      <c r="B492" s="178" t="s">
        <v>2680</v>
      </c>
      <c r="C492" s="178" t="s">
        <v>1052</v>
      </c>
      <c r="D492" s="177" t="s">
        <v>1903</v>
      </c>
      <c r="E492" s="174">
        <v>2</v>
      </c>
      <c r="F492" s="176"/>
      <c r="G492" s="175"/>
      <c r="H492" s="174"/>
      <c r="I492" s="173"/>
      <c r="J492" s="174"/>
      <c r="K492" s="173"/>
      <c r="Q492" s="160">
        <f>[8]Source!X367</f>
        <v>33.21</v>
      </c>
      <c r="R492" s="160">
        <f>[8]Source!X368</f>
        <v>620.35</v>
      </c>
      <c r="S492" s="160">
        <f>[8]Source!Y367</f>
        <v>22.34</v>
      </c>
      <c r="T492" s="160">
        <f>[8]Source!Y368</f>
        <v>289.02999999999997</v>
      </c>
      <c r="U492" s="160">
        <f>ROUND((175/100)*ROUND([8]Source!R367, 2), 2)</f>
        <v>1.61</v>
      </c>
      <c r="V492" s="160">
        <f>ROUND((157/100)*ROUND([8]Source!R368, 2), 2)</f>
        <v>33.72</v>
      </c>
    </row>
    <row r="493" spans="1:22" ht="14.25" x14ac:dyDescent="0.2">
      <c r="A493" s="179"/>
      <c r="B493" s="178"/>
      <c r="C493" s="178" t="s">
        <v>197</v>
      </c>
      <c r="D493" s="177"/>
      <c r="E493" s="174"/>
      <c r="F493" s="176">
        <v>12.5</v>
      </c>
      <c r="G493" s="175" t="s">
        <v>2668</v>
      </c>
      <c r="H493" s="174">
        <v>1</v>
      </c>
      <c r="I493" s="173">
        <v>30.19</v>
      </c>
      <c r="J493" s="174">
        <v>23.35</v>
      </c>
      <c r="K493" s="173">
        <v>704.94</v>
      </c>
    </row>
    <row r="494" spans="1:22" ht="14.25" x14ac:dyDescent="0.2">
      <c r="A494" s="179"/>
      <c r="B494" s="178"/>
      <c r="C494" s="178" t="s">
        <v>184</v>
      </c>
      <c r="D494" s="177"/>
      <c r="E494" s="174"/>
      <c r="F494" s="176">
        <v>1.49</v>
      </c>
      <c r="G494" s="175" t="s">
        <v>2669</v>
      </c>
      <c r="H494" s="174">
        <v>1</v>
      </c>
      <c r="I494" s="173">
        <v>3.91</v>
      </c>
      <c r="J494" s="174">
        <v>9.58</v>
      </c>
      <c r="K494" s="173">
        <v>37.46</v>
      </c>
    </row>
    <row r="495" spans="1:22" ht="14.25" x14ac:dyDescent="0.2">
      <c r="A495" s="179"/>
      <c r="B495" s="178"/>
      <c r="C495" s="178" t="s">
        <v>189</v>
      </c>
      <c r="D495" s="177"/>
      <c r="E495" s="174"/>
      <c r="F495" s="176">
        <v>0.35</v>
      </c>
      <c r="G495" s="175" t="s">
        <v>2669</v>
      </c>
      <c r="H495" s="174">
        <v>1</v>
      </c>
      <c r="I495" s="180">
        <v>0.92</v>
      </c>
      <c r="J495" s="174">
        <v>23.35</v>
      </c>
      <c r="K495" s="180">
        <v>21.48</v>
      </c>
    </row>
    <row r="496" spans="1:22" ht="14.25" x14ac:dyDescent="0.2">
      <c r="A496" s="179"/>
      <c r="B496" s="178"/>
      <c r="C496" s="178" t="s">
        <v>205</v>
      </c>
      <c r="D496" s="177"/>
      <c r="E496" s="174"/>
      <c r="F496" s="176">
        <v>6.23</v>
      </c>
      <c r="G496" s="175" t="s">
        <v>195</v>
      </c>
      <c r="H496" s="174">
        <v>1</v>
      </c>
      <c r="I496" s="173">
        <v>12.46</v>
      </c>
      <c r="J496" s="174">
        <v>5.42</v>
      </c>
      <c r="K496" s="173">
        <v>67.53</v>
      </c>
    </row>
    <row r="497" spans="1:22" ht="14.25" x14ac:dyDescent="0.2">
      <c r="A497" s="179"/>
      <c r="B497" s="178"/>
      <c r="C497" s="178" t="s">
        <v>194</v>
      </c>
      <c r="D497" s="177" t="s">
        <v>187</v>
      </c>
      <c r="E497" s="174">
        <v>110</v>
      </c>
      <c r="F497" s="176"/>
      <c r="G497" s="175"/>
      <c r="H497" s="174"/>
      <c r="I497" s="173">
        <v>33.21</v>
      </c>
      <c r="J497" s="174">
        <v>88</v>
      </c>
      <c r="K497" s="173">
        <v>620.35</v>
      </c>
    </row>
    <row r="498" spans="1:22" ht="14.25" x14ac:dyDescent="0.2">
      <c r="A498" s="179"/>
      <c r="B498" s="178"/>
      <c r="C498" s="178" t="s">
        <v>193</v>
      </c>
      <c r="D498" s="177" t="s">
        <v>187</v>
      </c>
      <c r="E498" s="174">
        <v>74</v>
      </c>
      <c r="F498" s="176"/>
      <c r="G498" s="175"/>
      <c r="H498" s="174"/>
      <c r="I498" s="173">
        <v>22.34</v>
      </c>
      <c r="J498" s="174">
        <v>41</v>
      </c>
      <c r="K498" s="173">
        <v>289.02999999999997</v>
      </c>
    </row>
    <row r="499" spans="1:22" ht="14.25" x14ac:dyDescent="0.2">
      <c r="A499" s="179"/>
      <c r="B499" s="178"/>
      <c r="C499" s="178" t="s">
        <v>188</v>
      </c>
      <c r="D499" s="177" t="s">
        <v>187</v>
      </c>
      <c r="E499" s="174">
        <v>175</v>
      </c>
      <c r="F499" s="176"/>
      <c r="G499" s="175"/>
      <c r="H499" s="174"/>
      <c r="I499" s="173">
        <v>1.61</v>
      </c>
      <c r="J499" s="174">
        <v>157</v>
      </c>
      <c r="K499" s="173">
        <v>33.72</v>
      </c>
    </row>
    <row r="500" spans="1:22" ht="14.25" x14ac:dyDescent="0.2">
      <c r="A500" s="242"/>
      <c r="B500" s="241"/>
      <c r="C500" s="241" t="s">
        <v>192</v>
      </c>
      <c r="D500" s="240" t="s">
        <v>191</v>
      </c>
      <c r="E500" s="238">
        <v>1.0900000000000001</v>
      </c>
      <c r="F500" s="253"/>
      <c r="G500" s="239" t="s">
        <v>2668</v>
      </c>
      <c r="H500" s="238">
        <v>1</v>
      </c>
      <c r="I500" s="237">
        <v>2.63</v>
      </c>
      <c r="J500" s="238"/>
      <c r="K500" s="237"/>
    </row>
    <row r="501" spans="1:22" ht="15" x14ac:dyDescent="0.25">
      <c r="A501" s="235"/>
      <c r="B501" s="235"/>
      <c r="C501" s="236" t="s">
        <v>183</v>
      </c>
      <c r="D501" s="235"/>
      <c r="E501" s="235"/>
      <c r="F501" s="235"/>
      <c r="G501" s="235"/>
      <c r="H501" s="436">
        <v>103.72</v>
      </c>
      <c r="I501" s="436"/>
      <c r="J501" s="436">
        <v>1753.03</v>
      </c>
      <c r="K501" s="436"/>
      <c r="O501" s="163">
        <f>I493+I494+I496+I497+I498+I499</f>
        <v>103.72</v>
      </c>
      <c r="P501" s="163">
        <f>K493+K494+K496+K497+K498+K499</f>
        <v>1753.03</v>
      </c>
    </row>
    <row r="503" spans="1:22" ht="68.25" x14ac:dyDescent="0.2">
      <c r="A503" s="250" t="s">
        <v>1795</v>
      </c>
      <c r="B503" s="249" t="s">
        <v>2670</v>
      </c>
      <c r="C503" s="249" t="s">
        <v>1073</v>
      </c>
      <c r="D503" s="248" t="s">
        <v>1913</v>
      </c>
      <c r="E503" s="246">
        <v>1</v>
      </c>
      <c r="F503" s="254">
        <v>2306.21</v>
      </c>
      <c r="G503" s="247" t="s">
        <v>195</v>
      </c>
      <c r="H503" s="246">
        <v>1</v>
      </c>
      <c r="I503" s="245">
        <v>2306.21</v>
      </c>
      <c r="J503" s="246">
        <v>4.4000000000000004</v>
      </c>
      <c r="K503" s="245">
        <v>10147.32</v>
      </c>
      <c r="Q503" s="160">
        <f>[8]Source!X369</f>
        <v>0</v>
      </c>
      <c r="R503" s="160">
        <f>[8]Source!X370</f>
        <v>0</v>
      </c>
      <c r="S503" s="160">
        <f>[8]Source!Y369</f>
        <v>0</v>
      </c>
      <c r="T503" s="160">
        <f>[8]Source!Y370</f>
        <v>0</v>
      </c>
      <c r="U503" s="160">
        <f>ROUND((175/100)*ROUND([8]Source!R369, 2), 2)</f>
        <v>0</v>
      </c>
      <c r="V503" s="160">
        <f>ROUND((157/100)*ROUND([8]Source!R370, 2), 2)</f>
        <v>0</v>
      </c>
    </row>
    <row r="504" spans="1:22" ht="15" x14ac:dyDescent="0.25">
      <c r="A504" s="243"/>
      <c r="B504" s="243"/>
      <c r="C504" s="244" t="s">
        <v>183</v>
      </c>
      <c r="D504" s="243"/>
      <c r="E504" s="243"/>
      <c r="F504" s="243"/>
      <c r="G504" s="243"/>
      <c r="H504" s="437">
        <v>2306.21</v>
      </c>
      <c r="I504" s="437"/>
      <c r="J504" s="437">
        <v>10147.32</v>
      </c>
      <c r="K504" s="437"/>
      <c r="O504" s="163">
        <f>I503</f>
        <v>2306.21</v>
      </c>
      <c r="P504" s="163">
        <f>K503</f>
        <v>10147.32</v>
      </c>
    </row>
    <row r="506" spans="1:22" ht="28.5" x14ac:dyDescent="0.2">
      <c r="A506" s="179" t="s">
        <v>1798</v>
      </c>
      <c r="B506" s="178" t="s">
        <v>2673</v>
      </c>
      <c r="C506" s="178" t="s">
        <v>1046</v>
      </c>
      <c r="D506" s="177" t="s">
        <v>2674</v>
      </c>
      <c r="E506" s="174">
        <v>1</v>
      </c>
      <c r="F506" s="176"/>
      <c r="G506" s="175"/>
      <c r="H506" s="174"/>
      <c r="I506" s="173"/>
      <c r="J506" s="174"/>
      <c r="K506" s="173"/>
      <c r="Q506" s="160">
        <f>[8]Source!X372</f>
        <v>83.15</v>
      </c>
      <c r="R506" s="160">
        <f>[8]Source!X373</f>
        <v>1553.23</v>
      </c>
      <c r="S506" s="160">
        <f>[8]Source!Y372</f>
        <v>55.94</v>
      </c>
      <c r="T506" s="160">
        <f>[8]Source!Y373</f>
        <v>723.66</v>
      </c>
      <c r="U506" s="160">
        <f>ROUND((175/100)*ROUND([8]Source!R372, 2), 2)</f>
        <v>3.38</v>
      </c>
      <c r="V506" s="160">
        <f>ROUND((157/100)*ROUND([8]Source!R373, 2), 2)</f>
        <v>70.760000000000005</v>
      </c>
    </row>
    <row r="507" spans="1:22" ht="14.25" x14ac:dyDescent="0.2">
      <c r="A507" s="179"/>
      <c r="B507" s="178"/>
      <c r="C507" s="178" t="s">
        <v>197</v>
      </c>
      <c r="D507" s="177"/>
      <c r="E507" s="174"/>
      <c r="F507" s="176">
        <v>62.6</v>
      </c>
      <c r="G507" s="175" t="s">
        <v>2668</v>
      </c>
      <c r="H507" s="174">
        <v>1</v>
      </c>
      <c r="I507" s="173">
        <v>75.59</v>
      </c>
      <c r="J507" s="174">
        <v>23.35</v>
      </c>
      <c r="K507" s="173">
        <v>1765.03</v>
      </c>
    </row>
    <row r="508" spans="1:22" ht="14.25" x14ac:dyDescent="0.2">
      <c r="A508" s="179"/>
      <c r="B508" s="178"/>
      <c r="C508" s="178" t="s">
        <v>184</v>
      </c>
      <c r="D508" s="177"/>
      <c r="E508" s="174"/>
      <c r="F508" s="176">
        <v>8.82</v>
      </c>
      <c r="G508" s="175" t="s">
        <v>2669</v>
      </c>
      <c r="H508" s="174">
        <v>1</v>
      </c>
      <c r="I508" s="173">
        <v>11.58</v>
      </c>
      <c r="J508" s="174">
        <v>8.66</v>
      </c>
      <c r="K508" s="173">
        <v>100.28</v>
      </c>
    </row>
    <row r="509" spans="1:22" ht="14.25" x14ac:dyDescent="0.2">
      <c r="A509" s="179"/>
      <c r="B509" s="178"/>
      <c r="C509" s="178" t="s">
        <v>189</v>
      </c>
      <c r="D509" s="177"/>
      <c r="E509" s="174"/>
      <c r="F509" s="176">
        <v>1.47</v>
      </c>
      <c r="G509" s="175" t="s">
        <v>2669</v>
      </c>
      <c r="H509" s="174">
        <v>1</v>
      </c>
      <c r="I509" s="180">
        <v>1.93</v>
      </c>
      <c r="J509" s="174">
        <v>23.35</v>
      </c>
      <c r="K509" s="180">
        <v>45.07</v>
      </c>
    </row>
    <row r="510" spans="1:22" ht="14.25" x14ac:dyDescent="0.2">
      <c r="A510" s="179"/>
      <c r="B510" s="178"/>
      <c r="C510" s="178" t="s">
        <v>205</v>
      </c>
      <c r="D510" s="177"/>
      <c r="E510" s="174"/>
      <c r="F510" s="176">
        <v>2.62</v>
      </c>
      <c r="G510" s="175" t="s">
        <v>195</v>
      </c>
      <c r="H510" s="174">
        <v>1</v>
      </c>
      <c r="I510" s="173">
        <v>2.62</v>
      </c>
      <c r="J510" s="174">
        <v>2.5299999999999998</v>
      </c>
      <c r="K510" s="173">
        <v>6.63</v>
      </c>
    </row>
    <row r="511" spans="1:22" ht="14.25" x14ac:dyDescent="0.2">
      <c r="A511" s="179"/>
      <c r="B511" s="178"/>
      <c r="C511" s="178" t="s">
        <v>194</v>
      </c>
      <c r="D511" s="177" t="s">
        <v>187</v>
      </c>
      <c r="E511" s="174">
        <v>110</v>
      </c>
      <c r="F511" s="176"/>
      <c r="G511" s="175"/>
      <c r="H511" s="174"/>
      <c r="I511" s="173">
        <v>83.15</v>
      </c>
      <c r="J511" s="174">
        <v>88</v>
      </c>
      <c r="K511" s="173">
        <v>1553.23</v>
      </c>
    </row>
    <row r="512" spans="1:22" ht="14.25" x14ac:dyDescent="0.2">
      <c r="A512" s="179"/>
      <c r="B512" s="178"/>
      <c r="C512" s="178" t="s">
        <v>193</v>
      </c>
      <c r="D512" s="177" t="s">
        <v>187</v>
      </c>
      <c r="E512" s="174">
        <v>74</v>
      </c>
      <c r="F512" s="176"/>
      <c r="G512" s="175"/>
      <c r="H512" s="174"/>
      <c r="I512" s="173">
        <v>55.94</v>
      </c>
      <c r="J512" s="174">
        <v>41</v>
      </c>
      <c r="K512" s="173">
        <v>723.66</v>
      </c>
    </row>
    <row r="513" spans="1:22" ht="14.25" x14ac:dyDescent="0.2">
      <c r="A513" s="179"/>
      <c r="B513" s="178"/>
      <c r="C513" s="178" t="s">
        <v>188</v>
      </c>
      <c r="D513" s="177" t="s">
        <v>187</v>
      </c>
      <c r="E513" s="174">
        <v>175</v>
      </c>
      <c r="F513" s="176"/>
      <c r="G513" s="175"/>
      <c r="H513" s="174"/>
      <c r="I513" s="173">
        <v>3.38</v>
      </c>
      <c r="J513" s="174">
        <v>157</v>
      </c>
      <c r="K513" s="173">
        <v>70.760000000000005</v>
      </c>
    </row>
    <row r="514" spans="1:22" ht="14.25" x14ac:dyDescent="0.2">
      <c r="A514" s="242"/>
      <c r="B514" s="241"/>
      <c r="C514" s="241" t="s">
        <v>192</v>
      </c>
      <c r="D514" s="240" t="s">
        <v>191</v>
      </c>
      <c r="E514" s="238">
        <v>4.96</v>
      </c>
      <c r="F514" s="253"/>
      <c r="G514" s="239" t="s">
        <v>2668</v>
      </c>
      <c r="H514" s="238">
        <v>1</v>
      </c>
      <c r="I514" s="237">
        <v>5.99</v>
      </c>
      <c r="J514" s="238"/>
      <c r="K514" s="237"/>
    </row>
    <row r="515" spans="1:22" ht="15" x14ac:dyDescent="0.25">
      <c r="A515" s="235"/>
      <c r="B515" s="235"/>
      <c r="C515" s="236" t="s">
        <v>183</v>
      </c>
      <c r="D515" s="235"/>
      <c r="E515" s="235"/>
      <c r="F515" s="235"/>
      <c r="G515" s="235"/>
      <c r="H515" s="436">
        <v>232.26</v>
      </c>
      <c r="I515" s="436"/>
      <c r="J515" s="436">
        <v>4219.59</v>
      </c>
      <c r="K515" s="436"/>
      <c r="O515" s="163">
        <f>I507+I508+I510+I511+I512+I513</f>
        <v>232.26</v>
      </c>
      <c r="P515" s="163">
        <f>K507+K508+K510+K511+K512+K513</f>
        <v>4219.59</v>
      </c>
    </row>
    <row r="517" spans="1:22" ht="28.5" x14ac:dyDescent="0.2">
      <c r="A517" s="179" t="s">
        <v>1804</v>
      </c>
      <c r="B517" s="178" t="s">
        <v>2675</v>
      </c>
      <c r="C517" s="178" t="s">
        <v>1026</v>
      </c>
      <c r="D517" s="177" t="s">
        <v>2676</v>
      </c>
      <c r="E517" s="174">
        <v>1</v>
      </c>
      <c r="F517" s="176"/>
      <c r="G517" s="175"/>
      <c r="H517" s="174"/>
      <c r="I517" s="173"/>
      <c r="J517" s="174"/>
      <c r="K517" s="173"/>
      <c r="Q517" s="160">
        <f>[8]Source!X376</f>
        <v>15.88</v>
      </c>
      <c r="R517" s="160">
        <f>[8]Source!X377</f>
        <v>296.70999999999998</v>
      </c>
      <c r="S517" s="160">
        <f>[8]Source!Y376</f>
        <v>10.69</v>
      </c>
      <c r="T517" s="160">
        <f>[8]Source!Y377</f>
        <v>138.24</v>
      </c>
      <c r="U517" s="160">
        <f>ROUND((175/100)*ROUND([8]Source!R376, 2), 2)</f>
        <v>0.42</v>
      </c>
      <c r="V517" s="160">
        <f>ROUND((157/100)*ROUND([8]Source!R377, 2), 2)</f>
        <v>8.7899999999999991</v>
      </c>
    </row>
    <row r="518" spans="1:22" ht="14.25" x14ac:dyDescent="0.2">
      <c r="A518" s="179"/>
      <c r="B518" s="178"/>
      <c r="C518" s="178" t="s">
        <v>197</v>
      </c>
      <c r="D518" s="177"/>
      <c r="E518" s="174"/>
      <c r="F518" s="176">
        <v>11.96</v>
      </c>
      <c r="G518" s="175" t="s">
        <v>2668</v>
      </c>
      <c r="H518" s="174">
        <v>1</v>
      </c>
      <c r="I518" s="173">
        <v>14.44</v>
      </c>
      <c r="J518" s="174">
        <v>23.35</v>
      </c>
      <c r="K518" s="173">
        <v>337.17</v>
      </c>
    </row>
    <row r="519" spans="1:22" ht="14.25" x14ac:dyDescent="0.2">
      <c r="A519" s="179"/>
      <c r="B519" s="178"/>
      <c r="C519" s="178" t="s">
        <v>184</v>
      </c>
      <c r="D519" s="177"/>
      <c r="E519" s="174"/>
      <c r="F519" s="176">
        <v>0.74</v>
      </c>
      <c r="G519" s="175" t="s">
        <v>2669</v>
      </c>
      <c r="H519" s="174">
        <v>1</v>
      </c>
      <c r="I519" s="173">
        <v>0.97</v>
      </c>
      <c r="J519" s="174">
        <v>9.73</v>
      </c>
      <c r="K519" s="173">
        <v>9.44</v>
      </c>
    </row>
    <row r="520" spans="1:22" ht="14.25" x14ac:dyDescent="0.2">
      <c r="A520" s="179"/>
      <c r="B520" s="178"/>
      <c r="C520" s="178" t="s">
        <v>189</v>
      </c>
      <c r="D520" s="177"/>
      <c r="E520" s="174"/>
      <c r="F520" s="176">
        <v>0.18</v>
      </c>
      <c r="G520" s="175" t="s">
        <v>2669</v>
      </c>
      <c r="H520" s="174">
        <v>1</v>
      </c>
      <c r="I520" s="180">
        <v>0.24</v>
      </c>
      <c r="J520" s="174">
        <v>23.35</v>
      </c>
      <c r="K520" s="180">
        <v>5.6</v>
      </c>
    </row>
    <row r="521" spans="1:22" ht="14.25" x14ac:dyDescent="0.2">
      <c r="A521" s="179"/>
      <c r="B521" s="178"/>
      <c r="C521" s="178" t="s">
        <v>205</v>
      </c>
      <c r="D521" s="177"/>
      <c r="E521" s="174"/>
      <c r="F521" s="176">
        <v>4.41</v>
      </c>
      <c r="G521" s="175" t="s">
        <v>195</v>
      </c>
      <c r="H521" s="174">
        <v>1</v>
      </c>
      <c r="I521" s="173">
        <v>4.41</v>
      </c>
      <c r="J521" s="174">
        <v>5.42</v>
      </c>
      <c r="K521" s="173">
        <v>23.9</v>
      </c>
    </row>
    <row r="522" spans="1:22" ht="14.25" x14ac:dyDescent="0.2">
      <c r="A522" s="179"/>
      <c r="B522" s="178"/>
      <c r="C522" s="178" t="s">
        <v>194</v>
      </c>
      <c r="D522" s="177" t="s">
        <v>187</v>
      </c>
      <c r="E522" s="174">
        <v>110</v>
      </c>
      <c r="F522" s="176"/>
      <c r="G522" s="175"/>
      <c r="H522" s="174"/>
      <c r="I522" s="173">
        <v>15.88</v>
      </c>
      <c r="J522" s="174">
        <v>88</v>
      </c>
      <c r="K522" s="173">
        <v>296.70999999999998</v>
      </c>
    </row>
    <row r="523" spans="1:22" ht="14.25" x14ac:dyDescent="0.2">
      <c r="A523" s="179"/>
      <c r="B523" s="178"/>
      <c r="C523" s="178" t="s">
        <v>193</v>
      </c>
      <c r="D523" s="177" t="s">
        <v>187</v>
      </c>
      <c r="E523" s="174">
        <v>74</v>
      </c>
      <c r="F523" s="176"/>
      <c r="G523" s="175"/>
      <c r="H523" s="174"/>
      <c r="I523" s="173">
        <v>10.69</v>
      </c>
      <c r="J523" s="174">
        <v>41</v>
      </c>
      <c r="K523" s="173">
        <v>138.24</v>
      </c>
    </row>
    <row r="524" spans="1:22" ht="14.25" x14ac:dyDescent="0.2">
      <c r="A524" s="179"/>
      <c r="B524" s="178"/>
      <c r="C524" s="178" t="s">
        <v>188</v>
      </c>
      <c r="D524" s="177" t="s">
        <v>187</v>
      </c>
      <c r="E524" s="174">
        <v>175</v>
      </c>
      <c r="F524" s="176"/>
      <c r="G524" s="175"/>
      <c r="H524" s="174"/>
      <c r="I524" s="173">
        <v>0.42</v>
      </c>
      <c r="J524" s="174">
        <v>157</v>
      </c>
      <c r="K524" s="173">
        <v>8.7899999999999991</v>
      </c>
    </row>
    <row r="525" spans="1:22" ht="14.25" x14ac:dyDescent="0.2">
      <c r="A525" s="242"/>
      <c r="B525" s="241"/>
      <c r="C525" s="241" t="s">
        <v>192</v>
      </c>
      <c r="D525" s="240" t="s">
        <v>191</v>
      </c>
      <c r="E525" s="238">
        <v>1.03</v>
      </c>
      <c r="F525" s="253"/>
      <c r="G525" s="239" t="s">
        <v>2668</v>
      </c>
      <c r="H525" s="238">
        <v>1</v>
      </c>
      <c r="I525" s="237">
        <v>1.24</v>
      </c>
      <c r="J525" s="238"/>
      <c r="K525" s="237"/>
    </row>
    <row r="526" spans="1:22" ht="15" x14ac:dyDescent="0.25">
      <c r="A526" s="235"/>
      <c r="B526" s="235"/>
      <c r="C526" s="236" t="s">
        <v>183</v>
      </c>
      <c r="D526" s="235"/>
      <c r="E526" s="235"/>
      <c r="F526" s="235"/>
      <c r="G526" s="235"/>
      <c r="H526" s="436">
        <v>46.81</v>
      </c>
      <c r="I526" s="436"/>
      <c r="J526" s="436">
        <v>814.25</v>
      </c>
      <c r="K526" s="436"/>
      <c r="O526" s="163">
        <f>I518+I519+I521+I522+I523+I524</f>
        <v>46.81</v>
      </c>
      <c r="P526" s="163">
        <f>K518+K519+K521+K522+K523+K524</f>
        <v>814.25</v>
      </c>
    </row>
    <row r="528" spans="1:22" ht="28.5" x14ac:dyDescent="0.2">
      <c r="A528" s="179" t="s">
        <v>1806</v>
      </c>
      <c r="B528" s="178" t="s">
        <v>2677</v>
      </c>
      <c r="C528" s="178" t="s">
        <v>1045</v>
      </c>
      <c r="D528" s="177" t="s">
        <v>2678</v>
      </c>
      <c r="E528" s="174">
        <v>0.15</v>
      </c>
      <c r="F528" s="176"/>
      <c r="G528" s="175"/>
      <c r="H528" s="174"/>
      <c r="I528" s="173"/>
      <c r="J528" s="174"/>
      <c r="K528" s="173"/>
      <c r="Q528" s="160">
        <f>[8]Source!X378</f>
        <v>12.03</v>
      </c>
      <c r="R528" s="160">
        <f>[8]Source!X379</f>
        <v>224.8</v>
      </c>
      <c r="S528" s="160">
        <f>[8]Source!Y378</f>
        <v>8.1</v>
      </c>
      <c r="T528" s="160">
        <f>[8]Source!Y379</f>
        <v>104.73</v>
      </c>
      <c r="U528" s="160">
        <f>ROUND((175/100)*ROUND([8]Source!R378, 2), 2)</f>
        <v>1.4</v>
      </c>
      <c r="V528" s="160">
        <f>ROUND((157/100)*ROUND([8]Source!R379, 2), 2)</f>
        <v>29.33</v>
      </c>
    </row>
    <row r="529" spans="1:22" x14ac:dyDescent="0.2">
      <c r="C529" s="181" t="s">
        <v>2679</v>
      </c>
    </row>
    <row r="530" spans="1:22" ht="14.25" x14ac:dyDescent="0.2">
      <c r="A530" s="179"/>
      <c r="B530" s="178"/>
      <c r="C530" s="178" t="s">
        <v>197</v>
      </c>
      <c r="D530" s="177"/>
      <c r="E530" s="174"/>
      <c r="F530" s="176">
        <v>60.39</v>
      </c>
      <c r="G530" s="175" t="s">
        <v>2668</v>
      </c>
      <c r="H530" s="174">
        <v>1</v>
      </c>
      <c r="I530" s="173">
        <v>10.94</v>
      </c>
      <c r="J530" s="174">
        <v>23.35</v>
      </c>
      <c r="K530" s="173">
        <v>255.45</v>
      </c>
    </row>
    <row r="531" spans="1:22" ht="14.25" x14ac:dyDescent="0.2">
      <c r="A531" s="179"/>
      <c r="B531" s="178"/>
      <c r="C531" s="178" t="s">
        <v>184</v>
      </c>
      <c r="D531" s="177"/>
      <c r="E531" s="174"/>
      <c r="F531" s="176">
        <v>20.05</v>
      </c>
      <c r="G531" s="175" t="s">
        <v>2669</v>
      </c>
      <c r="H531" s="174">
        <v>1</v>
      </c>
      <c r="I531" s="173">
        <v>3.95</v>
      </c>
      <c r="J531" s="174">
        <v>8.98</v>
      </c>
      <c r="K531" s="173">
        <v>35.47</v>
      </c>
    </row>
    <row r="532" spans="1:22" ht="14.25" x14ac:dyDescent="0.2">
      <c r="A532" s="179"/>
      <c r="B532" s="178"/>
      <c r="C532" s="178" t="s">
        <v>189</v>
      </c>
      <c r="D532" s="177"/>
      <c r="E532" s="174"/>
      <c r="F532" s="176">
        <v>4.04</v>
      </c>
      <c r="G532" s="175" t="s">
        <v>2669</v>
      </c>
      <c r="H532" s="174">
        <v>1</v>
      </c>
      <c r="I532" s="180">
        <v>0.8</v>
      </c>
      <c r="J532" s="174">
        <v>23.35</v>
      </c>
      <c r="K532" s="180">
        <v>18.68</v>
      </c>
    </row>
    <row r="533" spans="1:22" ht="14.25" x14ac:dyDescent="0.2">
      <c r="A533" s="179"/>
      <c r="B533" s="178"/>
      <c r="C533" s="178" t="s">
        <v>205</v>
      </c>
      <c r="D533" s="177"/>
      <c r="E533" s="174"/>
      <c r="F533" s="176">
        <v>25.9</v>
      </c>
      <c r="G533" s="175" t="s">
        <v>195</v>
      </c>
      <c r="H533" s="174">
        <v>1</v>
      </c>
      <c r="I533" s="173">
        <v>3.89</v>
      </c>
      <c r="J533" s="174">
        <v>5.42</v>
      </c>
      <c r="K533" s="173">
        <v>21.08</v>
      </c>
    </row>
    <row r="534" spans="1:22" ht="14.25" x14ac:dyDescent="0.2">
      <c r="A534" s="179"/>
      <c r="B534" s="178"/>
      <c r="C534" s="178" t="s">
        <v>194</v>
      </c>
      <c r="D534" s="177" t="s">
        <v>187</v>
      </c>
      <c r="E534" s="174">
        <v>110</v>
      </c>
      <c r="F534" s="176"/>
      <c r="G534" s="175"/>
      <c r="H534" s="174"/>
      <c r="I534" s="173">
        <v>12.03</v>
      </c>
      <c r="J534" s="174">
        <v>88</v>
      </c>
      <c r="K534" s="173">
        <v>224.8</v>
      </c>
    </row>
    <row r="535" spans="1:22" ht="14.25" x14ac:dyDescent="0.2">
      <c r="A535" s="179"/>
      <c r="B535" s="178"/>
      <c r="C535" s="178" t="s">
        <v>193</v>
      </c>
      <c r="D535" s="177" t="s">
        <v>187</v>
      </c>
      <c r="E535" s="174">
        <v>74</v>
      </c>
      <c r="F535" s="176"/>
      <c r="G535" s="175"/>
      <c r="H535" s="174"/>
      <c r="I535" s="173">
        <v>8.1</v>
      </c>
      <c r="J535" s="174">
        <v>41</v>
      </c>
      <c r="K535" s="173">
        <v>104.73</v>
      </c>
    </row>
    <row r="536" spans="1:22" ht="14.25" x14ac:dyDescent="0.2">
      <c r="A536" s="179"/>
      <c r="B536" s="178"/>
      <c r="C536" s="178" t="s">
        <v>188</v>
      </c>
      <c r="D536" s="177" t="s">
        <v>187</v>
      </c>
      <c r="E536" s="174">
        <v>175</v>
      </c>
      <c r="F536" s="176"/>
      <c r="G536" s="175"/>
      <c r="H536" s="174"/>
      <c r="I536" s="173">
        <v>1.4</v>
      </c>
      <c r="J536" s="174">
        <v>157</v>
      </c>
      <c r="K536" s="173">
        <v>29.33</v>
      </c>
    </row>
    <row r="537" spans="1:22" ht="14.25" x14ac:dyDescent="0.2">
      <c r="A537" s="242"/>
      <c r="B537" s="241"/>
      <c r="C537" s="241" t="s">
        <v>192</v>
      </c>
      <c r="D537" s="240" t="s">
        <v>191</v>
      </c>
      <c r="E537" s="238">
        <v>5.0199999999999996</v>
      </c>
      <c r="F537" s="253"/>
      <c r="G537" s="239" t="s">
        <v>2668</v>
      </c>
      <c r="H537" s="238">
        <v>1</v>
      </c>
      <c r="I537" s="237">
        <v>0.91</v>
      </c>
      <c r="J537" s="238"/>
      <c r="K537" s="237"/>
    </row>
    <row r="538" spans="1:22" ht="15" x14ac:dyDescent="0.25">
      <c r="A538" s="235"/>
      <c r="B538" s="235"/>
      <c r="C538" s="236" t="s">
        <v>183</v>
      </c>
      <c r="D538" s="235"/>
      <c r="E538" s="235"/>
      <c r="F538" s="235"/>
      <c r="G538" s="235"/>
      <c r="H538" s="436">
        <v>40.31</v>
      </c>
      <c r="I538" s="436"/>
      <c r="J538" s="436">
        <v>670.86</v>
      </c>
      <c r="K538" s="436"/>
      <c r="O538" s="163">
        <f>I530+I531+I533+I534+I535+I536</f>
        <v>40.31</v>
      </c>
      <c r="P538" s="163">
        <f>K530+K531+K533+K534+K535+K536</f>
        <v>670.86</v>
      </c>
    </row>
    <row r="540" spans="1:22" ht="57" x14ac:dyDescent="0.2">
      <c r="A540" s="179" t="s">
        <v>1809</v>
      </c>
      <c r="B540" s="178" t="s">
        <v>2680</v>
      </c>
      <c r="C540" s="178" t="s">
        <v>1052</v>
      </c>
      <c r="D540" s="177" t="s">
        <v>1903</v>
      </c>
      <c r="E540" s="174">
        <v>2</v>
      </c>
      <c r="F540" s="176"/>
      <c r="G540" s="175"/>
      <c r="H540" s="174"/>
      <c r="I540" s="173"/>
      <c r="J540" s="174"/>
      <c r="K540" s="173"/>
      <c r="Q540" s="160">
        <f>[8]Source!X380</f>
        <v>33.21</v>
      </c>
      <c r="R540" s="160">
        <f>[8]Source!X381</f>
        <v>620.35</v>
      </c>
      <c r="S540" s="160">
        <f>[8]Source!Y380</f>
        <v>22.34</v>
      </c>
      <c r="T540" s="160">
        <f>[8]Source!Y381</f>
        <v>289.02999999999997</v>
      </c>
      <c r="U540" s="160">
        <f>ROUND((175/100)*ROUND([8]Source!R380, 2), 2)</f>
        <v>1.61</v>
      </c>
      <c r="V540" s="160">
        <f>ROUND((157/100)*ROUND([8]Source!R381, 2), 2)</f>
        <v>33.72</v>
      </c>
    </row>
    <row r="541" spans="1:22" ht="14.25" x14ac:dyDescent="0.2">
      <c r="A541" s="179"/>
      <c r="B541" s="178"/>
      <c r="C541" s="178" t="s">
        <v>197</v>
      </c>
      <c r="D541" s="177"/>
      <c r="E541" s="174"/>
      <c r="F541" s="176">
        <v>12.5</v>
      </c>
      <c r="G541" s="175" t="s">
        <v>2668</v>
      </c>
      <c r="H541" s="174">
        <v>1</v>
      </c>
      <c r="I541" s="173">
        <v>30.19</v>
      </c>
      <c r="J541" s="174">
        <v>23.35</v>
      </c>
      <c r="K541" s="173">
        <v>704.94</v>
      </c>
    </row>
    <row r="542" spans="1:22" ht="14.25" x14ac:dyDescent="0.2">
      <c r="A542" s="179"/>
      <c r="B542" s="178"/>
      <c r="C542" s="178" t="s">
        <v>184</v>
      </c>
      <c r="D542" s="177"/>
      <c r="E542" s="174"/>
      <c r="F542" s="176">
        <v>1.49</v>
      </c>
      <c r="G542" s="175" t="s">
        <v>2669</v>
      </c>
      <c r="H542" s="174">
        <v>1</v>
      </c>
      <c r="I542" s="173">
        <v>3.91</v>
      </c>
      <c r="J542" s="174">
        <v>9.58</v>
      </c>
      <c r="K542" s="173">
        <v>37.46</v>
      </c>
    </row>
    <row r="543" spans="1:22" ht="14.25" x14ac:dyDescent="0.2">
      <c r="A543" s="179"/>
      <c r="B543" s="178"/>
      <c r="C543" s="178" t="s">
        <v>189</v>
      </c>
      <c r="D543" s="177"/>
      <c r="E543" s="174"/>
      <c r="F543" s="176">
        <v>0.35</v>
      </c>
      <c r="G543" s="175" t="s">
        <v>2669</v>
      </c>
      <c r="H543" s="174">
        <v>1</v>
      </c>
      <c r="I543" s="180">
        <v>0.92</v>
      </c>
      <c r="J543" s="174">
        <v>23.35</v>
      </c>
      <c r="K543" s="180">
        <v>21.48</v>
      </c>
    </row>
    <row r="544" spans="1:22" ht="14.25" x14ac:dyDescent="0.2">
      <c r="A544" s="179"/>
      <c r="B544" s="178"/>
      <c r="C544" s="178" t="s">
        <v>205</v>
      </c>
      <c r="D544" s="177"/>
      <c r="E544" s="174"/>
      <c r="F544" s="176">
        <v>6.23</v>
      </c>
      <c r="G544" s="175" t="s">
        <v>195</v>
      </c>
      <c r="H544" s="174">
        <v>1</v>
      </c>
      <c r="I544" s="173">
        <v>12.46</v>
      </c>
      <c r="J544" s="174">
        <v>5.42</v>
      </c>
      <c r="K544" s="173">
        <v>67.53</v>
      </c>
    </row>
    <row r="545" spans="1:22" ht="14.25" x14ac:dyDescent="0.2">
      <c r="A545" s="179"/>
      <c r="B545" s="178"/>
      <c r="C545" s="178" t="s">
        <v>194</v>
      </c>
      <c r="D545" s="177" t="s">
        <v>187</v>
      </c>
      <c r="E545" s="174">
        <v>110</v>
      </c>
      <c r="F545" s="176"/>
      <c r="G545" s="175"/>
      <c r="H545" s="174"/>
      <c r="I545" s="173">
        <v>33.21</v>
      </c>
      <c r="J545" s="174">
        <v>88</v>
      </c>
      <c r="K545" s="173">
        <v>620.35</v>
      </c>
    </row>
    <row r="546" spans="1:22" ht="14.25" x14ac:dyDescent="0.2">
      <c r="A546" s="179"/>
      <c r="B546" s="178"/>
      <c r="C546" s="178" t="s">
        <v>193</v>
      </c>
      <c r="D546" s="177" t="s">
        <v>187</v>
      </c>
      <c r="E546" s="174">
        <v>74</v>
      </c>
      <c r="F546" s="176"/>
      <c r="G546" s="175"/>
      <c r="H546" s="174"/>
      <c r="I546" s="173">
        <v>22.34</v>
      </c>
      <c r="J546" s="174">
        <v>41</v>
      </c>
      <c r="K546" s="173">
        <v>289.02999999999997</v>
      </c>
    </row>
    <row r="547" spans="1:22" ht="14.25" x14ac:dyDescent="0.2">
      <c r="A547" s="179"/>
      <c r="B547" s="178"/>
      <c r="C547" s="178" t="s">
        <v>188</v>
      </c>
      <c r="D547" s="177" t="s">
        <v>187</v>
      </c>
      <c r="E547" s="174">
        <v>175</v>
      </c>
      <c r="F547" s="176"/>
      <c r="G547" s="175"/>
      <c r="H547" s="174"/>
      <c r="I547" s="173">
        <v>1.61</v>
      </c>
      <c r="J547" s="174">
        <v>157</v>
      </c>
      <c r="K547" s="173">
        <v>33.72</v>
      </c>
    </row>
    <row r="548" spans="1:22" ht="14.25" x14ac:dyDescent="0.2">
      <c r="A548" s="242"/>
      <c r="B548" s="241"/>
      <c r="C548" s="241" t="s">
        <v>192</v>
      </c>
      <c r="D548" s="240" t="s">
        <v>191</v>
      </c>
      <c r="E548" s="238">
        <v>1.0900000000000001</v>
      </c>
      <c r="F548" s="253"/>
      <c r="G548" s="239" t="s">
        <v>2668</v>
      </c>
      <c r="H548" s="238">
        <v>1</v>
      </c>
      <c r="I548" s="237">
        <v>2.63</v>
      </c>
      <c r="J548" s="238"/>
      <c r="K548" s="237"/>
    </row>
    <row r="549" spans="1:22" ht="15" x14ac:dyDescent="0.25">
      <c r="A549" s="235"/>
      <c r="B549" s="235"/>
      <c r="C549" s="236" t="s">
        <v>183</v>
      </c>
      <c r="D549" s="235"/>
      <c r="E549" s="235"/>
      <c r="F549" s="235"/>
      <c r="G549" s="235"/>
      <c r="H549" s="436">
        <v>103.72</v>
      </c>
      <c r="I549" s="436"/>
      <c r="J549" s="436">
        <v>1753.03</v>
      </c>
      <c r="K549" s="436"/>
      <c r="O549" s="163">
        <f>I541+I542+I544+I545+I546+I547</f>
        <v>103.72</v>
      </c>
      <c r="P549" s="163">
        <f>K541+K542+K544+K545+K546+K547</f>
        <v>1753.03</v>
      </c>
    </row>
    <row r="551" spans="1:22" ht="68.25" x14ac:dyDescent="0.2">
      <c r="A551" s="250" t="s">
        <v>1814</v>
      </c>
      <c r="B551" s="249" t="s">
        <v>2670</v>
      </c>
      <c r="C551" s="249" t="s">
        <v>1072</v>
      </c>
      <c r="D551" s="248" t="s">
        <v>1913</v>
      </c>
      <c r="E551" s="246">
        <v>1</v>
      </c>
      <c r="F551" s="254">
        <v>2892.24</v>
      </c>
      <c r="G551" s="247" t="s">
        <v>195</v>
      </c>
      <c r="H551" s="246">
        <v>1</v>
      </c>
      <c r="I551" s="245">
        <v>2892.24</v>
      </c>
      <c r="J551" s="246">
        <v>4.4000000000000004</v>
      </c>
      <c r="K551" s="245">
        <v>12725.86</v>
      </c>
      <c r="Q551" s="160">
        <f>[8]Source!X382</f>
        <v>0</v>
      </c>
      <c r="R551" s="160">
        <f>[8]Source!X383</f>
        <v>0</v>
      </c>
      <c r="S551" s="160">
        <f>[8]Source!Y382</f>
        <v>0</v>
      </c>
      <c r="T551" s="160">
        <f>[8]Source!Y383</f>
        <v>0</v>
      </c>
      <c r="U551" s="160">
        <f>ROUND((175/100)*ROUND([8]Source!R382, 2), 2)</f>
        <v>0</v>
      </c>
      <c r="V551" s="160">
        <f>ROUND((157/100)*ROUND([8]Source!R383, 2), 2)</f>
        <v>0</v>
      </c>
    </row>
    <row r="552" spans="1:22" ht="15" x14ac:dyDescent="0.25">
      <c r="A552" s="243"/>
      <c r="B552" s="243"/>
      <c r="C552" s="244" t="s">
        <v>183</v>
      </c>
      <c r="D552" s="243"/>
      <c r="E552" s="243"/>
      <c r="F552" s="243"/>
      <c r="G552" s="243"/>
      <c r="H552" s="437">
        <v>2892.24</v>
      </c>
      <c r="I552" s="437"/>
      <c r="J552" s="437">
        <v>12725.86</v>
      </c>
      <c r="K552" s="437"/>
      <c r="O552" s="163">
        <f>I551</f>
        <v>2892.24</v>
      </c>
      <c r="P552" s="163">
        <f>K551</f>
        <v>12725.86</v>
      </c>
    </row>
    <row r="554" spans="1:22" ht="28.5" x14ac:dyDescent="0.2">
      <c r="A554" s="179" t="s">
        <v>1817</v>
      </c>
      <c r="B554" s="178" t="s">
        <v>2673</v>
      </c>
      <c r="C554" s="178" t="s">
        <v>1046</v>
      </c>
      <c r="D554" s="177" t="s">
        <v>2674</v>
      </c>
      <c r="E554" s="174">
        <v>1</v>
      </c>
      <c r="F554" s="176"/>
      <c r="G554" s="175"/>
      <c r="H554" s="174"/>
      <c r="I554" s="173"/>
      <c r="J554" s="174"/>
      <c r="K554" s="173"/>
      <c r="Q554" s="160">
        <f>[8]Source!X385</f>
        <v>83.15</v>
      </c>
      <c r="R554" s="160">
        <f>[8]Source!X386</f>
        <v>1553.23</v>
      </c>
      <c r="S554" s="160">
        <f>[8]Source!Y385</f>
        <v>55.94</v>
      </c>
      <c r="T554" s="160">
        <f>[8]Source!Y386</f>
        <v>723.66</v>
      </c>
      <c r="U554" s="160">
        <f>ROUND((175/100)*ROUND([8]Source!R385, 2), 2)</f>
        <v>3.38</v>
      </c>
      <c r="V554" s="160">
        <f>ROUND((157/100)*ROUND([8]Source!R386, 2), 2)</f>
        <v>70.760000000000005</v>
      </c>
    </row>
    <row r="555" spans="1:22" ht="14.25" x14ac:dyDescent="0.2">
      <c r="A555" s="179"/>
      <c r="B555" s="178"/>
      <c r="C555" s="178" t="s">
        <v>197</v>
      </c>
      <c r="D555" s="177"/>
      <c r="E555" s="174"/>
      <c r="F555" s="176">
        <v>62.6</v>
      </c>
      <c r="G555" s="175" t="s">
        <v>2668</v>
      </c>
      <c r="H555" s="174">
        <v>1</v>
      </c>
      <c r="I555" s="173">
        <v>75.59</v>
      </c>
      <c r="J555" s="174">
        <v>23.35</v>
      </c>
      <c r="K555" s="173">
        <v>1765.03</v>
      </c>
    </row>
    <row r="556" spans="1:22" ht="14.25" x14ac:dyDescent="0.2">
      <c r="A556" s="179"/>
      <c r="B556" s="178"/>
      <c r="C556" s="178" t="s">
        <v>184</v>
      </c>
      <c r="D556" s="177"/>
      <c r="E556" s="174"/>
      <c r="F556" s="176">
        <v>8.82</v>
      </c>
      <c r="G556" s="175" t="s">
        <v>2669</v>
      </c>
      <c r="H556" s="174">
        <v>1</v>
      </c>
      <c r="I556" s="173">
        <v>11.58</v>
      </c>
      <c r="J556" s="174">
        <v>8.66</v>
      </c>
      <c r="K556" s="173">
        <v>100.28</v>
      </c>
    </row>
    <row r="557" spans="1:22" ht="14.25" x14ac:dyDescent="0.2">
      <c r="A557" s="179"/>
      <c r="B557" s="178"/>
      <c r="C557" s="178" t="s">
        <v>189</v>
      </c>
      <c r="D557" s="177"/>
      <c r="E557" s="174"/>
      <c r="F557" s="176">
        <v>1.47</v>
      </c>
      <c r="G557" s="175" t="s">
        <v>2669</v>
      </c>
      <c r="H557" s="174">
        <v>1</v>
      </c>
      <c r="I557" s="180">
        <v>1.93</v>
      </c>
      <c r="J557" s="174">
        <v>23.35</v>
      </c>
      <c r="K557" s="180">
        <v>45.07</v>
      </c>
    </row>
    <row r="558" spans="1:22" ht="14.25" x14ac:dyDescent="0.2">
      <c r="A558" s="179"/>
      <c r="B558" s="178"/>
      <c r="C558" s="178" t="s">
        <v>205</v>
      </c>
      <c r="D558" s="177"/>
      <c r="E558" s="174"/>
      <c r="F558" s="176">
        <v>2.62</v>
      </c>
      <c r="G558" s="175" t="s">
        <v>195</v>
      </c>
      <c r="H558" s="174">
        <v>1</v>
      </c>
      <c r="I558" s="173">
        <v>2.62</v>
      </c>
      <c r="J558" s="174">
        <v>2.5299999999999998</v>
      </c>
      <c r="K558" s="173">
        <v>6.63</v>
      </c>
    </row>
    <row r="559" spans="1:22" ht="14.25" x14ac:dyDescent="0.2">
      <c r="A559" s="179"/>
      <c r="B559" s="178"/>
      <c r="C559" s="178" t="s">
        <v>194</v>
      </c>
      <c r="D559" s="177" t="s">
        <v>187</v>
      </c>
      <c r="E559" s="174">
        <v>110</v>
      </c>
      <c r="F559" s="176"/>
      <c r="G559" s="175"/>
      <c r="H559" s="174"/>
      <c r="I559" s="173">
        <v>83.15</v>
      </c>
      <c r="J559" s="174">
        <v>88</v>
      </c>
      <c r="K559" s="173">
        <v>1553.23</v>
      </c>
    </row>
    <row r="560" spans="1:22" ht="14.25" x14ac:dyDescent="0.2">
      <c r="A560" s="179"/>
      <c r="B560" s="178"/>
      <c r="C560" s="178" t="s">
        <v>193</v>
      </c>
      <c r="D560" s="177" t="s">
        <v>187</v>
      </c>
      <c r="E560" s="174">
        <v>74</v>
      </c>
      <c r="F560" s="176"/>
      <c r="G560" s="175"/>
      <c r="H560" s="174"/>
      <c r="I560" s="173">
        <v>55.94</v>
      </c>
      <c r="J560" s="174">
        <v>41</v>
      </c>
      <c r="K560" s="173">
        <v>723.66</v>
      </c>
    </row>
    <row r="561" spans="1:22" ht="14.25" x14ac:dyDescent="0.2">
      <c r="A561" s="179"/>
      <c r="B561" s="178"/>
      <c r="C561" s="178" t="s">
        <v>188</v>
      </c>
      <c r="D561" s="177" t="s">
        <v>187</v>
      </c>
      <c r="E561" s="174">
        <v>175</v>
      </c>
      <c r="F561" s="176"/>
      <c r="G561" s="175"/>
      <c r="H561" s="174"/>
      <c r="I561" s="173">
        <v>3.38</v>
      </c>
      <c r="J561" s="174">
        <v>157</v>
      </c>
      <c r="K561" s="173">
        <v>70.760000000000005</v>
      </c>
    </row>
    <row r="562" spans="1:22" ht="14.25" x14ac:dyDescent="0.2">
      <c r="A562" s="242"/>
      <c r="B562" s="241"/>
      <c r="C562" s="241" t="s">
        <v>192</v>
      </c>
      <c r="D562" s="240" t="s">
        <v>191</v>
      </c>
      <c r="E562" s="238">
        <v>4.96</v>
      </c>
      <c r="F562" s="253"/>
      <c r="G562" s="239" t="s">
        <v>2668</v>
      </c>
      <c r="H562" s="238">
        <v>1</v>
      </c>
      <c r="I562" s="237">
        <v>5.99</v>
      </c>
      <c r="J562" s="238"/>
      <c r="K562" s="237"/>
    </row>
    <row r="563" spans="1:22" ht="15" x14ac:dyDescent="0.25">
      <c r="A563" s="235"/>
      <c r="B563" s="235"/>
      <c r="C563" s="236" t="s">
        <v>183</v>
      </c>
      <c r="D563" s="235"/>
      <c r="E563" s="235"/>
      <c r="F563" s="235"/>
      <c r="G563" s="235"/>
      <c r="H563" s="436">
        <v>232.26</v>
      </c>
      <c r="I563" s="436"/>
      <c r="J563" s="436">
        <v>4219.59</v>
      </c>
      <c r="K563" s="436"/>
      <c r="O563" s="163">
        <f>I555+I556+I558+I559+I560+I561</f>
        <v>232.26</v>
      </c>
      <c r="P563" s="163">
        <f>K555+K556+K558+K559+K560+K561</f>
        <v>4219.59</v>
      </c>
    </row>
    <row r="565" spans="1:22" ht="28.5" x14ac:dyDescent="0.2">
      <c r="A565" s="179" t="s">
        <v>1819</v>
      </c>
      <c r="B565" s="178" t="s">
        <v>2681</v>
      </c>
      <c r="C565" s="178" t="s">
        <v>1063</v>
      </c>
      <c r="D565" s="177" t="s">
        <v>1963</v>
      </c>
      <c r="E565" s="174">
        <v>0.08</v>
      </c>
      <c r="F565" s="176"/>
      <c r="G565" s="175"/>
      <c r="H565" s="174"/>
      <c r="I565" s="173"/>
      <c r="J565" s="174"/>
      <c r="K565" s="173"/>
      <c r="Q565" s="160">
        <f>[8]Source!X387</f>
        <v>6.92</v>
      </c>
      <c r="R565" s="160">
        <f>[8]Source!X388</f>
        <v>129.25</v>
      </c>
      <c r="S565" s="160">
        <f>[8]Source!Y387</f>
        <v>4.6500000000000004</v>
      </c>
      <c r="T565" s="160">
        <f>[8]Source!Y388</f>
        <v>60.22</v>
      </c>
      <c r="U565" s="160">
        <f>ROUND((175/100)*ROUND([8]Source!R387, 2), 2)</f>
        <v>0.02</v>
      </c>
      <c r="V565" s="160">
        <f>ROUND((157/100)*ROUND([8]Source!R388, 2), 2)</f>
        <v>0.36</v>
      </c>
    </row>
    <row r="566" spans="1:22" ht="14.25" x14ac:dyDescent="0.2">
      <c r="A566" s="179"/>
      <c r="B566" s="178"/>
      <c r="C566" s="178" t="s">
        <v>197</v>
      </c>
      <c r="D566" s="177"/>
      <c r="E566" s="174"/>
      <c r="F566" s="176">
        <v>65.09</v>
      </c>
      <c r="G566" s="175" t="s">
        <v>2668</v>
      </c>
      <c r="H566" s="174">
        <v>1</v>
      </c>
      <c r="I566" s="173">
        <v>6.29</v>
      </c>
      <c r="J566" s="174">
        <v>23.35</v>
      </c>
      <c r="K566" s="173">
        <v>146.87</v>
      </c>
    </row>
    <row r="567" spans="1:22" ht="14.25" x14ac:dyDescent="0.2">
      <c r="A567" s="179"/>
      <c r="B567" s="178"/>
      <c r="C567" s="178" t="s">
        <v>184</v>
      </c>
      <c r="D567" s="177"/>
      <c r="E567" s="174"/>
      <c r="F567" s="176">
        <v>0.77</v>
      </c>
      <c r="G567" s="175" t="s">
        <v>2669</v>
      </c>
      <c r="H567" s="174">
        <v>1</v>
      </c>
      <c r="I567" s="173">
        <v>0.08</v>
      </c>
      <c r="J567" s="174">
        <v>8.8699999999999992</v>
      </c>
      <c r="K567" s="173">
        <v>0.71</v>
      </c>
    </row>
    <row r="568" spans="1:22" ht="14.25" x14ac:dyDescent="0.2">
      <c r="A568" s="179"/>
      <c r="B568" s="178"/>
      <c r="C568" s="178" t="s">
        <v>189</v>
      </c>
      <c r="D568" s="177"/>
      <c r="E568" s="174"/>
      <c r="F568" s="176">
        <v>0.14000000000000001</v>
      </c>
      <c r="G568" s="175" t="s">
        <v>2669</v>
      </c>
      <c r="H568" s="174">
        <v>1</v>
      </c>
      <c r="I568" s="180">
        <v>0.01</v>
      </c>
      <c r="J568" s="174">
        <v>23.35</v>
      </c>
      <c r="K568" s="180">
        <v>0.23</v>
      </c>
    </row>
    <row r="569" spans="1:22" ht="14.25" x14ac:dyDescent="0.2">
      <c r="A569" s="179"/>
      <c r="B569" s="178"/>
      <c r="C569" s="178" t="s">
        <v>205</v>
      </c>
      <c r="D569" s="177"/>
      <c r="E569" s="174"/>
      <c r="F569" s="176">
        <v>5.43</v>
      </c>
      <c r="G569" s="175" t="s">
        <v>195</v>
      </c>
      <c r="H569" s="174">
        <v>1</v>
      </c>
      <c r="I569" s="173">
        <v>0.43</v>
      </c>
      <c r="J569" s="174">
        <v>3.57</v>
      </c>
      <c r="K569" s="173">
        <v>1.54</v>
      </c>
    </row>
    <row r="570" spans="1:22" ht="14.25" x14ac:dyDescent="0.2">
      <c r="A570" s="179"/>
      <c r="B570" s="178"/>
      <c r="C570" s="178" t="s">
        <v>194</v>
      </c>
      <c r="D570" s="177" t="s">
        <v>187</v>
      </c>
      <c r="E570" s="174">
        <v>110</v>
      </c>
      <c r="F570" s="176"/>
      <c r="G570" s="175"/>
      <c r="H570" s="174"/>
      <c r="I570" s="173">
        <v>6.92</v>
      </c>
      <c r="J570" s="174">
        <v>88</v>
      </c>
      <c r="K570" s="173">
        <v>129.25</v>
      </c>
    </row>
    <row r="571" spans="1:22" ht="14.25" x14ac:dyDescent="0.2">
      <c r="A571" s="179"/>
      <c r="B571" s="178"/>
      <c r="C571" s="178" t="s">
        <v>193</v>
      </c>
      <c r="D571" s="177" t="s">
        <v>187</v>
      </c>
      <c r="E571" s="174">
        <v>74</v>
      </c>
      <c r="F571" s="176"/>
      <c r="G571" s="175"/>
      <c r="H571" s="174"/>
      <c r="I571" s="173">
        <v>4.6500000000000004</v>
      </c>
      <c r="J571" s="174">
        <v>41</v>
      </c>
      <c r="K571" s="173">
        <v>60.22</v>
      </c>
    </row>
    <row r="572" spans="1:22" ht="14.25" x14ac:dyDescent="0.2">
      <c r="A572" s="179"/>
      <c r="B572" s="178"/>
      <c r="C572" s="178" t="s">
        <v>188</v>
      </c>
      <c r="D572" s="177" t="s">
        <v>187</v>
      </c>
      <c r="E572" s="174">
        <v>175</v>
      </c>
      <c r="F572" s="176"/>
      <c r="G572" s="175"/>
      <c r="H572" s="174"/>
      <c r="I572" s="173">
        <v>0.02</v>
      </c>
      <c r="J572" s="174">
        <v>157</v>
      </c>
      <c r="K572" s="173">
        <v>0.36</v>
      </c>
    </row>
    <row r="573" spans="1:22" ht="14.25" x14ac:dyDescent="0.2">
      <c r="A573" s="242"/>
      <c r="B573" s="241"/>
      <c r="C573" s="241" t="s">
        <v>192</v>
      </c>
      <c r="D573" s="240" t="s">
        <v>191</v>
      </c>
      <c r="E573" s="238">
        <v>5.75</v>
      </c>
      <c r="F573" s="253"/>
      <c r="G573" s="239" t="s">
        <v>2668</v>
      </c>
      <c r="H573" s="238">
        <v>1</v>
      </c>
      <c r="I573" s="237">
        <v>0.56000000000000005</v>
      </c>
      <c r="J573" s="238"/>
      <c r="K573" s="237"/>
    </row>
    <row r="574" spans="1:22" ht="15" x14ac:dyDescent="0.25">
      <c r="A574" s="235"/>
      <c r="B574" s="235"/>
      <c r="C574" s="236" t="s">
        <v>183</v>
      </c>
      <c r="D574" s="235"/>
      <c r="E574" s="235"/>
      <c r="F574" s="235"/>
      <c r="G574" s="235"/>
      <c r="H574" s="436">
        <v>18.39</v>
      </c>
      <c r="I574" s="436"/>
      <c r="J574" s="436">
        <v>338.95</v>
      </c>
      <c r="K574" s="436"/>
      <c r="O574" s="163">
        <f>I566+I567+I569+I570+I571+I572</f>
        <v>18.39</v>
      </c>
      <c r="P574" s="163">
        <f>K566+K567+K569+K570+K571+K572</f>
        <v>338.95</v>
      </c>
    </row>
    <row r="576" spans="1:22" ht="28.5" x14ac:dyDescent="0.2">
      <c r="A576" s="179" t="s">
        <v>1821</v>
      </c>
      <c r="B576" s="178" t="s">
        <v>2675</v>
      </c>
      <c r="C576" s="178" t="s">
        <v>1026</v>
      </c>
      <c r="D576" s="177" t="s">
        <v>2676</v>
      </c>
      <c r="E576" s="174">
        <v>1</v>
      </c>
      <c r="F576" s="176"/>
      <c r="G576" s="175"/>
      <c r="H576" s="174"/>
      <c r="I576" s="173"/>
      <c r="J576" s="174"/>
      <c r="K576" s="173"/>
      <c r="Q576" s="160">
        <f>[8]Source!X389</f>
        <v>15.88</v>
      </c>
      <c r="R576" s="160">
        <f>[8]Source!X390</f>
        <v>296.70999999999998</v>
      </c>
      <c r="S576" s="160">
        <f>[8]Source!Y389</f>
        <v>10.69</v>
      </c>
      <c r="T576" s="160">
        <f>[8]Source!Y390</f>
        <v>138.24</v>
      </c>
      <c r="U576" s="160">
        <f>ROUND((175/100)*ROUND([8]Source!R389, 2), 2)</f>
        <v>0.42</v>
      </c>
      <c r="V576" s="160">
        <f>ROUND((157/100)*ROUND([8]Source!R390, 2), 2)</f>
        <v>8.7899999999999991</v>
      </c>
    </row>
    <row r="577" spans="1:22" ht="14.25" x14ac:dyDescent="0.2">
      <c r="A577" s="179"/>
      <c r="B577" s="178"/>
      <c r="C577" s="178" t="s">
        <v>197</v>
      </c>
      <c r="D577" s="177"/>
      <c r="E577" s="174"/>
      <c r="F577" s="176">
        <v>11.96</v>
      </c>
      <c r="G577" s="175" t="s">
        <v>2668</v>
      </c>
      <c r="H577" s="174">
        <v>1</v>
      </c>
      <c r="I577" s="173">
        <v>14.44</v>
      </c>
      <c r="J577" s="174">
        <v>23.35</v>
      </c>
      <c r="K577" s="173">
        <v>337.17</v>
      </c>
    </row>
    <row r="578" spans="1:22" ht="14.25" x14ac:dyDescent="0.2">
      <c r="A578" s="179"/>
      <c r="B578" s="178"/>
      <c r="C578" s="178" t="s">
        <v>184</v>
      </c>
      <c r="D578" s="177"/>
      <c r="E578" s="174"/>
      <c r="F578" s="176">
        <v>0.74</v>
      </c>
      <c r="G578" s="175" t="s">
        <v>2669</v>
      </c>
      <c r="H578" s="174">
        <v>1</v>
      </c>
      <c r="I578" s="173">
        <v>0.97</v>
      </c>
      <c r="J578" s="174">
        <v>9.73</v>
      </c>
      <c r="K578" s="173">
        <v>9.44</v>
      </c>
    </row>
    <row r="579" spans="1:22" ht="14.25" x14ac:dyDescent="0.2">
      <c r="A579" s="179"/>
      <c r="B579" s="178"/>
      <c r="C579" s="178" t="s">
        <v>189</v>
      </c>
      <c r="D579" s="177"/>
      <c r="E579" s="174"/>
      <c r="F579" s="176">
        <v>0.18</v>
      </c>
      <c r="G579" s="175" t="s">
        <v>2669</v>
      </c>
      <c r="H579" s="174">
        <v>1</v>
      </c>
      <c r="I579" s="180">
        <v>0.24</v>
      </c>
      <c r="J579" s="174">
        <v>23.35</v>
      </c>
      <c r="K579" s="180">
        <v>5.6</v>
      </c>
    </row>
    <row r="580" spans="1:22" ht="14.25" x14ac:dyDescent="0.2">
      <c r="A580" s="179"/>
      <c r="B580" s="178"/>
      <c r="C580" s="178" t="s">
        <v>205</v>
      </c>
      <c r="D580" s="177"/>
      <c r="E580" s="174"/>
      <c r="F580" s="176">
        <v>4.41</v>
      </c>
      <c r="G580" s="175" t="s">
        <v>195</v>
      </c>
      <c r="H580" s="174">
        <v>1</v>
      </c>
      <c r="I580" s="173">
        <v>4.41</v>
      </c>
      <c r="J580" s="174">
        <v>5.42</v>
      </c>
      <c r="K580" s="173">
        <v>23.9</v>
      </c>
    </row>
    <row r="581" spans="1:22" ht="14.25" x14ac:dyDescent="0.2">
      <c r="A581" s="179"/>
      <c r="B581" s="178"/>
      <c r="C581" s="178" t="s">
        <v>194</v>
      </c>
      <c r="D581" s="177" t="s">
        <v>187</v>
      </c>
      <c r="E581" s="174">
        <v>110</v>
      </c>
      <c r="F581" s="176"/>
      <c r="G581" s="175"/>
      <c r="H581" s="174"/>
      <c r="I581" s="173">
        <v>15.88</v>
      </c>
      <c r="J581" s="174">
        <v>88</v>
      </c>
      <c r="K581" s="173">
        <v>296.70999999999998</v>
      </c>
    </row>
    <row r="582" spans="1:22" ht="14.25" x14ac:dyDescent="0.2">
      <c r="A582" s="179"/>
      <c r="B582" s="178"/>
      <c r="C582" s="178" t="s">
        <v>193</v>
      </c>
      <c r="D582" s="177" t="s">
        <v>187</v>
      </c>
      <c r="E582" s="174">
        <v>74</v>
      </c>
      <c r="F582" s="176"/>
      <c r="G582" s="175"/>
      <c r="H582" s="174"/>
      <c r="I582" s="173">
        <v>10.69</v>
      </c>
      <c r="J582" s="174">
        <v>41</v>
      </c>
      <c r="K582" s="173">
        <v>138.24</v>
      </c>
    </row>
    <row r="583" spans="1:22" ht="14.25" x14ac:dyDescent="0.2">
      <c r="A583" s="179"/>
      <c r="B583" s="178"/>
      <c r="C583" s="178" t="s">
        <v>188</v>
      </c>
      <c r="D583" s="177" t="s">
        <v>187</v>
      </c>
      <c r="E583" s="174">
        <v>175</v>
      </c>
      <c r="F583" s="176"/>
      <c r="G583" s="175"/>
      <c r="H583" s="174"/>
      <c r="I583" s="173">
        <v>0.42</v>
      </c>
      <c r="J583" s="174">
        <v>157</v>
      </c>
      <c r="K583" s="173">
        <v>8.7899999999999991</v>
      </c>
    </row>
    <row r="584" spans="1:22" ht="14.25" x14ac:dyDescent="0.2">
      <c r="A584" s="242"/>
      <c r="B584" s="241"/>
      <c r="C584" s="241" t="s">
        <v>192</v>
      </c>
      <c r="D584" s="240" t="s">
        <v>191</v>
      </c>
      <c r="E584" s="238">
        <v>1.03</v>
      </c>
      <c r="F584" s="253"/>
      <c r="G584" s="239" t="s">
        <v>2668</v>
      </c>
      <c r="H584" s="238">
        <v>1</v>
      </c>
      <c r="I584" s="237">
        <v>1.24</v>
      </c>
      <c r="J584" s="238"/>
      <c r="K584" s="237"/>
    </row>
    <row r="585" spans="1:22" ht="15" x14ac:dyDescent="0.25">
      <c r="A585" s="235"/>
      <c r="B585" s="235"/>
      <c r="C585" s="236" t="s">
        <v>183</v>
      </c>
      <c r="D585" s="235"/>
      <c r="E585" s="235"/>
      <c r="F585" s="235"/>
      <c r="G585" s="235"/>
      <c r="H585" s="436">
        <v>46.81</v>
      </c>
      <c r="I585" s="436"/>
      <c r="J585" s="436">
        <v>814.25</v>
      </c>
      <c r="K585" s="436"/>
      <c r="O585" s="163">
        <f>I577+I578+I580+I581+I582+I583</f>
        <v>46.81</v>
      </c>
      <c r="P585" s="163">
        <f>K577+K578+K580+K581+K582+K583</f>
        <v>814.25</v>
      </c>
    </row>
    <row r="587" spans="1:22" ht="57" x14ac:dyDescent="0.2">
      <c r="A587" s="179" t="s">
        <v>1825</v>
      </c>
      <c r="B587" s="178" t="s">
        <v>2680</v>
      </c>
      <c r="C587" s="178" t="s">
        <v>1052</v>
      </c>
      <c r="D587" s="177" t="s">
        <v>1903</v>
      </c>
      <c r="E587" s="174">
        <v>2</v>
      </c>
      <c r="F587" s="176"/>
      <c r="G587" s="175"/>
      <c r="H587" s="174"/>
      <c r="I587" s="173"/>
      <c r="J587" s="174"/>
      <c r="K587" s="173"/>
      <c r="Q587" s="160">
        <f>[8]Source!X393</f>
        <v>33.21</v>
      </c>
      <c r="R587" s="160">
        <f>[8]Source!X394</f>
        <v>620.35</v>
      </c>
      <c r="S587" s="160">
        <f>[8]Source!Y393</f>
        <v>22.34</v>
      </c>
      <c r="T587" s="160">
        <f>[8]Source!Y394</f>
        <v>289.02999999999997</v>
      </c>
      <c r="U587" s="160">
        <f>ROUND((175/100)*ROUND([8]Source!R393, 2), 2)</f>
        <v>1.61</v>
      </c>
      <c r="V587" s="160">
        <f>ROUND((157/100)*ROUND([8]Source!R394, 2), 2)</f>
        <v>33.72</v>
      </c>
    </row>
    <row r="588" spans="1:22" ht="14.25" x14ac:dyDescent="0.2">
      <c r="A588" s="179"/>
      <c r="B588" s="178"/>
      <c r="C588" s="178" t="s">
        <v>197</v>
      </c>
      <c r="D588" s="177"/>
      <c r="E588" s="174"/>
      <c r="F588" s="176">
        <v>12.5</v>
      </c>
      <c r="G588" s="175" t="s">
        <v>2668</v>
      </c>
      <c r="H588" s="174">
        <v>1</v>
      </c>
      <c r="I588" s="173">
        <v>30.19</v>
      </c>
      <c r="J588" s="174">
        <v>23.35</v>
      </c>
      <c r="K588" s="173">
        <v>704.94</v>
      </c>
    </row>
    <row r="589" spans="1:22" ht="14.25" x14ac:dyDescent="0.2">
      <c r="A589" s="179"/>
      <c r="B589" s="178"/>
      <c r="C589" s="178" t="s">
        <v>184</v>
      </c>
      <c r="D589" s="177"/>
      <c r="E589" s="174"/>
      <c r="F589" s="176">
        <v>1.49</v>
      </c>
      <c r="G589" s="175" t="s">
        <v>2669</v>
      </c>
      <c r="H589" s="174">
        <v>1</v>
      </c>
      <c r="I589" s="173">
        <v>3.91</v>
      </c>
      <c r="J589" s="174">
        <v>9.58</v>
      </c>
      <c r="K589" s="173">
        <v>37.46</v>
      </c>
    </row>
    <row r="590" spans="1:22" ht="14.25" x14ac:dyDescent="0.2">
      <c r="A590" s="179"/>
      <c r="B590" s="178"/>
      <c r="C590" s="178" t="s">
        <v>189</v>
      </c>
      <c r="D590" s="177"/>
      <c r="E590" s="174"/>
      <c r="F590" s="176">
        <v>0.35</v>
      </c>
      <c r="G590" s="175" t="s">
        <v>2669</v>
      </c>
      <c r="H590" s="174">
        <v>1</v>
      </c>
      <c r="I590" s="180">
        <v>0.92</v>
      </c>
      <c r="J590" s="174">
        <v>23.35</v>
      </c>
      <c r="K590" s="180">
        <v>21.48</v>
      </c>
    </row>
    <row r="591" spans="1:22" ht="14.25" x14ac:dyDescent="0.2">
      <c r="A591" s="179"/>
      <c r="B591" s="178"/>
      <c r="C591" s="178" t="s">
        <v>205</v>
      </c>
      <c r="D591" s="177"/>
      <c r="E591" s="174"/>
      <c r="F591" s="176">
        <v>6.23</v>
      </c>
      <c r="G591" s="175" t="s">
        <v>195</v>
      </c>
      <c r="H591" s="174">
        <v>1</v>
      </c>
      <c r="I591" s="173">
        <v>12.46</v>
      </c>
      <c r="J591" s="174">
        <v>5.42</v>
      </c>
      <c r="K591" s="173">
        <v>67.53</v>
      </c>
    </row>
    <row r="592" spans="1:22" ht="14.25" x14ac:dyDescent="0.2">
      <c r="A592" s="179"/>
      <c r="B592" s="178"/>
      <c r="C592" s="178" t="s">
        <v>194</v>
      </c>
      <c r="D592" s="177" t="s">
        <v>187</v>
      </c>
      <c r="E592" s="174">
        <v>110</v>
      </c>
      <c r="F592" s="176"/>
      <c r="G592" s="175"/>
      <c r="H592" s="174"/>
      <c r="I592" s="173">
        <v>33.21</v>
      </c>
      <c r="J592" s="174">
        <v>88</v>
      </c>
      <c r="K592" s="173">
        <v>620.35</v>
      </c>
    </row>
    <row r="593" spans="1:22" ht="14.25" x14ac:dyDescent="0.2">
      <c r="A593" s="179"/>
      <c r="B593" s="178"/>
      <c r="C593" s="178" t="s">
        <v>193</v>
      </c>
      <c r="D593" s="177" t="s">
        <v>187</v>
      </c>
      <c r="E593" s="174">
        <v>74</v>
      </c>
      <c r="F593" s="176"/>
      <c r="G593" s="175"/>
      <c r="H593" s="174"/>
      <c r="I593" s="173">
        <v>22.34</v>
      </c>
      <c r="J593" s="174">
        <v>41</v>
      </c>
      <c r="K593" s="173">
        <v>289.02999999999997</v>
      </c>
    </row>
    <row r="594" spans="1:22" ht="14.25" x14ac:dyDescent="0.2">
      <c r="A594" s="179"/>
      <c r="B594" s="178"/>
      <c r="C594" s="178" t="s">
        <v>188</v>
      </c>
      <c r="D594" s="177" t="s">
        <v>187</v>
      </c>
      <c r="E594" s="174">
        <v>175</v>
      </c>
      <c r="F594" s="176"/>
      <c r="G594" s="175"/>
      <c r="H594" s="174"/>
      <c r="I594" s="173">
        <v>1.61</v>
      </c>
      <c r="J594" s="174">
        <v>157</v>
      </c>
      <c r="K594" s="173">
        <v>33.72</v>
      </c>
    </row>
    <row r="595" spans="1:22" ht="14.25" x14ac:dyDescent="0.2">
      <c r="A595" s="242"/>
      <c r="B595" s="241"/>
      <c r="C595" s="241" t="s">
        <v>192</v>
      </c>
      <c r="D595" s="240" t="s">
        <v>191</v>
      </c>
      <c r="E595" s="238">
        <v>1.0900000000000001</v>
      </c>
      <c r="F595" s="253"/>
      <c r="G595" s="239" t="s">
        <v>2668</v>
      </c>
      <c r="H595" s="238">
        <v>1</v>
      </c>
      <c r="I595" s="237">
        <v>2.63</v>
      </c>
      <c r="J595" s="238"/>
      <c r="K595" s="237"/>
    </row>
    <row r="596" spans="1:22" ht="15" x14ac:dyDescent="0.25">
      <c r="A596" s="235"/>
      <c r="B596" s="235"/>
      <c r="C596" s="236" t="s">
        <v>183</v>
      </c>
      <c r="D596" s="235"/>
      <c r="E596" s="235"/>
      <c r="F596" s="235"/>
      <c r="G596" s="235"/>
      <c r="H596" s="436">
        <v>103.72</v>
      </c>
      <c r="I596" s="436"/>
      <c r="J596" s="436">
        <v>1753.03</v>
      </c>
      <c r="K596" s="436"/>
      <c r="O596" s="163">
        <f>I588+I589+I591+I592+I593+I594</f>
        <v>103.72</v>
      </c>
      <c r="P596" s="163">
        <f>K588+K589+K591+K592+K593+K594</f>
        <v>1753.03</v>
      </c>
    </row>
    <row r="598" spans="1:22" ht="81" x14ac:dyDescent="0.2">
      <c r="A598" s="250" t="s">
        <v>1828</v>
      </c>
      <c r="B598" s="249" t="s">
        <v>2670</v>
      </c>
      <c r="C598" s="249" t="s">
        <v>1071</v>
      </c>
      <c r="D598" s="248" t="s">
        <v>1913</v>
      </c>
      <c r="E598" s="246">
        <v>1</v>
      </c>
      <c r="F598" s="254">
        <v>38789.019999999997</v>
      </c>
      <c r="G598" s="247" t="s">
        <v>195</v>
      </c>
      <c r="H598" s="246">
        <v>1</v>
      </c>
      <c r="I598" s="245">
        <v>38789.019999999997</v>
      </c>
      <c r="J598" s="246">
        <v>4.4000000000000004</v>
      </c>
      <c r="K598" s="245">
        <v>170671.69</v>
      </c>
      <c r="Q598" s="160">
        <f>[8]Source!X395</f>
        <v>0</v>
      </c>
      <c r="R598" s="160">
        <f>[8]Source!X396</f>
        <v>0</v>
      </c>
      <c r="S598" s="160">
        <f>[8]Source!Y395</f>
        <v>0</v>
      </c>
      <c r="T598" s="160">
        <f>[8]Source!Y396</f>
        <v>0</v>
      </c>
      <c r="U598" s="160">
        <f>ROUND((175/100)*ROUND([8]Source!R395, 2), 2)</f>
        <v>0</v>
      </c>
      <c r="V598" s="160">
        <f>ROUND((157/100)*ROUND([8]Source!R396, 2), 2)</f>
        <v>0</v>
      </c>
    </row>
    <row r="599" spans="1:22" ht="15" x14ac:dyDescent="0.25">
      <c r="A599" s="243"/>
      <c r="B599" s="243"/>
      <c r="C599" s="244" t="s">
        <v>183</v>
      </c>
      <c r="D599" s="243"/>
      <c r="E599" s="243"/>
      <c r="F599" s="243"/>
      <c r="G599" s="243"/>
      <c r="H599" s="437">
        <v>38789.019999999997</v>
      </c>
      <c r="I599" s="437"/>
      <c r="J599" s="437">
        <v>170671.69</v>
      </c>
      <c r="K599" s="437"/>
      <c r="O599" s="163">
        <f>I598</f>
        <v>38789.019999999997</v>
      </c>
      <c r="P599" s="163">
        <f>K598</f>
        <v>170671.69</v>
      </c>
    </row>
    <row r="601" spans="1:22" ht="28.5" x14ac:dyDescent="0.2">
      <c r="A601" s="179" t="s">
        <v>1835</v>
      </c>
      <c r="B601" s="178" t="s">
        <v>2673</v>
      </c>
      <c r="C601" s="178" t="s">
        <v>1046</v>
      </c>
      <c r="D601" s="177" t="s">
        <v>2674</v>
      </c>
      <c r="E601" s="174">
        <v>1</v>
      </c>
      <c r="F601" s="176"/>
      <c r="G601" s="175"/>
      <c r="H601" s="174"/>
      <c r="I601" s="173"/>
      <c r="J601" s="174"/>
      <c r="K601" s="173"/>
      <c r="Q601" s="160">
        <f>[8]Source!X398</f>
        <v>83.15</v>
      </c>
      <c r="R601" s="160">
        <f>[8]Source!X399</f>
        <v>1553.23</v>
      </c>
      <c r="S601" s="160">
        <f>[8]Source!Y398</f>
        <v>55.94</v>
      </c>
      <c r="T601" s="160">
        <f>[8]Source!Y399</f>
        <v>723.66</v>
      </c>
      <c r="U601" s="160">
        <f>ROUND((175/100)*ROUND([8]Source!R398, 2), 2)</f>
        <v>3.38</v>
      </c>
      <c r="V601" s="160">
        <f>ROUND((157/100)*ROUND([8]Source!R399, 2), 2)</f>
        <v>70.760000000000005</v>
      </c>
    </row>
    <row r="602" spans="1:22" ht="14.25" x14ac:dyDescent="0.2">
      <c r="A602" s="179"/>
      <c r="B602" s="178"/>
      <c r="C602" s="178" t="s">
        <v>197</v>
      </c>
      <c r="D602" s="177"/>
      <c r="E602" s="174"/>
      <c r="F602" s="176">
        <v>62.6</v>
      </c>
      <c r="G602" s="175" t="s">
        <v>2668</v>
      </c>
      <c r="H602" s="174">
        <v>1</v>
      </c>
      <c r="I602" s="173">
        <v>75.59</v>
      </c>
      <c r="J602" s="174">
        <v>23.35</v>
      </c>
      <c r="K602" s="173">
        <v>1765.03</v>
      </c>
    </row>
    <row r="603" spans="1:22" ht="14.25" x14ac:dyDescent="0.2">
      <c r="A603" s="179"/>
      <c r="B603" s="178"/>
      <c r="C603" s="178" t="s">
        <v>184</v>
      </c>
      <c r="D603" s="177"/>
      <c r="E603" s="174"/>
      <c r="F603" s="176">
        <v>8.82</v>
      </c>
      <c r="G603" s="175" t="s">
        <v>2669</v>
      </c>
      <c r="H603" s="174">
        <v>1</v>
      </c>
      <c r="I603" s="173">
        <v>11.58</v>
      </c>
      <c r="J603" s="174">
        <v>8.66</v>
      </c>
      <c r="K603" s="173">
        <v>100.28</v>
      </c>
    </row>
    <row r="604" spans="1:22" ht="14.25" x14ac:dyDescent="0.2">
      <c r="A604" s="179"/>
      <c r="B604" s="178"/>
      <c r="C604" s="178" t="s">
        <v>189</v>
      </c>
      <c r="D604" s="177"/>
      <c r="E604" s="174"/>
      <c r="F604" s="176">
        <v>1.47</v>
      </c>
      <c r="G604" s="175" t="s">
        <v>2669</v>
      </c>
      <c r="H604" s="174">
        <v>1</v>
      </c>
      <c r="I604" s="180">
        <v>1.93</v>
      </c>
      <c r="J604" s="174">
        <v>23.35</v>
      </c>
      <c r="K604" s="180">
        <v>45.07</v>
      </c>
    </row>
    <row r="605" spans="1:22" ht="14.25" x14ac:dyDescent="0.2">
      <c r="A605" s="179"/>
      <c r="B605" s="178"/>
      <c r="C605" s="178" t="s">
        <v>205</v>
      </c>
      <c r="D605" s="177"/>
      <c r="E605" s="174"/>
      <c r="F605" s="176">
        <v>2.62</v>
      </c>
      <c r="G605" s="175" t="s">
        <v>195</v>
      </c>
      <c r="H605" s="174">
        <v>1</v>
      </c>
      <c r="I605" s="173">
        <v>2.62</v>
      </c>
      <c r="J605" s="174">
        <v>2.5299999999999998</v>
      </c>
      <c r="K605" s="173">
        <v>6.63</v>
      </c>
    </row>
    <row r="606" spans="1:22" ht="14.25" x14ac:dyDescent="0.2">
      <c r="A606" s="179"/>
      <c r="B606" s="178"/>
      <c r="C606" s="178" t="s">
        <v>194</v>
      </c>
      <c r="D606" s="177" t="s">
        <v>187</v>
      </c>
      <c r="E606" s="174">
        <v>110</v>
      </c>
      <c r="F606" s="176"/>
      <c r="G606" s="175"/>
      <c r="H606" s="174"/>
      <c r="I606" s="173">
        <v>83.15</v>
      </c>
      <c r="J606" s="174">
        <v>88</v>
      </c>
      <c r="K606" s="173">
        <v>1553.23</v>
      </c>
    </row>
    <row r="607" spans="1:22" ht="14.25" x14ac:dyDescent="0.2">
      <c r="A607" s="179"/>
      <c r="B607" s="178"/>
      <c r="C607" s="178" t="s">
        <v>193</v>
      </c>
      <c r="D607" s="177" t="s">
        <v>187</v>
      </c>
      <c r="E607" s="174">
        <v>74</v>
      </c>
      <c r="F607" s="176"/>
      <c r="G607" s="175"/>
      <c r="H607" s="174"/>
      <c r="I607" s="173">
        <v>55.94</v>
      </c>
      <c r="J607" s="174">
        <v>41</v>
      </c>
      <c r="K607" s="173">
        <v>723.66</v>
      </c>
    </row>
    <row r="608" spans="1:22" ht="14.25" x14ac:dyDescent="0.2">
      <c r="A608" s="179"/>
      <c r="B608" s="178"/>
      <c r="C608" s="178" t="s">
        <v>188</v>
      </c>
      <c r="D608" s="177" t="s">
        <v>187</v>
      </c>
      <c r="E608" s="174">
        <v>175</v>
      </c>
      <c r="F608" s="176"/>
      <c r="G608" s="175"/>
      <c r="H608" s="174"/>
      <c r="I608" s="173">
        <v>3.38</v>
      </c>
      <c r="J608" s="174">
        <v>157</v>
      </c>
      <c r="K608" s="173">
        <v>70.760000000000005</v>
      </c>
    </row>
    <row r="609" spans="1:22" ht="14.25" x14ac:dyDescent="0.2">
      <c r="A609" s="242"/>
      <c r="B609" s="241"/>
      <c r="C609" s="241" t="s">
        <v>192</v>
      </c>
      <c r="D609" s="240" t="s">
        <v>191</v>
      </c>
      <c r="E609" s="238">
        <v>4.96</v>
      </c>
      <c r="F609" s="253"/>
      <c r="G609" s="239" t="s">
        <v>2668</v>
      </c>
      <c r="H609" s="238">
        <v>1</v>
      </c>
      <c r="I609" s="237">
        <v>5.99</v>
      </c>
      <c r="J609" s="238"/>
      <c r="K609" s="237"/>
    </row>
    <row r="610" spans="1:22" ht="15" x14ac:dyDescent="0.25">
      <c r="A610" s="235"/>
      <c r="B610" s="235"/>
      <c r="C610" s="236" t="s">
        <v>183</v>
      </c>
      <c r="D610" s="235"/>
      <c r="E610" s="235"/>
      <c r="F610" s="235"/>
      <c r="G610" s="235"/>
      <c r="H610" s="436">
        <v>232.26</v>
      </c>
      <c r="I610" s="436"/>
      <c r="J610" s="436">
        <v>4219.59</v>
      </c>
      <c r="K610" s="436"/>
      <c r="O610" s="163">
        <f>I602+I603+I605+I606+I607+I608</f>
        <v>232.26</v>
      </c>
      <c r="P610" s="163">
        <f>K602+K603+K605+K606+K607+K608</f>
        <v>4219.59</v>
      </c>
    </row>
    <row r="612" spans="1:22" ht="28.5" x14ac:dyDescent="0.2">
      <c r="A612" s="179" t="s">
        <v>1840</v>
      </c>
      <c r="B612" s="178" t="s">
        <v>2675</v>
      </c>
      <c r="C612" s="178" t="s">
        <v>1026</v>
      </c>
      <c r="D612" s="177" t="s">
        <v>2676</v>
      </c>
      <c r="E612" s="174">
        <v>1</v>
      </c>
      <c r="F612" s="176"/>
      <c r="G612" s="175"/>
      <c r="H612" s="174"/>
      <c r="I612" s="173"/>
      <c r="J612" s="174"/>
      <c r="K612" s="173"/>
      <c r="Q612" s="160">
        <f>[8]Source!X402</f>
        <v>15.88</v>
      </c>
      <c r="R612" s="160">
        <f>[8]Source!X403</f>
        <v>296.70999999999998</v>
      </c>
      <c r="S612" s="160">
        <f>[8]Source!Y402</f>
        <v>10.69</v>
      </c>
      <c r="T612" s="160">
        <f>[8]Source!Y403</f>
        <v>138.24</v>
      </c>
      <c r="U612" s="160">
        <f>ROUND((175/100)*ROUND([8]Source!R402, 2), 2)</f>
        <v>0.42</v>
      </c>
      <c r="V612" s="160">
        <f>ROUND((157/100)*ROUND([8]Source!R403, 2), 2)</f>
        <v>8.7899999999999991</v>
      </c>
    </row>
    <row r="613" spans="1:22" ht="14.25" x14ac:dyDescent="0.2">
      <c r="A613" s="179"/>
      <c r="B613" s="178"/>
      <c r="C613" s="178" t="s">
        <v>197</v>
      </c>
      <c r="D613" s="177"/>
      <c r="E613" s="174"/>
      <c r="F613" s="176">
        <v>11.96</v>
      </c>
      <c r="G613" s="175" t="s">
        <v>2668</v>
      </c>
      <c r="H613" s="174">
        <v>1</v>
      </c>
      <c r="I613" s="173">
        <v>14.44</v>
      </c>
      <c r="J613" s="174">
        <v>23.35</v>
      </c>
      <c r="K613" s="173">
        <v>337.17</v>
      </c>
    </row>
    <row r="614" spans="1:22" ht="14.25" x14ac:dyDescent="0.2">
      <c r="A614" s="179"/>
      <c r="B614" s="178"/>
      <c r="C614" s="178" t="s">
        <v>184</v>
      </c>
      <c r="D614" s="177"/>
      <c r="E614" s="174"/>
      <c r="F614" s="176">
        <v>0.74</v>
      </c>
      <c r="G614" s="175" t="s">
        <v>2669</v>
      </c>
      <c r="H614" s="174">
        <v>1</v>
      </c>
      <c r="I614" s="173">
        <v>0.97</v>
      </c>
      <c r="J614" s="174">
        <v>9.73</v>
      </c>
      <c r="K614" s="173">
        <v>9.44</v>
      </c>
    </row>
    <row r="615" spans="1:22" ht="14.25" x14ac:dyDescent="0.2">
      <c r="A615" s="179"/>
      <c r="B615" s="178"/>
      <c r="C615" s="178" t="s">
        <v>189</v>
      </c>
      <c r="D615" s="177"/>
      <c r="E615" s="174"/>
      <c r="F615" s="176">
        <v>0.18</v>
      </c>
      <c r="G615" s="175" t="s">
        <v>2669</v>
      </c>
      <c r="H615" s="174">
        <v>1</v>
      </c>
      <c r="I615" s="180">
        <v>0.24</v>
      </c>
      <c r="J615" s="174">
        <v>23.35</v>
      </c>
      <c r="K615" s="180">
        <v>5.6</v>
      </c>
    </row>
    <row r="616" spans="1:22" ht="14.25" x14ac:dyDescent="0.2">
      <c r="A616" s="179"/>
      <c r="B616" s="178"/>
      <c r="C616" s="178" t="s">
        <v>205</v>
      </c>
      <c r="D616" s="177"/>
      <c r="E616" s="174"/>
      <c r="F616" s="176">
        <v>4.41</v>
      </c>
      <c r="G616" s="175" t="s">
        <v>195</v>
      </c>
      <c r="H616" s="174">
        <v>1</v>
      </c>
      <c r="I616" s="173">
        <v>4.41</v>
      </c>
      <c r="J616" s="174">
        <v>5.42</v>
      </c>
      <c r="K616" s="173">
        <v>23.9</v>
      </c>
    </row>
    <row r="617" spans="1:22" ht="14.25" x14ac:dyDescent="0.2">
      <c r="A617" s="179"/>
      <c r="B617" s="178"/>
      <c r="C617" s="178" t="s">
        <v>194</v>
      </c>
      <c r="D617" s="177" t="s">
        <v>187</v>
      </c>
      <c r="E617" s="174">
        <v>110</v>
      </c>
      <c r="F617" s="176"/>
      <c r="G617" s="175"/>
      <c r="H617" s="174"/>
      <c r="I617" s="173">
        <v>15.88</v>
      </c>
      <c r="J617" s="174">
        <v>88</v>
      </c>
      <c r="K617" s="173">
        <v>296.70999999999998</v>
      </c>
    </row>
    <row r="618" spans="1:22" ht="14.25" x14ac:dyDescent="0.2">
      <c r="A618" s="179"/>
      <c r="B618" s="178"/>
      <c r="C618" s="178" t="s">
        <v>193</v>
      </c>
      <c r="D618" s="177" t="s">
        <v>187</v>
      </c>
      <c r="E618" s="174">
        <v>74</v>
      </c>
      <c r="F618" s="176"/>
      <c r="G618" s="175"/>
      <c r="H618" s="174"/>
      <c r="I618" s="173">
        <v>10.69</v>
      </c>
      <c r="J618" s="174">
        <v>41</v>
      </c>
      <c r="K618" s="173">
        <v>138.24</v>
      </c>
    </row>
    <row r="619" spans="1:22" ht="14.25" x14ac:dyDescent="0.2">
      <c r="A619" s="179"/>
      <c r="B619" s="178"/>
      <c r="C619" s="178" t="s">
        <v>188</v>
      </c>
      <c r="D619" s="177" t="s">
        <v>187</v>
      </c>
      <c r="E619" s="174">
        <v>175</v>
      </c>
      <c r="F619" s="176"/>
      <c r="G619" s="175"/>
      <c r="H619" s="174"/>
      <c r="I619" s="173">
        <v>0.42</v>
      </c>
      <c r="J619" s="174">
        <v>157</v>
      </c>
      <c r="K619" s="173">
        <v>8.7899999999999991</v>
      </c>
    </row>
    <row r="620" spans="1:22" ht="14.25" x14ac:dyDescent="0.2">
      <c r="A620" s="242"/>
      <c r="B620" s="241"/>
      <c r="C620" s="241" t="s">
        <v>192</v>
      </c>
      <c r="D620" s="240" t="s">
        <v>191</v>
      </c>
      <c r="E620" s="238">
        <v>1.03</v>
      </c>
      <c r="F620" s="253"/>
      <c r="G620" s="239" t="s">
        <v>2668</v>
      </c>
      <c r="H620" s="238">
        <v>1</v>
      </c>
      <c r="I620" s="237">
        <v>1.24</v>
      </c>
      <c r="J620" s="238"/>
      <c r="K620" s="237"/>
    </row>
    <row r="621" spans="1:22" ht="15" x14ac:dyDescent="0.25">
      <c r="A621" s="235"/>
      <c r="B621" s="235"/>
      <c r="C621" s="236" t="s">
        <v>183</v>
      </c>
      <c r="D621" s="235"/>
      <c r="E621" s="235"/>
      <c r="F621" s="235"/>
      <c r="G621" s="235"/>
      <c r="H621" s="436">
        <v>46.81</v>
      </c>
      <c r="I621" s="436"/>
      <c r="J621" s="436">
        <v>814.25</v>
      </c>
      <c r="K621" s="436"/>
      <c r="O621" s="163">
        <f>I613+I614+I616+I617+I618+I619</f>
        <v>46.81</v>
      </c>
      <c r="P621" s="163">
        <f>K613+K614+K616+K617+K618+K619</f>
        <v>814.25</v>
      </c>
    </row>
    <row r="623" spans="1:22" ht="28.5" x14ac:dyDescent="0.2">
      <c r="A623" s="179" t="s">
        <v>1842</v>
      </c>
      <c r="B623" s="178" t="s">
        <v>2677</v>
      </c>
      <c r="C623" s="178" t="s">
        <v>1045</v>
      </c>
      <c r="D623" s="177" t="s">
        <v>2678</v>
      </c>
      <c r="E623" s="174">
        <v>0.15</v>
      </c>
      <c r="F623" s="176"/>
      <c r="G623" s="175"/>
      <c r="H623" s="174"/>
      <c r="I623" s="173"/>
      <c r="J623" s="174"/>
      <c r="K623" s="173"/>
      <c r="Q623" s="160">
        <f>[8]Source!X404</f>
        <v>12.03</v>
      </c>
      <c r="R623" s="160">
        <f>[8]Source!X405</f>
        <v>224.8</v>
      </c>
      <c r="S623" s="160">
        <f>[8]Source!Y404</f>
        <v>8.1</v>
      </c>
      <c r="T623" s="160">
        <f>[8]Source!Y405</f>
        <v>104.73</v>
      </c>
      <c r="U623" s="160">
        <f>ROUND((175/100)*ROUND([8]Source!R404, 2), 2)</f>
        <v>1.4</v>
      </c>
      <c r="V623" s="160">
        <f>ROUND((157/100)*ROUND([8]Source!R405, 2), 2)</f>
        <v>29.33</v>
      </c>
    </row>
    <row r="624" spans="1:22" x14ac:dyDescent="0.2">
      <c r="C624" s="181" t="s">
        <v>2679</v>
      </c>
    </row>
    <row r="625" spans="1:22" ht="14.25" x14ac:dyDescent="0.2">
      <c r="A625" s="179"/>
      <c r="B625" s="178"/>
      <c r="C625" s="178" t="s">
        <v>197</v>
      </c>
      <c r="D625" s="177"/>
      <c r="E625" s="174"/>
      <c r="F625" s="176">
        <v>60.39</v>
      </c>
      <c r="G625" s="175" t="s">
        <v>2668</v>
      </c>
      <c r="H625" s="174">
        <v>1</v>
      </c>
      <c r="I625" s="173">
        <v>10.94</v>
      </c>
      <c r="J625" s="174">
        <v>23.35</v>
      </c>
      <c r="K625" s="173">
        <v>255.45</v>
      </c>
    </row>
    <row r="626" spans="1:22" ht="14.25" x14ac:dyDescent="0.2">
      <c r="A626" s="179"/>
      <c r="B626" s="178"/>
      <c r="C626" s="178" t="s">
        <v>184</v>
      </c>
      <c r="D626" s="177"/>
      <c r="E626" s="174"/>
      <c r="F626" s="176">
        <v>20.05</v>
      </c>
      <c r="G626" s="175" t="s">
        <v>2669</v>
      </c>
      <c r="H626" s="174">
        <v>1</v>
      </c>
      <c r="I626" s="173">
        <v>3.95</v>
      </c>
      <c r="J626" s="174">
        <v>8.98</v>
      </c>
      <c r="K626" s="173">
        <v>35.47</v>
      </c>
    </row>
    <row r="627" spans="1:22" ht="14.25" x14ac:dyDescent="0.2">
      <c r="A627" s="179"/>
      <c r="B627" s="178"/>
      <c r="C627" s="178" t="s">
        <v>189</v>
      </c>
      <c r="D627" s="177"/>
      <c r="E627" s="174"/>
      <c r="F627" s="176">
        <v>4.04</v>
      </c>
      <c r="G627" s="175" t="s">
        <v>2669</v>
      </c>
      <c r="H627" s="174">
        <v>1</v>
      </c>
      <c r="I627" s="180">
        <v>0.8</v>
      </c>
      <c r="J627" s="174">
        <v>23.35</v>
      </c>
      <c r="K627" s="180">
        <v>18.68</v>
      </c>
    </row>
    <row r="628" spans="1:22" ht="14.25" x14ac:dyDescent="0.2">
      <c r="A628" s="179"/>
      <c r="B628" s="178"/>
      <c r="C628" s="178" t="s">
        <v>205</v>
      </c>
      <c r="D628" s="177"/>
      <c r="E628" s="174"/>
      <c r="F628" s="176">
        <v>25.9</v>
      </c>
      <c r="G628" s="175" t="s">
        <v>195</v>
      </c>
      <c r="H628" s="174">
        <v>1</v>
      </c>
      <c r="I628" s="173">
        <v>3.89</v>
      </c>
      <c r="J628" s="174">
        <v>5.42</v>
      </c>
      <c r="K628" s="173">
        <v>21.08</v>
      </c>
    </row>
    <row r="629" spans="1:22" ht="14.25" x14ac:dyDescent="0.2">
      <c r="A629" s="179"/>
      <c r="B629" s="178"/>
      <c r="C629" s="178" t="s">
        <v>194</v>
      </c>
      <c r="D629" s="177" t="s">
        <v>187</v>
      </c>
      <c r="E629" s="174">
        <v>110</v>
      </c>
      <c r="F629" s="176"/>
      <c r="G629" s="175"/>
      <c r="H629" s="174"/>
      <c r="I629" s="173">
        <v>12.03</v>
      </c>
      <c r="J629" s="174">
        <v>88</v>
      </c>
      <c r="K629" s="173">
        <v>224.8</v>
      </c>
    </row>
    <row r="630" spans="1:22" ht="14.25" x14ac:dyDescent="0.2">
      <c r="A630" s="179"/>
      <c r="B630" s="178"/>
      <c r="C630" s="178" t="s">
        <v>193</v>
      </c>
      <c r="D630" s="177" t="s">
        <v>187</v>
      </c>
      <c r="E630" s="174">
        <v>74</v>
      </c>
      <c r="F630" s="176"/>
      <c r="G630" s="175"/>
      <c r="H630" s="174"/>
      <c r="I630" s="173">
        <v>8.1</v>
      </c>
      <c r="J630" s="174">
        <v>41</v>
      </c>
      <c r="K630" s="173">
        <v>104.73</v>
      </c>
    </row>
    <row r="631" spans="1:22" ht="14.25" x14ac:dyDescent="0.2">
      <c r="A631" s="179"/>
      <c r="B631" s="178"/>
      <c r="C631" s="178" t="s">
        <v>188</v>
      </c>
      <c r="D631" s="177" t="s">
        <v>187</v>
      </c>
      <c r="E631" s="174">
        <v>175</v>
      </c>
      <c r="F631" s="176"/>
      <c r="G631" s="175"/>
      <c r="H631" s="174"/>
      <c r="I631" s="173">
        <v>1.4</v>
      </c>
      <c r="J631" s="174">
        <v>157</v>
      </c>
      <c r="K631" s="173">
        <v>29.33</v>
      </c>
    </row>
    <row r="632" spans="1:22" ht="14.25" x14ac:dyDescent="0.2">
      <c r="A632" s="242"/>
      <c r="B632" s="241"/>
      <c r="C632" s="241" t="s">
        <v>192</v>
      </c>
      <c r="D632" s="240" t="s">
        <v>191</v>
      </c>
      <c r="E632" s="238">
        <v>5.0199999999999996</v>
      </c>
      <c r="F632" s="253"/>
      <c r="G632" s="239" t="s">
        <v>2668</v>
      </c>
      <c r="H632" s="238">
        <v>1</v>
      </c>
      <c r="I632" s="237">
        <v>0.91</v>
      </c>
      <c r="J632" s="238"/>
      <c r="K632" s="237"/>
    </row>
    <row r="633" spans="1:22" ht="15" x14ac:dyDescent="0.25">
      <c r="A633" s="235"/>
      <c r="B633" s="235"/>
      <c r="C633" s="236" t="s">
        <v>183</v>
      </c>
      <c r="D633" s="235"/>
      <c r="E633" s="235"/>
      <c r="F633" s="235"/>
      <c r="G633" s="235"/>
      <c r="H633" s="436">
        <v>40.31</v>
      </c>
      <c r="I633" s="436"/>
      <c r="J633" s="436">
        <v>670.86</v>
      </c>
      <c r="K633" s="436"/>
      <c r="O633" s="163">
        <f>I625+I626+I628+I629+I630+I631</f>
        <v>40.31</v>
      </c>
      <c r="P633" s="163">
        <f>K625+K626+K628+K629+K630+K631</f>
        <v>670.86</v>
      </c>
    </row>
    <row r="635" spans="1:22" ht="57" x14ac:dyDescent="0.2">
      <c r="A635" s="179" t="s">
        <v>1844</v>
      </c>
      <c r="B635" s="178" t="s">
        <v>2680</v>
      </c>
      <c r="C635" s="178" t="s">
        <v>1052</v>
      </c>
      <c r="D635" s="177" t="s">
        <v>1903</v>
      </c>
      <c r="E635" s="174">
        <v>2</v>
      </c>
      <c r="F635" s="176"/>
      <c r="G635" s="175"/>
      <c r="H635" s="174"/>
      <c r="I635" s="173"/>
      <c r="J635" s="174"/>
      <c r="K635" s="173"/>
      <c r="Q635" s="160">
        <f>[8]Source!X406</f>
        <v>33.21</v>
      </c>
      <c r="R635" s="160">
        <f>[8]Source!X407</f>
        <v>620.35</v>
      </c>
      <c r="S635" s="160">
        <f>[8]Source!Y406</f>
        <v>22.34</v>
      </c>
      <c r="T635" s="160">
        <f>[8]Source!Y407</f>
        <v>289.02999999999997</v>
      </c>
      <c r="U635" s="160">
        <f>ROUND((175/100)*ROUND([8]Source!R406, 2), 2)</f>
        <v>1.61</v>
      </c>
      <c r="V635" s="160">
        <f>ROUND((157/100)*ROUND([8]Source!R407, 2), 2)</f>
        <v>33.72</v>
      </c>
    </row>
    <row r="636" spans="1:22" ht="14.25" x14ac:dyDescent="0.2">
      <c r="A636" s="179"/>
      <c r="B636" s="178"/>
      <c r="C636" s="178" t="s">
        <v>197</v>
      </c>
      <c r="D636" s="177"/>
      <c r="E636" s="174"/>
      <c r="F636" s="176">
        <v>12.5</v>
      </c>
      <c r="G636" s="175" t="s">
        <v>2668</v>
      </c>
      <c r="H636" s="174">
        <v>1</v>
      </c>
      <c r="I636" s="173">
        <v>30.19</v>
      </c>
      <c r="J636" s="174">
        <v>23.35</v>
      </c>
      <c r="K636" s="173">
        <v>704.94</v>
      </c>
    </row>
    <row r="637" spans="1:22" ht="14.25" x14ac:dyDescent="0.2">
      <c r="A637" s="179"/>
      <c r="B637" s="178"/>
      <c r="C637" s="178" t="s">
        <v>184</v>
      </c>
      <c r="D637" s="177"/>
      <c r="E637" s="174"/>
      <c r="F637" s="176">
        <v>1.49</v>
      </c>
      <c r="G637" s="175" t="s">
        <v>2669</v>
      </c>
      <c r="H637" s="174">
        <v>1</v>
      </c>
      <c r="I637" s="173">
        <v>3.91</v>
      </c>
      <c r="J637" s="174">
        <v>9.58</v>
      </c>
      <c r="K637" s="173">
        <v>37.46</v>
      </c>
    </row>
    <row r="638" spans="1:22" ht="14.25" x14ac:dyDescent="0.2">
      <c r="A638" s="179"/>
      <c r="B638" s="178"/>
      <c r="C638" s="178" t="s">
        <v>189</v>
      </c>
      <c r="D638" s="177"/>
      <c r="E638" s="174"/>
      <c r="F638" s="176">
        <v>0.35</v>
      </c>
      <c r="G638" s="175" t="s">
        <v>2669</v>
      </c>
      <c r="H638" s="174">
        <v>1</v>
      </c>
      <c r="I638" s="180">
        <v>0.92</v>
      </c>
      <c r="J638" s="174">
        <v>23.35</v>
      </c>
      <c r="K638" s="180">
        <v>21.48</v>
      </c>
    </row>
    <row r="639" spans="1:22" ht="14.25" x14ac:dyDescent="0.2">
      <c r="A639" s="179"/>
      <c r="B639" s="178"/>
      <c r="C639" s="178" t="s">
        <v>205</v>
      </c>
      <c r="D639" s="177"/>
      <c r="E639" s="174"/>
      <c r="F639" s="176">
        <v>6.23</v>
      </c>
      <c r="G639" s="175" t="s">
        <v>195</v>
      </c>
      <c r="H639" s="174">
        <v>1</v>
      </c>
      <c r="I639" s="173">
        <v>12.46</v>
      </c>
      <c r="J639" s="174">
        <v>5.42</v>
      </c>
      <c r="K639" s="173">
        <v>67.53</v>
      </c>
    </row>
    <row r="640" spans="1:22" ht="14.25" x14ac:dyDescent="0.2">
      <c r="A640" s="179"/>
      <c r="B640" s="178"/>
      <c r="C640" s="178" t="s">
        <v>194</v>
      </c>
      <c r="D640" s="177" t="s">
        <v>187</v>
      </c>
      <c r="E640" s="174">
        <v>110</v>
      </c>
      <c r="F640" s="176"/>
      <c r="G640" s="175"/>
      <c r="H640" s="174"/>
      <c r="I640" s="173">
        <v>33.21</v>
      </c>
      <c r="J640" s="174">
        <v>88</v>
      </c>
      <c r="K640" s="173">
        <v>620.35</v>
      </c>
    </row>
    <row r="641" spans="1:22" ht="14.25" x14ac:dyDescent="0.2">
      <c r="A641" s="179"/>
      <c r="B641" s="178"/>
      <c r="C641" s="178" t="s">
        <v>193</v>
      </c>
      <c r="D641" s="177" t="s">
        <v>187</v>
      </c>
      <c r="E641" s="174">
        <v>74</v>
      </c>
      <c r="F641" s="176"/>
      <c r="G641" s="175"/>
      <c r="H641" s="174"/>
      <c r="I641" s="173">
        <v>22.34</v>
      </c>
      <c r="J641" s="174">
        <v>41</v>
      </c>
      <c r="K641" s="173">
        <v>289.02999999999997</v>
      </c>
    </row>
    <row r="642" spans="1:22" ht="14.25" x14ac:dyDescent="0.2">
      <c r="A642" s="179"/>
      <c r="B642" s="178"/>
      <c r="C642" s="178" t="s">
        <v>188</v>
      </c>
      <c r="D642" s="177" t="s">
        <v>187</v>
      </c>
      <c r="E642" s="174">
        <v>175</v>
      </c>
      <c r="F642" s="176"/>
      <c r="G642" s="175"/>
      <c r="H642" s="174"/>
      <c r="I642" s="173">
        <v>1.61</v>
      </c>
      <c r="J642" s="174">
        <v>157</v>
      </c>
      <c r="K642" s="173">
        <v>33.72</v>
      </c>
    </row>
    <row r="643" spans="1:22" ht="14.25" x14ac:dyDescent="0.2">
      <c r="A643" s="242"/>
      <c r="B643" s="241"/>
      <c r="C643" s="241" t="s">
        <v>192</v>
      </c>
      <c r="D643" s="240" t="s">
        <v>191</v>
      </c>
      <c r="E643" s="238">
        <v>1.0900000000000001</v>
      </c>
      <c r="F643" s="253"/>
      <c r="G643" s="239" t="s">
        <v>2668</v>
      </c>
      <c r="H643" s="238">
        <v>1</v>
      </c>
      <c r="I643" s="237">
        <v>2.63</v>
      </c>
      <c r="J643" s="238"/>
      <c r="K643" s="237"/>
    </row>
    <row r="644" spans="1:22" ht="15" x14ac:dyDescent="0.25">
      <c r="A644" s="235"/>
      <c r="B644" s="235"/>
      <c r="C644" s="236" t="s">
        <v>183</v>
      </c>
      <c r="D644" s="235"/>
      <c r="E644" s="235"/>
      <c r="F644" s="235"/>
      <c r="G644" s="235"/>
      <c r="H644" s="436">
        <v>103.72</v>
      </c>
      <c r="I644" s="436"/>
      <c r="J644" s="436">
        <v>1753.03</v>
      </c>
      <c r="K644" s="436"/>
      <c r="O644" s="163">
        <f>I636+I637+I639+I640+I641+I642</f>
        <v>103.72</v>
      </c>
      <c r="P644" s="163">
        <f>K636+K637+K639+K640+K641+K642</f>
        <v>1753.03</v>
      </c>
    </row>
    <row r="646" spans="1:22" ht="68.25" x14ac:dyDescent="0.2">
      <c r="A646" s="250" t="s">
        <v>1846</v>
      </c>
      <c r="B646" s="249" t="s">
        <v>2670</v>
      </c>
      <c r="C646" s="249" t="s">
        <v>1070</v>
      </c>
      <c r="D646" s="248" t="s">
        <v>1913</v>
      </c>
      <c r="E646" s="246">
        <v>1</v>
      </c>
      <c r="F646" s="254">
        <v>2892.24</v>
      </c>
      <c r="G646" s="247" t="s">
        <v>195</v>
      </c>
      <c r="H646" s="246">
        <v>1</v>
      </c>
      <c r="I646" s="245">
        <v>2892.24</v>
      </c>
      <c r="J646" s="246">
        <v>4.4000000000000004</v>
      </c>
      <c r="K646" s="245">
        <v>12725.86</v>
      </c>
      <c r="Q646" s="160">
        <f>[8]Source!X408</f>
        <v>0</v>
      </c>
      <c r="R646" s="160">
        <f>[8]Source!X409</f>
        <v>0</v>
      </c>
      <c r="S646" s="160">
        <f>[8]Source!Y408</f>
        <v>0</v>
      </c>
      <c r="T646" s="160">
        <f>[8]Source!Y409</f>
        <v>0</v>
      </c>
      <c r="U646" s="160">
        <f>ROUND((175/100)*ROUND([8]Source!R408, 2), 2)</f>
        <v>0</v>
      </c>
      <c r="V646" s="160">
        <f>ROUND((157/100)*ROUND([8]Source!R409, 2), 2)</f>
        <v>0</v>
      </c>
    </row>
    <row r="647" spans="1:22" ht="15" x14ac:dyDescent="0.25">
      <c r="A647" s="243"/>
      <c r="B647" s="243"/>
      <c r="C647" s="244" t="s">
        <v>183</v>
      </c>
      <c r="D647" s="243"/>
      <c r="E647" s="243"/>
      <c r="F647" s="243"/>
      <c r="G647" s="243"/>
      <c r="H647" s="437">
        <v>2892.24</v>
      </c>
      <c r="I647" s="437"/>
      <c r="J647" s="437">
        <v>12725.86</v>
      </c>
      <c r="K647" s="437"/>
      <c r="O647" s="163">
        <f>I646</f>
        <v>2892.24</v>
      </c>
      <c r="P647" s="163">
        <f>K646</f>
        <v>12725.86</v>
      </c>
    </row>
    <row r="649" spans="1:22" ht="28.5" x14ac:dyDescent="0.2">
      <c r="A649" s="179" t="s">
        <v>1849</v>
      </c>
      <c r="B649" s="178" t="s">
        <v>2673</v>
      </c>
      <c r="C649" s="178" t="s">
        <v>1046</v>
      </c>
      <c r="D649" s="177" t="s">
        <v>2674</v>
      </c>
      <c r="E649" s="174">
        <v>1</v>
      </c>
      <c r="F649" s="176"/>
      <c r="G649" s="175"/>
      <c r="H649" s="174"/>
      <c r="I649" s="173"/>
      <c r="J649" s="174"/>
      <c r="K649" s="173"/>
      <c r="Q649" s="160">
        <f>[8]Source!X411</f>
        <v>83.15</v>
      </c>
      <c r="R649" s="160">
        <f>[8]Source!X412</f>
        <v>1553.23</v>
      </c>
      <c r="S649" s="160">
        <f>[8]Source!Y411</f>
        <v>55.94</v>
      </c>
      <c r="T649" s="160">
        <f>[8]Source!Y412</f>
        <v>723.66</v>
      </c>
      <c r="U649" s="160">
        <f>ROUND((175/100)*ROUND([8]Source!R411, 2), 2)</f>
        <v>3.38</v>
      </c>
      <c r="V649" s="160">
        <f>ROUND((157/100)*ROUND([8]Source!R412, 2), 2)</f>
        <v>70.760000000000005</v>
      </c>
    </row>
    <row r="650" spans="1:22" ht="14.25" x14ac:dyDescent="0.2">
      <c r="A650" s="179"/>
      <c r="B650" s="178"/>
      <c r="C650" s="178" t="s">
        <v>197</v>
      </c>
      <c r="D650" s="177"/>
      <c r="E650" s="174"/>
      <c r="F650" s="176">
        <v>62.6</v>
      </c>
      <c r="G650" s="175" t="s">
        <v>2668</v>
      </c>
      <c r="H650" s="174">
        <v>1</v>
      </c>
      <c r="I650" s="173">
        <v>75.59</v>
      </c>
      <c r="J650" s="174">
        <v>23.35</v>
      </c>
      <c r="K650" s="173">
        <v>1765.03</v>
      </c>
    </row>
    <row r="651" spans="1:22" ht="14.25" x14ac:dyDescent="0.2">
      <c r="A651" s="179"/>
      <c r="B651" s="178"/>
      <c r="C651" s="178" t="s">
        <v>184</v>
      </c>
      <c r="D651" s="177"/>
      <c r="E651" s="174"/>
      <c r="F651" s="176">
        <v>8.82</v>
      </c>
      <c r="G651" s="175" t="s">
        <v>2669</v>
      </c>
      <c r="H651" s="174">
        <v>1</v>
      </c>
      <c r="I651" s="173">
        <v>11.58</v>
      </c>
      <c r="J651" s="174">
        <v>8.66</v>
      </c>
      <c r="K651" s="173">
        <v>100.28</v>
      </c>
    </row>
    <row r="652" spans="1:22" ht="14.25" x14ac:dyDescent="0.2">
      <c r="A652" s="179"/>
      <c r="B652" s="178"/>
      <c r="C652" s="178" t="s">
        <v>189</v>
      </c>
      <c r="D652" s="177"/>
      <c r="E652" s="174"/>
      <c r="F652" s="176">
        <v>1.47</v>
      </c>
      <c r="G652" s="175" t="s">
        <v>2669</v>
      </c>
      <c r="H652" s="174">
        <v>1</v>
      </c>
      <c r="I652" s="180">
        <v>1.93</v>
      </c>
      <c r="J652" s="174">
        <v>23.35</v>
      </c>
      <c r="K652" s="180">
        <v>45.07</v>
      </c>
    </row>
    <row r="653" spans="1:22" ht="14.25" x14ac:dyDescent="0.2">
      <c r="A653" s="179"/>
      <c r="B653" s="178"/>
      <c r="C653" s="178" t="s">
        <v>205</v>
      </c>
      <c r="D653" s="177"/>
      <c r="E653" s="174"/>
      <c r="F653" s="176">
        <v>2.62</v>
      </c>
      <c r="G653" s="175" t="s">
        <v>195</v>
      </c>
      <c r="H653" s="174">
        <v>1</v>
      </c>
      <c r="I653" s="173">
        <v>2.62</v>
      </c>
      <c r="J653" s="174">
        <v>2.5299999999999998</v>
      </c>
      <c r="K653" s="173">
        <v>6.63</v>
      </c>
    </row>
    <row r="654" spans="1:22" ht="14.25" x14ac:dyDescent="0.2">
      <c r="A654" s="179"/>
      <c r="B654" s="178"/>
      <c r="C654" s="178" t="s">
        <v>194</v>
      </c>
      <c r="D654" s="177" t="s">
        <v>187</v>
      </c>
      <c r="E654" s="174">
        <v>110</v>
      </c>
      <c r="F654" s="176"/>
      <c r="G654" s="175"/>
      <c r="H654" s="174"/>
      <c r="I654" s="173">
        <v>83.15</v>
      </c>
      <c r="J654" s="174">
        <v>88</v>
      </c>
      <c r="K654" s="173">
        <v>1553.23</v>
      </c>
    </row>
    <row r="655" spans="1:22" ht="14.25" x14ac:dyDescent="0.2">
      <c r="A655" s="179"/>
      <c r="B655" s="178"/>
      <c r="C655" s="178" t="s">
        <v>193</v>
      </c>
      <c r="D655" s="177" t="s">
        <v>187</v>
      </c>
      <c r="E655" s="174">
        <v>74</v>
      </c>
      <c r="F655" s="176"/>
      <c r="G655" s="175"/>
      <c r="H655" s="174"/>
      <c r="I655" s="173">
        <v>55.94</v>
      </c>
      <c r="J655" s="174">
        <v>41</v>
      </c>
      <c r="K655" s="173">
        <v>723.66</v>
      </c>
    </row>
    <row r="656" spans="1:22" ht="14.25" x14ac:dyDescent="0.2">
      <c r="A656" s="179"/>
      <c r="B656" s="178"/>
      <c r="C656" s="178" t="s">
        <v>188</v>
      </c>
      <c r="D656" s="177" t="s">
        <v>187</v>
      </c>
      <c r="E656" s="174">
        <v>175</v>
      </c>
      <c r="F656" s="176"/>
      <c r="G656" s="175"/>
      <c r="H656" s="174"/>
      <c r="I656" s="173">
        <v>3.38</v>
      </c>
      <c r="J656" s="174">
        <v>157</v>
      </c>
      <c r="K656" s="173">
        <v>70.760000000000005</v>
      </c>
    </row>
    <row r="657" spans="1:22" ht="14.25" x14ac:dyDescent="0.2">
      <c r="A657" s="242"/>
      <c r="B657" s="241"/>
      <c r="C657" s="241" t="s">
        <v>192</v>
      </c>
      <c r="D657" s="240" t="s">
        <v>191</v>
      </c>
      <c r="E657" s="238">
        <v>4.96</v>
      </c>
      <c r="F657" s="253"/>
      <c r="G657" s="239" t="s">
        <v>2668</v>
      </c>
      <c r="H657" s="238">
        <v>1</v>
      </c>
      <c r="I657" s="237">
        <v>5.99</v>
      </c>
      <c r="J657" s="238"/>
      <c r="K657" s="237"/>
    </row>
    <row r="658" spans="1:22" ht="15" x14ac:dyDescent="0.25">
      <c r="A658" s="235"/>
      <c r="B658" s="235"/>
      <c r="C658" s="236" t="s">
        <v>183</v>
      </c>
      <c r="D658" s="235"/>
      <c r="E658" s="235"/>
      <c r="F658" s="235"/>
      <c r="G658" s="235"/>
      <c r="H658" s="436">
        <v>232.26</v>
      </c>
      <c r="I658" s="436"/>
      <c r="J658" s="436">
        <v>4219.59</v>
      </c>
      <c r="K658" s="436"/>
      <c r="O658" s="163">
        <f>I650+I651+I653+I654+I655+I656</f>
        <v>232.26</v>
      </c>
      <c r="P658" s="163">
        <f>K650+K651+K653+K654+K655+K656</f>
        <v>4219.59</v>
      </c>
    </row>
    <row r="660" spans="1:22" ht="28.5" x14ac:dyDescent="0.2">
      <c r="A660" s="179" t="s">
        <v>1859</v>
      </c>
      <c r="B660" s="178" t="s">
        <v>2675</v>
      </c>
      <c r="C660" s="178" t="s">
        <v>1026</v>
      </c>
      <c r="D660" s="177" t="s">
        <v>2676</v>
      </c>
      <c r="E660" s="174">
        <v>1</v>
      </c>
      <c r="F660" s="176"/>
      <c r="G660" s="175"/>
      <c r="H660" s="174"/>
      <c r="I660" s="173"/>
      <c r="J660" s="174"/>
      <c r="K660" s="173"/>
      <c r="Q660" s="160">
        <f>[8]Source!X415</f>
        <v>15.88</v>
      </c>
      <c r="R660" s="160">
        <f>[8]Source!X416</f>
        <v>296.70999999999998</v>
      </c>
      <c r="S660" s="160">
        <f>[8]Source!Y415</f>
        <v>10.69</v>
      </c>
      <c r="T660" s="160">
        <f>[8]Source!Y416</f>
        <v>138.24</v>
      </c>
      <c r="U660" s="160">
        <f>ROUND((175/100)*ROUND([8]Source!R415, 2), 2)</f>
        <v>0.42</v>
      </c>
      <c r="V660" s="160">
        <f>ROUND((157/100)*ROUND([8]Source!R416, 2), 2)</f>
        <v>8.7899999999999991</v>
      </c>
    </row>
    <row r="661" spans="1:22" ht="14.25" x14ac:dyDescent="0.2">
      <c r="A661" s="179"/>
      <c r="B661" s="178"/>
      <c r="C661" s="178" t="s">
        <v>197</v>
      </c>
      <c r="D661" s="177"/>
      <c r="E661" s="174"/>
      <c r="F661" s="176">
        <v>11.96</v>
      </c>
      <c r="G661" s="175" t="s">
        <v>2668</v>
      </c>
      <c r="H661" s="174">
        <v>1</v>
      </c>
      <c r="I661" s="173">
        <v>14.44</v>
      </c>
      <c r="J661" s="174">
        <v>23.35</v>
      </c>
      <c r="K661" s="173">
        <v>337.17</v>
      </c>
    </row>
    <row r="662" spans="1:22" ht="14.25" x14ac:dyDescent="0.2">
      <c r="A662" s="179"/>
      <c r="B662" s="178"/>
      <c r="C662" s="178" t="s">
        <v>184</v>
      </c>
      <c r="D662" s="177"/>
      <c r="E662" s="174"/>
      <c r="F662" s="176">
        <v>0.74</v>
      </c>
      <c r="G662" s="175" t="s">
        <v>2669</v>
      </c>
      <c r="H662" s="174">
        <v>1</v>
      </c>
      <c r="I662" s="173">
        <v>0.97</v>
      </c>
      <c r="J662" s="174">
        <v>9.73</v>
      </c>
      <c r="K662" s="173">
        <v>9.44</v>
      </c>
    </row>
    <row r="663" spans="1:22" ht="14.25" x14ac:dyDescent="0.2">
      <c r="A663" s="179"/>
      <c r="B663" s="178"/>
      <c r="C663" s="178" t="s">
        <v>189</v>
      </c>
      <c r="D663" s="177"/>
      <c r="E663" s="174"/>
      <c r="F663" s="176">
        <v>0.18</v>
      </c>
      <c r="G663" s="175" t="s">
        <v>2669</v>
      </c>
      <c r="H663" s="174">
        <v>1</v>
      </c>
      <c r="I663" s="180">
        <v>0.24</v>
      </c>
      <c r="J663" s="174">
        <v>23.35</v>
      </c>
      <c r="K663" s="180">
        <v>5.6</v>
      </c>
    </row>
    <row r="664" spans="1:22" ht="14.25" x14ac:dyDescent="0.2">
      <c r="A664" s="179"/>
      <c r="B664" s="178"/>
      <c r="C664" s="178" t="s">
        <v>205</v>
      </c>
      <c r="D664" s="177"/>
      <c r="E664" s="174"/>
      <c r="F664" s="176">
        <v>4.41</v>
      </c>
      <c r="G664" s="175" t="s">
        <v>195</v>
      </c>
      <c r="H664" s="174">
        <v>1</v>
      </c>
      <c r="I664" s="173">
        <v>4.41</v>
      </c>
      <c r="J664" s="174">
        <v>5.42</v>
      </c>
      <c r="K664" s="173">
        <v>23.9</v>
      </c>
    </row>
    <row r="665" spans="1:22" ht="14.25" x14ac:dyDescent="0.2">
      <c r="A665" s="179"/>
      <c r="B665" s="178"/>
      <c r="C665" s="178" t="s">
        <v>194</v>
      </c>
      <c r="D665" s="177" t="s">
        <v>187</v>
      </c>
      <c r="E665" s="174">
        <v>110</v>
      </c>
      <c r="F665" s="176"/>
      <c r="G665" s="175"/>
      <c r="H665" s="174"/>
      <c r="I665" s="173">
        <v>15.88</v>
      </c>
      <c r="J665" s="174">
        <v>88</v>
      </c>
      <c r="K665" s="173">
        <v>296.70999999999998</v>
      </c>
    </row>
    <row r="666" spans="1:22" ht="14.25" x14ac:dyDescent="0.2">
      <c r="A666" s="179"/>
      <c r="B666" s="178"/>
      <c r="C666" s="178" t="s">
        <v>193</v>
      </c>
      <c r="D666" s="177" t="s">
        <v>187</v>
      </c>
      <c r="E666" s="174">
        <v>74</v>
      </c>
      <c r="F666" s="176"/>
      <c r="G666" s="175"/>
      <c r="H666" s="174"/>
      <c r="I666" s="173">
        <v>10.69</v>
      </c>
      <c r="J666" s="174">
        <v>41</v>
      </c>
      <c r="K666" s="173">
        <v>138.24</v>
      </c>
    </row>
    <row r="667" spans="1:22" ht="14.25" x14ac:dyDescent="0.2">
      <c r="A667" s="179"/>
      <c r="B667" s="178"/>
      <c r="C667" s="178" t="s">
        <v>188</v>
      </c>
      <c r="D667" s="177" t="s">
        <v>187</v>
      </c>
      <c r="E667" s="174">
        <v>175</v>
      </c>
      <c r="F667" s="176"/>
      <c r="G667" s="175"/>
      <c r="H667" s="174"/>
      <c r="I667" s="173">
        <v>0.42</v>
      </c>
      <c r="J667" s="174">
        <v>157</v>
      </c>
      <c r="K667" s="173">
        <v>8.7899999999999991</v>
      </c>
    </row>
    <row r="668" spans="1:22" ht="14.25" x14ac:dyDescent="0.2">
      <c r="A668" s="242"/>
      <c r="B668" s="241"/>
      <c r="C668" s="241" t="s">
        <v>192</v>
      </c>
      <c r="D668" s="240" t="s">
        <v>191</v>
      </c>
      <c r="E668" s="238">
        <v>1.03</v>
      </c>
      <c r="F668" s="253"/>
      <c r="G668" s="239" t="s">
        <v>2668</v>
      </c>
      <c r="H668" s="238">
        <v>1</v>
      </c>
      <c r="I668" s="237">
        <v>1.24</v>
      </c>
      <c r="J668" s="238"/>
      <c r="K668" s="237"/>
    </row>
    <row r="669" spans="1:22" ht="15" x14ac:dyDescent="0.25">
      <c r="A669" s="235"/>
      <c r="B669" s="235"/>
      <c r="C669" s="236" t="s">
        <v>183</v>
      </c>
      <c r="D669" s="235"/>
      <c r="E669" s="235"/>
      <c r="F669" s="235"/>
      <c r="G669" s="235"/>
      <c r="H669" s="436">
        <v>46.81</v>
      </c>
      <c r="I669" s="436"/>
      <c r="J669" s="436">
        <v>814.25</v>
      </c>
      <c r="K669" s="436"/>
      <c r="O669" s="163">
        <f>I661+I662+I664+I665+I666+I667</f>
        <v>46.81</v>
      </c>
      <c r="P669" s="163">
        <f>K661+K662+K664+K665+K666+K667</f>
        <v>814.25</v>
      </c>
    </row>
    <row r="671" spans="1:22" ht="28.5" x14ac:dyDescent="0.2">
      <c r="A671" s="179" t="s">
        <v>1861</v>
      </c>
      <c r="B671" s="178" t="s">
        <v>2677</v>
      </c>
      <c r="C671" s="178" t="s">
        <v>1045</v>
      </c>
      <c r="D671" s="177" t="s">
        <v>2678</v>
      </c>
      <c r="E671" s="174">
        <v>0.15</v>
      </c>
      <c r="F671" s="176"/>
      <c r="G671" s="175"/>
      <c r="H671" s="174"/>
      <c r="I671" s="173"/>
      <c r="J671" s="174"/>
      <c r="K671" s="173"/>
      <c r="Q671" s="160">
        <f>[8]Source!X417</f>
        <v>12.03</v>
      </c>
      <c r="R671" s="160">
        <f>[8]Source!X418</f>
        <v>224.8</v>
      </c>
      <c r="S671" s="160">
        <f>[8]Source!Y417</f>
        <v>8.1</v>
      </c>
      <c r="T671" s="160">
        <f>[8]Source!Y418</f>
        <v>104.73</v>
      </c>
      <c r="U671" s="160">
        <f>ROUND((175/100)*ROUND([8]Source!R417, 2), 2)</f>
        <v>1.4</v>
      </c>
      <c r="V671" s="160">
        <f>ROUND((157/100)*ROUND([8]Source!R418, 2), 2)</f>
        <v>29.33</v>
      </c>
    </row>
    <row r="672" spans="1:22" x14ac:dyDescent="0.2">
      <c r="C672" s="181" t="s">
        <v>2679</v>
      </c>
    </row>
    <row r="673" spans="1:22" ht="14.25" x14ac:dyDescent="0.2">
      <c r="A673" s="179"/>
      <c r="B673" s="178"/>
      <c r="C673" s="178" t="s">
        <v>197</v>
      </c>
      <c r="D673" s="177"/>
      <c r="E673" s="174"/>
      <c r="F673" s="176">
        <v>60.39</v>
      </c>
      <c r="G673" s="175" t="s">
        <v>2668</v>
      </c>
      <c r="H673" s="174">
        <v>1</v>
      </c>
      <c r="I673" s="173">
        <v>10.94</v>
      </c>
      <c r="J673" s="174">
        <v>23.35</v>
      </c>
      <c r="K673" s="173">
        <v>255.45</v>
      </c>
    </row>
    <row r="674" spans="1:22" ht="14.25" x14ac:dyDescent="0.2">
      <c r="A674" s="179"/>
      <c r="B674" s="178"/>
      <c r="C674" s="178" t="s">
        <v>184</v>
      </c>
      <c r="D674" s="177"/>
      <c r="E674" s="174"/>
      <c r="F674" s="176">
        <v>20.05</v>
      </c>
      <c r="G674" s="175" t="s">
        <v>2669</v>
      </c>
      <c r="H674" s="174">
        <v>1</v>
      </c>
      <c r="I674" s="173">
        <v>3.95</v>
      </c>
      <c r="J674" s="174">
        <v>8.98</v>
      </c>
      <c r="K674" s="173">
        <v>35.47</v>
      </c>
    </row>
    <row r="675" spans="1:22" ht="14.25" x14ac:dyDescent="0.2">
      <c r="A675" s="179"/>
      <c r="B675" s="178"/>
      <c r="C675" s="178" t="s">
        <v>189</v>
      </c>
      <c r="D675" s="177"/>
      <c r="E675" s="174"/>
      <c r="F675" s="176">
        <v>4.04</v>
      </c>
      <c r="G675" s="175" t="s">
        <v>2669</v>
      </c>
      <c r="H675" s="174">
        <v>1</v>
      </c>
      <c r="I675" s="180">
        <v>0.8</v>
      </c>
      <c r="J675" s="174">
        <v>23.35</v>
      </c>
      <c r="K675" s="180">
        <v>18.68</v>
      </c>
    </row>
    <row r="676" spans="1:22" ht="14.25" x14ac:dyDescent="0.2">
      <c r="A676" s="179"/>
      <c r="B676" s="178"/>
      <c r="C676" s="178" t="s">
        <v>205</v>
      </c>
      <c r="D676" s="177"/>
      <c r="E676" s="174"/>
      <c r="F676" s="176">
        <v>25.9</v>
      </c>
      <c r="G676" s="175" t="s">
        <v>195</v>
      </c>
      <c r="H676" s="174">
        <v>1</v>
      </c>
      <c r="I676" s="173">
        <v>3.89</v>
      </c>
      <c r="J676" s="174">
        <v>5.42</v>
      </c>
      <c r="K676" s="173">
        <v>21.08</v>
      </c>
    </row>
    <row r="677" spans="1:22" ht="14.25" x14ac:dyDescent="0.2">
      <c r="A677" s="179"/>
      <c r="B677" s="178"/>
      <c r="C677" s="178" t="s">
        <v>194</v>
      </c>
      <c r="D677" s="177" t="s">
        <v>187</v>
      </c>
      <c r="E677" s="174">
        <v>110</v>
      </c>
      <c r="F677" s="176"/>
      <c r="G677" s="175"/>
      <c r="H677" s="174"/>
      <c r="I677" s="173">
        <v>12.03</v>
      </c>
      <c r="J677" s="174">
        <v>88</v>
      </c>
      <c r="K677" s="173">
        <v>224.8</v>
      </c>
    </row>
    <row r="678" spans="1:22" ht="14.25" x14ac:dyDescent="0.2">
      <c r="A678" s="179"/>
      <c r="B678" s="178"/>
      <c r="C678" s="178" t="s">
        <v>193</v>
      </c>
      <c r="D678" s="177" t="s">
        <v>187</v>
      </c>
      <c r="E678" s="174">
        <v>74</v>
      </c>
      <c r="F678" s="176"/>
      <c r="G678" s="175"/>
      <c r="H678" s="174"/>
      <c r="I678" s="173">
        <v>8.1</v>
      </c>
      <c r="J678" s="174">
        <v>41</v>
      </c>
      <c r="K678" s="173">
        <v>104.73</v>
      </c>
    </row>
    <row r="679" spans="1:22" ht="14.25" x14ac:dyDescent="0.2">
      <c r="A679" s="179"/>
      <c r="B679" s="178"/>
      <c r="C679" s="178" t="s">
        <v>188</v>
      </c>
      <c r="D679" s="177" t="s">
        <v>187</v>
      </c>
      <c r="E679" s="174">
        <v>175</v>
      </c>
      <c r="F679" s="176"/>
      <c r="G679" s="175"/>
      <c r="H679" s="174"/>
      <c r="I679" s="173">
        <v>1.4</v>
      </c>
      <c r="J679" s="174">
        <v>157</v>
      </c>
      <c r="K679" s="173">
        <v>29.33</v>
      </c>
    </row>
    <row r="680" spans="1:22" ht="14.25" x14ac:dyDescent="0.2">
      <c r="A680" s="242"/>
      <c r="B680" s="241"/>
      <c r="C680" s="241" t="s">
        <v>192</v>
      </c>
      <c r="D680" s="240" t="s">
        <v>191</v>
      </c>
      <c r="E680" s="238">
        <v>5.0199999999999996</v>
      </c>
      <c r="F680" s="253"/>
      <c r="G680" s="239" t="s">
        <v>2668</v>
      </c>
      <c r="H680" s="238">
        <v>1</v>
      </c>
      <c r="I680" s="237">
        <v>0.91</v>
      </c>
      <c r="J680" s="238"/>
      <c r="K680" s="237"/>
    </row>
    <row r="681" spans="1:22" ht="15" x14ac:dyDescent="0.25">
      <c r="A681" s="235"/>
      <c r="B681" s="235"/>
      <c r="C681" s="236" t="s">
        <v>183</v>
      </c>
      <c r="D681" s="235"/>
      <c r="E681" s="235"/>
      <c r="F681" s="235"/>
      <c r="G681" s="235"/>
      <c r="H681" s="436">
        <v>40.31</v>
      </c>
      <c r="I681" s="436"/>
      <c r="J681" s="436">
        <v>670.86</v>
      </c>
      <c r="K681" s="436"/>
      <c r="O681" s="163">
        <f>I673+I674+I676+I677+I678+I679</f>
        <v>40.31</v>
      </c>
      <c r="P681" s="163">
        <f>K673+K674+K676+K677+K678+K679</f>
        <v>670.86</v>
      </c>
    </row>
    <row r="683" spans="1:22" ht="57" x14ac:dyDescent="0.2">
      <c r="A683" s="179" t="s">
        <v>1863</v>
      </c>
      <c r="B683" s="178" t="s">
        <v>2680</v>
      </c>
      <c r="C683" s="178" t="s">
        <v>1052</v>
      </c>
      <c r="D683" s="177" t="s">
        <v>1903</v>
      </c>
      <c r="E683" s="174">
        <v>2</v>
      </c>
      <c r="F683" s="176"/>
      <c r="G683" s="175"/>
      <c r="H683" s="174"/>
      <c r="I683" s="173"/>
      <c r="J683" s="174"/>
      <c r="K683" s="173"/>
      <c r="Q683" s="160">
        <f>[8]Source!X419</f>
        <v>33.21</v>
      </c>
      <c r="R683" s="160">
        <f>[8]Source!X420</f>
        <v>620.35</v>
      </c>
      <c r="S683" s="160">
        <f>[8]Source!Y419</f>
        <v>22.34</v>
      </c>
      <c r="T683" s="160">
        <f>[8]Source!Y420</f>
        <v>289.02999999999997</v>
      </c>
      <c r="U683" s="160">
        <f>ROUND((175/100)*ROUND([8]Source!R419, 2), 2)</f>
        <v>1.61</v>
      </c>
      <c r="V683" s="160">
        <f>ROUND((157/100)*ROUND([8]Source!R420, 2), 2)</f>
        <v>33.72</v>
      </c>
    </row>
    <row r="684" spans="1:22" ht="14.25" x14ac:dyDescent="0.2">
      <c r="A684" s="179"/>
      <c r="B684" s="178"/>
      <c r="C684" s="178" t="s">
        <v>197</v>
      </c>
      <c r="D684" s="177"/>
      <c r="E684" s="174"/>
      <c r="F684" s="176">
        <v>12.5</v>
      </c>
      <c r="G684" s="175" t="s">
        <v>2668</v>
      </c>
      <c r="H684" s="174">
        <v>1</v>
      </c>
      <c r="I684" s="173">
        <v>30.19</v>
      </c>
      <c r="J684" s="174">
        <v>23.35</v>
      </c>
      <c r="K684" s="173">
        <v>704.94</v>
      </c>
    </row>
    <row r="685" spans="1:22" ht="14.25" x14ac:dyDescent="0.2">
      <c r="A685" s="179"/>
      <c r="B685" s="178"/>
      <c r="C685" s="178" t="s">
        <v>184</v>
      </c>
      <c r="D685" s="177"/>
      <c r="E685" s="174"/>
      <c r="F685" s="176">
        <v>1.49</v>
      </c>
      <c r="G685" s="175" t="s">
        <v>2669</v>
      </c>
      <c r="H685" s="174">
        <v>1</v>
      </c>
      <c r="I685" s="173">
        <v>3.91</v>
      </c>
      <c r="J685" s="174">
        <v>9.58</v>
      </c>
      <c r="K685" s="173">
        <v>37.46</v>
      </c>
    </row>
    <row r="686" spans="1:22" ht="14.25" x14ac:dyDescent="0.2">
      <c r="A686" s="179"/>
      <c r="B686" s="178"/>
      <c r="C686" s="178" t="s">
        <v>189</v>
      </c>
      <c r="D686" s="177"/>
      <c r="E686" s="174"/>
      <c r="F686" s="176">
        <v>0.35</v>
      </c>
      <c r="G686" s="175" t="s">
        <v>2669</v>
      </c>
      <c r="H686" s="174">
        <v>1</v>
      </c>
      <c r="I686" s="180">
        <v>0.92</v>
      </c>
      <c r="J686" s="174">
        <v>23.35</v>
      </c>
      <c r="K686" s="180">
        <v>21.48</v>
      </c>
    </row>
    <row r="687" spans="1:22" ht="14.25" x14ac:dyDescent="0.2">
      <c r="A687" s="179"/>
      <c r="B687" s="178"/>
      <c r="C687" s="178" t="s">
        <v>205</v>
      </c>
      <c r="D687" s="177"/>
      <c r="E687" s="174"/>
      <c r="F687" s="176">
        <v>6.23</v>
      </c>
      <c r="G687" s="175" t="s">
        <v>195</v>
      </c>
      <c r="H687" s="174">
        <v>1</v>
      </c>
      <c r="I687" s="173">
        <v>12.46</v>
      </c>
      <c r="J687" s="174">
        <v>5.42</v>
      </c>
      <c r="K687" s="173">
        <v>67.53</v>
      </c>
    </row>
    <row r="688" spans="1:22" ht="14.25" x14ac:dyDescent="0.2">
      <c r="A688" s="179"/>
      <c r="B688" s="178"/>
      <c r="C688" s="178" t="s">
        <v>194</v>
      </c>
      <c r="D688" s="177" t="s">
        <v>187</v>
      </c>
      <c r="E688" s="174">
        <v>110</v>
      </c>
      <c r="F688" s="176"/>
      <c r="G688" s="175"/>
      <c r="H688" s="174"/>
      <c r="I688" s="173">
        <v>33.21</v>
      </c>
      <c r="J688" s="174">
        <v>88</v>
      </c>
      <c r="K688" s="173">
        <v>620.35</v>
      </c>
    </row>
    <row r="689" spans="1:22" ht="14.25" x14ac:dyDescent="0.2">
      <c r="A689" s="179"/>
      <c r="B689" s="178"/>
      <c r="C689" s="178" t="s">
        <v>193</v>
      </c>
      <c r="D689" s="177" t="s">
        <v>187</v>
      </c>
      <c r="E689" s="174">
        <v>74</v>
      </c>
      <c r="F689" s="176"/>
      <c r="G689" s="175"/>
      <c r="H689" s="174"/>
      <c r="I689" s="173">
        <v>22.34</v>
      </c>
      <c r="J689" s="174">
        <v>41</v>
      </c>
      <c r="K689" s="173">
        <v>289.02999999999997</v>
      </c>
    </row>
    <row r="690" spans="1:22" ht="14.25" x14ac:dyDescent="0.2">
      <c r="A690" s="179"/>
      <c r="B690" s="178"/>
      <c r="C690" s="178" t="s">
        <v>188</v>
      </c>
      <c r="D690" s="177" t="s">
        <v>187</v>
      </c>
      <c r="E690" s="174">
        <v>175</v>
      </c>
      <c r="F690" s="176"/>
      <c r="G690" s="175"/>
      <c r="H690" s="174"/>
      <c r="I690" s="173">
        <v>1.61</v>
      </c>
      <c r="J690" s="174">
        <v>157</v>
      </c>
      <c r="K690" s="173">
        <v>33.72</v>
      </c>
    </row>
    <row r="691" spans="1:22" ht="14.25" x14ac:dyDescent="0.2">
      <c r="A691" s="242"/>
      <c r="B691" s="241"/>
      <c r="C691" s="241" t="s">
        <v>192</v>
      </c>
      <c r="D691" s="240" t="s">
        <v>191</v>
      </c>
      <c r="E691" s="238">
        <v>1.0900000000000001</v>
      </c>
      <c r="F691" s="253"/>
      <c r="G691" s="239" t="s">
        <v>2668</v>
      </c>
      <c r="H691" s="238">
        <v>1</v>
      </c>
      <c r="I691" s="237">
        <v>2.63</v>
      </c>
      <c r="J691" s="238"/>
      <c r="K691" s="237"/>
    </row>
    <row r="692" spans="1:22" ht="15" x14ac:dyDescent="0.25">
      <c r="A692" s="235"/>
      <c r="B692" s="235"/>
      <c r="C692" s="236" t="s">
        <v>183</v>
      </c>
      <c r="D692" s="235"/>
      <c r="E692" s="235"/>
      <c r="F692" s="235"/>
      <c r="G692" s="235"/>
      <c r="H692" s="436">
        <v>103.72</v>
      </c>
      <c r="I692" s="436"/>
      <c r="J692" s="436">
        <v>1753.03</v>
      </c>
      <c r="K692" s="436"/>
      <c r="O692" s="163">
        <f>I684+I685+I687+I688+I689+I690</f>
        <v>103.72</v>
      </c>
      <c r="P692" s="163">
        <f>K684+K685+K687+K688+K689+K690</f>
        <v>1753.03</v>
      </c>
    </row>
    <row r="694" spans="1:22" ht="68.25" x14ac:dyDescent="0.2">
      <c r="A694" s="250" t="s">
        <v>1867</v>
      </c>
      <c r="B694" s="249" t="s">
        <v>2670</v>
      </c>
      <c r="C694" s="249" t="s">
        <v>1069</v>
      </c>
      <c r="D694" s="248" t="s">
        <v>1913</v>
      </c>
      <c r="E694" s="246">
        <v>1</v>
      </c>
      <c r="F694" s="254">
        <v>3395.15</v>
      </c>
      <c r="G694" s="247" t="s">
        <v>195</v>
      </c>
      <c r="H694" s="246">
        <v>1</v>
      </c>
      <c r="I694" s="245">
        <v>3395.15</v>
      </c>
      <c r="J694" s="246">
        <v>4.4000000000000004</v>
      </c>
      <c r="K694" s="245">
        <v>14938.66</v>
      </c>
      <c r="Q694" s="160">
        <f>[8]Source!X421</f>
        <v>0</v>
      </c>
      <c r="R694" s="160">
        <f>[8]Source!X422</f>
        <v>0</v>
      </c>
      <c r="S694" s="160">
        <f>[8]Source!Y421</f>
        <v>0</v>
      </c>
      <c r="T694" s="160">
        <f>[8]Source!Y422</f>
        <v>0</v>
      </c>
      <c r="U694" s="160">
        <f>ROUND((175/100)*ROUND([8]Source!R421, 2), 2)</f>
        <v>0</v>
      </c>
      <c r="V694" s="160">
        <f>ROUND((157/100)*ROUND([8]Source!R422, 2), 2)</f>
        <v>0</v>
      </c>
    </row>
    <row r="695" spans="1:22" ht="15" x14ac:dyDescent="0.25">
      <c r="A695" s="243"/>
      <c r="B695" s="243"/>
      <c r="C695" s="244" t="s">
        <v>183</v>
      </c>
      <c r="D695" s="243"/>
      <c r="E695" s="243"/>
      <c r="F695" s="243"/>
      <c r="G695" s="243"/>
      <c r="H695" s="437">
        <v>3395.15</v>
      </c>
      <c r="I695" s="437"/>
      <c r="J695" s="437">
        <v>14938.66</v>
      </c>
      <c r="K695" s="437"/>
      <c r="O695" s="163">
        <f>I694</f>
        <v>3395.15</v>
      </c>
      <c r="P695" s="163">
        <f>K694</f>
        <v>14938.66</v>
      </c>
    </row>
    <row r="697" spans="1:22" ht="28.5" x14ac:dyDescent="0.2">
      <c r="A697" s="179" t="s">
        <v>1870</v>
      </c>
      <c r="B697" s="178" t="s">
        <v>2673</v>
      </c>
      <c r="C697" s="178" t="s">
        <v>1046</v>
      </c>
      <c r="D697" s="177" t="s">
        <v>2674</v>
      </c>
      <c r="E697" s="174">
        <v>1</v>
      </c>
      <c r="F697" s="176"/>
      <c r="G697" s="175"/>
      <c r="H697" s="174"/>
      <c r="I697" s="173"/>
      <c r="J697" s="174"/>
      <c r="K697" s="173"/>
      <c r="Q697" s="160">
        <f>[8]Source!X424</f>
        <v>83.15</v>
      </c>
      <c r="R697" s="160">
        <f>[8]Source!X425</f>
        <v>1553.23</v>
      </c>
      <c r="S697" s="160">
        <f>[8]Source!Y424</f>
        <v>55.94</v>
      </c>
      <c r="T697" s="160">
        <f>[8]Source!Y425</f>
        <v>723.66</v>
      </c>
      <c r="U697" s="160">
        <f>ROUND((175/100)*ROUND([8]Source!R424, 2), 2)</f>
        <v>3.38</v>
      </c>
      <c r="V697" s="160">
        <f>ROUND((157/100)*ROUND([8]Source!R425, 2), 2)</f>
        <v>70.760000000000005</v>
      </c>
    </row>
    <row r="698" spans="1:22" ht="14.25" x14ac:dyDescent="0.2">
      <c r="A698" s="179"/>
      <c r="B698" s="178"/>
      <c r="C698" s="178" t="s">
        <v>197</v>
      </c>
      <c r="D698" s="177"/>
      <c r="E698" s="174"/>
      <c r="F698" s="176">
        <v>62.6</v>
      </c>
      <c r="G698" s="175" t="s">
        <v>2668</v>
      </c>
      <c r="H698" s="174">
        <v>1</v>
      </c>
      <c r="I698" s="173">
        <v>75.59</v>
      </c>
      <c r="J698" s="174">
        <v>23.35</v>
      </c>
      <c r="K698" s="173">
        <v>1765.03</v>
      </c>
    </row>
    <row r="699" spans="1:22" ht="14.25" x14ac:dyDescent="0.2">
      <c r="A699" s="179"/>
      <c r="B699" s="178"/>
      <c r="C699" s="178" t="s">
        <v>184</v>
      </c>
      <c r="D699" s="177"/>
      <c r="E699" s="174"/>
      <c r="F699" s="176">
        <v>8.82</v>
      </c>
      <c r="G699" s="175" t="s">
        <v>2669</v>
      </c>
      <c r="H699" s="174">
        <v>1</v>
      </c>
      <c r="I699" s="173">
        <v>11.58</v>
      </c>
      <c r="J699" s="174">
        <v>8.66</v>
      </c>
      <c r="K699" s="173">
        <v>100.28</v>
      </c>
    </row>
    <row r="700" spans="1:22" ht="14.25" x14ac:dyDescent="0.2">
      <c r="A700" s="179"/>
      <c r="B700" s="178"/>
      <c r="C700" s="178" t="s">
        <v>189</v>
      </c>
      <c r="D700" s="177"/>
      <c r="E700" s="174"/>
      <c r="F700" s="176">
        <v>1.47</v>
      </c>
      <c r="G700" s="175" t="s">
        <v>2669</v>
      </c>
      <c r="H700" s="174">
        <v>1</v>
      </c>
      <c r="I700" s="180">
        <v>1.93</v>
      </c>
      <c r="J700" s="174">
        <v>23.35</v>
      </c>
      <c r="K700" s="180">
        <v>45.07</v>
      </c>
    </row>
    <row r="701" spans="1:22" ht="14.25" x14ac:dyDescent="0.2">
      <c r="A701" s="179"/>
      <c r="B701" s="178"/>
      <c r="C701" s="178" t="s">
        <v>205</v>
      </c>
      <c r="D701" s="177"/>
      <c r="E701" s="174"/>
      <c r="F701" s="176">
        <v>2.62</v>
      </c>
      <c r="G701" s="175" t="s">
        <v>195</v>
      </c>
      <c r="H701" s="174">
        <v>1</v>
      </c>
      <c r="I701" s="173">
        <v>2.62</v>
      </c>
      <c r="J701" s="174">
        <v>2.5299999999999998</v>
      </c>
      <c r="K701" s="173">
        <v>6.63</v>
      </c>
    </row>
    <row r="702" spans="1:22" ht="14.25" x14ac:dyDescent="0.2">
      <c r="A702" s="179"/>
      <c r="B702" s="178"/>
      <c r="C702" s="178" t="s">
        <v>194</v>
      </c>
      <c r="D702" s="177" t="s">
        <v>187</v>
      </c>
      <c r="E702" s="174">
        <v>110</v>
      </c>
      <c r="F702" s="176"/>
      <c r="G702" s="175"/>
      <c r="H702" s="174"/>
      <c r="I702" s="173">
        <v>83.15</v>
      </c>
      <c r="J702" s="174">
        <v>88</v>
      </c>
      <c r="K702" s="173">
        <v>1553.23</v>
      </c>
    </row>
    <row r="703" spans="1:22" ht="14.25" x14ac:dyDescent="0.2">
      <c r="A703" s="179"/>
      <c r="B703" s="178"/>
      <c r="C703" s="178" t="s">
        <v>193</v>
      </c>
      <c r="D703" s="177" t="s">
        <v>187</v>
      </c>
      <c r="E703" s="174">
        <v>74</v>
      </c>
      <c r="F703" s="176"/>
      <c r="G703" s="175"/>
      <c r="H703" s="174"/>
      <c r="I703" s="173">
        <v>55.94</v>
      </c>
      <c r="J703" s="174">
        <v>41</v>
      </c>
      <c r="K703" s="173">
        <v>723.66</v>
      </c>
    </row>
    <row r="704" spans="1:22" ht="14.25" x14ac:dyDescent="0.2">
      <c r="A704" s="179"/>
      <c r="B704" s="178"/>
      <c r="C704" s="178" t="s">
        <v>188</v>
      </c>
      <c r="D704" s="177" t="s">
        <v>187</v>
      </c>
      <c r="E704" s="174">
        <v>175</v>
      </c>
      <c r="F704" s="176"/>
      <c r="G704" s="175"/>
      <c r="H704" s="174"/>
      <c r="I704" s="173">
        <v>3.38</v>
      </c>
      <c r="J704" s="174">
        <v>157</v>
      </c>
      <c r="K704" s="173">
        <v>70.760000000000005</v>
      </c>
    </row>
    <row r="705" spans="1:22" ht="14.25" x14ac:dyDescent="0.2">
      <c r="A705" s="242"/>
      <c r="B705" s="241"/>
      <c r="C705" s="241" t="s">
        <v>192</v>
      </c>
      <c r="D705" s="240" t="s">
        <v>191</v>
      </c>
      <c r="E705" s="238">
        <v>4.96</v>
      </c>
      <c r="F705" s="253"/>
      <c r="G705" s="239" t="s">
        <v>2668</v>
      </c>
      <c r="H705" s="238">
        <v>1</v>
      </c>
      <c r="I705" s="237">
        <v>5.99</v>
      </c>
      <c r="J705" s="238"/>
      <c r="K705" s="237"/>
    </row>
    <row r="706" spans="1:22" ht="15" x14ac:dyDescent="0.25">
      <c r="A706" s="235"/>
      <c r="B706" s="235"/>
      <c r="C706" s="236" t="s">
        <v>183</v>
      </c>
      <c r="D706" s="235"/>
      <c r="E706" s="235"/>
      <c r="F706" s="235"/>
      <c r="G706" s="235"/>
      <c r="H706" s="436">
        <v>232.26</v>
      </c>
      <c r="I706" s="436"/>
      <c r="J706" s="436">
        <v>4219.59</v>
      </c>
      <c r="K706" s="436"/>
      <c r="O706" s="163">
        <f>I698+I699+I701+I702+I703+I704</f>
        <v>232.26</v>
      </c>
      <c r="P706" s="163">
        <f>K698+K699+K701+K702+K703+K704</f>
        <v>4219.59</v>
      </c>
    </row>
    <row r="708" spans="1:22" ht="28.5" x14ac:dyDescent="0.2">
      <c r="A708" s="179" t="s">
        <v>1889</v>
      </c>
      <c r="B708" s="178" t="s">
        <v>2675</v>
      </c>
      <c r="C708" s="178" t="s">
        <v>1026</v>
      </c>
      <c r="D708" s="177" t="s">
        <v>2676</v>
      </c>
      <c r="E708" s="174">
        <v>1</v>
      </c>
      <c r="F708" s="176"/>
      <c r="G708" s="175"/>
      <c r="H708" s="174"/>
      <c r="I708" s="173"/>
      <c r="J708" s="174"/>
      <c r="K708" s="173"/>
      <c r="Q708" s="160">
        <f>[8]Source!X428</f>
        <v>15.88</v>
      </c>
      <c r="R708" s="160">
        <f>[8]Source!X429</f>
        <v>296.70999999999998</v>
      </c>
      <c r="S708" s="160">
        <f>[8]Source!Y428</f>
        <v>10.69</v>
      </c>
      <c r="T708" s="160">
        <f>[8]Source!Y429</f>
        <v>138.24</v>
      </c>
      <c r="U708" s="160">
        <f>ROUND((175/100)*ROUND([8]Source!R428, 2), 2)</f>
        <v>0.42</v>
      </c>
      <c r="V708" s="160">
        <f>ROUND((157/100)*ROUND([8]Source!R429, 2), 2)</f>
        <v>8.7899999999999991</v>
      </c>
    </row>
    <row r="709" spans="1:22" ht="14.25" x14ac:dyDescent="0.2">
      <c r="A709" s="179"/>
      <c r="B709" s="178"/>
      <c r="C709" s="178" t="s">
        <v>197</v>
      </c>
      <c r="D709" s="177"/>
      <c r="E709" s="174"/>
      <c r="F709" s="176">
        <v>11.96</v>
      </c>
      <c r="G709" s="175" t="s">
        <v>2668</v>
      </c>
      <c r="H709" s="174">
        <v>1</v>
      </c>
      <c r="I709" s="173">
        <v>14.44</v>
      </c>
      <c r="J709" s="174">
        <v>23.35</v>
      </c>
      <c r="K709" s="173">
        <v>337.17</v>
      </c>
    </row>
    <row r="710" spans="1:22" ht="14.25" x14ac:dyDescent="0.2">
      <c r="A710" s="179"/>
      <c r="B710" s="178"/>
      <c r="C710" s="178" t="s">
        <v>184</v>
      </c>
      <c r="D710" s="177"/>
      <c r="E710" s="174"/>
      <c r="F710" s="176">
        <v>0.74</v>
      </c>
      <c r="G710" s="175" t="s">
        <v>2669</v>
      </c>
      <c r="H710" s="174">
        <v>1</v>
      </c>
      <c r="I710" s="173">
        <v>0.97</v>
      </c>
      <c r="J710" s="174">
        <v>9.73</v>
      </c>
      <c r="K710" s="173">
        <v>9.44</v>
      </c>
    </row>
    <row r="711" spans="1:22" ht="14.25" x14ac:dyDescent="0.2">
      <c r="A711" s="179"/>
      <c r="B711" s="178"/>
      <c r="C711" s="178" t="s">
        <v>189</v>
      </c>
      <c r="D711" s="177"/>
      <c r="E711" s="174"/>
      <c r="F711" s="176">
        <v>0.18</v>
      </c>
      <c r="G711" s="175" t="s">
        <v>2669</v>
      </c>
      <c r="H711" s="174">
        <v>1</v>
      </c>
      <c r="I711" s="180">
        <v>0.24</v>
      </c>
      <c r="J711" s="174">
        <v>23.35</v>
      </c>
      <c r="K711" s="180">
        <v>5.6</v>
      </c>
    </row>
    <row r="712" spans="1:22" ht="14.25" x14ac:dyDescent="0.2">
      <c r="A712" s="179"/>
      <c r="B712" s="178"/>
      <c r="C712" s="178" t="s">
        <v>205</v>
      </c>
      <c r="D712" s="177"/>
      <c r="E712" s="174"/>
      <c r="F712" s="176">
        <v>4.41</v>
      </c>
      <c r="G712" s="175" t="s">
        <v>195</v>
      </c>
      <c r="H712" s="174">
        <v>1</v>
      </c>
      <c r="I712" s="173">
        <v>4.41</v>
      </c>
      <c r="J712" s="174">
        <v>5.42</v>
      </c>
      <c r="K712" s="173">
        <v>23.9</v>
      </c>
    </row>
    <row r="713" spans="1:22" ht="14.25" x14ac:dyDescent="0.2">
      <c r="A713" s="179"/>
      <c r="B713" s="178"/>
      <c r="C713" s="178" t="s">
        <v>194</v>
      </c>
      <c r="D713" s="177" t="s">
        <v>187</v>
      </c>
      <c r="E713" s="174">
        <v>110</v>
      </c>
      <c r="F713" s="176"/>
      <c r="G713" s="175"/>
      <c r="H713" s="174"/>
      <c r="I713" s="173">
        <v>15.88</v>
      </c>
      <c r="J713" s="174">
        <v>88</v>
      </c>
      <c r="K713" s="173">
        <v>296.70999999999998</v>
      </c>
    </row>
    <row r="714" spans="1:22" ht="14.25" x14ac:dyDescent="0.2">
      <c r="A714" s="179"/>
      <c r="B714" s="178"/>
      <c r="C714" s="178" t="s">
        <v>193</v>
      </c>
      <c r="D714" s="177" t="s">
        <v>187</v>
      </c>
      <c r="E714" s="174">
        <v>74</v>
      </c>
      <c r="F714" s="176"/>
      <c r="G714" s="175"/>
      <c r="H714" s="174"/>
      <c r="I714" s="173">
        <v>10.69</v>
      </c>
      <c r="J714" s="174">
        <v>41</v>
      </c>
      <c r="K714" s="173">
        <v>138.24</v>
      </c>
    </row>
    <row r="715" spans="1:22" ht="14.25" x14ac:dyDescent="0.2">
      <c r="A715" s="179"/>
      <c r="B715" s="178"/>
      <c r="C715" s="178" t="s">
        <v>188</v>
      </c>
      <c r="D715" s="177" t="s">
        <v>187</v>
      </c>
      <c r="E715" s="174">
        <v>175</v>
      </c>
      <c r="F715" s="176"/>
      <c r="G715" s="175"/>
      <c r="H715" s="174"/>
      <c r="I715" s="173">
        <v>0.42</v>
      </c>
      <c r="J715" s="174">
        <v>157</v>
      </c>
      <c r="K715" s="173">
        <v>8.7899999999999991</v>
      </c>
    </row>
    <row r="716" spans="1:22" ht="14.25" x14ac:dyDescent="0.2">
      <c r="A716" s="242"/>
      <c r="B716" s="241"/>
      <c r="C716" s="241" t="s">
        <v>192</v>
      </c>
      <c r="D716" s="240" t="s">
        <v>191</v>
      </c>
      <c r="E716" s="238">
        <v>1.03</v>
      </c>
      <c r="F716" s="253"/>
      <c r="G716" s="239" t="s">
        <v>2668</v>
      </c>
      <c r="H716" s="238">
        <v>1</v>
      </c>
      <c r="I716" s="237">
        <v>1.24</v>
      </c>
      <c r="J716" s="238"/>
      <c r="K716" s="237"/>
    </row>
    <row r="717" spans="1:22" ht="15" x14ac:dyDescent="0.25">
      <c r="A717" s="235"/>
      <c r="B717" s="235"/>
      <c r="C717" s="236" t="s">
        <v>183</v>
      </c>
      <c r="D717" s="235"/>
      <c r="E717" s="235"/>
      <c r="F717" s="235"/>
      <c r="G717" s="235"/>
      <c r="H717" s="436">
        <v>46.81</v>
      </c>
      <c r="I717" s="436"/>
      <c r="J717" s="436">
        <v>814.25</v>
      </c>
      <c r="K717" s="436"/>
      <c r="O717" s="163">
        <f>I709+I710+I712+I713+I714+I715</f>
        <v>46.81</v>
      </c>
      <c r="P717" s="163">
        <f>K709+K710+K712+K713+K714+K715</f>
        <v>814.25</v>
      </c>
    </row>
    <row r="719" spans="1:22" ht="28.5" x14ac:dyDescent="0.2">
      <c r="A719" s="179" t="s">
        <v>1894</v>
      </c>
      <c r="B719" s="178" t="s">
        <v>2677</v>
      </c>
      <c r="C719" s="178" t="s">
        <v>1045</v>
      </c>
      <c r="D719" s="177" t="s">
        <v>2678</v>
      </c>
      <c r="E719" s="174">
        <v>0.15</v>
      </c>
      <c r="F719" s="176"/>
      <c r="G719" s="175"/>
      <c r="H719" s="174"/>
      <c r="I719" s="173"/>
      <c r="J719" s="174"/>
      <c r="K719" s="173"/>
      <c r="Q719" s="160">
        <f>[8]Source!X430</f>
        <v>12.03</v>
      </c>
      <c r="R719" s="160">
        <f>[8]Source!X431</f>
        <v>224.8</v>
      </c>
      <c r="S719" s="160">
        <f>[8]Source!Y430</f>
        <v>8.1</v>
      </c>
      <c r="T719" s="160">
        <f>[8]Source!Y431</f>
        <v>104.73</v>
      </c>
      <c r="U719" s="160">
        <f>ROUND((175/100)*ROUND([8]Source!R430, 2), 2)</f>
        <v>1.4</v>
      </c>
      <c r="V719" s="160">
        <f>ROUND((157/100)*ROUND([8]Source!R431, 2), 2)</f>
        <v>29.33</v>
      </c>
    </row>
    <row r="720" spans="1:22" x14ac:dyDescent="0.2">
      <c r="C720" s="181" t="s">
        <v>2679</v>
      </c>
    </row>
    <row r="721" spans="1:22" ht="14.25" x14ac:dyDescent="0.2">
      <c r="A721" s="179"/>
      <c r="B721" s="178"/>
      <c r="C721" s="178" t="s">
        <v>197</v>
      </c>
      <c r="D721" s="177"/>
      <c r="E721" s="174"/>
      <c r="F721" s="176">
        <v>60.39</v>
      </c>
      <c r="G721" s="175" t="s">
        <v>2668</v>
      </c>
      <c r="H721" s="174">
        <v>1</v>
      </c>
      <c r="I721" s="173">
        <v>10.94</v>
      </c>
      <c r="J721" s="174">
        <v>23.35</v>
      </c>
      <c r="K721" s="173">
        <v>255.45</v>
      </c>
    </row>
    <row r="722" spans="1:22" ht="14.25" x14ac:dyDescent="0.2">
      <c r="A722" s="179"/>
      <c r="B722" s="178"/>
      <c r="C722" s="178" t="s">
        <v>184</v>
      </c>
      <c r="D722" s="177"/>
      <c r="E722" s="174"/>
      <c r="F722" s="176">
        <v>20.05</v>
      </c>
      <c r="G722" s="175" t="s">
        <v>2669</v>
      </c>
      <c r="H722" s="174">
        <v>1</v>
      </c>
      <c r="I722" s="173">
        <v>3.95</v>
      </c>
      <c r="J722" s="174">
        <v>8.98</v>
      </c>
      <c r="K722" s="173">
        <v>35.47</v>
      </c>
    </row>
    <row r="723" spans="1:22" ht="14.25" x14ac:dyDescent="0.2">
      <c r="A723" s="179"/>
      <c r="B723" s="178"/>
      <c r="C723" s="178" t="s">
        <v>189</v>
      </c>
      <c r="D723" s="177"/>
      <c r="E723" s="174"/>
      <c r="F723" s="176">
        <v>4.04</v>
      </c>
      <c r="G723" s="175" t="s">
        <v>2669</v>
      </c>
      <c r="H723" s="174">
        <v>1</v>
      </c>
      <c r="I723" s="180">
        <v>0.8</v>
      </c>
      <c r="J723" s="174">
        <v>23.35</v>
      </c>
      <c r="K723" s="180">
        <v>18.68</v>
      </c>
    </row>
    <row r="724" spans="1:22" ht="14.25" x14ac:dyDescent="0.2">
      <c r="A724" s="179"/>
      <c r="B724" s="178"/>
      <c r="C724" s="178" t="s">
        <v>205</v>
      </c>
      <c r="D724" s="177"/>
      <c r="E724" s="174"/>
      <c r="F724" s="176">
        <v>25.9</v>
      </c>
      <c r="G724" s="175" t="s">
        <v>195</v>
      </c>
      <c r="H724" s="174">
        <v>1</v>
      </c>
      <c r="I724" s="173">
        <v>3.89</v>
      </c>
      <c r="J724" s="174">
        <v>5.42</v>
      </c>
      <c r="K724" s="173">
        <v>21.08</v>
      </c>
    </row>
    <row r="725" spans="1:22" ht="14.25" x14ac:dyDescent="0.2">
      <c r="A725" s="179"/>
      <c r="B725" s="178"/>
      <c r="C725" s="178" t="s">
        <v>194</v>
      </c>
      <c r="D725" s="177" t="s">
        <v>187</v>
      </c>
      <c r="E725" s="174">
        <v>110</v>
      </c>
      <c r="F725" s="176"/>
      <c r="G725" s="175"/>
      <c r="H725" s="174"/>
      <c r="I725" s="173">
        <v>12.03</v>
      </c>
      <c r="J725" s="174">
        <v>88</v>
      </c>
      <c r="K725" s="173">
        <v>224.8</v>
      </c>
    </row>
    <row r="726" spans="1:22" ht="14.25" x14ac:dyDescent="0.2">
      <c r="A726" s="179"/>
      <c r="B726" s="178"/>
      <c r="C726" s="178" t="s">
        <v>193</v>
      </c>
      <c r="D726" s="177" t="s">
        <v>187</v>
      </c>
      <c r="E726" s="174">
        <v>74</v>
      </c>
      <c r="F726" s="176"/>
      <c r="G726" s="175"/>
      <c r="H726" s="174"/>
      <c r="I726" s="173">
        <v>8.1</v>
      </c>
      <c r="J726" s="174">
        <v>41</v>
      </c>
      <c r="K726" s="173">
        <v>104.73</v>
      </c>
    </row>
    <row r="727" spans="1:22" ht="14.25" x14ac:dyDescent="0.2">
      <c r="A727" s="179"/>
      <c r="B727" s="178"/>
      <c r="C727" s="178" t="s">
        <v>188</v>
      </c>
      <c r="D727" s="177" t="s">
        <v>187</v>
      </c>
      <c r="E727" s="174">
        <v>175</v>
      </c>
      <c r="F727" s="176"/>
      <c r="G727" s="175"/>
      <c r="H727" s="174"/>
      <c r="I727" s="173">
        <v>1.4</v>
      </c>
      <c r="J727" s="174">
        <v>157</v>
      </c>
      <c r="K727" s="173">
        <v>29.33</v>
      </c>
    </row>
    <row r="728" spans="1:22" ht="14.25" x14ac:dyDescent="0.2">
      <c r="A728" s="242"/>
      <c r="B728" s="241"/>
      <c r="C728" s="241" t="s">
        <v>192</v>
      </c>
      <c r="D728" s="240" t="s">
        <v>191</v>
      </c>
      <c r="E728" s="238">
        <v>5.0199999999999996</v>
      </c>
      <c r="F728" s="253"/>
      <c r="G728" s="239" t="s">
        <v>2668</v>
      </c>
      <c r="H728" s="238">
        <v>1</v>
      </c>
      <c r="I728" s="237">
        <v>0.91</v>
      </c>
      <c r="J728" s="238"/>
      <c r="K728" s="237"/>
    </row>
    <row r="729" spans="1:22" ht="15" x14ac:dyDescent="0.25">
      <c r="A729" s="235"/>
      <c r="B729" s="235"/>
      <c r="C729" s="236" t="s">
        <v>183</v>
      </c>
      <c r="D729" s="235"/>
      <c r="E729" s="235"/>
      <c r="F729" s="235"/>
      <c r="G729" s="235"/>
      <c r="H729" s="436">
        <v>40.31</v>
      </c>
      <c r="I729" s="436"/>
      <c r="J729" s="436">
        <v>670.86</v>
      </c>
      <c r="K729" s="436"/>
      <c r="O729" s="163">
        <f>I721+I722+I724+I725+I726+I727</f>
        <v>40.31</v>
      </c>
      <c r="P729" s="163">
        <f>K721+K722+K724+K725+K726+K727</f>
        <v>670.86</v>
      </c>
    </row>
    <row r="731" spans="1:22" ht="57" x14ac:dyDescent="0.2">
      <c r="A731" s="179" t="s">
        <v>1902</v>
      </c>
      <c r="B731" s="178" t="s">
        <v>2680</v>
      </c>
      <c r="C731" s="178" t="s">
        <v>1052</v>
      </c>
      <c r="D731" s="177" t="s">
        <v>1903</v>
      </c>
      <c r="E731" s="174">
        <v>2</v>
      </c>
      <c r="F731" s="176"/>
      <c r="G731" s="175"/>
      <c r="H731" s="174"/>
      <c r="I731" s="173"/>
      <c r="J731" s="174"/>
      <c r="K731" s="173"/>
      <c r="Q731" s="160">
        <f>[8]Source!X432</f>
        <v>33.21</v>
      </c>
      <c r="R731" s="160">
        <f>[8]Source!X433</f>
        <v>620.35</v>
      </c>
      <c r="S731" s="160">
        <f>[8]Source!Y432</f>
        <v>22.34</v>
      </c>
      <c r="T731" s="160">
        <f>[8]Source!Y433</f>
        <v>289.02999999999997</v>
      </c>
      <c r="U731" s="160">
        <f>ROUND((175/100)*ROUND([8]Source!R432, 2), 2)</f>
        <v>1.61</v>
      </c>
      <c r="V731" s="160">
        <f>ROUND((157/100)*ROUND([8]Source!R433, 2), 2)</f>
        <v>33.72</v>
      </c>
    </row>
    <row r="732" spans="1:22" ht="14.25" x14ac:dyDescent="0.2">
      <c r="A732" s="179"/>
      <c r="B732" s="178"/>
      <c r="C732" s="178" t="s">
        <v>197</v>
      </c>
      <c r="D732" s="177"/>
      <c r="E732" s="174"/>
      <c r="F732" s="176">
        <v>12.5</v>
      </c>
      <c r="G732" s="175" t="s">
        <v>2668</v>
      </c>
      <c r="H732" s="174">
        <v>1</v>
      </c>
      <c r="I732" s="173">
        <v>30.19</v>
      </c>
      <c r="J732" s="174">
        <v>23.35</v>
      </c>
      <c r="K732" s="173">
        <v>704.94</v>
      </c>
    </row>
    <row r="733" spans="1:22" ht="14.25" x14ac:dyDescent="0.2">
      <c r="A733" s="179"/>
      <c r="B733" s="178"/>
      <c r="C733" s="178" t="s">
        <v>184</v>
      </c>
      <c r="D733" s="177"/>
      <c r="E733" s="174"/>
      <c r="F733" s="176">
        <v>1.49</v>
      </c>
      <c r="G733" s="175" t="s">
        <v>2669</v>
      </c>
      <c r="H733" s="174">
        <v>1</v>
      </c>
      <c r="I733" s="173">
        <v>3.91</v>
      </c>
      <c r="J733" s="174">
        <v>9.58</v>
      </c>
      <c r="K733" s="173">
        <v>37.46</v>
      </c>
    </row>
    <row r="734" spans="1:22" ht="14.25" x14ac:dyDescent="0.2">
      <c r="A734" s="179"/>
      <c r="B734" s="178"/>
      <c r="C734" s="178" t="s">
        <v>189</v>
      </c>
      <c r="D734" s="177"/>
      <c r="E734" s="174"/>
      <c r="F734" s="176">
        <v>0.35</v>
      </c>
      <c r="G734" s="175" t="s">
        <v>2669</v>
      </c>
      <c r="H734" s="174">
        <v>1</v>
      </c>
      <c r="I734" s="180">
        <v>0.92</v>
      </c>
      <c r="J734" s="174">
        <v>23.35</v>
      </c>
      <c r="K734" s="180">
        <v>21.48</v>
      </c>
    </row>
    <row r="735" spans="1:22" ht="14.25" x14ac:dyDescent="0.2">
      <c r="A735" s="179"/>
      <c r="B735" s="178"/>
      <c r="C735" s="178" t="s">
        <v>205</v>
      </c>
      <c r="D735" s="177"/>
      <c r="E735" s="174"/>
      <c r="F735" s="176">
        <v>6.23</v>
      </c>
      <c r="G735" s="175" t="s">
        <v>195</v>
      </c>
      <c r="H735" s="174">
        <v>1</v>
      </c>
      <c r="I735" s="173">
        <v>12.46</v>
      </c>
      <c r="J735" s="174">
        <v>5.42</v>
      </c>
      <c r="K735" s="173">
        <v>67.53</v>
      </c>
    </row>
    <row r="736" spans="1:22" ht="14.25" x14ac:dyDescent="0.2">
      <c r="A736" s="179"/>
      <c r="B736" s="178"/>
      <c r="C736" s="178" t="s">
        <v>194</v>
      </c>
      <c r="D736" s="177" t="s">
        <v>187</v>
      </c>
      <c r="E736" s="174">
        <v>110</v>
      </c>
      <c r="F736" s="176"/>
      <c r="G736" s="175"/>
      <c r="H736" s="174"/>
      <c r="I736" s="173">
        <v>33.21</v>
      </c>
      <c r="J736" s="174">
        <v>88</v>
      </c>
      <c r="K736" s="173">
        <v>620.35</v>
      </c>
    </row>
    <row r="737" spans="1:22" ht="14.25" x14ac:dyDescent="0.2">
      <c r="A737" s="179"/>
      <c r="B737" s="178"/>
      <c r="C737" s="178" t="s">
        <v>193</v>
      </c>
      <c r="D737" s="177" t="s">
        <v>187</v>
      </c>
      <c r="E737" s="174">
        <v>74</v>
      </c>
      <c r="F737" s="176"/>
      <c r="G737" s="175"/>
      <c r="H737" s="174"/>
      <c r="I737" s="173">
        <v>22.34</v>
      </c>
      <c r="J737" s="174">
        <v>41</v>
      </c>
      <c r="K737" s="173">
        <v>289.02999999999997</v>
      </c>
    </row>
    <row r="738" spans="1:22" ht="14.25" x14ac:dyDescent="0.2">
      <c r="A738" s="179"/>
      <c r="B738" s="178"/>
      <c r="C738" s="178" t="s">
        <v>188</v>
      </c>
      <c r="D738" s="177" t="s">
        <v>187</v>
      </c>
      <c r="E738" s="174">
        <v>175</v>
      </c>
      <c r="F738" s="176"/>
      <c r="G738" s="175"/>
      <c r="H738" s="174"/>
      <c r="I738" s="173">
        <v>1.61</v>
      </c>
      <c r="J738" s="174">
        <v>157</v>
      </c>
      <c r="K738" s="173">
        <v>33.72</v>
      </c>
    </row>
    <row r="739" spans="1:22" ht="14.25" x14ac:dyDescent="0.2">
      <c r="A739" s="242"/>
      <c r="B739" s="241"/>
      <c r="C739" s="241" t="s">
        <v>192</v>
      </c>
      <c r="D739" s="240" t="s">
        <v>191</v>
      </c>
      <c r="E739" s="238">
        <v>1.0900000000000001</v>
      </c>
      <c r="F739" s="253"/>
      <c r="G739" s="239" t="s">
        <v>2668</v>
      </c>
      <c r="H739" s="238">
        <v>1</v>
      </c>
      <c r="I739" s="237">
        <v>2.63</v>
      </c>
      <c r="J739" s="238"/>
      <c r="K739" s="237"/>
    </row>
    <row r="740" spans="1:22" ht="15" x14ac:dyDescent="0.25">
      <c r="A740" s="235"/>
      <c r="B740" s="235"/>
      <c r="C740" s="236" t="s">
        <v>183</v>
      </c>
      <c r="D740" s="235"/>
      <c r="E740" s="235"/>
      <c r="F740" s="235"/>
      <c r="G740" s="235"/>
      <c r="H740" s="436">
        <v>103.72</v>
      </c>
      <c r="I740" s="436"/>
      <c r="J740" s="436">
        <v>1753.03</v>
      </c>
      <c r="K740" s="436"/>
      <c r="O740" s="163">
        <f>I732+I733+I735+I736+I737+I738</f>
        <v>103.72</v>
      </c>
      <c r="P740" s="163">
        <f>K732+K733+K735+K736+K737+K738</f>
        <v>1753.03</v>
      </c>
    </row>
    <row r="742" spans="1:22" ht="68.25" x14ac:dyDescent="0.2">
      <c r="A742" s="250" t="s">
        <v>1906</v>
      </c>
      <c r="B742" s="249" t="s">
        <v>2670</v>
      </c>
      <c r="C742" s="249" t="s">
        <v>1068</v>
      </c>
      <c r="D742" s="248" t="s">
        <v>1913</v>
      </c>
      <c r="E742" s="246">
        <v>1</v>
      </c>
      <c r="F742" s="254">
        <v>2892.24</v>
      </c>
      <c r="G742" s="247" t="s">
        <v>195</v>
      </c>
      <c r="H742" s="246">
        <v>1</v>
      </c>
      <c r="I742" s="245">
        <v>2892.24</v>
      </c>
      <c r="J742" s="246">
        <v>4.4000000000000004</v>
      </c>
      <c r="K742" s="245">
        <v>12725.86</v>
      </c>
      <c r="Q742" s="160">
        <f>[8]Source!X434</f>
        <v>0</v>
      </c>
      <c r="R742" s="160">
        <f>[8]Source!X435</f>
        <v>0</v>
      </c>
      <c r="S742" s="160">
        <f>[8]Source!Y434</f>
        <v>0</v>
      </c>
      <c r="T742" s="160">
        <f>[8]Source!Y435</f>
        <v>0</v>
      </c>
      <c r="U742" s="160">
        <f>ROUND((175/100)*ROUND([8]Source!R434, 2), 2)</f>
        <v>0</v>
      </c>
      <c r="V742" s="160">
        <f>ROUND((157/100)*ROUND([8]Source!R435, 2), 2)</f>
        <v>0</v>
      </c>
    </row>
    <row r="743" spans="1:22" ht="15" x14ac:dyDescent="0.25">
      <c r="A743" s="243"/>
      <c r="B743" s="243"/>
      <c r="C743" s="244" t="s">
        <v>183</v>
      </c>
      <c r="D743" s="243"/>
      <c r="E743" s="243"/>
      <c r="F743" s="243"/>
      <c r="G743" s="243"/>
      <c r="H743" s="437">
        <v>2892.24</v>
      </c>
      <c r="I743" s="437"/>
      <c r="J743" s="437">
        <v>12725.86</v>
      </c>
      <c r="K743" s="437"/>
      <c r="O743" s="163">
        <f>I742</f>
        <v>2892.24</v>
      </c>
      <c r="P743" s="163">
        <f>K742</f>
        <v>12725.86</v>
      </c>
    </row>
    <row r="745" spans="1:22" ht="28.5" x14ac:dyDescent="0.2">
      <c r="A745" s="179" t="s">
        <v>1914</v>
      </c>
      <c r="B745" s="178" t="s">
        <v>2673</v>
      </c>
      <c r="C745" s="178" t="s">
        <v>1046</v>
      </c>
      <c r="D745" s="177" t="s">
        <v>2674</v>
      </c>
      <c r="E745" s="174">
        <v>1</v>
      </c>
      <c r="F745" s="176"/>
      <c r="G745" s="175"/>
      <c r="H745" s="174"/>
      <c r="I745" s="173"/>
      <c r="J745" s="174"/>
      <c r="K745" s="173"/>
      <c r="Q745" s="160">
        <f>[8]Source!X437</f>
        <v>83.15</v>
      </c>
      <c r="R745" s="160">
        <f>[8]Source!X438</f>
        <v>1553.23</v>
      </c>
      <c r="S745" s="160">
        <f>[8]Source!Y437</f>
        <v>55.94</v>
      </c>
      <c r="T745" s="160">
        <f>[8]Source!Y438</f>
        <v>723.66</v>
      </c>
      <c r="U745" s="160">
        <f>ROUND((175/100)*ROUND([8]Source!R437, 2), 2)</f>
        <v>3.38</v>
      </c>
      <c r="V745" s="160">
        <f>ROUND((157/100)*ROUND([8]Source!R438, 2), 2)</f>
        <v>70.760000000000005</v>
      </c>
    </row>
    <row r="746" spans="1:22" ht="14.25" x14ac:dyDescent="0.2">
      <c r="A746" s="179"/>
      <c r="B746" s="178"/>
      <c r="C746" s="178" t="s">
        <v>197</v>
      </c>
      <c r="D746" s="177"/>
      <c r="E746" s="174"/>
      <c r="F746" s="176">
        <v>62.6</v>
      </c>
      <c r="G746" s="175" t="s">
        <v>2668</v>
      </c>
      <c r="H746" s="174">
        <v>1</v>
      </c>
      <c r="I746" s="173">
        <v>75.59</v>
      </c>
      <c r="J746" s="174">
        <v>23.35</v>
      </c>
      <c r="K746" s="173">
        <v>1765.03</v>
      </c>
    </row>
    <row r="747" spans="1:22" ht="14.25" x14ac:dyDescent="0.2">
      <c r="A747" s="179"/>
      <c r="B747" s="178"/>
      <c r="C747" s="178" t="s">
        <v>184</v>
      </c>
      <c r="D747" s="177"/>
      <c r="E747" s="174"/>
      <c r="F747" s="176">
        <v>8.82</v>
      </c>
      <c r="G747" s="175" t="s">
        <v>2669</v>
      </c>
      <c r="H747" s="174">
        <v>1</v>
      </c>
      <c r="I747" s="173">
        <v>11.58</v>
      </c>
      <c r="J747" s="174">
        <v>8.66</v>
      </c>
      <c r="K747" s="173">
        <v>100.28</v>
      </c>
    </row>
    <row r="748" spans="1:22" ht="14.25" x14ac:dyDescent="0.2">
      <c r="A748" s="179"/>
      <c r="B748" s="178"/>
      <c r="C748" s="178" t="s">
        <v>189</v>
      </c>
      <c r="D748" s="177"/>
      <c r="E748" s="174"/>
      <c r="F748" s="176">
        <v>1.47</v>
      </c>
      <c r="G748" s="175" t="s">
        <v>2669</v>
      </c>
      <c r="H748" s="174">
        <v>1</v>
      </c>
      <c r="I748" s="180">
        <v>1.93</v>
      </c>
      <c r="J748" s="174">
        <v>23.35</v>
      </c>
      <c r="K748" s="180">
        <v>45.07</v>
      </c>
    </row>
    <row r="749" spans="1:22" ht="14.25" x14ac:dyDescent="0.2">
      <c r="A749" s="179"/>
      <c r="B749" s="178"/>
      <c r="C749" s="178" t="s">
        <v>205</v>
      </c>
      <c r="D749" s="177"/>
      <c r="E749" s="174"/>
      <c r="F749" s="176">
        <v>2.62</v>
      </c>
      <c r="G749" s="175" t="s">
        <v>195</v>
      </c>
      <c r="H749" s="174">
        <v>1</v>
      </c>
      <c r="I749" s="173">
        <v>2.62</v>
      </c>
      <c r="J749" s="174">
        <v>2.5299999999999998</v>
      </c>
      <c r="K749" s="173">
        <v>6.63</v>
      </c>
    </row>
    <row r="750" spans="1:22" ht="14.25" x14ac:dyDescent="0.2">
      <c r="A750" s="179"/>
      <c r="B750" s="178"/>
      <c r="C750" s="178" t="s">
        <v>194</v>
      </c>
      <c r="D750" s="177" t="s">
        <v>187</v>
      </c>
      <c r="E750" s="174">
        <v>110</v>
      </c>
      <c r="F750" s="176"/>
      <c r="G750" s="175"/>
      <c r="H750" s="174"/>
      <c r="I750" s="173">
        <v>83.15</v>
      </c>
      <c r="J750" s="174">
        <v>88</v>
      </c>
      <c r="K750" s="173">
        <v>1553.23</v>
      </c>
    </row>
    <row r="751" spans="1:22" ht="14.25" x14ac:dyDescent="0.2">
      <c r="A751" s="179"/>
      <c r="B751" s="178"/>
      <c r="C751" s="178" t="s">
        <v>193</v>
      </c>
      <c r="D751" s="177" t="s">
        <v>187</v>
      </c>
      <c r="E751" s="174">
        <v>74</v>
      </c>
      <c r="F751" s="176"/>
      <c r="G751" s="175"/>
      <c r="H751" s="174"/>
      <c r="I751" s="173">
        <v>55.94</v>
      </c>
      <c r="J751" s="174">
        <v>41</v>
      </c>
      <c r="K751" s="173">
        <v>723.66</v>
      </c>
    </row>
    <row r="752" spans="1:22" ht="14.25" x14ac:dyDescent="0.2">
      <c r="A752" s="179"/>
      <c r="B752" s="178"/>
      <c r="C752" s="178" t="s">
        <v>188</v>
      </c>
      <c r="D752" s="177" t="s">
        <v>187</v>
      </c>
      <c r="E752" s="174">
        <v>175</v>
      </c>
      <c r="F752" s="176"/>
      <c r="G752" s="175"/>
      <c r="H752" s="174"/>
      <c r="I752" s="173">
        <v>3.38</v>
      </c>
      <c r="J752" s="174">
        <v>157</v>
      </c>
      <c r="K752" s="173">
        <v>70.760000000000005</v>
      </c>
    </row>
    <row r="753" spans="1:22" ht="14.25" x14ac:dyDescent="0.2">
      <c r="A753" s="242"/>
      <c r="B753" s="241"/>
      <c r="C753" s="241" t="s">
        <v>192</v>
      </c>
      <c r="D753" s="240" t="s">
        <v>191</v>
      </c>
      <c r="E753" s="238">
        <v>4.96</v>
      </c>
      <c r="F753" s="253"/>
      <c r="G753" s="239" t="s">
        <v>2668</v>
      </c>
      <c r="H753" s="238">
        <v>1</v>
      </c>
      <c r="I753" s="237">
        <v>5.99</v>
      </c>
      <c r="J753" s="238"/>
      <c r="K753" s="237"/>
    </row>
    <row r="754" spans="1:22" ht="15" x14ac:dyDescent="0.25">
      <c r="A754" s="235"/>
      <c r="B754" s="235"/>
      <c r="C754" s="236" t="s">
        <v>183</v>
      </c>
      <c r="D754" s="235"/>
      <c r="E754" s="235"/>
      <c r="F754" s="235"/>
      <c r="G754" s="235"/>
      <c r="H754" s="436">
        <v>232.26</v>
      </c>
      <c r="I754" s="436"/>
      <c r="J754" s="436">
        <v>4219.59</v>
      </c>
      <c r="K754" s="436"/>
      <c r="O754" s="163">
        <f>I746+I747+I749+I750+I751+I752</f>
        <v>232.26</v>
      </c>
      <c r="P754" s="163">
        <f>K746+K747+K749+K750+K751+K752</f>
        <v>4219.59</v>
      </c>
    </row>
    <row r="756" spans="1:22" ht="28.5" x14ac:dyDescent="0.2">
      <c r="A756" s="179" t="s">
        <v>1927</v>
      </c>
      <c r="B756" s="178" t="s">
        <v>2675</v>
      </c>
      <c r="C756" s="178" t="s">
        <v>1026</v>
      </c>
      <c r="D756" s="177" t="s">
        <v>2676</v>
      </c>
      <c r="E756" s="174">
        <v>1</v>
      </c>
      <c r="F756" s="176"/>
      <c r="G756" s="175"/>
      <c r="H756" s="174"/>
      <c r="I756" s="173"/>
      <c r="J756" s="174"/>
      <c r="K756" s="173"/>
      <c r="Q756" s="160">
        <f>[8]Source!X441</f>
        <v>15.88</v>
      </c>
      <c r="R756" s="160">
        <f>[8]Source!X442</f>
        <v>296.70999999999998</v>
      </c>
      <c r="S756" s="160">
        <f>[8]Source!Y441</f>
        <v>10.69</v>
      </c>
      <c r="T756" s="160">
        <f>[8]Source!Y442</f>
        <v>138.24</v>
      </c>
      <c r="U756" s="160">
        <f>ROUND((175/100)*ROUND([8]Source!R441, 2), 2)</f>
        <v>0.42</v>
      </c>
      <c r="V756" s="160">
        <f>ROUND((157/100)*ROUND([8]Source!R442, 2), 2)</f>
        <v>8.7899999999999991</v>
      </c>
    </row>
    <row r="757" spans="1:22" ht="14.25" x14ac:dyDescent="0.2">
      <c r="A757" s="179"/>
      <c r="B757" s="178"/>
      <c r="C757" s="178" t="s">
        <v>197</v>
      </c>
      <c r="D757" s="177"/>
      <c r="E757" s="174"/>
      <c r="F757" s="176">
        <v>11.96</v>
      </c>
      <c r="G757" s="175" t="s">
        <v>2668</v>
      </c>
      <c r="H757" s="174">
        <v>1</v>
      </c>
      <c r="I757" s="173">
        <v>14.44</v>
      </c>
      <c r="J757" s="174">
        <v>23.35</v>
      </c>
      <c r="K757" s="173">
        <v>337.17</v>
      </c>
    </row>
    <row r="758" spans="1:22" ht="14.25" x14ac:dyDescent="0.2">
      <c r="A758" s="179"/>
      <c r="B758" s="178"/>
      <c r="C758" s="178" t="s">
        <v>184</v>
      </c>
      <c r="D758" s="177"/>
      <c r="E758" s="174"/>
      <c r="F758" s="176">
        <v>0.74</v>
      </c>
      <c r="G758" s="175" t="s">
        <v>2669</v>
      </c>
      <c r="H758" s="174">
        <v>1</v>
      </c>
      <c r="I758" s="173">
        <v>0.97</v>
      </c>
      <c r="J758" s="174">
        <v>9.73</v>
      </c>
      <c r="K758" s="173">
        <v>9.44</v>
      </c>
    </row>
    <row r="759" spans="1:22" ht="14.25" x14ac:dyDescent="0.2">
      <c r="A759" s="179"/>
      <c r="B759" s="178"/>
      <c r="C759" s="178" t="s">
        <v>189</v>
      </c>
      <c r="D759" s="177"/>
      <c r="E759" s="174"/>
      <c r="F759" s="176">
        <v>0.18</v>
      </c>
      <c r="G759" s="175" t="s">
        <v>2669</v>
      </c>
      <c r="H759" s="174">
        <v>1</v>
      </c>
      <c r="I759" s="180">
        <v>0.24</v>
      </c>
      <c r="J759" s="174">
        <v>23.35</v>
      </c>
      <c r="K759" s="180">
        <v>5.6</v>
      </c>
    </row>
    <row r="760" spans="1:22" ht="14.25" x14ac:dyDescent="0.2">
      <c r="A760" s="179"/>
      <c r="B760" s="178"/>
      <c r="C760" s="178" t="s">
        <v>205</v>
      </c>
      <c r="D760" s="177"/>
      <c r="E760" s="174"/>
      <c r="F760" s="176">
        <v>4.41</v>
      </c>
      <c r="G760" s="175" t="s">
        <v>195</v>
      </c>
      <c r="H760" s="174">
        <v>1</v>
      </c>
      <c r="I760" s="173">
        <v>4.41</v>
      </c>
      <c r="J760" s="174">
        <v>5.42</v>
      </c>
      <c r="K760" s="173">
        <v>23.9</v>
      </c>
    </row>
    <row r="761" spans="1:22" ht="14.25" x14ac:dyDescent="0.2">
      <c r="A761" s="179"/>
      <c r="B761" s="178"/>
      <c r="C761" s="178" t="s">
        <v>194</v>
      </c>
      <c r="D761" s="177" t="s">
        <v>187</v>
      </c>
      <c r="E761" s="174">
        <v>110</v>
      </c>
      <c r="F761" s="176"/>
      <c r="G761" s="175"/>
      <c r="H761" s="174"/>
      <c r="I761" s="173">
        <v>15.88</v>
      </c>
      <c r="J761" s="174">
        <v>88</v>
      </c>
      <c r="K761" s="173">
        <v>296.70999999999998</v>
      </c>
    </row>
    <row r="762" spans="1:22" ht="14.25" x14ac:dyDescent="0.2">
      <c r="A762" s="179"/>
      <c r="B762" s="178"/>
      <c r="C762" s="178" t="s">
        <v>193</v>
      </c>
      <c r="D762" s="177" t="s">
        <v>187</v>
      </c>
      <c r="E762" s="174">
        <v>74</v>
      </c>
      <c r="F762" s="176"/>
      <c r="G762" s="175"/>
      <c r="H762" s="174"/>
      <c r="I762" s="173">
        <v>10.69</v>
      </c>
      <c r="J762" s="174">
        <v>41</v>
      </c>
      <c r="K762" s="173">
        <v>138.24</v>
      </c>
    </row>
    <row r="763" spans="1:22" ht="14.25" x14ac:dyDescent="0.2">
      <c r="A763" s="179"/>
      <c r="B763" s="178"/>
      <c r="C763" s="178" t="s">
        <v>188</v>
      </c>
      <c r="D763" s="177" t="s">
        <v>187</v>
      </c>
      <c r="E763" s="174">
        <v>175</v>
      </c>
      <c r="F763" s="176"/>
      <c r="G763" s="175"/>
      <c r="H763" s="174"/>
      <c r="I763" s="173">
        <v>0.42</v>
      </c>
      <c r="J763" s="174">
        <v>157</v>
      </c>
      <c r="K763" s="173">
        <v>8.7899999999999991</v>
      </c>
    </row>
    <row r="764" spans="1:22" ht="14.25" x14ac:dyDescent="0.2">
      <c r="A764" s="242"/>
      <c r="B764" s="241"/>
      <c r="C764" s="241" t="s">
        <v>192</v>
      </c>
      <c r="D764" s="240" t="s">
        <v>191</v>
      </c>
      <c r="E764" s="238">
        <v>1.03</v>
      </c>
      <c r="F764" s="253"/>
      <c r="G764" s="239" t="s">
        <v>2668</v>
      </c>
      <c r="H764" s="238">
        <v>1</v>
      </c>
      <c r="I764" s="237">
        <v>1.24</v>
      </c>
      <c r="J764" s="238"/>
      <c r="K764" s="237"/>
    </row>
    <row r="765" spans="1:22" ht="15" x14ac:dyDescent="0.25">
      <c r="A765" s="235"/>
      <c r="B765" s="235"/>
      <c r="C765" s="236" t="s">
        <v>183</v>
      </c>
      <c r="D765" s="235"/>
      <c r="E765" s="235"/>
      <c r="F765" s="235"/>
      <c r="G765" s="235"/>
      <c r="H765" s="436">
        <v>46.81</v>
      </c>
      <c r="I765" s="436"/>
      <c r="J765" s="436">
        <v>814.25</v>
      </c>
      <c r="K765" s="436"/>
      <c r="O765" s="163">
        <f>I757+I758+I760+I761+I762+I763</f>
        <v>46.81</v>
      </c>
      <c r="P765" s="163">
        <f>K757+K758+K760+K761+K762+K763</f>
        <v>814.25</v>
      </c>
    </row>
    <row r="767" spans="1:22" ht="28.5" x14ac:dyDescent="0.2">
      <c r="A767" s="179" t="s">
        <v>1929</v>
      </c>
      <c r="B767" s="178" t="s">
        <v>2677</v>
      </c>
      <c r="C767" s="178" t="s">
        <v>1045</v>
      </c>
      <c r="D767" s="177" t="s">
        <v>2678</v>
      </c>
      <c r="E767" s="174">
        <v>0.15</v>
      </c>
      <c r="F767" s="176"/>
      <c r="G767" s="175"/>
      <c r="H767" s="174"/>
      <c r="I767" s="173"/>
      <c r="J767" s="174"/>
      <c r="K767" s="173"/>
      <c r="Q767" s="160">
        <f>[8]Source!X443</f>
        <v>12.03</v>
      </c>
      <c r="R767" s="160">
        <f>[8]Source!X444</f>
        <v>224.8</v>
      </c>
      <c r="S767" s="160">
        <f>[8]Source!Y443</f>
        <v>8.1</v>
      </c>
      <c r="T767" s="160">
        <f>[8]Source!Y444</f>
        <v>104.73</v>
      </c>
      <c r="U767" s="160">
        <f>ROUND((175/100)*ROUND([8]Source!R443, 2), 2)</f>
        <v>1.4</v>
      </c>
      <c r="V767" s="160">
        <f>ROUND((157/100)*ROUND([8]Source!R444, 2), 2)</f>
        <v>29.33</v>
      </c>
    </row>
    <row r="768" spans="1:22" x14ac:dyDescent="0.2">
      <c r="C768" s="181" t="s">
        <v>2679</v>
      </c>
    </row>
    <row r="769" spans="1:22" ht="14.25" x14ac:dyDescent="0.2">
      <c r="A769" s="179"/>
      <c r="B769" s="178"/>
      <c r="C769" s="178" t="s">
        <v>197</v>
      </c>
      <c r="D769" s="177"/>
      <c r="E769" s="174"/>
      <c r="F769" s="176">
        <v>60.39</v>
      </c>
      <c r="G769" s="175" t="s">
        <v>2668</v>
      </c>
      <c r="H769" s="174">
        <v>1</v>
      </c>
      <c r="I769" s="173">
        <v>10.94</v>
      </c>
      <c r="J769" s="174">
        <v>23.35</v>
      </c>
      <c r="K769" s="173">
        <v>255.45</v>
      </c>
    </row>
    <row r="770" spans="1:22" ht="14.25" x14ac:dyDescent="0.2">
      <c r="A770" s="179"/>
      <c r="B770" s="178"/>
      <c r="C770" s="178" t="s">
        <v>184</v>
      </c>
      <c r="D770" s="177"/>
      <c r="E770" s="174"/>
      <c r="F770" s="176">
        <v>20.05</v>
      </c>
      <c r="G770" s="175" t="s">
        <v>2669</v>
      </c>
      <c r="H770" s="174">
        <v>1</v>
      </c>
      <c r="I770" s="173">
        <v>3.95</v>
      </c>
      <c r="J770" s="174">
        <v>8.98</v>
      </c>
      <c r="K770" s="173">
        <v>35.47</v>
      </c>
    </row>
    <row r="771" spans="1:22" ht="14.25" x14ac:dyDescent="0.2">
      <c r="A771" s="179"/>
      <c r="B771" s="178"/>
      <c r="C771" s="178" t="s">
        <v>189</v>
      </c>
      <c r="D771" s="177"/>
      <c r="E771" s="174"/>
      <c r="F771" s="176">
        <v>4.04</v>
      </c>
      <c r="G771" s="175" t="s">
        <v>2669</v>
      </c>
      <c r="H771" s="174">
        <v>1</v>
      </c>
      <c r="I771" s="180">
        <v>0.8</v>
      </c>
      <c r="J771" s="174">
        <v>23.35</v>
      </c>
      <c r="K771" s="180">
        <v>18.68</v>
      </c>
    </row>
    <row r="772" spans="1:22" ht="14.25" x14ac:dyDescent="0.2">
      <c r="A772" s="179"/>
      <c r="B772" s="178"/>
      <c r="C772" s="178" t="s">
        <v>205</v>
      </c>
      <c r="D772" s="177"/>
      <c r="E772" s="174"/>
      <c r="F772" s="176">
        <v>25.9</v>
      </c>
      <c r="G772" s="175" t="s">
        <v>195</v>
      </c>
      <c r="H772" s="174">
        <v>1</v>
      </c>
      <c r="I772" s="173">
        <v>3.89</v>
      </c>
      <c r="J772" s="174">
        <v>5.42</v>
      </c>
      <c r="K772" s="173">
        <v>21.08</v>
      </c>
    </row>
    <row r="773" spans="1:22" ht="14.25" x14ac:dyDescent="0.2">
      <c r="A773" s="179"/>
      <c r="B773" s="178"/>
      <c r="C773" s="178" t="s">
        <v>194</v>
      </c>
      <c r="D773" s="177" t="s">
        <v>187</v>
      </c>
      <c r="E773" s="174">
        <v>110</v>
      </c>
      <c r="F773" s="176"/>
      <c r="G773" s="175"/>
      <c r="H773" s="174"/>
      <c r="I773" s="173">
        <v>12.03</v>
      </c>
      <c r="J773" s="174">
        <v>88</v>
      </c>
      <c r="K773" s="173">
        <v>224.8</v>
      </c>
    </row>
    <row r="774" spans="1:22" ht="14.25" x14ac:dyDescent="0.2">
      <c r="A774" s="179"/>
      <c r="B774" s="178"/>
      <c r="C774" s="178" t="s">
        <v>193</v>
      </c>
      <c r="D774" s="177" t="s">
        <v>187</v>
      </c>
      <c r="E774" s="174">
        <v>74</v>
      </c>
      <c r="F774" s="176"/>
      <c r="G774" s="175"/>
      <c r="H774" s="174"/>
      <c r="I774" s="173">
        <v>8.1</v>
      </c>
      <c r="J774" s="174">
        <v>41</v>
      </c>
      <c r="K774" s="173">
        <v>104.73</v>
      </c>
    </row>
    <row r="775" spans="1:22" ht="14.25" x14ac:dyDescent="0.2">
      <c r="A775" s="179"/>
      <c r="B775" s="178"/>
      <c r="C775" s="178" t="s">
        <v>188</v>
      </c>
      <c r="D775" s="177" t="s">
        <v>187</v>
      </c>
      <c r="E775" s="174">
        <v>175</v>
      </c>
      <c r="F775" s="176"/>
      <c r="G775" s="175"/>
      <c r="H775" s="174"/>
      <c r="I775" s="173">
        <v>1.4</v>
      </c>
      <c r="J775" s="174">
        <v>157</v>
      </c>
      <c r="K775" s="173">
        <v>29.33</v>
      </c>
    </row>
    <row r="776" spans="1:22" ht="14.25" x14ac:dyDescent="0.2">
      <c r="A776" s="242"/>
      <c r="B776" s="241"/>
      <c r="C776" s="241" t="s">
        <v>192</v>
      </c>
      <c r="D776" s="240" t="s">
        <v>191</v>
      </c>
      <c r="E776" s="238">
        <v>5.0199999999999996</v>
      </c>
      <c r="F776" s="253"/>
      <c r="G776" s="239" t="s">
        <v>2668</v>
      </c>
      <c r="H776" s="238">
        <v>1</v>
      </c>
      <c r="I776" s="237">
        <v>0.91</v>
      </c>
      <c r="J776" s="238"/>
      <c r="K776" s="237"/>
    </row>
    <row r="777" spans="1:22" ht="15" x14ac:dyDescent="0.25">
      <c r="A777" s="235"/>
      <c r="B777" s="235"/>
      <c r="C777" s="236" t="s">
        <v>183</v>
      </c>
      <c r="D777" s="235"/>
      <c r="E777" s="235"/>
      <c r="F777" s="235"/>
      <c r="G777" s="235"/>
      <c r="H777" s="436">
        <v>40.31</v>
      </c>
      <c r="I777" s="436"/>
      <c r="J777" s="436">
        <v>670.86</v>
      </c>
      <c r="K777" s="436"/>
      <c r="O777" s="163">
        <f>I769+I770+I772+I773+I774+I775</f>
        <v>40.31</v>
      </c>
      <c r="P777" s="163">
        <f>K769+K770+K772+K773+K774+K775</f>
        <v>670.86</v>
      </c>
    </row>
    <row r="779" spans="1:22" ht="57" x14ac:dyDescent="0.2">
      <c r="A779" s="179" t="s">
        <v>2338</v>
      </c>
      <c r="B779" s="178" t="s">
        <v>2680</v>
      </c>
      <c r="C779" s="178" t="s">
        <v>1052</v>
      </c>
      <c r="D779" s="177" t="s">
        <v>1903</v>
      </c>
      <c r="E779" s="174">
        <v>2</v>
      </c>
      <c r="F779" s="176"/>
      <c r="G779" s="175"/>
      <c r="H779" s="174"/>
      <c r="I779" s="173"/>
      <c r="J779" s="174"/>
      <c r="K779" s="173"/>
      <c r="Q779" s="160">
        <f>[8]Source!X445</f>
        <v>33.21</v>
      </c>
      <c r="R779" s="160">
        <f>[8]Source!X446</f>
        <v>620.35</v>
      </c>
      <c r="S779" s="160">
        <f>[8]Source!Y445</f>
        <v>22.34</v>
      </c>
      <c r="T779" s="160">
        <f>[8]Source!Y446</f>
        <v>289.02999999999997</v>
      </c>
      <c r="U779" s="160">
        <f>ROUND((175/100)*ROUND([8]Source!R445, 2), 2)</f>
        <v>1.61</v>
      </c>
      <c r="V779" s="160">
        <f>ROUND((157/100)*ROUND([8]Source!R446, 2), 2)</f>
        <v>33.72</v>
      </c>
    </row>
    <row r="780" spans="1:22" ht="14.25" x14ac:dyDescent="0.2">
      <c r="A780" s="179"/>
      <c r="B780" s="178"/>
      <c r="C780" s="178" t="s">
        <v>197</v>
      </c>
      <c r="D780" s="177"/>
      <c r="E780" s="174"/>
      <c r="F780" s="176">
        <v>12.5</v>
      </c>
      <c r="G780" s="175" t="s">
        <v>2668</v>
      </c>
      <c r="H780" s="174">
        <v>1</v>
      </c>
      <c r="I780" s="173">
        <v>30.19</v>
      </c>
      <c r="J780" s="174">
        <v>23.35</v>
      </c>
      <c r="K780" s="173">
        <v>704.94</v>
      </c>
    </row>
    <row r="781" spans="1:22" ht="14.25" x14ac:dyDescent="0.2">
      <c r="A781" s="179"/>
      <c r="B781" s="178"/>
      <c r="C781" s="178" t="s">
        <v>184</v>
      </c>
      <c r="D781" s="177"/>
      <c r="E781" s="174"/>
      <c r="F781" s="176">
        <v>1.49</v>
      </c>
      <c r="G781" s="175" t="s">
        <v>2669</v>
      </c>
      <c r="H781" s="174">
        <v>1</v>
      </c>
      <c r="I781" s="173">
        <v>3.91</v>
      </c>
      <c r="J781" s="174">
        <v>9.58</v>
      </c>
      <c r="K781" s="173">
        <v>37.46</v>
      </c>
    </row>
    <row r="782" spans="1:22" ht="14.25" x14ac:dyDescent="0.2">
      <c r="A782" s="179"/>
      <c r="B782" s="178"/>
      <c r="C782" s="178" t="s">
        <v>189</v>
      </c>
      <c r="D782" s="177"/>
      <c r="E782" s="174"/>
      <c r="F782" s="176">
        <v>0.35</v>
      </c>
      <c r="G782" s="175" t="s">
        <v>2669</v>
      </c>
      <c r="H782" s="174">
        <v>1</v>
      </c>
      <c r="I782" s="180">
        <v>0.92</v>
      </c>
      <c r="J782" s="174">
        <v>23.35</v>
      </c>
      <c r="K782" s="180">
        <v>21.48</v>
      </c>
    </row>
    <row r="783" spans="1:22" ht="14.25" x14ac:dyDescent="0.2">
      <c r="A783" s="179"/>
      <c r="B783" s="178"/>
      <c r="C783" s="178" t="s">
        <v>205</v>
      </c>
      <c r="D783" s="177"/>
      <c r="E783" s="174"/>
      <c r="F783" s="176">
        <v>6.23</v>
      </c>
      <c r="G783" s="175" t="s">
        <v>195</v>
      </c>
      <c r="H783" s="174">
        <v>1</v>
      </c>
      <c r="I783" s="173">
        <v>12.46</v>
      </c>
      <c r="J783" s="174">
        <v>5.42</v>
      </c>
      <c r="K783" s="173">
        <v>67.53</v>
      </c>
    </row>
    <row r="784" spans="1:22" ht="14.25" x14ac:dyDescent="0.2">
      <c r="A784" s="179"/>
      <c r="B784" s="178"/>
      <c r="C784" s="178" t="s">
        <v>194</v>
      </c>
      <c r="D784" s="177" t="s">
        <v>187</v>
      </c>
      <c r="E784" s="174">
        <v>110</v>
      </c>
      <c r="F784" s="176"/>
      <c r="G784" s="175"/>
      <c r="H784" s="174"/>
      <c r="I784" s="173">
        <v>33.21</v>
      </c>
      <c r="J784" s="174">
        <v>88</v>
      </c>
      <c r="K784" s="173">
        <v>620.35</v>
      </c>
    </row>
    <row r="785" spans="1:22" ht="14.25" x14ac:dyDescent="0.2">
      <c r="A785" s="179"/>
      <c r="B785" s="178"/>
      <c r="C785" s="178" t="s">
        <v>193</v>
      </c>
      <c r="D785" s="177" t="s">
        <v>187</v>
      </c>
      <c r="E785" s="174">
        <v>74</v>
      </c>
      <c r="F785" s="176"/>
      <c r="G785" s="175"/>
      <c r="H785" s="174"/>
      <c r="I785" s="173">
        <v>22.34</v>
      </c>
      <c r="J785" s="174">
        <v>41</v>
      </c>
      <c r="K785" s="173">
        <v>289.02999999999997</v>
      </c>
    </row>
    <row r="786" spans="1:22" ht="14.25" x14ac:dyDescent="0.2">
      <c r="A786" s="179"/>
      <c r="B786" s="178"/>
      <c r="C786" s="178" t="s">
        <v>188</v>
      </c>
      <c r="D786" s="177" t="s">
        <v>187</v>
      </c>
      <c r="E786" s="174">
        <v>175</v>
      </c>
      <c r="F786" s="176"/>
      <c r="G786" s="175"/>
      <c r="H786" s="174"/>
      <c r="I786" s="173">
        <v>1.61</v>
      </c>
      <c r="J786" s="174">
        <v>157</v>
      </c>
      <c r="K786" s="173">
        <v>33.72</v>
      </c>
    </row>
    <row r="787" spans="1:22" ht="14.25" x14ac:dyDescent="0.2">
      <c r="A787" s="242"/>
      <c r="B787" s="241"/>
      <c r="C787" s="241" t="s">
        <v>192</v>
      </c>
      <c r="D787" s="240" t="s">
        <v>191</v>
      </c>
      <c r="E787" s="238">
        <v>1.0900000000000001</v>
      </c>
      <c r="F787" s="253"/>
      <c r="G787" s="239" t="s">
        <v>2668</v>
      </c>
      <c r="H787" s="238">
        <v>1</v>
      </c>
      <c r="I787" s="237">
        <v>2.63</v>
      </c>
      <c r="J787" s="238"/>
      <c r="K787" s="237"/>
    </row>
    <row r="788" spans="1:22" ht="15" x14ac:dyDescent="0.25">
      <c r="A788" s="235"/>
      <c r="B788" s="235"/>
      <c r="C788" s="236" t="s">
        <v>183</v>
      </c>
      <c r="D788" s="235"/>
      <c r="E788" s="235"/>
      <c r="F788" s="235"/>
      <c r="G788" s="235"/>
      <c r="H788" s="436">
        <v>103.72</v>
      </c>
      <c r="I788" s="436"/>
      <c r="J788" s="436">
        <v>1753.03</v>
      </c>
      <c r="K788" s="436"/>
      <c r="O788" s="163">
        <f>I780+I781+I783+I784+I785+I786</f>
        <v>103.72</v>
      </c>
      <c r="P788" s="163">
        <f>K780+K781+K783+K784+K785+K786</f>
        <v>1753.03</v>
      </c>
    </row>
    <row r="790" spans="1:22" ht="68.25" x14ac:dyDescent="0.2">
      <c r="A790" s="250" t="s">
        <v>2342</v>
      </c>
      <c r="B790" s="249" t="s">
        <v>2670</v>
      </c>
      <c r="C790" s="249" t="s">
        <v>1067</v>
      </c>
      <c r="D790" s="248" t="s">
        <v>1913</v>
      </c>
      <c r="E790" s="246">
        <v>1</v>
      </c>
      <c r="F790" s="254">
        <v>2892.24</v>
      </c>
      <c r="G790" s="247" t="s">
        <v>195</v>
      </c>
      <c r="H790" s="246">
        <v>1</v>
      </c>
      <c r="I790" s="245">
        <v>2892.24</v>
      </c>
      <c r="J790" s="246">
        <v>4.4000000000000004</v>
      </c>
      <c r="K790" s="245">
        <v>12725.86</v>
      </c>
      <c r="Q790" s="160">
        <f>[8]Source!X447</f>
        <v>0</v>
      </c>
      <c r="R790" s="160">
        <f>[8]Source!X448</f>
        <v>0</v>
      </c>
      <c r="S790" s="160">
        <f>[8]Source!Y447</f>
        <v>0</v>
      </c>
      <c r="T790" s="160">
        <f>[8]Source!Y448</f>
        <v>0</v>
      </c>
      <c r="U790" s="160">
        <f>ROUND((175/100)*ROUND([8]Source!R447, 2), 2)</f>
        <v>0</v>
      </c>
      <c r="V790" s="160">
        <f>ROUND((157/100)*ROUND([8]Source!R448, 2), 2)</f>
        <v>0</v>
      </c>
    </row>
    <row r="791" spans="1:22" ht="15" x14ac:dyDescent="0.25">
      <c r="A791" s="243"/>
      <c r="B791" s="243"/>
      <c r="C791" s="244" t="s">
        <v>183</v>
      </c>
      <c r="D791" s="243"/>
      <c r="E791" s="243"/>
      <c r="F791" s="243"/>
      <c r="G791" s="243"/>
      <c r="H791" s="437">
        <v>2892.24</v>
      </c>
      <c r="I791" s="437"/>
      <c r="J791" s="437">
        <v>12725.86</v>
      </c>
      <c r="K791" s="437"/>
      <c r="O791" s="163">
        <f>I790</f>
        <v>2892.24</v>
      </c>
      <c r="P791" s="163">
        <f>K790</f>
        <v>12725.86</v>
      </c>
    </row>
    <row r="793" spans="1:22" ht="28.5" x14ac:dyDescent="0.2">
      <c r="A793" s="179" t="s">
        <v>2346</v>
      </c>
      <c r="B793" s="178" t="s">
        <v>2673</v>
      </c>
      <c r="C793" s="178" t="s">
        <v>1046</v>
      </c>
      <c r="D793" s="177" t="s">
        <v>2674</v>
      </c>
      <c r="E793" s="174">
        <v>1</v>
      </c>
      <c r="F793" s="176"/>
      <c r="G793" s="175"/>
      <c r="H793" s="174"/>
      <c r="I793" s="173"/>
      <c r="J793" s="174"/>
      <c r="K793" s="173"/>
      <c r="Q793" s="160">
        <f>[8]Source!X450</f>
        <v>83.15</v>
      </c>
      <c r="R793" s="160">
        <f>[8]Source!X451</f>
        <v>1553.23</v>
      </c>
      <c r="S793" s="160">
        <f>[8]Source!Y450</f>
        <v>55.94</v>
      </c>
      <c r="T793" s="160">
        <f>[8]Source!Y451</f>
        <v>723.66</v>
      </c>
      <c r="U793" s="160">
        <f>ROUND((175/100)*ROUND([8]Source!R450, 2), 2)</f>
        <v>3.38</v>
      </c>
      <c r="V793" s="160">
        <f>ROUND((157/100)*ROUND([8]Source!R451, 2), 2)</f>
        <v>70.760000000000005</v>
      </c>
    </row>
    <row r="794" spans="1:22" ht="14.25" x14ac:dyDescent="0.2">
      <c r="A794" s="179"/>
      <c r="B794" s="178"/>
      <c r="C794" s="178" t="s">
        <v>197</v>
      </c>
      <c r="D794" s="177"/>
      <c r="E794" s="174"/>
      <c r="F794" s="176">
        <v>62.6</v>
      </c>
      <c r="G794" s="175" t="s">
        <v>2668</v>
      </c>
      <c r="H794" s="174">
        <v>1</v>
      </c>
      <c r="I794" s="173">
        <v>75.59</v>
      </c>
      <c r="J794" s="174">
        <v>23.35</v>
      </c>
      <c r="K794" s="173">
        <v>1765.03</v>
      </c>
    </row>
    <row r="795" spans="1:22" ht="14.25" x14ac:dyDescent="0.2">
      <c r="A795" s="179"/>
      <c r="B795" s="178"/>
      <c r="C795" s="178" t="s">
        <v>184</v>
      </c>
      <c r="D795" s="177"/>
      <c r="E795" s="174"/>
      <c r="F795" s="176">
        <v>8.82</v>
      </c>
      <c r="G795" s="175" t="s">
        <v>2669</v>
      </c>
      <c r="H795" s="174">
        <v>1</v>
      </c>
      <c r="I795" s="173">
        <v>11.58</v>
      </c>
      <c r="J795" s="174">
        <v>8.66</v>
      </c>
      <c r="K795" s="173">
        <v>100.28</v>
      </c>
    </row>
    <row r="796" spans="1:22" ht="14.25" x14ac:dyDescent="0.2">
      <c r="A796" s="179"/>
      <c r="B796" s="178"/>
      <c r="C796" s="178" t="s">
        <v>189</v>
      </c>
      <c r="D796" s="177"/>
      <c r="E796" s="174"/>
      <c r="F796" s="176">
        <v>1.47</v>
      </c>
      <c r="G796" s="175" t="s">
        <v>2669</v>
      </c>
      <c r="H796" s="174">
        <v>1</v>
      </c>
      <c r="I796" s="180">
        <v>1.93</v>
      </c>
      <c r="J796" s="174">
        <v>23.35</v>
      </c>
      <c r="K796" s="180">
        <v>45.07</v>
      </c>
    </row>
    <row r="797" spans="1:22" ht="14.25" x14ac:dyDescent="0.2">
      <c r="A797" s="179"/>
      <c r="B797" s="178"/>
      <c r="C797" s="178" t="s">
        <v>205</v>
      </c>
      <c r="D797" s="177"/>
      <c r="E797" s="174"/>
      <c r="F797" s="176">
        <v>2.62</v>
      </c>
      <c r="G797" s="175" t="s">
        <v>195</v>
      </c>
      <c r="H797" s="174">
        <v>1</v>
      </c>
      <c r="I797" s="173">
        <v>2.62</v>
      </c>
      <c r="J797" s="174">
        <v>2.5299999999999998</v>
      </c>
      <c r="K797" s="173">
        <v>6.63</v>
      </c>
    </row>
    <row r="798" spans="1:22" ht="14.25" x14ac:dyDescent="0.2">
      <c r="A798" s="179"/>
      <c r="B798" s="178"/>
      <c r="C798" s="178" t="s">
        <v>194</v>
      </c>
      <c r="D798" s="177" t="s">
        <v>187</v>
      </c>
      <c r="E798" s="174">
        <v>110</v>
      </c>
      <c r="F798" s="176"/>
      <c r="G798" s="175"/>
      <c r="H798" s="174"/>
      <c r="I798" s="173">
        <v>83.15</v>
      </c>
      <c r="J798" s="174">
        <v>88</v>
      </c>
      <c r="K798" s="173">
        <v>1553.23</v>
      </c>
    </row>
    <row r="799" spans="1:22" ht="14.25" x14ac:dyDescent="0.2">
      <c r="A799" s="179"/>
      <c r="B799" s="178"/>
      <c r="C799" s="178" t="s">
        <v>193</v>
      </c>
      <c r="D799" s="177" t="s">
        <v>187</v>
      </c>
      <c r="E799" s="174">
        <v>74</v>
      </c>
      <c r="F799" s="176"/>
      <c r="G799" s="175"/>
      <c r="H799" s="174"/>
      <c r="I799" s="173">
        <v>55.94</v>
      </c>
      <c r="J799" s="174">
        <v>41</v>
      </c>
      <c r="K799" s="173">
        <v>723.66</v>
      </c>
    </row>
    <row r="800" spans="1:22" ht="14.25" x14ac:dyDescent="0.2">
      <c r="A800" s="179"/>
      <c r="B800" s="178"/>
      <c r="C800" s="178" t="s">
        <v>188</v>
      </c>
      <c r="D800" s="177" t="s">
        <v>187</v>
      </c>
      <c r="E800" s="174">
        <v>175</v>
      </c>
      <c r="F800" s="176"/>
      <c r="G800" s="175"/>
      <c r="H800" s="174"/>
      <c r="I800" s="173">
        <v>3.38</v>
      </c>
      <c r="J800" s="174">
        <v>157</v>
      </c>
      <c r="K800" s="173">
        <v>70.760000000000005</v>
      </c>
    </row>
    <row r="801" spans="1:22" ht="14.25" x14ac:dyDescent="0.2">
      <c r="A801" s="242"/>
      <c r="B801" s="241"/>
      <c r="C801" s="241" t="s">
        <v>192</v>
      </c>
      <c r="D801" s="240" t="s">
        <v>191</v>
      </c>
      <c r="E801" s="238">
        <v>4.96</v>
      </c>
      <c r="F801" s="253"/>
      <c r="G801" s="239" t="s">
        <v>2668</v>
      </c>
      <c r="H801" s="238">
        <v>1</v>
      </c>
      <c r="I801" s="237">
        <v>5.99</v>
      </c>
      <c r="J801" s="238"/>
      <c r="K801" s="237"/>
    </row>
    <row r="802" spans="1:22" ht="15" x14ac:dyDescent="0.25">
      <c r="A802" s="235"/>
      <c r="B802" s="235"/>
      <c r="C802" s="236" t="s">
        <v>183</v>
      </c>
      <c r="D802" s="235"/>
      <c r="E802" s="235"/>
      <c r="F802" s="235"/>
      <c r="G802" s="235"/>
      <c r="H802" s="436">
        <v>232.26</v>
      </c>
      <c r="I802" s="436"/>
      <c r="J802" s="436">
        <v>4219.59</v>
      </c>
      <c r="K802" s="436"/>
      <c r="O802" s="163">
        <f>I794+I795+I797+I798+I799+I800</f>
        <v>232.26</v>
      </c>
      <c r="P802" s="163">
        <f>K794+K795+K797+K798+K799+K800</f>
        <v>4219.59</v>
      </c>
    </row>
    <row r="804" spans="1:22" ht="28.5" x14ac:dyDescent="0.2">
      <c r="A804" s="179" t="s">
        <v>2356</v>
      </c>
      <c r="B804" s="178" t="s">
        <v>2675</v>
      </c>
      <c r="C804" s="178" t="s">
        <v>1026</v>
      </c>
      <c r="D804" s="177" t="s">
        <v>2676</v>
      </c>
      <c r="E804" s="174">
        <v>1</v>
      </c>
      <c r="F804" s="176"/>
      <c r="G804" s="175"/>
      <c r="H804" s="174"/>
      <c r="I804" s="173"/>
      <c r="J804" s="174"/>
      <c r="K804" s="173"/>
      <c r="Q804" s="160">
        <f>[8]Source!X454</f>
        <v>15.88</v>
      </c>
      <c r="R804" s="160">
        <f>[8]Source!X455</f>
        <v>296.70999999999998</v>
      </c>
      <c r="S804" s="160">
        <f>[8]Source!Y454</f>
        <v>10.69</v>
      </c>
      <c r="T804" s="160">
        <f>[8]Source!Y455</f>
        <v>138.24</v>
      </c>
      <c r="U804" s="160">
        <f>ROUND((175/100)*ROUND([8]Source!R454, 2), 2)</f>
        <v>0.42</v>
      </c>
      <c r="V804" s="160">
        <f>ROUND((157/100)*ROUND([8]Source!R455, 2), 2)</f>
        <v>8.7899999999999991</v>
      </c>
    </row>
    <row r="805" spans="1:22" ht="14.25" x14ac:dyDescent="0.2">
      <c r="A805" s="179"/>
      <c r="B805" s="178"/>
      <c r="C805" s="178" t="s">
        <v>197</v>
      </c>
      <c r="D805" s="177"/>
      <c r="E805" s="174"/>
      <c r="F805" s="176">
        <v>11.96</v>
      </c>
      <c r="G805" s="175" t="s">
        <v>2668</v>
      </c>
      <c r="H805" s="174">
        <v>1</v>
      </c>
      <c r="I805" s="173">
        <v>14.44</v>
      </c>
      <c r="J805" s="174">
        <v>23.35</v>
      </c>
      <c r="K805" s="173">
        <v>337.17</v>
      </c>
    </row>
    <row r="806" spans="1:22" ht="14.25" x14ac:dyDescent="0.2">
      <c r="A806" s="179"/>
      <c r="B806" s="178"/>
      <c r="C806" s="178" t="s">
        <v>184</v>
      </c>
      <c r="D806" s="177"/>
      <c r="E806" s="174"/>
      <c r="F806" s="176">
        <v>0.74</v>
      </c>
      <c r="G806" s="175" t="s">
        <v>2669</v>
      </c>
      <c r="H806" s="174">
        <v>1</v>
      </c>
      <c r="I806" s="173">
        <v>0.97</v>
      </c>
      <c r="J806" s="174">
        <v>9.73</v>
      </c>
      <c r="K806" s="173">
        <v>9.44</v>
      </c>
    </row>
    <row r="807" spans="1:22" ht="14.25" x14ac:dyDescent="0.2">
      <c r="A807" s="179"/>
      <c r="B807" s="178"/>
      <c r="C807" s="178" t="s">
        <v>189</v>
      </c>
      <c r="D807" s="177"/>
      <c r="E807" s="174"/>
      <c r="F807" s="176">
        <v>0.18</v>
      </c>
      <c r="G807" s="175" t="s">
        <v>2669</v>
      </c>
      <c r="H807" s="174">
        <v>1</v>
      </c>
      <c r="I807" s="180">
        <v>0.24</v>
      </c>
      <c r="J807" s="174">
        <v>23.35</v>
      </c>
      <c r="K807" s="180">
        <v>5.6</v>
      </c>
    </row>
    <row r="808" spans="1:22" ht="14.25" x14ac:dyDescent="0.2">
      <c r="A808" s="179"/>
      <c r="B808" s="178"/>
      <c r="C808" s="178" t="s">
        <v>205</v>
      </c>
      <c r="D808" s="177"/>
      <c r="E808" s="174"/>
      <c r="F808" s="176">
        <v>4.41</v>
      </c>
      <c r="G808" s="175" t="s">
        <v>195</v>
      </c>
      <c r="H808" s="174">
        <v>1</v>
      </c>
      <c r="I808" s="173">
        <v>4.41</v>
      </c>
      <c r="J808" s="174">
        <v>5.42</v>
      </c>
      <c r="K808" s="173">
        <v>23.9</v>
      </c>
    </row>
    <row r="809" spans="1:22" ht="14.25" x14ac:dyDescent="0.2">
      <c r="A809" s="179"/>
      <c r="B809" s="178"/>
      <c r="C809" s="178" t="s">
        <v>194</v>
      </c>
      <c r="D809" s="177" t="s">
        <v>187</v>
      </c>
      <c r="E809" s="174">
        <v>110</v>
      </c>
      <c r="F809" s="176"/>
      <c r="G809" s="175"/>
      <c r="H809" s="174"/>
      <c r="I809" s="173">
        <v>15.88</v>
      </c>
      <c r="J809" s="174">
        <v>88</v>
      </c>
      <c r="K809" s="173">
        <v>296.70999999999998</v>
      </c>
    </row>
    <row r="810" spans="1:22" ht="14.25" x14ac:dyDescent="0.2">
      <c r="A810" s="179"/>
      <c r="B810" s="178"/>
      <c r="C810" s="178" t="s">
        <v>193</v>
      </c>
      <c r="D810" s="177" t="s">
        <v>187</v>
      </c>
      <c r="E810" s="174">
        <v>74</v>
      </c>
      <c r="F810" s="176"/>
      <c r="G810" s="175"/>
      <c r="H810" s="174"/>
      <c r="I810" s="173">
        <v>10.69</v>
      </c>
      <c r="J810" s="174">
        <v>41</v>
      </c>
      <c r="K810" s="173">
        <v>138.24</v>
      </c>
    </row>
    <row r="811" spans="1:22" ht="14.25" x14ac:dyDescent="0.2">
      <c r="A811" s="179"/>
      <c r="B811" s="178"/>
      <c r="C811" s="178" t="s">
        <v>188</v>
      </c>
      <c r="D811" s="177" t="s">
        <v>187</v>
      </c>
      <c r="E811" s="174">
        <v>175</v>
      </c>
      <c r="F811" s="176"/>
      <c r="G811" s="175"/>
      <c r="H811" s="174"/>
      <c r="I811" s="173">
        <v>0.42</v>
      </c>
      <c r="J811" s="174">
        <v>157</v>
      </c>
      <c r="K811" s="173">
        <v>8.7899999999999991</v>
      </c>
    </row>
    <row r="812" spans="1:22" ht="14.25" x14ac:dyDescent="0.2">
      <c r="A812" s="242"/>
      <c r="B812" s="241"/>
      <c r="C812" s="241" t="s">
        <v>192</v>
      </c>
      <c r="D812" s="240" t="s">
        <v>191</v>
      </c>
      <c r="E812" s="238">
        <v>1.03</v>
      </c>
      <c r="F812" s="253"/>
      <c r="G812" s="239" t="s">
        <v>2668</v>
      </c>
      <c r="H812" s="238">
        <v>1</v>
      </c>
      <c r="I812" s="237">
        <v>1.24</v>
      </c>
      <c r="J812" s="238"/>
      <c r="K812" s="237"/>
    </row>
    <row r="813" spans="1:22" ht="15" x14ac:dyDescent="0.25">
      <c r="A813" s="235"/>
      <c r="B813" s="235"/>
      <c r="C813" s="236" t="s">
        <v>183</v>
      </c>
      <c r="D813" s="235"/>
      <c r="E813" s="235"/>
      <c r="F813" s="235"/>
      <c r="G813" s="235"/>
      <c r="H813" s="436">
        <v>46.81</v>
      </c>
      <c r="I813" s="436"/>
      <c r="J813" s="436">
        <v>814.25</v>
      </c>
      <c r="K813" s="436"/>
      <c r="O813" s="163">
        <f>I805+I806+I808+I809+I810+I811</f>
        <v>46.81</v>
      </c>
      <c r="P813" s="163">
        <f>K805+K806+K808+K809+K810+K811</f>
        <v>814.25</v>
      </c>
    </row>
    <row r="815" spans="1:22" ht="28.5" x14ac:dyDescent="0.2">
      <c r="A815" s="179" t="s">
        <v>2361</v>
      </c>
      <c r="B815" s="178" t="s">
        <v>2677</v>
      </c>
      <c r="C815" s="178" t="s">
        <v>1045</v>
      </c>
      <c r="D815" s="177" t="s">
        <v>2678</v>
      </c>
      <c r="E815" s="174">
        <v>0.15</v>
      </c>
      <c r="F815" s="176"/>
      <c r="G815" s="175"/>
      <c r="H815" s="174"/>
      <c r="I815" s="173"/>
      <c r="J815" s="174"/>
      <c r="K815" s="173"/>
      <c r="Q815" s="160">
        <f>[8]Source!X456</f>
        <v>12.03</v>
      </c>
      <c r="R815" s="160">
        <f>[8]Source!X457</f>
        <v>224.8</v>
      </c>
      <c r="S815" s="160">
        <f>[8]Source!Y456</f>
        <v>8.1</v>
      </c>
      <c r="T815" s="160">
        <f>[8]Source!Y457</f>
        <v>104.73</v>
      </c>
      <c r="U815" s="160">
        <f>ROUND((175/100)*ROUND([8]Source!R456, 2), 2)</f>
        <v>1.4</v>
      </c>
      <c r="V815" s="160">
        <f>ROUND((157/100)*ROUND([8]Source!R457, 2), 2)</f>
        <v>29.33</v>
      </c>
    </row>
    <row r="816" spans="1:22" x14ac:dyDescent="0.2">
      <c r="C816" s="181" t="s">
        <v>2679</v>
      </c>
    </row>
    <row r="817" spans="1:22" ht="14.25" x14ac:dyDescent="0.2">
      <c r="A817" s="179"/>
      <c r="B817" s="178"/>
      <c r="C817" s="178" t="s">
        <v>197</v>
      </c>
      <c r="D817" s="177"/>
      <c r="E817" s="174"/>
      <c r="F817" s="176">
        <v>60.39</v>
      </c>
      <c r="G817" s="175" t="s">
        <v>2668</v>
      </c>
      <c r="H817" s="174">
        <v>1</v>
      </c>
      <c r="I817" s="173">
        <v>10.94</v>
      </c>
      <c r="J817" s="174">
        <v>23.35</v>
      </c>
      <c r="K817" s="173">
        <v>255.45</v>
      </c>
    </row>
    <row r="818" spans="1:22" ht="14.25" x14ac:dyDescent="0.2">
      <c r="A818" s="179"/>
      <c r="B818" s="178"/>
      <c r="C818" s="178" t="s">
        <v>184</v>
      </c>
      <c r="D818" s="177"/>
      <c r="E818" s="174"/>
      <c r="F818" s="176">
        <v>20.05</v>
      </c>
      <c r="G818" s="175" t="s">
        <v>2669</v>
      </c>
      <c r="H818" s="174">
        <v>1</v>
      </c>
      <c r="I818" s="173">
        <v>3.95</v>
      </c>
      <c r="J818" s="174">
        <v>8.98</v>
      </c>
      <c r="K818" s="173">
        <v>35.47</v>
      </c>
    </row>
    <row r="819" spans="1:22" ht="14.25" x14ac:dyDescent="0.2">
      <c r="A819" s="179"/>
      <c r="B819" s="178"/>
      <c r="C819" s="178" t="s">
        <v>189</v>
      </c>
      <c r="D819" s="177"/>
      <c r="E819" s="174"/>
      <c r="F819" s="176">
        <v>4.04</v>
      </c>
      <c r="G819" s="175" t="s">
        <v>2669</v>
      </c>
      <c r="H819" s="174">
        <v>1</v>
      </c>
      <c r="I819" s="180">
        <v>0.8</v>
      </c>
      <c r="J819" s="174">
        <v>23.35</v>
      </c>
      <c r="K819" s="180">
        <v>18.68</v>
      </c>
    </row>
    <row r="820" spans="1:22" ht="14.25" x14ac:dyDescent="0.2">
      <c r="A820" s="179"/>
      <c r="B820" s="178"/>
      <c r="C820" s="178" t="s">
        <v>205</v>
      </c>
      <c r="D820" s="177"/>
      <c r="E820" s="174"/>
      <c r="F820" s="176">
        <v>25.9</v>
      </c>
      <c r="G820" s="175" t="s">
        <v>195</v>
      </c>
      <c r="H820" s="174">
        <v>1</v>
      </c>
      <c r="I820" s="173">
        <v>3.89</v>
      </c>
      <c r="J820" s="174">
        <v>5.42</v>
      </c>
      <c r="K820" s="173">
        <v>21.08</v>
      </c>
    </row>
    <row r="821" spans="1:22" ht="14.25" x14ac:dyDescent="0.2">
      <c r="A821" s="179"/>
      <c r="B821" s="178"/>
      <c r="C821" s="178" t="s">
        <v>194</v>
      </c>
      <c r="D821" s="177" t="s">
        <v>187</v>
      </c>
      <c r="E821" s="174">
        <v>110</v>
      </c>
      <c r="F821" s="176"/>
      <c r="G821" s="175"/>
      <c r="H821" s="174"/>
      <c r="I821" s="173">
        <v>12.03</v>
      </c>
      <c r="J821" s="174">
        <v>88</v>
      </c>
      <c r="K821" s="173">
        <v>224.8</v>
      </c>
    </row>
    <row r="822" spans="1:22" ht="14.25" x14ac:dyDescent="0.2">
      <c r="A822" s="179"/>
      <c r="B822" s="178"/>
      <c r="C822" s="178" t="s">
        <v>193</v>
      </c>
      <c r="D822" s="177" t="s">
        <v>187</v>
      </c>
      <c r="E822" s="174">
        <v>74</v>
      </c>
      <c r="F822" s="176"/>
      <c r="G822" s="175"/>
      <c r="H822" s="174"/>
      <c r="I822" s="173">
        <v>8.1</v>
      </c>
      <c r="J822" s="174">
        <v>41</v>
      </c>
      <c r="K822" s="173">
        <v>104.73</v>
      </c>
    </row>
    <row r="823" spans="1:22" ht="14.25" x14ac:dyDescent="0.2">
      <c r="A823" s="179"/>
      <c r="B823" s="178"/>
      <c r="C823" s="178" t="s">
        <v>188</v>
      </c>
      <c r="D823" s="177" t="s">
        <v>187</v>
      </c>
      <c r="E823" s="174">
        <v>175</v>
      </c>
      <c r="F823" s="176"/>
      <c r="G823" s="175"/>
      <c r="H823" s="174"/>
      <c r="I823" s="173">
        <v>1.4</v>
      </c>
      <c r="J823" s="174">
        <v>157</v>
      </c>
      <c r="K823" s="173">
        <v>29.33</v>
      </c>
    </row>
    <row r="824" spans="1:22" ht="14.25" x14ac:dyDescent="0.2">
      <c r="A824" s="242"/>
      <c r="B824" s="241"/>
      <c r="C824" s="241" t="s">
        <v>192</v>
      </c>
      <c r="D824" s="240" t="s">
        <v>191</v>
      </c>
      <c r="E824" s="238">
        <v>5.0199999999999996</v>
      </c>
      <c r="F824" s="253"/>
      <c r="G824" s="239" t="s">
        <v>2668</v>
      </c>
      <c r="H824" s="238">
        <v>1</v>
      </c>
      <c r="I824" s="237">
        <v>0.91</v>
      </c>
      <c r="J824" s="238"/>
      <c r="K824" s="237"/>
    </row>
    <row r="825" spans="1:22" ht="15" x14ac:dyDescent="0.25">
      <c r="A825" s="235"/>
      <c r="B825" s="235"/>
      <c r="C825" s="236" t="s">
        <v>183</v>
      </c>
      <c r="D825" s="235"/>
      <c r="E825" s="235"/>
      <c r="F825" s="235"/>
      <c r="G825" s="235"/>
      <c r="H825" s="436">
        <v>40.31</v>
      </c>
      <c r="I825" s="436"/>
      <c r="J825" s="436">
        <v>670.86</v>
      </c>
      <c r="K825" s="436"/>
      <c r="O825" s="163">
        <f>I817+I818+I820+I821+I822+I823</f>
        <v>40.31</v>
      </c>
      <c r="P825" s="163">
        <f>K817+K818+K820+K821+K822+K823</f>
        <v>670.86</v>
      </c>
    </row>
    <row r="827" spans="1:22" ht="57" x14ac:dyDescent="0.2">
      <c r="A827" s="179" t="s">
        <v>2365</v>
      </c>
      <c r="B827" s="178" t="s">
        <v>2680</v>
      </c>
      <c r="C827" s="178" t="s">
        <v>1052</v>
      </c>
      <c r="D827" s="177" t="s">
        <v>1903</v>
      </c>
      <c r="E827" s="174">
        <v>2</v>
      </c>
      <c r="F827" s="176"/>
      <c r="G827" s="175"/>
      <c r="H827" s="174"/>
      <c r="I827" s="173"/>
      <c r="J827" s="174"/>
      <c r="K827" s="173"/>
      <c r="Q827" s="160">
        <f>[8]Source!X458</f>
        <v>33.21</v>
      </c>
      <c r="R827" s="160">
        <f>[8]Source!X459</f>
        <v>620.35</v>
      </c>
      <c r="S827" s="160">
        <f>[8]Source!Y458</f>
        <v>22.34</v>
      </c>
      <c r="T827" s="160">
        <f>[8]Source!Y459</f>
        <v>289.02999999999997</v>
      </c>
      <c r="U827" s="160">
        <f>ROUND((175/100)*ROUND([8]Source!R458, 2), 2)</f>
        <v>1.61</v>
      </c>
      <c r="V827" s="160">
        <f>ROUND((157/100)*ROUND([8]Source!R459, 2), 2)</f>
        <v>33.72</v>
      </c>
    </row>
    <row r="828" spans="1:22" ht="14.25" x14ac:dyDescent="0.2">
      <c r="A828" s="179"/>
      <c r="B828" s="178"/>
      <c r="C828" s="178" t="s">
        <v>197</v>
      </c>
      <c r="D828" s="177"/>
      <c r="E828" s="174"/>
      <c r="F828" s="176">
        <v>12.5</v>
      </c>
      <c r="G828" s="175" t="s">
        <v>2668</v>
      </c>
      <c r="H828" s="174">
        <v>1</v>
      </c>
      <c r="I828" s="173">
        <v>30.19</v>
      </c>
      <c r="J828" s="174">
        <v>23.35</v>
      </c>
      <c r="K828" s="173">
        <v>704.94</v>
      </c>
    </row>
    <row r="829" spans="1:22" ht="14.25" x14ac:dyDescent="0.2">
      <c r="A829" s="179"/>
      <c r="B829" s="178"/>
      <c r="C829" s="178" t="s">
        <v>184</v>
      </c>
      <c r="D829" s="177"/>
      <c r="E829" s="174"/>
      <c r="F829" s="176">
        <v>1.49</v>
      </c>
      <c r="G829" s="175" t="s">
        <v>2669</v>
      </c>
      <c r="H829" s="174">
        <v>1</v>
      </c>
      <c r="I829" s="173">
        <v>3.91</v>
      </c>
      <c r="J829" s="174">
        <v>9.58</v>
      </c>
      <c r="K829" s="173">
        <v>37.46</v>
      </c>
    </row>
    <row r="830" spans="1:22" ht="14.25" x14ac:dyDescent="0.2">
      <c r="A830" s="179"/>
      <c r="B830" s="178"/>
      <c r="C830" s="178" t="s">
        <v>189</v>
      </c>
      <c r="D830" s="177"/>
      <c r="E830" s="174"/>
      <c r="F830" s="176">
        <v>0.35</v>
      </c>
      <c r="G830" s="175" t="s">
        <v>2669</v>
      </c>
      <c r="H830" s="174">
        <v>1</v>
      </c>
      <c r="I830" s="180">
        <v>0.92</v>
      </c>
      <c r="J830" s="174">
        <v>23.35</v>
      </c>
      <c r="K830" s="180">
        <v>21.48</v>
      </c>
    </row>
    <row r="831" spans="1:22" ht="14.25" x14ac:dyDescent="0.2">
      <c r="A831" s="179"/>
      <c r="B831" s="178"/>
      <c r="C831" s="178" t="s">
        <v>205</v>
      </c>
      <c r="D831" s="177"/>
      <c r="E831" s="174"/>
      <c r="F831" s="176">
        <v>6.23</v>
      </c>
      <c r="G831" s="175" t="s">
        <v>195</v>
      </c>
      <c r="H831" s="174">
        <v>1</v>
      </c>
      <c r="I831" s="173">
        <v>12.46</v>
      </c>
      <c r="J831" s="174">
        <v>5.42</v>
      </c>
      <c r="K831" s="173">
        <v>67.53</v>
      </c>
    </row>
    <row r="832" spans="1:22" ht="14.25" x14ac:dyDescent="0.2">
      <c r="A832" s="179"/>
      <c r="B832" s="178"/>
      <c r="C832" s="178" t="s">
        <v>194</v>
      </c>
      <c r="D832" s="177" t="s">
        <v>187</v>
      </c>
      <c r="E832" s="174">
        <v>110</v>
      </c>
      <c r="F832" s="176"/>
      <c r="G832" s="175"/>
      <c r="H832" s="174"/>
      <c r="I832" s="173">
        <v>33.21</v>
      </c>
      <c r="J832" s="174">
        <v>88</v>
      </c>
      <c r="K832" s="173">
        <v>620.35</v>
      </c>
    </row>
    <row r="833" spans="1:22" ht="14.25" x14ac:dyDescent="0.2">
      <c r="A833" s="179"/>
      <c r="B833" s="178"/>
      <c r="C833" s="178" t="s">
        <v>193</v>
      </c>
      <c r="D833" s="177" t="s">
        <v>187</v>
      </c>
      <c r="E833" s="174">
        <v>74</v>
      </c>
      <c r="F833" s="176"/>
      <c r="G833" s="175"/>
      <c r="H833" s="174"/>
      <c r="I833" s="173">
        <v>22.34</v>
      </c>
      <c r="J833" s="174">
        <v>41</v>
      </c>
      <c r="K833" s="173">
        <v>289.02999999999997</v>
      </c>
    </row>
    <row r="834" spans="1:22" ht="14.25" x14ac:dyDescent="0.2">
      <c r="A834" s="179"/>
      <c r="B834" s="178"/>
      <c r="C834" s="178" t="s">
        <v>188</v>
      </c>
      <c r="D834" s="177" t="s">
        <v>187</v>
      </c>
      <c r="E834" s="174">
        <v>175</v>
      </c>
      <c r="F834" s="176"/>
      <c r="G834" s="175"/>
      <c r="H834" s="174"/>
      <c r="I834" s="173">
        <v>1.61</v>
      </c>
      <c r="J834" s="174">
        <v>157</v>
      </c>
      <c r="K834" s="173">
        <v>33.72</v>
      </c>
    </row>
    <row r="835" spans="1:22" ht="14.25" x14ac:dyDescent="0.2">
      <c r="A835" s="242"/>
      <c r="B835" s="241"/>
      <c r="C835" s="241" t="s">
        <v>192</v>
      </c>
      <c r="D835" s="240" t="s">
        <v>191</v>
      </c>
      <c r="E835" s="238">
        <v>1.0900000000000001</v>
      </c>
      <c r="F835" s="253"/>
      <c r="G835" s="239" t="s">
        <v>2668</v>
      </c>
      <c r="H835" s="238">
        <v>1</v>
      </c>
      <c r="I835" s="237">
        <v>2.63</v>
      </c>
      <c r="J835" s="238"/>
      <c r="K835" s="237"/>
    </row>
    <row r="836" spans="1:22" ht="15" x14ac:dyDescent="0.25">
      <c r="A836" s="235"/>
      <c r="B836" s="235"/>
      <c r="C836" s="236" t="s">
        <v>183</v>
      </c>
      <c r="D836" s="235"/>
      <c r="E836" s="235"/>
      <c r="F836" s="235"/>
      <c r="G836" s="235"/>
      <c r="H836" s="436">
        <v>103.72</v>
      </c>
      <c r="I836" s="436"/>
      <c r="J836" s="436">
        <v>1753.03</v>
      </c>
      <c r="K836" s="436"/>
      <c r="O836" s="163">
        <f>I828+I829+I831+I832+I833+I834</f>
        <v>103.72</v>
      </c>
      <c r="P836" s="163">
        <f>K828+K829+K831+K832+K833+K834</f>
        <v>1753.03</v>
      </c>
    </row>
    <row r="838" spans="1:22" ht="68.25" x14ac:dyDescent="0.2">
      <c r="A838" s="250" t="s">
        <v>2367</v>
      </c>
      <c r="B838" s="249" t="s">
        <v>2670</v>
      </c>
      <c r="C838" s="249" t="s">
        <v>1066</v>
      </c>
      <c r="D838" s="248" t="s">
        <v>1913</v>
      </c>
      <c r="E838" s="246">
        <v>1</v>
      </c>
      <c r="F838" s="254">
        <v>3870.69</v>
      </c>
      <c r="G838" s="247" t="s">
        <v>195</v>
      </c>
      <c r="H838" s="246">
        <v>1</v>
      </c>
      <c r="I838" s="245">
        <v>3870.69</v>
      </c>
      <c r="J838" s="246">
        <v>4.4000000000000004</v>
      </c>
      <c r="K838" s="245">
        <v>17031.04</v>
      </c>
      <c r="Q838" s="160">
        <f>[8]Source!X460</f>
        <v>0</v>
      </c>
      <c r="R838" s="160">
        <f>[8]Source!X461</f>
        <v>0</v>
      </c>
      <c r="S838" s="160">
        <f>[8]Source!Y460</f>
        <v>0</v>
      </c>
      <c r="T838" s="160">
        <f>[8]Source!Y461</f>
        <v>0</v>
      </c>
      <c r="U838" s="160">
        <f>ROUND((175/100)*ROUND([8]Source!R460, 2), 2)</f>
        <v>0</v>
      </c>
      <c r="V838" s="160">
        <f>ROUND((157/100)*ROUND([8]Source!R461, 2), 2)</f>
        <v>0</v>
      </c>
    </row>
    <row r="839" spans="1:22" ht="15" x14ac:dyDescent="0.25">
      <c r="A839" s="243"/>
      <c r="B839" s="243"/>
      <c r="C839" s="244" t="s">
        <v>183</v>
      </c>
      <c r="D839" s="243"/>
      <c r="E839" s="243"/>
      <c r="F839" s="243"/>
      <c r="G839" s="243"/>
      <c r="H839" s="437">
        <v>3870.69</v>
      </c>
      <c r="I839" s="437"/>
      <c r="J839" s="437">
        <v>17031.04</v>
      </c>
      <c r="K839" s="437"/>
      <c r="O839" s="163">
        <f>I838</f>
        <v>3870.69</v>
      </c>
      <c r="P839" s="163">
        <f>K838</f>
        <v>17031.04</v>
      </c>
    </row>
    <row r="841" spans="1:22" ht="28.5" x14ac:dyDescent="0.2">
      <c r="A841" s="179" t="s">
        <v>2368</v>
      </c>
      <c r="B841" s="178" t="s">
        <v>2673</v>
      </c>
      <c r="C841" s="178" t="s">
        <v>1046</v>
      </c>
      <c r="D841" s="177" t="s">
        <v>2674</v>
      </c>
      <c r="E841" s="174">
        <v>1</v>
      </c>
      <c r="F841" s="176"/>
      <c r="G841" s="175"/>
      <c r="H841" s="174"/>
      <c r="I841" s="173"/>
      <c r="J841" s="174"/>
      <c r="K841" s="173"/>
      <c r="Q841" s="160">
        <f>[8]Source!X463</f>
        <v>83.15</v>
      </c>
      <c r="R841" s="160">
        <f>[8]Source!X464</f>
        <v>1553.23</v>
      </c>
      <c r="S841" s="160">
        <f>[8]Source!Y463</f>
        <v>55.94</v>
      </c>
      <c r="T841" s="160">
        <f>[8]Source!Y464</f>
        <v>723.66</v>
      </c>
      <c r="U841" s="160">
        <f>ROUND((175/100)*ROUND([8]Source!R463, 2), 2)</f>
        <v>3.38</v>
      </c>
      <c r="V841" s="160">
        <f>ROUND((157/100)*ROUND([8]Source!R464, 2), 2)</f>
        <v>70.760000000000005</v>
      </c>
    </row>
    <row r="842" spans="1:22" ht="14.25" x14ac:dyDescent="0.2">
      <c r="A842" s="179"/>
      <c r="B842" s="178"/>
      <c r="C842" s="178" t="s">
        <v>197</v>
      </c>
      <c r="D842" s="177"/>
      <c r="E842" s="174"/>
      <c r="F842" s="176">
        <v>62.6</v>
      </c>
      <c r="G842" s="175" t="s">
        <v>2668</v>
      </c>
      <c r="H842" s="174">
        <v>1</v>
      </c>
      <c r="I842" s="173">
        <v>75.59</v>
      </c>
      <c r="J842" s="174">
        <v>23.35</v>
      </c>
      <c r="K842" s="173">
        <v>1765.03</v>
      </c>
    </row>
    <row r="843" spans="1:22" ht="14.25" x14ac:dyDescent="0.2">
      <c r="A843" s="179"/>
      <c r="B843" s="178"/>
      <c r="C843" s="178" t="s">
        <v>184</v>
      </c>
      <c r="D843" s="177"/>
      <c r="E843" s="174"/>
      <c r="F843" s="176">
        <v>8.82</v>
      </c>
      <c r="G843" s="175" t="s">
        <v>2669</v>
      </c>
      <c r="H843" s="174">
        <v>1</v>
      </c>
      <c r="I843" s="173">
        <v>11.58</v>
      </c>
      <c r="J843" s="174">
        <v>8.66</v>
      </c>
      <c r="K843" s="173">
        <v>100.28</v>
      </c>
    </row>
    <row r="844" spans="1:22" ht="14.25" x14ac:dyDescent="0.2">
      <c r="A844" s="179"/>
      <c r="B844" s="178"/>
      <c r="C844" s="178" t="s">
        <v>189</v>
      </c>
      <c r="D844" s="177"/>
      <c r="E844" s="174"/>
      <c r="F844" s="176">
        <v>1.47</v>
      </c>
      <c r="G844" s="175" t="s">
        <v>2669</v>
      </c>
      <c r="H844" s="174">
        <v>1</v>
      </c>
      <c r="I844" s="180">
        <v>1.93</v>
      </c>
      <c r="J844" s="174">
        <v>23.35</v>
      </c>
      <c r="K844" s="180">
        <v>45.07</v>
      </c>
    </row>
    <row r="845" spans="1:22" ht="14.25" x14ac:dyDescent="0.2">
      <c r="A845" s="179"/>
      <c r="B845" s="178"/>
      <c r="C845" s="178" t="s">
        <v>205</v>
      </c>
      <c r="D845" s="177"/>
      <c r="E845" s="174"/>
      <c r="F845" s="176">
        <v>2.62</v>
      </c>
      <c r="G845" s="175" t="s">
        <v>195</v>
      </c>
      <c r="H845" s="174">
        <v>1</v>
      </c>
      <c r="I845" s="173">
        <v>2.62</v>
      </c>
      <c r="J845" s="174">
        <v>2.5299999999999998</v>
      </c>
      <c r="K845" s="173">
        <v>6.63</v>
      </c>
    </row>
    <row r="846" spans="1:22" ht="14.25" x14ac:dyDescent="0.2">
      <c r="A846" s="179"/>
      <c r="B846" s="178"/>
      <c r="C846" s="178" t="s">
        <v>194</v>
      </c>
      <c r="D846" s="177" t="s">
        <v>187</v>
      </c>
      <c r="E846" s="174">
        <v>110</v>
      </c>
      <c r="F846" s="176"/>
      <c r="G846" s="175"/>
      <c r="H846" s="174"/>
      <c r="I846" s="173">
        <v>83.15</v>
      </c>
      <c r="J846" s="174">
        <v>88</v>
      </c>
      <c r="K846" s="173">
        <v>1553.23</v>
      </c>
    </row>
    <row r="847" spans="1:22" ht="14.25" x14ac:dyDescent="0.2">
      <c r="A847" s="179"/>
      <c r="B847" s="178"/>
      <c r="C847" s="178" t="s">
        <v>193</v>
      </c>
      <c r="D847" s="177" t="s">
        <v>187</v>
      </c>
      <c r="E847" s="174">
        <v>74</v>
      </c>
      <c r="F847" s="176"/>
      <c r="G847" s="175"/>
      <c r="H847" s="174"/>
      <c r="I847" s="173">
        <v>55.94</v>
      </c>
      <c r="J847" s="174">
        <v>41</v>
      </c>
      <c r="K847" s="173">
        <v>723.66</v>
      </c>
    </row>
    <row r="848" spans="1:22" ht="14.25" x14ac:dyDescent="0.2">
      <c r="A848" s="179"/>
      <c r="B848" s="178"/>
      <c r="C848" s="178" t="s">
        <v>188</v>
      </c>
      <c r="D848" s="177" t="s">
        <v>187</v>
      </c>
      <c r="E848" s="174">
        <v>175</v>
      </c>
      <c r="F848" s="176"/>
      <c r="G848" s="175"/>
      <c r="H848" s="174"/>
      <c r="I848" s="173">
        <v>3.38</v>
      </c>
      <c r="J848" s="174">
        <v>157</v>
      </c>
      <c r="K848" s="173">
        <v>70.760000000000005</v>
      </c>
    </row>
    <row r="849" spans="1:22" ht="14.25" x14ac:dyDescent="0.2">
      <c r="A849" s="242"/>
      <c r="B849" s="241"/>
      <c r="C849" s="241" t="s">
        <v>192</v>
      </c>
      <c r="D849" s="240" t="s">
        <v>191</v>
      </c>
      <c r="E849" s="238">
        <v>4.96</v>
      </c>
      <c r="F849" s="253"/>
      <c r="G849" s="239" t="s">
        <v>2668</v>
      </c>
      <c r="H849" s="238">
        <v>1</v>
      </c>
      <c r="I849" s="237">
        <v>5.99</v>
      </c>
      <c r="J849" s="238"/>
      <c r="K849" s="237"/>
    </row>
    <row r="850" spans="1:22" ht="15" x14ac:dyDescent="0.25">
      <c r="A850" s="235"/>
      <c r="B850" s="235"/>
      <c r="C850" s="236" t="s">
        <v>183</v>
      </c>
      <c r="D850" s="235"/>
      <c r="E850" s="235"/>
      <c r="F850" s="235"/>
      <c r="G850" s="235"/>
      <c r="H850" s="436">
        <v>232.26</v>
      </c>
      <c r="I850" s="436"/>
      <c r="J850" s="436">
        <v>4219.59</v>
      </c>
      <c r="K850" s="436"/>
      <c r="O850" s="163">
        <f>I842+I843+I845+I846+I847+I848</f>
        <v>232.26</v>
      </c>
      <c r="P850" s="163">
        <f>K842+K843+K845+K846+K847+K848</f>
        <v>4219.59</v>
      </c>
    </row>
    <row r="852" spans="1:22" ht="28.5" x14ac:dyDescent="0.2">
      <c r="A852" s="179" t="s">
        <v>2682</v>
      </c>
      <c r="B852" s="178" t="s">
        <v>2675</v>
      </c>
      <c r="C852" s="178" t="s">
        <v>1026</v>
      </c>
      <c r="D852" s="177" t="s">
        <v>2676</v>
      </c>
      <c r="E852" s="174">
        <v>1</v>
      </c>
      <c r="F852" s="176"/>
      <c r="G852" s="175"/>
      <c r="H852" s="174"/>
      <c r="I852" s="173"/>
      <c r="J852" s="174"/>
      <c r="K852" s="173"/>
      <c r="Q852" s="160">
        <f>[8]Source!X467</f>
        <v>15.88</v>
      </c>
      <c r="R852" s="160">
        <f>[8]Source!X468</f>
        <v>296.70999999999998</v>
      </c>
      <c r="S852" s="160">
        <f>[8]Source!Y467</f>
        <v>10.69</v>
      </c>
      <c r="T852" s="160">
        <f>[8]Source!Y468</f>
        <v>138.24</v>
      </c>
      <c r="U852" s="160">
        <f>ROUND((175/100)*ROUND([8]Source!R467, 2), 2)</f>
        <v>0.42</v>
      </c>
      <c r="V852" s="160">
        <f>ROUND((157/100)*ROUND([8]Source!R468, 2), 2)</f>
        <v>8.7899999999999991</v>
      </c>
    </row>
    <row r="853" spans="1:22" ht="14.25" x14ac:dyDescent="0.2">
      <c r="A853" s="179"/>
      <c r="B853" s="178"/>
      <c r="C853" s="178" t="s">
        <v>197</v>
      </c>
      <c r="D853" s="177"/>
      <c r="E853" s="174"/>
      <c r="F853" s="176">
        <v>11.96</v>
      </c>
      <c r="G853" s="175" t="s">
        <v>2668</v>
      </c>
      <c r="H853" s="174">
        <v>1</v>
      </c>
      <c r="I853" s="173">
        <v>14.44</v>
      </c>
      <c r="J853" s="174">
        <v>23.35</v>
      </c>
      <c r="K853" s="173">
        <v>337.17</v>
      </c>
    </row>
    <row r="854" spans="1:22" ht="14.25" x14ac:dyDescent="0.2">
      <c r="A854" s="179"/>
      <c r="B854" s="178"/>
      <c r="C854" s="178" t="s">
        <v>184</v>
      </c>
      <c r="D854" s="177"/>
      <c r="E854" s="174"/>
      <c r="F854" s="176">
        <v>0.74</v>
      </c>
      <c r="G854" s="175" t="s">
        <v>2669</v>
      </c>
      <c r="H854" s="174">
        <v>1</v>
      </c>
      <c r="I854" s="173">
        <v>0.97</v>
      </c>
      <c r="J854" s="174">
        <v>9.73</v>
      </c>
      <c r="K854" s="173">
        <v>9.44</v>
      </c>
    </row>
    <row r="855" spans="1:22" ht="14.25" x14ac:dyDescent="0.2">
      <c r="A855" s="179"/>
      <c r="B855" s="178"/>
      <c r="C855" s="178" t="s">
        <v>189</v>
      </c>
      <c r="D855" s="177"/>
      <c r="E855" s="174"/>
      <c r="F855" s="176">
        <v>0.18</v>
      </c>
      <c r="G855" s="175" t="s">
        <v>2669</v>
      </c>
      <c r="H855" s="174">
        <v>1</v>
      </c>
      <c r="I855" s="180">
        <v>0.24</v>
      </c>
      <c r="J855" s="174">
        <v>23.35</v>
      </c>
      <c r="K855" s="180">
        <v>5.6</v>
      </c>
    </row>
    <row r="856" spans="1:22" ht="14.25" x14ac:dyDescent="0.2">
      <c r="A856" s="179"/>
      <c r="B856" s="178"/>
      <c r="C856" s="178" t="s">
        <v>205</v>
      </c>
      <c r="D856" s="177"/>
      <c r="E856" s="174"/>
      <c r="F856" s="176">
        <v>4.41</v>
      </c>
      <c r="G856" s="175" t="s">
        <v>195</v>
      </c>
      <c r="H856" s="174">
        <v>1</v>
      </c>
      <c r="I856" s="173">
        <v>4.41</v>
      </c>
      <c r="J856" s="174">
        <v>5.42</v>
      </c>
      <c r="K856" s="173">
        <v>23.9</v>
      </c>
    </row>
    <row r="857" spans="1:22" ht="14.25" x14ac:dyDescent="0.2">
      <c r="A857" s="179"/>
      <c r="B857" s="178"/>
      <c r="C857" s="178" t="s">
        <v>194</v>
      </c>
      <c r="D857" s="177" t="s">
        <v>187</v>
      </c>
      <c r="E857" s="174">
        <v>110</v>
      </c>
      <c r="F857" s="176"/>
      <c r="G857" s="175"/>
      <c r="H857" s="174"/>
      <c r="I857" s="173">
        <v>15.88</v>
      </c>
      <c r="J857" s="174">
        <v>88</v>
      </c>
      <c r="K857" s="173">
        <v>296.70999999999998</v>
      </c>
    </row>
    <row r="858" spans="1:22" ht="14.25" x14ac:dyDescent="0.2">
      <c r="A858" s="179"/>
      <c r="B858" s="178"/>
      <c r="C858" s="178" t="s">
        <v>193</v>
      </c>
      <c r="D858" s="177" t="s">
        <v>187</v>
      </c>
      <c r="E858" s="174">
        <v>74</v>
      </c>
      <c r="F858" s="176"/>
      <c r="G858" s="175"/>
      <c r="H858" s="174"/>
      <c r="I858" s="173">
        <v>10.69</v>
      </c>
      <c r="J858" s="174">
        <v>41</v>
      </c>
      <c r="K858" s="173">
        <v>138.24</v>
      </c>
    </row>
    <row r="859" spans="1:22" ht="14.25" x14ac:dyDescent="0.2">
      <c r="A859" s="179"/>
      <c r="B859" s="178"/>
      <c r="C859" s="178" t="s">
        <v>188</v>
      </c>
      <c r="D859" s="177" t="s">
        <v>187</v>
      </c>
      <c r="E859" s="174">
        <v>175</v>
      </c>
      <c r="F859" s="176"/>
      <c r="G859" s="175"/>
      <c r="H859" s="174"/>
      <c r="I859" s="173">
        <v>0.42</v>
      </c>
      <c r="J859" s="174">
        <v>157</v>
      </c>
      <c r="K859" s="173">
        <v>8.7899999999999991</v>
      </c>
    </row>
    <row r="860" spans="1:22" ht="14.25" x14ac:dyDescent="0.2">
      <c r="A860" s="242"/>
      <c r="B860" s="241"/>
      <c r="C860" s="241" t="s">
        <v>192</v>
      </c>
      <c r="D860" s="240" t="s">
        <v>191</v>
      </c>
      <c r="E860" s="238">
        <v>1.03</v>
      </c>
      <c r="F860" s="253"/>
      <c r="G860" s="239" t="s">
        <v>2668</v>
      </c>
      <c r="H860" s="238">
        <v>1</v>
      </c>
      <c r="I860" s="237">
        <v>1.24</v>
      </c>
      <c r="J860" s="238"/>
      <c r="K860" s="237"/>
    </row>
    <row r="861" spans="1:22" ht="15" x14ac:dyDescent="0.25">
      <c r="A861" s="235"/>
      <c r="B861" s="235"/>
      <c r="C861" s="236" t="s">
        <v>183</v>
      </c>
      <c r="D861" s="235"/>
      <c r="E861" s="235"/>
      <c r="F861" s="235"/>
      <c r="G861" s="235"/>
      <c r="H861" s="436">
        <v>46.81</v>
      </c>
      <c r="I861" s="436"/>
      <c r="J861" s="436">
        <v>814.25</v>
      </c>
      <c r="K861" s="436"/>
      <c r="O861" s="163">
        <f>I853+I854+I856+I857+I858+I859</f>
        <v>46.81</v>
      </c>
      <c r="P861" s="163">
        <f>K853+K854+K856+K857+K858+K859</f>
        <v>814.25</v>
      </c>
    </row>
    <row r="863" spans="1:22" ht="28.5" x14ac:dyDescent="0.2">
      <c r="A863" s="179" t="s">
        <v>2683</v>
      </c>
      <c r="B863" s="178" t="s">
        <v>2677</v>
      </c>
      <c r="C863" s="178" t="s">
        <v>1045</v>
      </c>
      <c r="D863" s="177" t="s">
        <v>2678</v>
      </c>
      <c r="E863" s="174">
        <v>0.15</v>
      </c>
      <c r="F863" s="176"/>
      <c r="G863" s="175"/>
      <c r="H863" s="174"/>
      <c r="I863" s="173"/>
      <c r="J863" s="174"/>
      <c r="K863" s="173"/>
      <c r="Q863" s="160">
        <f>[8]Source!X469</f>
        <v>12.03</v>
      </c>
      <c r="R863" s="160">
        <f>[8]Source!X470</f>
        <v>224.8</v>
      </c>
      <c r="S863" s="160">
        <f>[8]Source!Y469</f>
        <v>8.1</v>
      </c>
      <c r="T863" s="160">
        <f>[8]Source!Y470</f>
        <v>104.73</v>
      </c>
      <c r="U863" s="160">
        <f>ROUND((175/100)*ROUND([8]Source!R469, 2), 2)</f>
        <v>1.4</v>
      </c>
      <c r="V863" s="160">
        <f>ROUND((157/100)*ROUND([8]Source!R470, 2), 2)</f>
        <v>29.33</v>
      </c>
    </row>
    <row r="864" spans="1:22" x14ac:dyDescent="0.2">
      <c r="C864" s="181" t="s">
        <v>2679</v>
      </c>
    </row>
    <row r="865" spans="1:22" ht="14.25" x14ac:dyDescent="0.2">
      <c r="A865" s="179"/>
      <c r="B865" s="178"/>
      <c r="C865" s="178" t="s">
        <v>197</v>
      </c>
      <c r="D865" s="177"/>
      <c r="E865" s="174"/>
      <c r="F865" s="176">
        <v>60.39</v>
      </c>
      <c r="G865" s="175" t="s">
        <v>2668</v>
      </c>
      <c r="H865" s="174">
        <v>1</v>
      </c>
      <c r="I865" s="173">
        <v>10.94</v>
      </c>
      <c r="J865" s="174">
        <v>23.35</v>
      </c>
      <c r="K865" s="173">
        <v>255.45</v>
      </c>
    </row>
    <row r="866" spans="1:22" ht="14.25" x14ac:dyDescent="0.2">
      <c r="A866" s="179"/>
      <c r="B866" s="178"/>
      <c r="C866" s="178" t="s">
        <v>184</v>
      </c>
      <c r="D866" s="177"/>
      <c r="E866" s="174"/>
      <c r="F866" s="176">
        <v>20.05</v>
      </c>
      <c r="G866" s="175" t="s">
        <v>2669</v>
      </c>
      <c r="H866" s="174">
        <v>1</v>
      </c>
      <c r="I866" s="173">
        <v>3.95</v>
      </c>
      <c r="J866" s="174">
        <v>8.98</v>
      </c>
      <c r="K866" s="173">
        <v>35.47</v>
      </c>
    </row>
    <row r="867" spans="1:22" ht="14.25" x14ac:dyDescent="0.2">
      <c r="A867" s="179"/>
      <c r="B867" s="178"/>
      <c r="C867" s="178" t="s">
        <v>189</v>
      </c>
      <c r="D867" s="177"/>
      <c r="E867" s="174"/>
      <c r="F867" s="176">
        <v>4.04</v>
      </c>
      <c r="G867" s="175" t="s">
        <v>2669</v>
      </c>
      <c r="H867" s="174">
        <v>1</v>
      </c>
      <c r="I867" s="180">
        <v>0.8</v>
      </c>
      <c r="J867" s="174">
        <v>23.35</v>
      </c>
      <c r="K867" s="180">
        <v>18.68</v>
      </c>
    </row>
    <row r="868" spans="1:22" ht="14.25" x14ac:dyDescent="0.2">
      <c r="A868" s="179"/>
      <c r="B868" s="178"/>
      <c r="C868" s="178" t="s">
        <v>205</v>
      </c>
      <c r="D868" s="177"/>
      <c r="E868" s="174"/>
      <c r="F868" s="176">
        <v>25.9</v>
      </c>
      <c r="G868" s="175" t="s">
        <v>195</v>
      </c>
      <c r="H868" s="174">
        <v>1</v>
      </c>
      <c r="I868" s="173">
        <v>3.89</v>
      </c>
      <c r="J868" s="174">
        <v>5.42</v>
      </c>
      <c r="K868" s="173">
        <v>21.08</v>
      </c>
    </row>
    <row r="869" spans="1:22" ht="14.25" x14ac:dyDescent="0.2">
      <c r="A869" s="179"/>
      <c r="B869" s="178"/>
      <c r="C869" s="178" t="s">
        <v>194</v>
      </c>
      <c r="D869" s="177" t="s">
        <v>187</v>
      </c>
      <c r="E869" s="174">
        <v>110</v>
      </c>
      <c r="F869" s="176"/>
      <c r="G869" s="175"/>
      <c r="H869" s="174"/>
      <c r="I869" s="173">
        <v>12.03</v>
      </c>
      <c r="J869" s="174">
        <v>88</v>
      </c>
      <c r="K869" s="173">
        <v>224.8</v>
      </c>
    </row>
    <row r="870" spans="1:22" ht="14.25" x14ac:dyDescent="0.2">
      <c r="A870" s="179"/>
      <c r="B870" s="178"/>
      <c r="C870" s="178" t="s">
        <v>193</v>
      </c>
      <c r="D870" s="177" t="s">
        <v>187</v>
      </c>
      <c r="E870" s="174">
        <v>74</v>
      </c>
      <c r="F870" s="176"/>
      <c r="G870" s="175"/>
      <c r="H870" s="174"/>
      <c r="I870" s="173">
        <v>8.1</v>
      </c>
      <c r="J870" s="174">
        <v>41</v>
      </c>
      <c r="K870" s="173">
        <v>104.73</v>
      </c>
    </row>
    <row r="871" spans="1:22" ht="14.25" x14ac:dyDescent="0.2">
      <c r="A871" s="179"/>
      <c r="B871" s="178"/>
      <c r="C871" s="178" t="s">
        <v>188</v>
      </c>
      <c r="D871" s="177" t="s">
        <v>187</v>
      </c>
      <c r="E871" s="174">
        <v>175</v>
      </c>
      <c r="F871" s="176"/>
      <c r="G871" s="175"/>
      <c r="H871" s="174"/>
      <c r="I871" s="173">
        <v>1.4</v>
      </c>
      <c r="J871" s="174">
        <v>157</v>
      </c>
      <c r="K871" s="173">
        <v>29.33</v>
      </c>
    </row>
    <row r="872" spans="1:22" ht="14.25" x14ac:dyDescent="0.2">
      <c r="A872" s="242"/>
      <c r="B872" s="241"/>
      <c r="C872" s="241" t="s">
        <v>192</v>
      </c>
      <c r="D872" s="240" t="s">
        <v>191</v>
      </c>
      <c r="E872" s="238">
        <v>5.0199999999999996</v>
      </c>
      <c r="F872" s="253"/>
      <c r="G872" s="239" t="s">
        <v>2668</v>
      </c>
      <c r="H872" s="238">
        <v>1</v>
      </c>
      <c r="I872" s="237">
        <v>0.91</v>
      </c>
      <c r="J872" s="238"/>
      <c r="K872" s="237"/>
    </row>
    <row r="873" spans="1:22" ht="15" x14ac:dyDescent="0.25">
      <c r="A873" s="235"/>
      <c r="B873" s="235"/>
      <c r="C873" s="236" t="s">
        <v>183</v>
      </c>
      <c r="D873" s="235"/>
      <c r="E873" s="235"/>
      <c r="F873" s="235"/>
      <c r="G873" s="235"/>
      <c r="H873" s="436">
        <v>40.31</v>
      </c>
      <c r="I873" s="436"/>
      <c r="J873" s="436">
        <v>670.86</v>
      </c>
      <c r="K873" s="436"/>
      <c r="O873" s="163">
        <f>I865+I866+I868+I869+I870+I871</f>
        <v>40.31</v>
      </c>
      <c r="P873" s="163">
        <f>K865+K866+K868+K869+K870+K871</f>
        <v>670.86</v>
      </c>
    </row>
    <row r="875" spans="1:22" ht="57" x14ac:dyDescent="0.2">
      <c r="A875" s="179" t="s">
        <v>2684</v>
      </c>
      <c r="B875" s="178" t="s">
        <v>2680</v>
      </c>
      <c r="C875" s="178" t="s">
        <v>1052</v>
      </c>
      <c r="D875" s="177" t="s">
        <v>1903</v>
      </c>
      <c r="E875" s="174">
        <v>2</v>
      </c>
      <c r="F875" s="176"/>
      <c r="G875" s="175"/>
      <c r="H875" s="174"/>
      <c r="I875" s="173"/>
      <c r="J875" s="174"/>
      <c r="K875" s="173"/>
      <c r="Q875" s="160">
        <f>[8]Source!X471</f>
        <v>33.21</v>
      </c>
      <c r="R875" s="160">
        <f>[8]Source!X472</f>
        <v>620.35</v>
      </c>
      <c r="S875" s="160">
        <f>[8]Source!Y471</f>
        <v>22.34</v>
      </c>
      <c r="T875" s="160">
        <f>[8]Source!Y472</f>
        <v>289.02999999999997</v>
      </c>
      <c r="U875" s="160">
        <f>ROUND((175/100)*ROUND([8]Source!R471, 2), 2)</f>
        <v>1.61</v>
      </c>
      <c r="V875" s="160">
        <f>ROUND((157/100)*ROUND([8]Source!R472, 2), 2)</f>
        <v>33.72</v>
      </c>
    </row>
    <row r="876" spans="1:22" ht="14.25" x14ac:dyDescent="0.2">
      <c r="A876" s="179"/>
      <c r="B876" s="178"/>
      <c r="C876" s="178" t="s">
        <v>197</v>
      </c>
      <c r="D876" s="177"/>
      <c r="E876" s="174"/>
      <c r="F876" s="176">
        <v>12.5</v>
      </c>
      <c r="G876" s="175" t="s">
        <v>2668</v>
      </c>
      <c r="H876" s="174">
        <v>1</v>
      </c>
      <c r="I876" s="173">
        <v>30.19</v>
      </c>
      <c r="J876" s="174">
        <v>23.35</v>
      </c>
      <c r="K876" s="173">
        <v>704.94</v>
      </c>
    </row>
    <row r="877" spans="1:22" ht="14.25" x14ac:dyDescent="0.2">
      <c r="A877" s="179"/>
      <c r="B877" s="178"/>
      <c r="C877" s="178" t="s">
        <v>184</v>
      </c>
      <c r="D877" s="177"/>
      <c r="E877" s="174"/>
      <c r="F877" s="176">
        <v>1.49</v>
      </c>
      <c r="G877" s="175" t="s">
        <v>2669</v>
      </c>
      <c r="H877" s="174">
        <v>1</v>
      </c>
      <c r="I877" s="173">
        <v>3.91</v>
      </c>
      <c r="J877" s="174">
        <v>9.58</v>
      </c>
      <c r="K877" s="173">
        <v>37.46</v>
      </c>
    </row>
    <row r="878" spans="1:22" ht="14.25" x14ac:dyDescent="0.2">
      <c r="A878" s="179"/>
      <c r="B878" s="178"/>
      <c r="C878" s="178" t="s">
        <v>189</v>
      </c>
      <c r="D878" s="177"/>
      <c r="E878" s="174"/>
      <c r="F878" s="176">
        <v>0.35</v>
      </c>
      <c r="G878" s="175" t="s">
        <v>2669</v>
      </c>
      <c r="H878" s="174">
        <v>1</v>
      </c>
      <c r="I878" s="180">
        <v>0.92</v>
      </c>
      <c r="J878" s="174">
        <v>23.35</v>
      </c>
      <c r="K878" s="180">
        <v>21.48</v>
      </c>
    </row>
    <row r="879" spans="1:22" ht="14.25" x14ac:dyDescent="0.2">
      <c r="A879" s="179"/>
      <c r="B879" s="178"/>
      <c r="C879" s="178" t="s">
        <v>205</v>
      </c>
      <c r="D879" s="177"/>
      <c r="E879" s="174"/>
      <c r="F879" s="176">
        <v>6.23</v>
      </c>
      <c r="G879" s="175" t="s">
        <v>195</v>
      </c>
      <c r="H879" s="174">
        <v>1</v>
      </c>
      <c r="I879" s="173">
        <v>12.46</v>
      </c>
      <c r="J879" s="174">
        <v>5.42</v>
      </c>
      <c r="K879" s="173">
        <v>67.53</v>
      </c>
    </row>
    <row r="880" spans="1:22" ht="14.25" x14ac:dyDescent="0.2">
      <c r="A880" s="179"/>
      <c r="B880" s="178"/>
      <c r="C880" s="178" t="s">
        <v>194</v>
      </c>
      <c r="D880" s="177" t="s">
        <v>187</v>
      </c>
      <c r="E880" s="174">
        <v>110</v>
      </c>
      <c r="F880" s="176"/>
      <c r="G880" s="175"/>
      <c r="H880" s="174"/>
      <c r="I880" s="173">
        <v>33.21</v>
      </c>
      <c r="J880" s="174">
        <v>88</v>
      </c>
      <c r="K880" s="173">
        <v>620.35</v>
      </c>
    </row>
    <row r="881" spans="1:22" ht="14.25" x14ac:dyDescent="0.2">
      <c r="A881" s="179"/>
      <c r="B881" s="178"/>
      <c r="C881" s="178" t="s">
        <v>193</v>
      </c>
      <c r="D881" s="177" t="s">
        <v>187</v>
      </c>
      <c r="E881" s="174">
        <v>74</v>
      </c>
      <c r="F881" s="176"/>
      <c r="G881" s="175"/>
      <c r="H881" s="174"/>
      <c r="I881" s="173">
        <v>22.34</v>
      </c>
      <c r="J881" s="174">
        <v>41</v>
      </c>
      <c r="K881" s="173">
        <v>289.02999999999997</v>
      </c>
    </row>
    <row r="882" spans="1:22" ht="14.25" x14ac:dyDescent="0.2">
      <c r="A882" s="179"/>
      <c r="B882" s="178"/>
      <c r="C882" s="178" t="s">
        <v>188</v>
      </c>
      <c r="D882" s="177" t="s">
        <v>187</v>
      </c>
      <c r="E882" s="174">
        <v>175</v>
      </c>
      <c r="F882" s="176"/>
      <c r="G882" s="175"/>
      <c r="H882" s="174"/>
      <c r="I882" s="173">
        <v>1.61</v>
      </c>
      <c r="J882" s="174">
        <v>157</v>
      </c>
      <c r="K882" s="173">
        <v>33.72</v>
      </c>
    </row>
    <row r="883" spans="1:22" ht="14.25" x14ac:dyDescent="0.2">
      <c r="A883" s="242"/>
      <c r="B883" s="241"/>
      <c r="C883" s="241" t="s">
        <v>192</v>
      </c>
      <c r="D883" s="240" t="s">
        <v>191</v>
      </c>
      <c r="E883" s="238">
        <v>1.0900000000000001</v>
      </c>
      <c r="F883" s="253"/>
      <c r="G883" s="239" t="s">
        <v>2668</v>
      </c>
      <c r="H883" s="238">
        <v>1</v>
      </c>
      <c r="I883" s="237">
        <v>2.63</v>
      </c>
      <c r="J883" s="238"/>
      <c r="K883" s="237"/>
    </row>
    <row r="884" spans="1:22" ht="15" x14ac:dyDescent="0.25">
      <c r="A884" s="235"/>
      <c r="B884" s="235"/>
      <c r="C884" s="236" t="s">
        <v>183</v>
      </c>
      <c r="D884" s="235"/>
      <c r="E884" s="235"/>
      <c r="F884" s="235"/>
      <c r="G884" s="235"/>
      <c r="H884" s="436">
        <v>103.72</v>
      </c>
      <c r="I884" s="436"/>
      <c r="J884" s="436">
        <v>1753.03</v>
      </c>
      <c r="K884" s="436"/>
      <c r="O884" s="163">
        <f>I876+I877+I879+I880+I881+I882</f>
        <v>103.72</v>
      </c>
      <c r="P884" s="163">
        <f>K876+K877+K879+K880+K881+K882</f>
        <v>1753.03</v>
      </c>
    </row>
    <row r="886" spans="1:22" ht="68.25" x14ac:dyDescent="0.2">
      <c r="A886" s="250" t="s">
        <v>2685</v>
      </c>
      <c r="B886" s="249" t="s">
        <v>2670</v>
      </c>
      <c r="C886" s="249" t="s">
        <v>1065</v>
      </c>
      <c r="D886" s="248" t="s">
        <v>1913</v>
      </c>
      <c r="E886" s="246">
        <v>1</v>
      </c>
      <c r="F886" s="254">
        <v>2892.24</v>
      </c>
      <c r="G886" s="247" t="s">
        <v>195</v>
      </c>
      <c r="H886" s="246">
        <v>1</v>
      </c>
      <c r="I886" s="245">
        <v>2892.24</v>
      </c>
      <c r="J886" s="246">
        <v>4.4000000000000004</v>
      </c>
      <c r="K886" s="245">
        <v>12725.86</v>
      </c>
      <c r="Q886" s="160">
        <f>[8]Source!X473</f>
        <v>0</v>
      </c>
      <c r="R886" s="160">
        <f>[8]Source!X474</f>
        <v>0</v>
      </c>
      <c r="S886" s="160">
        <f>[8]Source!Y473</f>
        <v>0</v>
      </c>
      <c r="T886" s="160">
        <f>[8]Source!Y474</f>
        <v>0</v>
      </c>
      <c r="U886" s="160">
        <f>ROUND((175/100)*ROUND([8]Source!R473, 2), 2)</f>
        <v>0</v>
      </c>
      <c r="V886" s="160">
        <f>ROUND((157/100)*ROUND([8]Source!R474, 2), 2)</f>
        <v>0</v>
      </c>
    </row>
    <row r="887" spans="1:22" ht="15" x14ac:dyDescent="0.25">
      <c r="A887" s="243"/>
      <c r="B887" s="243"/>
      <c r="C887" s="244" t="s">
        <v>183</v>
      </c>
      <c r="D887" s="243"/>
      <c r="E887" s="243"/>
      <c r="F887" s="243"/>
      <c r="G887" s="243"/>
      <c r="H887" s="437">
        <v>2892.24</v>
      </c>
      <c r="I887" s="437"/>
      <c r="J887" s="437">
        <v>12725.86</v>
      </c>
      <c r="K887" s="437"/>
      <c r="O887" s="163">
        <f>I886</f>
        <v>2892.24</v>
      </c>
      <c r="P887" s="163">
        <f>K886</f>
        <v>12725.86</v>
      </c>
    </row>
    <row r="889" spans="1:22" ht="28.5" x14ac:dyDescent="0.2">
      <c r="A889" s="179" t="s">
        <v>2686</v>
      </c>
      <c r="B889" s="178" t="s">
        <v>2673</v>
      </c>
      <c r="C889" s="178" t="s">
        <v>1046</v>
      </c>
      <c r="D889" s="177" t="s">
        <v>2674</v>
      </c>
      <c r="E889" s="174">
        <v>2</v>
      </c>
      <c r="F889" s="176"/>
      <c r="G889" s="175"/>
      <c r="H889" s="174"/>
      <c r="I889" s="173"/>
      <c r="J889" s="174"/>
      <c r="K889" s="173"/>
      <c r="Q889" s="160">
        <f>[8]Source!X476</f>
        <v>166.3</v>
      </c>
      <c r="R889" s="160">
        <f>[8]Source!X477</f>
        <v>3106.44</v>
      </c>
      <c r="S889" s="160">
        <f>[8]Source!Y476</f>
        <v>111.87</v>
      </c>
      <c r="T889" s="160">
        <f>[8]Source!Y477</f>
        <v>1447.32</v>
      </c>
      <c r="U889" s="160">
        <f>ROUND((175/100)*ROUND([8]Source!R476, 2), 2)</f>
        <v>6.76</v>
      </c>
      <c r="V889" s="160">
        <f>ROUND((157/100)*ROUND([8]Source!R477, 2), 2)</f>
        <v>141.5</v>
      </c>
    </row>
    <row r="890" spans="1:22" ht="14.25" x14ac:dyDescent="0.2">
      <c r="A890" s="179"/>
      <c r="B890" s="178"/>
      <c r="C890" s="178" t="s">
        <v>197</v>
      </c>
      <c r="D890" s="177"/>
      <c r="E890" s="174"/>
      <c r="F890" s="176">
        <v>62.6</v>
      </c>
      <c r="G890" s="175" t="s">
        <v>2668</v>
      </c>
      <c r="H890" s="174">
        <v>1</v>
      </c>
      <c r="I890" s="173">
        <v>151.18</v>
      </c>
      <c r="J890" s="174">
        <v>23.35</v>
      </c>
      <c r="K890" s="173">
        <v>3530.05</v>
      </c>
    </row>
    <row r="891" spans="1:22" ht="14.25" x14ac:dyDescent="0.2">
      <c r="A891" s="179"/>
      <c r="B891" s="178"/>
      <c r="C891" s="178" t="s">
        <v>184</v>
      </c>
      <c r="D891" s="177"/>
      <c r="E891" s="174"/>
      <c r="F891" s="176">
        <v>8.82</v>
      </c>
      <c r="G891" s="175" t="s">
        <v>2669</v>
      </c>
      <c r="H891" s="174">
        <v>1</v>
      </c>
      <c r="I891" s="173">
        <v>23.15</v>
      </c>
      <c r="J891" s="174">
        <v>8.66</v>
      </c>
      <c r="K891" s="173">
        <v>200.48</v>
      </c>
    </row>
    <row r="892" spans="1:22" ht="14.25" x14ac:dyDescent="0.2">
      <c r="A892" s="179"/>
      <c r="B892" s="178"/>
      <c r="C892" s="178" t="s">
        <v>189</v>
      </c>
      <c r="D892" s="177"/>
      <c r="E892" s="174"/>
      <c r="F892" s="176">
        <v>1.47</v>
      </c>
      <c r="G892" s="175" t="s">
        <v>2669</v>
      </c>
      <c r="H892" s="174">
        <v>1</v>
      </c>
      <c r="I892" s="180">
        <v>3.86</v>
      </c>
      <c r="J892" s="174">
        <v>23.35</v>
      </c>
      <c r="K892" s="180">
        <v>90.13</v>
      </c>
    </row>
    <row r="893" spans="1:22" ht="14.25" x14ac:dyDescent="0.2">
      <c r="A893" s="179"/>
      <c r="B893" s="178"/>
      <c r="C893" s="178" t="s">
        <v>205</v>
      </c>
      <c r="D893" s="177"/>
      <c r="E893" s="174"/>
      <c r="F893" s="176">
        <v>2.62</v>
      </c>
      <c r="G893" s="175" t="s">
        <v>195</v>
      </c>
      <c r="H893" s="174">
        <v>1</v>
      </c>
      <c r="I893" s="173">
        <v>5.24</v>
      </c>
      <c r="J893" s="174">
        <v>2.5299999999999998</v>
      </c>
      <c r="K893" s="173">
        <v>13.26</v>
      </c>
    </row>
    <row r="894" spans="1:22" ht="14.25" x14ac:dyDescent="0.2">
      <c r="A894" s="179"/>
      <c r="B894" s="178"/>
      <c r="C894" s="178" t="s">
        <v>194</v>
      </c>
      <c r="D894" s="177" t="s">
        <v>187</v>
      </c>
      <c r="E894" s="174">
        <v>110</v>
      </c>
      <c r="F894" s="176"/>
      <c r="G894" s="175"/>
      <c r="H894" s="174"/>
      <c r="I894" s="173">
        <v>166.3</v>
      </c>
      <c r="J894" s="174">
        <v>88</v>
      </c>
      <c r="K894" s="173">
        <v>3106.44</v>
      </c>
    </row>
    <row r="895" spans="1:22" ht="14.25" x14ac:dyDescent="0.2">
      <c r="A895" s="179"/>
      <c r="B895" s="178"/>
      <c r="C895" s="178" t="s">
        <v>193</v>
      </c>
      <c r="D895" s="177" t="s">
        <v>187</v>
      </c>
      <c r="E895" s="174">
        <v>74</v>
      </c>
      <c r="F895" s="176"/>
      <c r="G895" s="175"/>
      <c r="H895" s="174"/>
      <c r="I895" s="173">
        <v>111.87</v>
      </c>
      <c r="J895" s="174">
        <v>41</v>
      </c>
      <c r="K895" s="173">
        <v>1447.32</v>
      </c>
    </row>
    <row r="896" spans="1:22" ht="14.25" x14ac:dyDescent="0.2">
      <c r="A896" s="179"/>
      <c r="B896" s="178"/>
      <c r="C896" s="178" t="s">
        <v>188</v>
      </c>
      <c r="D896" s="177" t="s">
        <v>187</v>
      </c>
      <c r="E896" s="174">
        <v>175</v>
      </c>
      <c r="F896" s="176"/>
      <c r="G896" s="175"/>
      <c r="H896" s="174"/>
      <c r="I896" s="173">
        <v>6.76</v>
      </c>
      <c r="J896" s="174">
        <v>157</v>
      </c>
      <c r="K896" s="173">
        <v>141.5</v>
      </c>
    </row>
    <row r="897" spans="1:22" ht="14.25" x14ac:dyDescent="0.2">
      <c r="A897" s="242"/>
      <c r="B897" s="241"/>
      <c r="C897" s="241" t="s">
        <v>192</v>
      </c>
      <c r="D897" s="240" t="s">
        <v>191</v>
      </c>
      <c r="E897" s="238">
        <v>4.96</v>
      </c>
      <c r="F897" s="253"/>
      <c r="G897" s="239" t="s">
        <v>2668</v>
      </c>
      <c r="H897" s="238">
        <v>1</v>
      </c>
      <c r="I897" s="237">
        <v>11.98</v>
      </c>
      <c r="J897" s="238"/>
      <c r="K897" s="237"/>
    </row>
    <row r="898" spans="1:22" ht="15" x14ac:dyDescent="0.25">
      <c r="A898" s="235"/>
      <c r="B898" s="235"/>
      <c r="C898" s="236" t="s">
        <v>183</v>
      </c>
      <c r="D898" s="235"/>
      <c r="E898" s="235"/>
      <c r="F898" s="235"/>
      <c r="G898" s="235"/>
      <c r="H898" s="436">
        <v>464.5</v>
      </c>
      <c r="I898" s="436"/>
      <c r="J898" s="436">
        <v>8439.0499999999993</v>
      </c>
      <c r="K898" s="436"/>
      <c r="O898" s="163">
        <f>I890+I891+I893+I894+I895+I896</f>
        <v>464.5</v>
      </c>
      <c r="P898" s="163">
        <f>K890+K891+K893+K894+K895+K896</f>
        <v>8439.0499999999993</v>
      </c>
    </row>
    <row r="900" spans="1:22" ht="28.5" x14ac:dyDescent="0.2">
      <c r="A900" s="179" t="s">
        <v>2687</v>
      </c>
      <c r="B900" s="178" t="s">
        <v>2681</v>
      </c>
      <c r="C900" s="178" t="s">
        <v>1063</v>
      </c>
      <c r="D900" s="177" t="s">
        <v>1963</v>
      </c>
      <c r="E900" s="174">
        <v>0.16</v>
      </c>
      <c r="F900" s="176"/>
      <c r="G900" s="175"/>
      <c r="H900" s="174"/>
      <c r="I900" s="173"/>
      <c r="J900" s="174"/>
      <c r="K900" s="173"/>
      <c r="Q900" s="160">
        <f>[8]Source!X478</f>
        <v>13.84</v>
      </c>
      <c r="R900" s="160">
        <f>[8]Source!X479</f>
        <v>258.49</v>
      </c>
      <c r="S900" s="160">
        <f>[8]Source!Y478</f>
        <v>9.31</v>
      </c>
      <c r="T900" s="160">
        <f>[8]Source!Y479</f>
        <v>120.43</v>
      </c>
      <c r="U900" s="160">
        <f>ROUND((175/100)*ROUND([8]Source!R478, 2), 2)</f>
        <v>0.05</v>
      </c>
      <c r="V900" s="160">
        <f>ROUND((157/100)*ROUND([8]Source!R479, 2), 2)</f>
        <v>1.1000000000000001</v>
      </c>
    </row>
    <row r="901" spans="1:22" ht="14.25" x14ac:dyDescent="0.2">
      <c r="A901" s="179"/>
      <c r="B901" s="178"/>
      <c r="C901" s="178" t="s">
        <v>197</v>
      </c>
      <c r="D901" s="177"/>
      <c r="E901" s="174"/>
      <c r="F901" s="176">
        <v>65.09</v>
      </c>
      <c r="G901" s="175" t="s">
        <v>2668</v>
      </c>
      <c r="H901" s="174">
        <v>1</v>
      </c>
      <c r="I901" s="173">
        <v>12.58</v>
      </c>
      <c r="J901" s="174">
        <v>23.35</v>
      </c>
      <c r="K901" s="173">
        <v>293.74</v>
      </c>
    </row>
    <row r="902" spans="1:22" ht="14.25" x14ac:dyDescent="0.2">
      <c r="A902" s="179"/>
      <c r="B902" s="178"/>
      <c r="C902" s="178" t="s">
        <v>184</v>
      </c>
      <c r="D902" s="177"/>
      <c r="E902" s="174"/>
      <c r="F902" s="176">
        <v>0.77</v>
      </c>
      <c r="G902" s="175" t="s">
        <v>2669</v>
      </c>
      <c r="H902" s="174">
        <v>1</v>
      </c>
      <c r="I902" s="173">
        <v>0.16</v>
      </c>
      <c r="J902" s="174">
        <v>8.8699999999999992</v>
      </c>
      <c r="K902" s="173">
        <v>1.42</v>
      </c>
    </row>
    <row r="903" spans="1:22" ht="14.25" x14ac:dyDescent="0.2">
      <c r="A903" s="179"/>
      <c r="B903" s="178"/>
      <c r="C903" s="178" t="s">
        <v>189</v>
      </c>
      <c r="D903" s="177"/>
      <c r="E903" s="174"/>
      <c r="F903" s="176">
        <v>0.14000000000000001</v>
      </c>
      <c r="G903" s="175" t="s">
        <v>2669</v>
      </c>
      <c r="H903" s="174">
        <v>1</v>
      </c>
      <c r="I903" s="180">
        <v>0.03</v>
      </c>
      <c r="J903" s="174">
        <v>23.35</v>
      </c>
      <c r="K903" s="180">
        <v>0.7</v>
      </c>
    </row>
    <row r="904" spans="1:22" ht="14.25" x14ac:dyDescent="0.2">
      <c r="A904" s="179"/>
      <c r="B904" s="178"/>
      <c r="C904" s="178" t="s">
        <v>205</v>
      </c>
      <c r="D904" s="177"/>
      <c r="E904" s="174"/>
      <c r="F904" s="176">
        <v>5.43</v>
      </c>
      <c r="G904" s="175" t="s">
        <v>195</v>
      </c>
      <c r="H904" s="174">
        <v>1</v>
      </c>
      <c r="I904" s="173">
        <v>0.87</v>
      </c>
      <c r="J904" s="174">
        <v>3.57</v>
      </c>
      <c r="K904" s="173">
        <v>3.11</v>
      </c>
    </row>
    <row r="905" spans="1:22" ht="14.25" x14ac:dyDescent="0.2">
      <c r="A905" s="179"/>
      <c r="B905" s="178"/>
      <c r="C905" s="178" t="s">
        <v>194</v>
      </c>
      <c r="D905" s="177" t="s">
        <v>187</v>
      </c>
      <c r="E905" s="174">
        <v>110</v>
      </c>
      <c r="F905" s="176"/>
      <c r="G905" s="175"/>
      <c r="H905" s="174"/>
      <c r="I905" s="173">
        <v>13.84</v>
      </c>
      <c r="J905" s="174">
        <v>88</v>
      </c>
      <c r="K905" s="173">
        <v>258.49</v>
      </c>
    </row>
    <row r="906" spans="1:22" ht="14.25" x14ac:dyDescent="0.2">
      <c r="A906" s="179"/>
      <c r="B906" s="178"/>
      <c r="C906" s="178" t="s">
        <v>193</v>
      </c>
      <c r="D906" s="177" t="s">
        <v>187</v>
      </c>
      <c r="E906" s="174">
        <v>74</v>
      </c>
      <c r="F906" s="176"/>
      <c r="G906" s="175"/>
      <c r="H906" s="174"/>
      <c r="I906" s="173">
        <v>9.31</v>
      </c>
      <c r="J906" s="174">
        <v>41</v>
      </c>
      <c r="K906" s="173">
        <v>120.43</v>
      </c>
    </row>
    <row r="907" spans="1:22" ht="14.25" x14ac:dyDescent="0.2">
      <c r="A907" s="179"/>
      <c r="B907" s="178"/>
      <c r="C907" s="178" t="s">
        <v>188</v>
      </c>
      <c r="D907" s="177" t="s">
        <v>187</v>
      </c>
      <c r="E907" s="174">
        <v>175</v>
      </c>
      <c r="F907" s="176"/>
      <c r="G907" s="175"/>
      <c r="H907" s="174"/>
      <c r="I907" s="173">
        <v>0.05</v>
      </c>
      <c r="J907" s="174">
        <v>157</v>
      </c>
      <c r="K907" s="173">
        <v>1.1000000000000001</v>
      </c>
    </row>
    <row r="908" spans="1:22" ht="14.25" x14ac:dyDescent="0.2">
      <c r="A908" s="242"/>
      <c r="B908" s="241"/>
      <c r="C908" s="241" t="s">
        <v>192</v>
      </c>
      <c r="D908" s="240" t="s">
        <v>191</v>
      </c>
      <c r="E908" s="238">
        <v>5.75</v>
      </c>
      <c r="F908" s="253"/>
      <c r="G908" s="239" t="s">
        <v>2668</v>
      </c>
      <c r="H908" s="238">
        <v>1</v>
      </c>
      <c r="I908" s="237">
        <v>1.1100000000000001</v>
      </c>
      <c r="J908" s="238"/>
      <c r="K908" s="237"/>
    </row>
    <row r="909" spans="1:22" ht="15" x14ac:dyDescent="0.25">
      <c r="A909" s="235"/>
      <c r="B909" s="235"/>
      <c r="C909" s="236" t="s">
        <v>183</v>
      </c>
      <c r="D909" s="235"/>
      <c r="E909" s="235"/>
      <c r="F909" s="235"/>
      <c r="G909" s="235"/>
      <c r="H909" s="436">
        <v>36.81</v>
      </c>
      <c r="I909" s="436"/>
      <c r="J909" s="436">
        <v>678.29</v>
      </c>
      <c r="K909" s="436"/>
      <c r="O909" s="163">
        <f>I901+I902+I904+I905+I906+I907</f>
        <v>36.81</v>
      </c>
      <c r="P909" s="163">
        <f>K901+K902+K904+K905+K906+K907</f>
        <v>678.29</v>
      </c>
    </row>
    <row r="911" spans="1:22" ht="28.5" x14ac:dyDescent="0.2">
      <c r="A911" s="179" t="s">
        <v>2688</v>
      </c>
      <c r="B911" s="178" t="s">
        <v>2675</v>
      </c>
      <c r="C911" s="178" t="s">
        <v>1026</v>
      </c>
      <c r="D911" s="177" t="s">
        <v>2676</v>
      </c>
      <c r="E911" s="174">
        <v>3</v>
      </c>
      <c r="F911" s="176"/>
      <c r="G911" s="175"/>
      <c r="H911" s="174"/>
      <c r="I911" s="173"/>
      <c r="J911" s="174"/>
      <c r="K911" s="173"/>
      <c r="Q911" s="160">
        <f>[8]Source!X480</f>
        <v>47.66</v>
      </c>
      <c r="R911" s="160">
        <f>[8]Source!X481</f>
        <v>890.35</v>
      </c>
      <c r="S911" s="160">
        <f>[8]Source!Y480</f>
        <v>32.06</v>
      </c>
      <c r="T911" s="160">
        <f>[8]Source!Y481</f>
        <v>414.82</v>
      </c>
      <c r="U911" s="160">
        <f>ROUND((175/100)*ROUND([8]Source!R480, 2), 2)</f>
        <v>1.24</v>
      </c>
      <c r="V911" s="160">
        <f>ROUND((157/100)*ROUND([8]Source!R481, 2), 2)</f>
        <v>26.03</v>
      </c>
    </row>
    <row r="912" spans="1:22" ht="14.25" x14ac:dyDescent="0.2">
      <c r="A912" s="179"/>
      <c r="B912" s="178"/>
      <c r="C912" s="178" t="s">
        <v>197</v>
      </c>
      <c r="D912" s="177"/>
      <c r="E912" s="174"/>
      <c r="F912" s="176">
        <v>11.96</v>
      </c>
      <c r="G912" s="175" t="s">
        <v>2668</v>
      </c>
      <c r="H912" s="174">
        <v>1</v>
      </c>
      <c r="I912" s="173">
        <v>43.33</v>
      </c>
      <c r="J912" s="174">
        <v>23.35</v>
      </c>
      <c r="K912" s="173">
        <v>1011.76</v>
      </c>
    </row>
    <row r="913" spans="1:22" ht="14.25" x14ac:dyDescent="0.2">
      <c r="A913" s="179"/>
      <c r="B913" s="178"/>
      <c r="C913" s="178" t="s">
        <v>184</v>
      </c>
      <c r="D913" s="177"/>
      <c r="E913" s="174"/>
      <c r="F913" s="176">
        <v>0.74</v>
      </c>
      <c r="G913" s="175" t="s">
        <v>2669</v>
      </c>
      <c r="H913" s="174">
        <v>1</v>
      </c>
      <c r="I913" s="173">
        <v>2.91</v>
      </c>
      <c r="J913" s="174">
        <v>9.73</v>
      </c>
      <c r="K913" s="173">
        <v>28.31</v>
      </c>
    </row>
    <row r="914" spans="1:22" ht="14.25" x14ac:dyDescent="0.2">
      <c r="A914" s="179"/>
      <c r="B914" s="178"/>
      <c r="C914" s="178" t="s">
        <v>189</v>
      </c>
      <c r="D914" s="177"/>
      <c r="E914" s="174"/>
      <c r="F914" s="176">
        <v>0.18</v>
      </c>
      <c r="G914" s="175" t="s">
        <v>2669</v>
      </c>
      <c r="H914" s="174">
        <v>1</v>
      </c>
      <c r="I914" s="180">
        <v>0.71</v>
      </c>
      <c r="J914" s="174">
        <v>23.35</v>
      </c>
      <c r="K914" s="180">
        <v>16.579999999999998</v>
      </c>
    </row>
    <row r="915" spans="1:22" ht="14.25" x14ac:dyDescent="0.2">
      <c r="A915" s="179"/>
      <c r="B915" s="178"/>
      <c r="C915" s="178" t="s">
        <v>205</v>
      </c>
      <c r="D915" s="177"/>
      <c r="E915" s="174"/>
      <c r="F915" s="176">
        <v>4.41</v>
      </c>
      <c r="G915" s="175" t="s">
        <v>195</v>
      </c>
      <c r="H915" s="174">
        <v>1</v>
      </c>
      <c r="I915" s="173">
        <v>13.23</v>
      </c>
      <c r="J915" s="174">
        <v>5.42</v>
      </c>
      <c r="K915" s="173">
        <v>71.709999999999994</v>
      </c>
    </row>
    <row r="916" spans="1:22" ht="14.25" x14ac:dyDescent="0.2">
      <c r="A916" s="179"/>
      <c r="B916" s="178"/>
      <c r="C916" s="178" t="s">
        <v>194</v>
      </c>
      <c r="D916" s="177" t="s">
        <v>187</v>
      </c>
      <c r="E916" s="174">
        <v>110</v>
      </c>
      <c r="F916" s="176"/>
      <c r="G916" s="175"/>
      <c r="H916" s="174"/>
      <c r="I916" s="173">
        <v>47.66</v>
      </c>
      <c r="J916" s="174">
        <v>88</v>
      </c>
      <c r="K916" s="173">
        <v>890.35</v>
      </c>
    </row>
    <row r="917" spans="1:22" ht="14.25" x14ac:dyDescent="0.2">
      <c r="A917" s="179"/>
      <c r="B917" s="178"/>
      <c r="C917" s="178" t="s">
        <v>193</v>
      </c>
      <c r="D917" s="177" t="s">
        <v>187</v>
      </c>
      <c r="E917" s="174">
        <v>74</v>
      </c>
      <c r="F917" s="176"/>
      <c r="G917" s="175"/>
      <c r="H917" s="174"/>
      <c r="I917" s="173">
        <v>32.06</v>
      </c>
      <c r="J917" s="174">
        <v>41</v>
      </c>
      <c r="K917" s="173">
        <v>414.82</v>
      </c>
    </row>
    <row r="918" spans="1:22" ht="14.25" x14ac:dyDescent="0.2">
      <c r="A918" s="179"/>
      <c r="B918" s="178"/>
      <c r="C918" s="178" t="s">
        <v>188</v>
      </c>
      <c r="D918" s="177" t="s">
        <v>187</v>
      </c>
      <c r="E918" s="174">
        <v>175</v>
      </c>
      <c r="F918" s="176"/>
      <c r="G918" s="175"/>
      <c r="H918" s="174"/>
      <c r="I918" s="173">
        <v>1.24</v>
      </c>
      <c r="J918" s="174">
        <v>157</v>
      </c>
      <c r="K918" s="173">
        <v>26.03</v>
      </c>
    </row>
    <row r="919" spans="1:22" ht="14.25" x14ac:dyDescent="0.2">
      <c r="A919" s="242"/>
      <c r="B919" s="241"/>
      <c r="C919" s="241" t="s">
        <v>192</v>
      </c>
      <c r="D919" s="240" t="s">
        <v>191</v>
      </c>
      <c r="E919" s="238">
        <v>1.03</v>
      </c>
      <c r="F919" s="253"/>
      <c r="G919" s="239" t="s">
        <v>2668</v>
      </c>
      <c r="H919" s="238">
        <v>1</v>
      </c>
      <c r="I919" s="237">
        <v>3.73</v>
      </c>
      <c r="J919" s="238"/>
      <c r="K919" s="237"/>
    </row>
    <row r="920" spans="1:22" ht="15" x14ac:dyDescent="0.25">
      <c r="A920" s="235"/>
      <c r="B920" s="235"/>
      <c r="C920" s="236" t="s">
        <v>183</v>
      </c>
      <c r="D920" s="235"/>
      <c r="E920" s="235"/>
      <c r="F920" s="235"/>
      <c r="G920" s="235"/>
      <c r="H920" s="436">
        <v>140.43</v>
      </c>
      <c r="I920" s="436"/>
      <c r="J920" s="436">
        <v>2442.98</v>
      </c>
      <c r="K920" s="436"/>
      <c r="O920" s="163">
        <f>I912+I913+I915+I916+I917+I918</f>
        <v>140.43</v>
      </c>
      <c r="P920" s="163">
        <f>K912+K913+K915+K916+K917+K918</f>
        <v>2442.98</v>
      </c>
    </row>
    <row r="922" spans="1:22" ht="57" x14ac:dyDescent="0.2">
      <c r="A922" s="179" t="s">
        <v>2689</v>
      </c>
      <c r="B922" s="178" t="s">
        <v>2680</v>
      </c>
      <c r="C922" s="178" t="s">
        <v>1052</v>
      </c>
      <c r="D922" s="177" t="s">
        <v>1903</v>
      </c>
      <c r="E922" s="174">
        <v>2</v>
      </c>
      <c r="F922" s="176"/>
      <c r="G922" s="175"/>
      <c r="H922" s="174"/>
      <c r="I922" s="173"/>
      <c r="J922" s="174"/>
      <c r="K922" s="173"/>
      <c r="Q922" s="160">
        <f>[8]Source!X484</f>
        <v>33.21</v>
      </c>
      <c r="R922" s="160">
        <f>[8]Source!X485</f>
        <v>620.35</v>
      </c>
      <c r="S922" s="160">
        <f>[8]Source!Y484</f>
        <v>22.34</v>
      </c>
      <c r="T922" s="160">
        <f>[8]Source!Y485</f>
        <v>289.02999999999997</v>
      </c>
      <c r="U922" s="160">
        <f>ROUND((175/100)*ROUND([8]Source!R484, 2), 2)</f>
        <v>1.61</v>
      </c>
      <c r="V922" s="160">
        <f>ROUND((157/100)*ROUND([8]Source!R485, 2), 2)</f>
        <v>33.72</v>
      </c>
    </row>
    <row r="923" spans="1:22" ht="14.25" x14ac:dyDescent="0.2">
      <c r="A923" s="179"/>
      <c r="B923" s="178"/>
      <c r="C923" s="178" t="s">
        <v>197</v>
      </c>
      <c r="D923" s="177"/>
      <c r="E923" s="174"/>
      <c r="F923" s="176">
        <v>12.5</v>
      </c>
      <c r="G923" s="175" t="s">
        <v>2668</v>
      </c>
      <c r="H923" s="174">
        <v>1</v>
      </c>
      <c r="I923" s="173">
        <v>30.19</v>
      </c>
      <c r="J923" s="174">
        <v>23.35</v>
      </c>
      <c r="K923" s="173">
        <v>704.94</v>
      </c>
    </row>
    <row r="924" spans="1:22" ht="14.25" x14ac:dyDescent="0.2">
      <c r="A924" s="179"/>
      <c r="B924" s="178"/>
      <c r="C924" s="178" t="s">
        <v>184</v>
      </c>
      <c r="D924" s="177"/>
      <c r="E924" s="174"/>
      <c r="F924" s="176">
        <v>1.49</v>
      </c>
      <c r="G924" s="175" t="s">
        <v>2669</v>
      </c>
      <c r="H924" s="174">
        <v>1</v>
      </c>
      <c r="I924" s="173">
        <v>3.91</v>
      </c>
      <c r="J924" s="174">
        <v>9.58</v>
      </c>
      <c r="K924" s="173">
        <v>37.46</v>
      </c>
    </row>
    <row r="925" spans="1:22" ht="14.25" x14ac:dyDescent="0.2">
      <c r="A925" s="179"/>
      <c r="B925" s="178"/>
      <c r="C925" s="178" t="s">
        <v>189</v>
      </c>
      <c r="D925" s="177"/>
      <c r="E925" s="174"/>
      <c r="F925" s="176">
        <v>0.35</v>
      </c>
      <c r="G925" s="175" t="s">
        <v>2669</v>
      </c>
      <c r="H925" s="174">
        <v>1</v>
      </c>
      <c r="I925" s="180">
        <v>0.92</v>
      </c>
      <c r="J925" s="174">
        <v>23.35</v>
      </c>
      <c r="K925" s="180">
        <v>21.48</v>
      </c>
    </row>
    <row r="926" spans="1:22" ht="14.25" x14ac:dyDescent="0.2">
      <c r="A926" s="179"/>
      <c r="B926" s="178"/>
      <c r="C926" s="178" t="s">
        <v>205</v>
      </c>
      <c r="D926" s="177"/>
      <c r="E926" s="174"/>
      <c r="F926" s="176">
        <v>6.23</v>
      </c>
      <c r="G926" s="175" t="s">
        <v>195</v>
      </c>
      <c r="H926" s="174">
        <v>1</v>
      </c>
      <c r="I926" s="173">
        <v>12.46</v>
      </c>
      <c r="J926" s="174">
        <v>5.42</v>
      </c>
      <c r="K926" s="173">
        <v>67.53</v>
      </c>
    </row>
    <row r="927" spans="1:22" ht="14.25" x14ac:dyDescent="0.2">
      <c r="A927" s="179"/>
      <c r="B927" s="178"/>
      <c r="C927" s="178" t="s">
        <v>194</v>
      </c>
      <c r="D927" s="177" t="s">
        <v>187</v>
      </c>
      <c r="E927" s="174">
        <v>110</v>
      </c>
      <c r="F927" s="176"/>
      <c r="G927" s="175"/>
      <c r="H927" s="174"/>
      <c r="I927" s="173">
        <v>33.21</v>
      </c>
      <c r="J927" s="174">
        <v>88</v>
      </c>
      <c r="K927" s="173">
        <v>620.35</v>
      </c>
    </row>
    <row r="928" spans="1:22" ht="14.25" x14ac:dyDescent="0.2">
      <c r="A928" s="179"/>
      <c r="B928" s="178"/>
      <c r="C928" s="178" t="s">
        <v>193</v>
      </c>
      <c r="D928" s="177" t="s">
        <v>187</v>
      </c>
      <c r="E928" s="174">
        <v>74</v>
      </c>
      <c r="F928" s="176"/>
      <c r="G928" s="175"/>
      <c r="H928" s="174"/>
      <c r="I928" s="173">
        <v>22.34</v>
      </c>
      <c r="J928" s="174">
        <v>41</v>
      </c>
      <c r="K928" s="173">
        <v>289.02999999999997</v>
      </c>
    </row>
    <row r="929" spans="1:22" ht="14.25" x14ac:dyDescent="0.2">
      <c r="A929" s="179"/>
      <c r="B929" s="178"/>
      <c r="C929" s="178" t="s">
        <v>188</v>
      </c>
      <c r="D929" s="177" t="s">
        <v>187</v>
      </c>
      <c r="E929" s="174">
        <v>175</v>
      </c>
      <c r="F929" s="176"/>
      <c r="G929" s="175"/>
      <c r="H929" s="174"/>
      <c r="I929" s="173">
        <v>1.61</v>
      </c>
      <c r="J929" s="174">
        <v>157</v>
      </c>
      <c r="K929" s="173">
        <v>33.72</v>
      </c>
    </row>
    <row r="930" spans="1:22" ht="14.25" x14ac:dyDescent="0.2">
      <c r="A930" s="242"/>
      <c r="B930" s="241"/>
      <c r="C930" s="241" t="s">
        <v>192</v>
      </c>
      <c r="D930" s="240" t="s">
        <v>191</v>
      </c>
      <c r="E930" s="238">
        <v>1.0900000000000001</v>
      </c>
      <c r="F930" s="253"/>
      <c r="G930" s="239" t="s">
        <v>2668</v>
      </c>
      <c r="H930" s="238">
        <v>1</v>
      </c>
      <c r="I930" s="237">
        <v>2.63</v>
      </c>
      <c r="J930" s="238"/>
      <c r="K930" s="237"/>
    </row>
    <row r="931" spans="1:22" ht="15" x14ac:dyDescent="0.25">
      <c r="A931" s="235"/>
      <c r="B931" s="235"/>
      <c r="C931" s="236" t="s">
        <v>183</v>
      </c>
      <c r="D931" s="235"/>
      <c r="E931" s="235"/>
      <c r="F931" s="235"/>
      <c r="G931" s="235"/>
      <c r="H931" s="436">
        <v>103.72</v>
      </c>
      <c r="I931" s="436"/>
      <c r="J931" s="436">
        <v>1753.03</v>
      </c>
      <c r="K931" s="436"/>
      <c r="O931" s="163">
        <f>I923+I924+I926+I927+I928+I929</f>
        <v>103.72</v>
      </c>
      <c r="P931" s="163">
        <f>K923+K924+K926+K927+K928+K929</f>
        <v>1753.03</v>
      </c>
    </row>
    <row r="933" spans="1:22" ht="81" x14ac:dyDescent="0.2">
      <c r="A933" s="250" t="s">
        <v>2690</v>
      </c>
      <c r="B933" s="249" t="s">
        <v>2670</v>
      </c>
      <c r="C933" s="249" t="s">
        <v>1064</v>
      </c>
      <c r="D933" s="248" t="s">
        <v>1913</v>
      </c>
      <c r="E933" s="246">
        <v>1</v>
      </c>
      <c r="F933" s="254">
        <v>27556.75</v>
      </c>
      <c r="G933" s="247" t="s">
        <v>195</v>
      </c>
      <c r="H933" s="246">
        <v>1</v>
      </c>
      <c r="I933" s="245">
        <v>27556.75</v>
      </c>
      <c r="J933" s="246">
        <v>4.4000000000000004</v>
      </c>
      <c r="K933" s="245">
        <v>121249.7</v>
      </c>
      <c r="Q933" s="160">
        <f>[8]Source!X486</f>
        <v>0</v>
      </c>
      <c r="R933" s="160">
        <f>[8]Source!X487</f>
        <v>0</v>
      </c>
      <c r="S933" s="160">
        <f>[8]Source!Y486</f>
        <v>0</v>
      </c>
      <c r="T933" s="160">
        <f>[8]Source!Y487</f>
        <v>0</v>
      </c>
      <c r="U933" s="160">
        <f>ROUND((175/100)*ROUND([8]Source!R486, 2), 2)</f>
        <v>0</v>
      </c>
      <c r="V933" s="160">
        <f>ROUND((157/100)*ROUND([8]Source!R487, 2), 2)</f>
        <v>0</v>
      </c>
    </row>
    <row r="934" spans="1:22" ht="15" x14ac:dyDescent="0.25">
      <c r="A934" s="243"/>
      <c r="B934" s="243"/>
      <c r="C934" s="244" t="s">
        <v>183</v>
      </c>
      <c r="D934" s="243"/>
      <c r="E934" s="243"/>
      <c r="F934" s="243"/>
      <c r="G934" s="243"/>
      <c r="H934" s="437">
        <v>27556.75</v>
      </c>
      <c r="I934" s="437"/>
      <c r="J934" s="437">
        <v>121249.7</v>
      </c>
      <c r="K934" s="437"/>
      <c r="O934" s="163">
        <f>I933</f>
        <v>27556.75</v>
      </c>
      <c r="P934" s="163">
        <f>K933</f>
        <v>121249.7</v>
      </c>
    </row>
    <row r="936" spans="1:22" ht="28.5" x14ac:dyDescent="0.2">
      <c r="A936" s="179" t="s">
        <v>2691</v>
      </c>
      <c r="B936" s="178" t="s">
        <v>2673</v>
      </c>
      <c r="C936" s="178" t="s">
        <v>1046</v>
      </c>
      <c r="D936" s="177" t="s">
        <v>2674</v>
      </c>
      <c r="E936" s="174">
        <v>1</v>
      </c>
      <c r="F936" s="176"/>
      <c r="G936" s="175"/>
      <c r="H936" s="174"/>
      <c r="I936" s="173"/>
      <c r="J936" s="174"/>
      <c r="K936" s="173"/>
      <c r="Q936" s="160">
        <f>[8]Source!X489</f>
        <v>83.15</v>
      </c>
      <c r="R936" s="160">
        <f>[8]Source!X490</f>
        <v>1553.23</v>
      </c>
      <c r="S936" s="160">
        <f>[8]Source!Y489</f>
        <v>55.94</v>
      </c>
      <c r="T936" s="160">
        <f>[8]Source!Y490</f>
        <v>723.66</v>
      </c>
      <c r="U936" s="160">
        <f>ROUND((175/100)*ROUND([8]Source!R489, 2), 2)</f>
        <v>3.38</v>
      </c>
      <c r="V936" s="160">
        <f>ROUND((157/100)*ROUND([8]Source!R490, 2), 2)</f>
        <v>70.760000000000005</v>
      </c>
    </row>
    <row r="937" spans="1:22" ht="14.25" x14ac:dyDescent="0.2">
      <c r="A937" s="179"/>
      <c r="B937" s="178"/>
      <c r="C937" s="178" t="s">
        <v>197</v>
      </c>
      <c r="D937" s="177"/>
      <c r="E937" s="174"/>
      <c r="F937" s="176">
        <v>62.6</v>
      </c>
      <c r="G937" s="175" t="s">
        <v>2668</v>
      </c>
      <c r="H937" s="174">
        <v>1</v>
      </c>
      <c r="I937" s="173">
        <v>75.59</v>
      </c>
      <c r="J937" s="174">
        <v>23.35</v>
      </c>
      <c r="K937" s="173">
        <v>1765.03</v>
      </c>
    </row>
    <row r="938" spans="1:22" ht="14.25" x14ac:dyDescent="0.2">
      <c r="A938" s="179"/>
      <c r="B938" s="178"/>
      <c r="C938" s="178" t="s">
        <v>184</v>
      </c>
      <c r="D938" s="177"/>
      <c r="E938" s="174"/>
      <c r="F938" s="176">
        <v>8.82</v>
      </c>
      <c r="G938" s="175" t="s">
        <v>2669</v>
      </c>
      <c r="H938" s="174">
        <v>1</v>
      </c>
      <c r="I938" s="173">
        <v>11.58</v>
      </c>
      <c r="J938" s="174">
        <v>8.66</v>
      </c>
      <c r="K938" s="173">
        <v>100.28</v>
      </c>
    </row>
    <row r="939" spans="1:22" ht="14.25" x14ac:dyDescent="0.2">
      <c r="A939" s="179"/>
      <c r="B939" s="178"/>
      <c r="C939" s="178" t="s">
        <v>189</v>
      </c>
      <c r="D939" s="177"/>
      <c r="E939" s="174"/>
      <c r="F939" s="176">
        <v>1.47</v>
      </c>
      <c r="G939" s="175" t="s">
        <v>2669</v>
      </c>
      <c r="H939" s="174">
        <v>1</v>
      </c>
      <c r="I939" s="180">
        <v>1.93</v>
      </c>
      <c r="J939" s="174">
        <v>23.35</v>
      </c>
      <c r="K939" s="180">
        <v>45.07</v>
      </c>
    </row>
    <row r="940" spans="1:22" ht="14.25" x14ac:dyDescent="0.2">
      <c r="A940" s="179"/>
      <c r="B940" s="178"/>
      <c r="C940" s="178" t="s">
        <v>205</v>
      </c>
      <c r="D940" s="177"/>
      <c r="E940" s="174"/>
      <c r="F940" s="176">
        <v>2.62</v>
      </c>
      <c r="G940" s="175" t="s">
        <v>195</v>
      </c>
      <c r="H940" s="174">
        <v>1</v>
      </c>
      <c r="I940" s="173">
        <v>2.62</v>
      </c>
      <c r="J940" s="174">
        <v>2.5299999999999998</v>
      </c>
      <c r="K940" s="173">
        <v>6.63</v>
      </c>
    </row>
    <row r="941" spans="1:22" ht="14.25" x14ac:dyDescent="0.2">
      <c r="A941" s="179"/>
      <c r="B941" s="178"/>
      <c r="C941" s="178" t="s">
        <v>194</v>
      </c>
      <c r="D941" s="177" t="s">
        <v>187</v>
      </c>
      <c r="E941" s="174">
        <v>110</v>
      </c>
      <c r="F941" s="176"/>
      <c r="G941" s="175"/>
      <c r="H941" s="174"/>
      <c r="I941" s="173">
        <v>83.15</v>
      </c>
      <c r="J941" s="174">
        <v>88</v>
      </c>
      <c r="K941" s="173">
        <v>1553.23</v>
      </c>
    </row>
    <row r="942" spans="1:22" ht="14.25" x14ac:dyDescent="0.2">
      <c r="A942" s="179"/>
      <c r="B942" s="178"/>
      <c r="C942" s="178" t="s">
        <v>193</v>
      </c>
      <c r="D942" s="177" t="s">
        <v>187</v>
      </c>
      <c r="E942" s="174">
        <v>74</v>
      </c>
      <c r="F942" s="176"/>
      <c r="G942" s="175"/>
      <c r="H942" s="174"/>
      <c r="I942" s="173">
        <v>55.94</v>
      </c>
      <c r="J942" s="174">
        <v>41</v>
      </c>
      <c r="K942" s="173">
        <v>723.66</v>
      </c>
    </row>
    <row r="943" spans="1:22" ht="14.25" x14ac:dyDescent="0.2">
      <c r="A943" s="179"/>
      <c r="B943" s="178"/>
      <c r="C943" s="178" t="s">
        <v>188</v>
      </c>
      <c r="D943" s="177" t="s">
        <v>187</v>
      </c>
      <c r="E943" s="174">
        <v>175</v>
      </c>
      <c r="F943" s="176"/>
      <c r="G943" s="175"/>
      <c r="H943" s="174"/>
      <c r="I943" s="173">
        <v>3.38</v>
      </c>
      <c r="J943" s="174">
        <v>157</v>
      </c>
      <c r="K943" s="173">
        <v>70.760000000000005</v>
      </c>
    </row>
    <row r="944" spans="1:22" ht="14.25" x14ac:dyDescent="0.2">
      <c r="A944" s="242"/>
      <c r="B944" s="241"/>
      <c r="C944" s="241" t="s">
        <v>192</v>
      </c>
      <c r="D944" s="240" t="s">
        <v>191</v>
      </c>
      <c r="E944" s="238">
        <v>4.96</v>
      </c>
      <c r="F944" s="253"/>
      <c r="G944" s="239" t="s">
        <v>2668</v>
      </c>
      <c r="H944" s="238">
        <v>1</v>
      </c>
      <c r="I944" s="237">
        <v>5.99</v>
      </c>
      <c r="J944" s="238"/>
      <c r="K944" s="237"/>
    </row>
    <row r="945" spans="1:22" ht="15" x14ac:dyDescent="0.25">
      <c r="A945" s="235"/>
      <c r="B945" s="235"/>
      <c r="C945" s="236" t="s">
        <v>183</v>
      </c>
      <c r="D945" s="235"/>
      <c r="E945" s="235"/>
      <c r="F945" s="235"/>
      <c r="G945" s="235"/>
      <c r="H945" s="436">
        <v>232.26</v>
      </c>
      <c r="I945" s="436"/>
      <c r="J945" s="436">
        <v>4219.59</v>
      </c>
      <c r="K945" s="436"/>
      <c r="O945" s="163">
        <f>I937+I938+I940+I941+I942+I943</f>
        <v>232.26</v>
      </c>
      <c r="P945" s="163">
        <f>K937+K938+K940+K941+K942+K943</f>
        <v>4219.59</v>
      </c>
    </row>
    <row r="947" spans="1:22" ht="28.5" x14ac:dyDescent="0.2">
      <c r="A947" s="179" t="s">
        <v>2692</v>
      </c>
      <c r="B947" s="178" t="s">
        <v>2681</v>
      </c>
      <c r="C947" s="178" t="s">
        <v>1063</v>
      </c>
      <c r="D947" s="177" t="s">
        <v>1963</v>
      </c>
      <c r="E947" s="174">
        <v>0.08</v>
      </c>
      <c r="F947" s="176"/>
      <c r="G947" s="175"/>
      <c r="H947" s="174"/>
      <c r="I947" s="173"/>
      <c r="J947" s="174"/>
      <c r="K947" s="173"/>
      <c r="Q947" s="160">
        <f>[8]Source!X491</f>
        <v>6.92</v>
      </c>
      <c r="R947" s="160">
        <f>[8]Source!X492</f>
        <v>129.25</v>
      </c>
      <c r="S947" s="160">
        <f>[8]Source!Y491</f>
        <v>4.6500000000000004</v>
      </c>
      <c r="T947" s="160">
        <f>[8]Source!Y492</f>
        <v>60.22</v>
      </c>
      <c r="U947" s="160">
        <f>ROUND((175/100)*ROUND([8]Source!R491, 2), 2)</f>
        <v>0.02</v>
      </c>
      <c r="V947" s="160">
        <f>ROUND((157/100)*ROUND([8]Source!R492, 2), 2)</f>
        <v>0.36</v>
      </c>
    </row>
    <row r="948" spans="1:22" ht="14.25" x14ac:dyDescent="0.2">
      <c r="A948" s="179"/>
      <c r="B948" s="178"/>
      <c r="C948" s="178" t="s">
        <v>197</v>
      </c>
      <c r="D948" s="177"/>
      <c r="E948" s="174"/>
      <c r="F948" s="176">
        <v>65.09</v>
      </c>
      <c r="G948" s="175" t="s">
        <v>2668</v>
      </c>
      <c r="H948" s="174">
        <v>1</v>
      </c>
      <c r="I948" s="173">
        <v>6.29</v>
      </c>
      <c r="J948" s="174">
        <v>23.35</v>
      </c>
      <c r="K948" s="173">
        <v>146.87</v>
      </c>
    </row>
    <row r="949" spans="1:22" ht="14.25" x14ac:dyDescent="0.2">
      <c r="A949" s="179"/>
      <c r="B949" s="178"/>
      <c r="C949" s="178" t="s">
        <v>184</v>
      </c>
      <c r="D949" s="177"/>
      <c r="E949" s="174"/>
      <c r="F949" s="176">
        <v>0.77</v>
      </c>
      <c r="G949" s="175" t="s">
        <v>2669</v>
      </c>
      <c r="H949" s="174">
        <v>1</v>
      </c>
      <c r="I949" s="173">
        <v>0.08</v>
      </c>
      <c r="J949" s="174">
        <v>8.8699999999999992</v>
      </c>
      <c r="K949" s="173">
        <v>0.71</v>
      </c>
    </row>
    <row r="950" spans="1:22" ht="14.25" x14ac:dyDescent="0.2">
      <c r="A950" s="179"/>
      <c r="B950" s="178"/>
      <c r="C950" s="178" t="s">
        <v>189</v>
      </c>
      <c r="D950" s="177"/>
      <c r="E950" s="174"/>
      <c r="F950" s="176">
        <v>0.14000000000000001</v>
      </c>
      <c r="G950" s="175" t="s">
        <v>2669</v>
      </c>
      <c r="H950" s="174">
        <v>1</v>
      </c>
      <c r="I950" s="180">
        <v>0.01</v>
      </c>
      <c r="J950" s="174">
        <v>23.35</v>
      </c>
      <c r="K950" s="180">
        <v>0.23</v>
      </c>
    </row>
    <row r="951" spans="1:22" ht="14.25" x14ac:dyDescent="0.2">
      <c r="A951" s="179"/>
      <c r="B951" s="178"/>
      <c r="C951" s="178" t="s">
        <v>205</v>
      </c>
      <c r="D951" s="177"/>
      <c r="E951" s="174"/>
      <c r="F951" s="176">
        <v>5.43</v>
      </c>
      <c r="G951" s="175" t="s">
        <v>195</v>
      </c>
      <c r="H951" s="174">
        <v>1</v>
      </c>
      <c r="I951" s="173">
        <v>0.43</v>
      </c>
      <c r="J951" s="174">
        <v>3.57</v>
      </c>
      <c r="K951" s="173">
        <v>1.54</v>
      </c>
    </row>
    <row r="952" spans="1:22" ht="14.25" x14ac:dyDescent="0.2">
      <c r="A952" s="179"/>
      <c r="B952" s="178"/>
      <c r="C952" s="178" t="s">
        <v>194</v>
      </c>
      <c r="D952" s="177" t="s">
        <v>187</v>
      </c>
      <c r="E952" s="174">
        <v>110</v>
      </c>
      <c r="F952" s="176"/>
      <c r="G952" s="175"/>
      <c r="H952" s="174"/>
      <c r="I952" s="173">
        <v>6.92</v>
      </c>
      <c r="J952" s="174">
        <v>88</v>
      </c>
      <c r="K952" s="173">
        <v>129.25</v>
      </c>
    </row>
    <row r="953" spans="1:22" ht="14.25" x14ac:dyDescent="0.2">
      <c r="A953" s="179"/>
      <c r="B953" s="178"/>
      <c r="C953" s="178" t="s">
        <v>193</v>
      </c>
      <c r="D953" s="177" t="s">
        <v>187</v>
      </c>
      <c r="E953" s="174">
        <v>74</v>
      </c>
      <c r="F953" s="176"/>
      <c r="G953" s="175"/>
      <c r="H953" s="174"/>
      <c r="I953" s="173">
        <v>4.6500000000000004</v>
      </c>
      <c r="J953" s="174">
        <v>41</v>
      </c>
      <c r="K953" s="173">
        <v>60.22</v>
      </c>
    </row>
    <row r="954" spans="1:22" ht="14.25" x14ac:dyDescent="0.2">
      <c r="A954" s="179"/>
      <c r="B954" s="178"/>
      <c r="C954" s="178" t="s">
        <v>188</v>
      </c>
      <c r="D954" s="177" t="s">
        <v>187</v>
      </c>
      <c r="E954" s="174">
        <v>175</v>
      </c>
      <c r="F954" s="176"/>
      <c r="G954" s="175"/>
      <c r="H954" s="174"/>
      <c r="I954" s="173">
        <v>0.02</v>
      </c>
      <c r="J954" s="174">
        <v>157</v>
      </c>
      <c r="K954" s="173">
        <v>0.36</v>
      </c>
    </row>
    <row r="955" spans="1:22" ht="14.25" x14ac:dyDescent="0.2">
      <c r="A955" s="242"/>
      <c r="B955" s="241"/>
      <c r="C955" s="241" t="s">
        <v>192</v>
      </c>
      <c r="D955" s="240" t="s">
        <v>191</v>
      </c>
      <c r="E955" s="238">
        <v>5.75</v>
      </c>
      <c r="F955" s="253"/>
      <c r="G955" s="239" t="s">
        <v>2668</v>
      </c>
      <c r="H955" s="238">
        <v>1</v>
      </c>
      <c r="I955" s="237">
        <v>0.56000000000000005</v>
      </c>
      <c r="J955" s="238"/>
      <c r="K955" s="237"/>
    </row>
    <row r="956" spans="1:22" ht="15" x14ac:dyDescent="0.25">
      <c r="A956" s="235"/>
      <c r="B956" s="235"/>
      <c r="C956" s="236" t="s">
        <v>183</v>
      </c>
      <c r="D956" s="235"/>
      <c r="E956" s="235"/>
      <c r="F956" s="235"/>
      <c r="G956" s="235"/>
      <c r="H956" s="436">
        <v>18.39</v>
      </c>
      <c r="I956" s="436"/>
      <c r="J956" s="436">
        <v>338.95</v>
      </c>
      <c r="K956" s="436"/>
      <c r="O956" s="163">
        <f>I948+I949+I951+I952+I953+I954</f>
        <v>18.39</v>
      </c>
      <c r="P956" s="163">
        <f>K948+K949+K951+K952+K953+K954</f>
        <v>338.95</v>
      </c>
    </row>
    <row r="958" spans="1:22" ht="28.5" x14ac:dyDescent="0.2">
      <c r="A958" s="179" t="s">
        <v>2693</v>
      </c>
      <c r="B958" s="178" t="s">
        <v>2675</v>
      </c>
      <c r="C958" s="178" t="s">
        <v>1026</v>
      </c>
      <c r="D958" s="177" t="s">
        <v>2676</v>
      </c>
      <c r="E958" s="174">
        <v>1</v>
      </c>
      <c r="F958" s="176"/>
      <c r="G958" s="175"/>
      <c r="H958" s="174"/>
      <c r="I958" s="173"/>
      <c r="J958" s="174"/>
      <c r="K958" s="173"/>
      <c r="Q958" s="160">
        <f>[8]Source!X493</f>
        <v>15.88</v>
      </c>
      <c r="R958" s="160">
        <f>[8]Source!X494</f>
        <v>296.70999999999998</v>
      </c>
      <c r="S958" s="160">
        <f>[8]Source!Y493</f>
        <v>10.69</v>
      </c>
      <c r="T958" s="160">
        <f>[8]Source!Y494</f>
        <v>138.24</v>
      </c>
      <c r="U958" s="160">
        <f>ROUND((175/100)*ROUND([8]Source!R493, 2), 2)</f>
        <v>0.42</v>
      </c>
      <c r="V958" s="160">
        <f>ROUND((157/100)*ROUND([8]Source!R494, 2), 2)</f>
        <v>8.7899999999999991</v>
      </c>
    </row>
    <row r="959" spans="1:22" ht="14.25" x14ac:dyDescent="0.2">
      <c r="A959" s="179"/>
      <c r="B959" s="178"/>
      <c r="C959" s="178" t="s">
        <v>197</v>
      </c>
      <c r="D959" s="177"/>
      <c r="E959" s="174"/>
      <c r="F959" s="176">
        <v>11.96</v>
      </c>
      <c r="G959" s="175" t="s">
        <v>2668</v>
      </c>
      <c r="H959" s="174">
        <v>1</v>
      </c>
      <c r="I959" s="173">
        <v>14.44</v>
      </c>
      <c r="J959" s="174">
        <v>23.35</v>
      </c>
      <c r="K959" s="173">
        <v>337.17</v>
      </c>
    </row>
    <row r="960" spans="1:22" ht="14.25" x14ac:dyDescent="0.2">
      <c r="A960" s="179"/>
      <c r="B960" s="178"/>
      <c r="C960" s="178" t="s">
        <v>184</v>
      </c>
      <c r="D960" s="177"/>
      <c r="E960" s="174"/>
      <c r="F960" s="176">
        <v>0.74</v>
      </c>
      <c r="G960" s="175" t="s">
        <v>2669</v>
      </c>
      <c r="H960" s="174">
        <v>1</v>
      </c>
      <c r="I960" s="173">
        <v>0.97</v>
      </c>
      <c r="J960" s="174">
        <v>9.73</v>
      </c>
      <c r="K960" s="173">
        <v>9.44</v>
      </c>
    </row>
    <row r="961" spans="1:22" ht="14.25" x14ac:dyDescent="0.2">
      <c r="A961" s="179"/>
      <c r="B961" s="178"/>
      <c r="C961" s="178" t="s">
        <v>189</v>
      </c>
      <c r="D961" s="177"/>
      <c r="E961" s="174"/>
      <c r="F961" s="176">
        <v>0.18</v>
      </c>
      <c r="G961" s="175" t="s">
        <v>2669</v>
      </c>
      <c r="H961" s="174">
        <v>1</v>
      </c>
      <c r="I961" s="180">
        <v>0.24</v>
      </c>
      <c r="J961" s="174">
        <v>23.35</v>
      </c>
      <c r="K961" s="180">
        <v>5.6</v>
      </c>
    </row>
    <row r="962" spans="1:22" ht="14.25" x14ac:dyDescent="0.2">
      <c r="A962" s="179"/>
      <c r="B962" s="178"/>
      <c r="C962" s="178" t="s">
        <v>205</v>
      </c>
      <c r="D962" s="177"/>
      <c r="E962" s="174"/>
      <c r="F962" s="176">
        <v>4.41</v>
      </c>
      <c r="G962" s="175" t="s">
        <v>195</v>
      </c>
      <c r="H962" s="174">
        <v>1</v>
      </c>
      <c r="I962" s="173">
        <v>4.41</v>
      </c>
      <c r="J962" s="174">
        <v>5.42</v>
      </c>
      <c r="K962" s="173">
        <v>23.9</v>
      </c>
    </row>
    <row r="963" spans="1:22" ht="14.25" x14ac:dyDescent="0.2">
      <c r="A963" s="179"/>
      <c r="B963" s="178"/>
      <c r="C963" s="178" t="s">
        <v>194</v>
      </c>
      <c r="D963" s="177" t="s">
        <v>187</v>
      </c>
      <c r="E963" s="174">
        <v>110</v>
      </c>
      <c r="F963" s="176"/>
      <c r="G963" s="175"/>
      <c r="H963" s="174"/>
      <c r="I963" s="173">
        <v>15.88</v>
      </c>
      <c r="J963" s="174">
        <v>88</v>
      </c>
      <c r="K963" s="173">
        <v>296.70999999999998</v>
      </c>
    </row>
    <row r="964" spans="1:22" ht="14.25" x14ac:dyDescent="0.2">
      <c r="A964" s="179"/>
      <c r="B964" s="178"/>
      <c r="C964" s="178" t="s">
        <v>193</v>
      </c>
      <c r="D964" s="177" t="s">
        <v>187</v>
      </c>
      <c r="E964" s="174">
        <v>74</v>
      </c>
      <c r="F964" s="176"/>
      <c r="G964" s="175"/>
      <c r="H964" s="174"/>
      <c r="I964" s="173">
        <v>10.69</v>
      </c>
      <c r="J964" s="174">
        <v>41</v>
      </c>
      <c r="K964" s="173">
        <v>138.24</v>
      </c>
    </row>
    <row r="965" spans="1:22" ht="14.25" x14ac:dyDescent="0.2">
      <c r="A965" s="179"/>
      <c r="B965" s="178"/>
      <c r="C965" s="178" t="s">
        <v>188</v>
      </c>
      <c r="D965" s="177" t="s">
        <v>187</v>
      </c>
      <c r="E965" s="174">
        <v>175</v>
      </c>
      <c r="F965" s="176"/>
      <c r="G965" s="175"/>
      <c r="H965" s="174"/>
      <c r="I965" s="173">
        <v>0.42</v>
      </c>
      <c r="J965" s="174">
        <v>157</v>
      </c>
      <c r="K965" s="173">
        <v>8.7899999999999991</v>
      </c>
    </row>
    <row r="966" spans="1:22" ht="14.25" x14ac:dyDescent="0.2">
      <c r="A966" s="242"/>
      <c r="B966" s="241"/>
      <c r="C966" s="241" t="s">
        <v>192</v>
      </c>
      <c r="D966" s="240" t="s">
        <v>191</v>
      </c>
      <c r="E966" s="238">
        <v>1.03</v>
      </c>
      <c r="F966" s="253"/>
      <c r="G966" s="239" t="s">
        <v>2668</v>
      </c>
      <c r="H966" s="238">
        <v>1</v>
      </c>
      <c r="I966" s="237">
        <v>1.24</v>
      </c>
      <c r="J966" s="238"/>
      <c r="K966" s="237"/>
    </row>
    <row r="967" spans="1:22" ht="15" x14ac:dyDescent="0.25">
      <c r="A967" s="235"/>
      <c r="B967" s="235"/>
      <c r="C967" s="236" t="s">
        <v>183</v>
      </c>
      <c r="D967" s="235"/>
      <c r="E967" s="235"/>
      <c r="F967" s="235"/>
      <c r="G967" s="235"/>
      <c r="H967" s="436">
        <v>46.81</v>
      </c>
      <c r="I967" s="436"/>
      <c r="J967" s="436">
        <v>814.25</v>
      </c>
      <c r="K967" s="436"/>
      <c r="O967" s="163">
        <f>I959+I960+I962+I963+I964+I965</f>
        <v>46.81</v>
      </c>
      <c r="P967" s="163">
        <f>K959+K960+K962+K963+K964+K965</f>
        <v>814.25</v>
      </c>
    </row>
    <row r="969" spans="1:22" ht="57" x14ac:dyDescent="0.2">
      <c r="A969" s="179" t="s">
        <v>2694</v>
      </c>
      <c r="B969" s="178" t="s">
        <v>2680</v>
      </c>
      <c r="C969" s="178" t="s">
        <v>1052</v>
      </c>
      <c r="D969" s="177" t="s">
        <v>1903</v>
      </c>
      <c r="E969" s="174">
        <v>2</v>
      </c>
      <c r="F969" s="176"/>
      <c r="G969" s="175"/>
      <c r="H969" s="174"/>
      <c r="I969" s="173"/>
      <c r="J969" s="174"/>
      <c r="K969" s="173"/>
      <c r="Q969" s="160">
        <f>[8]Source!X497</f>
        <v>33.21</v>
      </c>
      <c r="R969" s="160">
        <f>[8]Source!X498</f>
        <v>620.35</v>
      </c>
      <c r="S969" s="160">
        <f>[8]Source!Y497</f>
        <v>22.34</v>
      </c>
      <c r="T969" s="160">
        <f>[8]Source!Y498</f>
        <v>289.02999999999997</v>
      </c>
      <c r="U969" s="160">
        <f>ROUND((175/100)*ROUND([8]Source!R497, 2), 2)</f>
        <v>1.61</v>
      </c>
      <c r="V969" s="160">
        <f>ROUND((157/100)*ROUND([8]Source!R498, 2), 2)</f>
        <v>33.72</v>
      </c>
    </row>
    <row r="970" spans="1:22" ht="14.25" x14ac:dyDescent="0.2">
      <c r="A970" s="179"/>
      <c r="B970" s="178"/>
      <c r="C970" s="178" t="s">
        <v>197</v>
      </c>
      <c r="D970" s="177"/>
      <c r="E970" s="174"/>
      <c r="F970" s="176">
        <v>12.5</v>
      </c>
      <c r="G970" s="175" t="s">
        <v>2668</v>
      </c>
      <c r="H970" s="174">
        <v>1</v>
      </c>
      <c r="I970" s="173">
        <v>30.19</v>
      </c>
      <c r="J970" s="174">
        <v>23.35</v>
      </c>
      <c r="K970" s="173">
        <v>704.94</v>
      </c>
    </row>
    <row r="971" spans="1:22" ht="14.25" x14ac:dyDescent="0.2">
      <c r="A971" s="179"/>
      <c r="B971" s="178"/>
      <c r="C971" s="178" t="s">
        <v>184</v>
      </c>
      <c r="D971" s="177"/>
      <c r="E971" s="174"/>
      <c r="F971" s="176">
        <v>1.49</v>
      </c>
      <c r="G971" s="175" t="s">
        <v>2669</v>
      </c>
      <c r="H971" s="174">
        <v>1</v>
      </c>
      <c r="I971" s="173">
        <v>3.91</v>
      </c>
      <c r="J971" s="174">
        <v>9.58</v>
      </c>
      <c r="K971" s="173">
        <v>37.46</v>
      </c>
    </row>
    <row r="972" spans="1:22" ht="14.25" x14ac:dyDescent="0.2">
      <c r="A972" s="179"/>
      <c r="B972" s="178"/>
      <c r="C972" s="178" t="s">
        <v>189</v>
      </c>
      <c r="D972" s="177"/>
      <c r="E972" s="174"/>
      <c r="F972" s="176">
        <v>0.35</v>
      </c>
      <c r="G972" s="175" t="s">
        <v>2669</v>
      </c>
      <c r="H972" s="174">
        <v>1</v>
      </c>
      <c r="I972" s="180">
        <v>0.92</v>
      </c>
      <c r="J972" s="174">
        <v>23.35</v>
      </c>
      <c r="K972" s="180">
        <v>21.48</v>
      </c>
    </row>
    <row r="973" spans="1:22" ht="14.25" x14ac:dyDescent="0.2">
      <c r="A973" s="179"/>
      <c r="B973" s="178"/>
      <c r="C973" s="178" t="s">
        <v>205</v>
      </c>
      <c r="D973" s="177"/>
      <c r="E973" s="174"/>
      <c r="F973" s="176">
        <v>6.23</v>
      </c>
      <c r="G973" s="175" t="s">
        <v>195</v>
      </c>
      <c r="H973" s="174">
        <v>1</v>
      </c>
      <c r="I973" s="173">
        <v>12.46</v>
      </c>
      <c r="J973" s="174">
        <v>5.42</v>
      </c>
      <c r="K973" s="173">
        <v>67.53</v>
      </c>
    </row>
    <row r="974" spans="1:22" ht="14.25" x14ac:dyDescent="0.2">
      <c r="A974" s="179"/>
      <c r="B974" s="178"/>
      <c r="C974" s="178" t="s">
        <v>194</v>
      </c>
      <c r="D974" s="177" t="s">
        <v>187</v>
      </c>
      <c r="E974" s="174">
        <v>110</v>
      </c>
      <c r="F974" s="176"/>
      <c r="G974" s="175"/>
      <c r="H974" s="174"/>
      <c r="I974" s="173">
        <v>33.21</v>
      </c>
      <c r="J974" s="174">
        <v>88</v>
      </c>
      <c r="K974" s="173">
        <v>620.35</v>
      </c>
    </row>
    <row r="975" spans="1:22" ht="14.25" x14ac:dyDescent="0.2">
      <c r="A975" s="179"/>
      <c r="B975" s="178"/>
      <c r="C975" s="178" t="s">
        <v>193</v>
      </c>
      <c r="D975" s="177" t="s">
        <v>187</v>
      </c>
      <c r="E975" s="174">
        <v>74</v>
      </c>
      <c r="F975" s="176"/>
      <c r="G975" s="175"/>
      <c r="H975" s="174"/>
      <c r="I975" s="173">
        <v>22.34</v>
      </c>
      <c r="J975" s="174">
        <v>41</v>
      </c>
      <c r="K975" s="173">
        <v>289.02999999999997</v>
      </c>
    </row>
    <row r="976" spans="1:22" ht="14.25" x14ac:dyDescent="0.2">
      <c r="A976" s="179"/>
      <c r="B976" s="178"/>
      <c r="C976" s="178" t="s">
        <v>188</v>
      </c>
      <c r="D976" s="177" t="s">
        <v>187</v>
      </c>
      <c r="E976" s="174">
        <v>175</v>
      </c>
      <c r="F976" s="176"/>
      <c r="G976" s="175"/>
      <c r="H976" s="174"/>
      <c r="I976" s="173">
        <v>1.61</v>
      </c>
      <c r="J976" s="174">
        <v>157</v>
      </c>
      <c r="K976" s="173">
        <v>33.72</v>
      </c>
    </row>
    <row r="977" spans="1:22" ht="14.25" x14ac:dyDescent="0.2">
      <c r="A977" s="242"/>
      <c r="B977" s="241"/>
      <c r="C977" s="241" t="s">
        <v>192</v>
      </c>
      <c r="D977" s="240" t="s">
        <v>191</v>
      </c>
      <c r="E977" s="238">
        <v>1.0900000000000001</v>
      </c>
      <c r="F977" s="253"/>
      <c r="G977" s="239" t="s">
        <v>2668</v>
      </c>
      <c r="H977" s="238">
        <v>1</v>
      </c>
      <c r="I977" s="237">
        <v>2.63</v>
      </c>
      <c r="J977" s="238"/>
      <c r="K977" s="237"/>
    </row>
    <row r="978" spans="1:22" ht="15" x14ac:dyDescent="0.25">
      <c r="A978" s="235"/>
      <c r="B978" s="235"/>
      <c r="C978" s="236" t="s">
        <v>183</v>
      </c>
      <c r="D978" s="235"/>
      <c r="E978" s="235"/>
      <c r="F978" s="235"/>
      <c r="G978" s="235"/>
      <c r="H978" s="436">
        <v>103.72</v>
      </c>
      <c r="I978" s="436"/>
      <c r="J978" s="436">
        <v>1753.03</v>
      </c>
      <c r="K978" s="436"/>
      <c r="O978" s="163">
        <f>I970+I971+I973+I974+I975+I976</f>
        <v>103.72</v>
      </c>
      <c r="P978" s="163">
        <f>K970+K971+K973+K974+K975+K976</f>
        <v>1753.03</v>
      </c>
    </row>
    <row r="980" spans="1:22" ht="81" x14ac:dyDescent="0.2">
      <c r="A980" s="250" t="s">
        <v>2695</v>
      </c>
      <c r="B980" s="249" t="s">
        <v>2670</v>
      </c>
      <c r="C980" s="249" t="s">
        <v>1062</v>
      </c>
      <c r="D980" s="248" t="s">
        <v>1913</v>
      </c>
      <c r="E980" s="246">
        <v>1</v>
      </c>
      <c r="F980" s="254">
        <v>11298.57</v>
      </c>
      <c r="G980" s="247" t="s">
        <v>195</v>
      </c>
      <c r="H980" s="246">
        <v>1</v>
      </c>
      <c r="I980" s="245">
        <v>11298.57</v>
      </c>
      <c r="J980" s="246">
        <v>4.4000000000000004</v>
      </c>
      <c r="K980" s="245">
        <v>49713.71</v>
      </c>
      <c r="Q980" s="160">
        <f>[8]Source!X499</f>
        <v>0</v>
      </c>
      <c r="R980" s="160">
        <f>[8]Source!X500</f>
        <v>0</v>
      </c>
      <c r="S980" s="160">
        <f>[8]Source!Y499</f>
        <v>0</v>
      </c>
      <c r="T980" s="160">
        <f>[8]Source!Y500</f>
        <v>0</v>
      </c>
      <c r="U980" s="160">
        <f>ROUND((175/100)*ROUND([8]Source!R499, 2), 2)</f>
        <v>0</v>
      </c>
      <c r="V980" s="160">
        <f>ROUND((157/100)*ROUND([8]Source!R500, 2), 2)</f>
        <v>0</v>
      </c>
    </row>
    <row r="981" spans="1:22" ht="15" x14ac:dyDescent="0.25">
      <c r="A981" s="243"/>
      <c r="B981" s="243"/>
      <c r="C981" s="244" t="s">
        <v>183</v>
      </c>
      <c r="D981" s="243"/>
      <c r="E981" s="243"/>
      <c r="F981" s="243"/>
      <c r="G981" s="243"/>
      <c r="H981" s="437">
        <v>11298.57</v>
      </c>
      <c r="I981" s="437"/>
      <c r="J981" s="437">
        <v>49713.71</v>
      </c>
      <c r="K981" s="437"/>
      <c r="O981" s="163">
        <f>I980</f>
        <v>11298.57</v>
      </c>
      <c r="P981" s="163">
        <f>K980</f>
        <v>49713.71</v>
      </c>
    </row>
    <row r="983" spans="1:22" ht="28.5" x14ac:dyDescent="0.2">
      <c r="A983" s="179" t="s">
        <v>2696</v>
      </c>
      <c r="B983" s="178" t="s">
        <v>2673</v>
      </c>
      <c r="C983" s="178" t="s">
        <v>1046</v>
      </c>
      <c r="D983" s="177" t="s">
        <v>2674</v>
      </c>
      <c r="E983" s="174">
        <v>1</v>
      </c>
      <c r="F983" s="176"/>
      <c r="G983" s="175"/>
      <c r="H983" s="174"/>
      <c r="I983" s="173"/>
      <c r="J983" s="174"/>
      <c r="K983" s="173"/>
      <c r="Q983" s="160">
        <f>[8]Source!X502</f>
        <v>83.15</v>
      </c>
      <c r="R983" s="160">
        <f>[8]Source!X503</f>
        <v>1553.23</v>
      </c>
      <c r="S983" s="160">
        <f>[8]Source!Y502</f>
        <v>55.94</v>
      </c>
      <c r="T983" s="160">
        <f>[8]Source!Y503</f>
        <v>723.66</v>
      </c>
      <c r="U983" s="160">
        <f>ROUND((175/100)*ROUND([8]Source!R502, 2), 2)</f>
        <v>3.38</v>
      </c>
      <c r="V983" s="160">
        <f>ROUND((157/100)*ROUND([8]Source!R503, 2), 2)</f>
        <v>70.760000000000005</v>
      </c>
    </row>
    <row r="984" spans="1:22" ht="14.25" x14ac:dyDescent="0.2">
      <c r="A984" s="179"/>
      <c r="B984" s="178"/>
      <c r="C984" s="178" t="s">
        <v>197</v>
      </c>
      <c r="D984" s="177"/>
      <c r="E984" s="174"/>
      <c r="F984" s="176">
        <v>62.6</v>
      </c>
      <c r="G984" s="175" t="s">
        <v>2668</v>
      </c>
      <c r="H984" s="174">
        <v>1</v>
      </c>
      <c r="I984" s="173">
        <v>75.59</v>
      </c>
      <c r="J984" s="174">
        <v>23.35</v>
      </c>
      <c r="K984" s="173">
        <v>1765.03</v>
      </c>
    </row>
    <row r="985" spans="1:22" ht="14.25" x14ac:dyDescent="0.2">
      <c r="A985" s="179"/>
      <c r="B985" s="178"/>
      <c r="C985" s="178" t="s">
        <v>184</v>
      </c>
      <c r="D985" s="177"/>
      <c r="E985" s="174"/>
      <c r="F985" s="176">
        <v>8.82</v>
      </c>
      <c r="G985" s="175" t="s">
        <v>2669</v>
      </c>
      <c r="H985" s="174">
        <v>1</v>
      </c>
      <c r="I985" s="173">
        <v>11.58</v>
      </c>
      <c r="J985" s="174">
        <v>8.66</v>
      </c>
      <c r="K985" s="173">
        <v>100.28</v>
      </c>
    </row>
    <row r="986" spans="1:22" ht="14.25" x14ac:dyDescent="0.2">
      <c r="A986" s="179"/>
      <c r="B986" s="178"/>
      <c r="C986" s="178" t="s">
        <v>189</v>
      </c>
      <c r="D986" s="177"/>
      <c r="E986" s="174"/>
      <c r="F986" s="176">
        <v>1.47</v>
      </c>
      <c r="G986" s="175" t="s">
        <v>2669</v>
      </c>
      <c r="H986" s="174">
        <v>1</v>
      </c>
      <c r="I986" s="180">
        <v>1.93</v>
      </c>
      <c r="J986" s="174">
        <v>23.35</v>
      </c>
      <c r="K986" s="180">
        <v>45.07</v>
      </c>
    </row>
    <row r="987" spans="1:22" ht="14.25" x14ac:dyDescent="0.2">
      <c r="A987" s="179"/>
      <c r="B987" s="178"/>
      <c r="C987" s="178" t="s">
        <v>205</v>
      </c>
      <c r="D987" s="177"/>
      <c r="E987" s="174"/>
      <c r="F987" s="176">
        <v>2.62</v>
      </c>
      <c r="G987" s="175" t="s">
        <v>195</v>
      </c>
      <c r="H987" s="174">
        <v>1</v>
      </c>
      <c r="I987" s="173">
        <v>2.62</v>
      </c>
      <c r="J987" s="174">
        <v>2.5299999999999998</v>
      </c>
      <c r="K987" s="173">
        <v>6.63</v>
      </c>
    </row>
    <row r="988" spans="1:22" ht="14.25" x14ac:dyDescent="0.2">
      <c r="A988" s="179"/>
      <c r="B988" s="178"/>
      <c r="C988" s="178" t="s">
        <v>194</v>
      </c>
      <c r="D988" s="177" t="s">
        <v>187</v>
      </c>
      <c r="E988" s="174">
        <v>110</v>
      </c>
      <c r="F988" s="176"/>
      <c r="G988" s="175"/>
      <c r="H988" s="174"/>
      <c r="I988" s="173">
        <v>83.15</v>
      </c>
      <c r="J988" s="174">
        <v>88</v>
      </c>
      <c r="K988" s="173">
        <v>1553.23</v>
      </c>
    </row>
    <row r="989" spans="1:22" ht="14.25" x14ac:dyDescent="0.2">
      <c r="A989" s="179"/>
      <c r="B989" s="178"/>
      <c r="C989" s="178" t="s">
        <v>193</v>
      </c>
      <c r="D989" s="177" t="s">
        <v>187</v>
      </c>
      <c r="E989" s="174">
        <v>74</v>
      </c>
      <c r="F989" s="176"/>
      <c r="G989" s="175"/>
      <c r="H989" s="174"/>
      <c r="I989" s="173">
        <v>55.94</v>
      </c>
      <c r="J989" s="174">
        <v>41</v>
      </c>
      <c r="K989" s="173">
        <v>723.66</v>
      </c>
    </row>
    <row r="990" spans="1:22" ht="14.25" x14ac:dyDescent="0.2">
      <c r="A990" s="179"/>
      <c r="B990" s="178"/>
      <c r="C990" s="178" t="s">
        <v>188</v>
      </c>
      <c r="D990" s="177" t="s">
        <v>187</v>
      </c>
      <c r="E990" s="174">
        <v>175</v>
      </c>
      <c r="F990" s="176"/>
      <c r="G990" s="175"/>
      <c r="H990" s="174"/>
      <c r="I990" s="173">
        <v>3.38</v>
      </c>
      <c r="J990" s="174">
        <v>157</v>
      </c>
      <c r="K990" s="173">
        <v>70.760000000000005</v>
      </c>
    </row>
    <row r="991" spans="1:22" ht="14.25" x14ac:dyDescent="0.2">
      <c r="A991" s="242"/>
      <c r="B991" s="241"/>
      <c r="C991" s="241" t="s">
        <v>192</v>
      </c>
      <c r="D991" s="240" t="s">
        <v>191</v>
      </c>
      <c r="E991" s="238">
        <v>4.96</v>
      </c>
      <c r="F991" s="253"/>
      <c r="G991" s="239" t="s">
        <v>2668</v>
      </c>
      <c r="H991" s="238">
        <v>1</v>
      </c>
      <c r="I991" s="237">
        <v>5.99</v>
      </c>
      <c r="J991" s="238"/>
      <c r="K991" s="237"/>
    </row>
    <row r="992" spans="1:22" ht="15" x14ac:dyDescent="0.25">
      <c r="A992" s="235"/>
      <c r="B992" s="235"/>
      <c r="C992" s="236" t="s">
        <v>183</v>
      </c>
      <c r="D992" s="235"/>
      <c r="E992" s="235"/>
      <c r="F992" s="235"/>
      <c r="G992" s="235"/>
      <c r="H992" s="436">
        <v>232.26</v>
      </c>
      <c r="I992" s="436"/>
      <c r="J992" s="436">
        <v>4219.59</v>
      </c>
      <c r="K992" s="436"/>
      <c r="O992" s="163">
        <f>I984+I985+I987+I988+I989+I990</f>
        <v>232.26</v>
      </c>
      <c r="P992" s="163">
        <f>K984+K985+K987+K988+K989+K990</f>
        <v>4219.59</v>
      </c>
    </row>
    <row r="994" spans="1:22" ht="28.5" x14ac:dyDescent="0.2">
      <c r="A994" s="179" t="s">
        <v>2697</v>
      </c>
      <c r="B994" s="178" t="s">
        <v>2675</v>
      </c>
      <c r="C994" s="178" t="s">
        <v>1026</v>
      </c>
      <c r="D994" s="177" t="s">
        <v>2676</v>
      </c>
      <c r="E994" s="174">
        <v>1</v>
      </c>
      <c r="F994" s="176"/>
      <c r="G994" s="175"/>
      <c r="H994" s="174"/>
      <c r="I994" s="173"/>
      <c r="J994" s="174"/>
      <c r="K994" s="173"/>
      <c r="Q994" s="160">
        <f>[8]Source!X506</f>
        <v>15.88</v>
      </c>
      <c r="R994" s="160">
        <f>[8]Source!X507</f>
        <v>296.70999999999998</v>
      </c>
      <c r="S994" s="160">
        <f>[8]Source!Y506</f>
        <v>10.69</v>
      </c>
      <c r="T994" s="160">
        <f>[8]Source!Y507</f>
        <v>138.24</v>
      </c>
      <c r="U994" s="160">
        <f>ROUND((175/100)*ROUND([8]Source!R506, 2), 2)</f>
        <v>0.42</v>
      </c>
      <c r="V994" s="160">
        <f>ROUND((157/100)*ROUND([8]Source!R507, 2), 2)</f>
        <v>8.7899999999999991</v>
      </c>
    </row>
    <row r="995" spans="1:22" ht="14.25" x14ac:dyDescent="0.2">
      <c r="A995" s="179"/>
      <c r="B995" s="178"/>
      <c r="C995" s="178" t="s">
        <v>197</v>
      </c>
      <c r="D995" s="177"/>
      <c r="E995" s="174"/>
      <c r="F995" s="176">
        <v>11.96</v>
      </c>
      <c r="G995" s="175" t="s">
        <v>2668</v>
      </c>
      <c r="H995" s="174">
        <v>1</v>
      </c>
      <c r="I995" s="173">
        <v>14.44</v>
      </c>
      <c r="J995" s="174">
        <v>23.35</v>
      </c>
      <c r="K995" s="173">
        <v>337.17</v>
      </c>
    </row>
    <row r="996" spans="1:22" ht="14.25" x14ac:dyDescent="0.2">
      <c r="A996" s="179"/>
      <c r="B996" s="178"/>
      <c r="C996" s="178" t="s">
        <v>184</v>
      </c>
      <c r="D996" s="177"/>
      <c r="E996" s="174"/>
      <c r="F996" s="176">
        <v>0.74</v>
      </c>
      <c r="G996" s="175" t="s">
        <v>2669</v>
      </c>
      <c r="H996" s="174">
        <v>1</v>
      </c>
      <c r="I996" s="173">
        <v>0.97</v>
      </c>
      <c r="J996" s="174">
        <v>9.73</v>
      </c>
      <c r="K996" s="173">
        <v>9.44</v>
      </c>
    </row>
    <row r="997" spans="1:22" ht="14.25" x14ac:dyDescent="0.2">
      <c r="A997" s="179"/>
      <c r="B997" s="178"/>
      <c r="C997" s="178" t="s">
        <v>189</v>
      </c>
      <c r="D997" s="177"/>
      <c r="E997" s="174"/>
      <c r="F997" s="176">
        <v>0.18</v>
      </c>
      <c r="G997" s="175" t="s">
        <v>2669</v>
      </c>
      <c r="H997" s="174">
        <v>1</v>
      </c>
      <c r="I997" s="180">
        <v>0.24</v>
      </c>
      <c r="J997" s="174">
        <v>23.35</v>
      </c>
      <c r="K997" s="180">
        <v>5.6</v>
      </c>
    </row>
    <row r="998" spans="1:22" ht="14.25" x14ac:dyDescent="0.2">
      <c r="A998" s="179"/>
      <c r="B998" s="178"/>
      <c r="C998" s="178" t="s">
        <v>205</v>
      </c>
      <c r="D998" s="177"/>
      <c r="E998" s="174"/>
      <c r="F998" s="176">
        <v>4.41</v>
      </c>
      <c r="G998" s="175" t="s">
        <v>195</v>
      </c>
      <c r="H998" s="174">
        <v>1</v>
      </c>
      <c r="I998" s="173">
        <v>4.41</v>
      </c>
      <c r="J998" s="174">
        <v>5.42</v>
      </c>
      <c r="K998" s="173">
        <v>23.9</v>
      </c>
    </row>
    <row r="999" spans="1:22" ht="14.25" x14ac:dyDescent="0.2">
      <c r="A999" s="179"/>
      <c r="B999" s="178"/>
      <c r="C999" s="178" t="s">
        <v>194</v>
      </c>
      <c r="D999" s="177" t="s">
        <v>187</v>
      </c>
      <c r="E999" s="174">
        <v>110</v>
      </c>
      <c r="F999" s="176"/>
      <c r="G999" s="175"/>
      <c r="H999" s="174"/>
      <c r="I999" s="173">
        <v>15.88</v>
      </c>
      <c r="J999" s="174">
        <v>88</v>
      </c>
      <c r="K999" s="173">
        <v>296.70999999999998</v>
      </c>
    </row>
    <row r="1000" spans="1:22" ht="14.25" x14ac:dyDescent="0.2">
      <c r="A1000" s="179"/>
      <c r="B1000" s="178"/>
      <c r="C1000" s="178" t="s">
        <v>193</v>
      </c>
      <c r="D1000" s="177" t="s">
        <v>187</v>
      </c>
      <c r="E1000" s="174">
        <v>74</v>
      </c>
      <c r="F1000" s="176"/>
      <c r="G1000" s="175"/>
      <c r="H1000" s="174"/>
      <c r="I1000" s="173">
        <v>10.69</v>
      </c>
      <c r="J1000" s="174">
        <v>41</v>
      </c>
      <c r="K1000" s="173">
        <v>138.24</v>
      </c>
    </row>
    <row r="1001" spans="1:22" ht="14.25" x14ac:dyDescent="0.2">
      <c r="A1001" s="179"/>
      <c r="B1001" s="178"/>
      <c r="C1001" s="178" t="s">
        <v>188</v>
      </c>
      <c r="D1001" s="177" t="s">
        <v>187</v>
      </c>
      <c r="E1001" s="174">
        <v>175</v>
      </c>
      <c r="F1001" s="176"/>
      <c r="G1001" s="175"/>
      <c r="H1001" s="174"/>
      <c r="I1001" s="173">
        <v>0.42</v>
      </c>
      <c r="J1001" s="174">
        <v>157</v>
      </c>
      <c r="K1001" s="173">
        <v>8.7899999999999991</v>
      </c>
    </row>
    <row r="1002" spans="1:22" ht="14.25" x14ac:dyDescent="0.2">
      <c r="A1002" s="242"/>
      <c r="B1002" s="241"/>
      <c r="C1002" s="241" t="s">
        <v>192</v>
      </c>
      <c r="D1002" s="240" t="s">
        <v>191</v>
      </c>
      <c r="E1002" s="238">
        <v>1.03</v>
      </c>
      <c r="F1002" s="253"/>
      <c r="G1002" s="239" t="s">
        <v>2668</v>
      </c>
      <c r="H1002" s="238">
        <v>1</v>
      </c>
      <c r="I1002" s="237">
        <v>1.24</v>
      </c>
      <c r="J1002" s="238"/>
      <c r="K1002" s="237"/>
    </row>
    <row r="1003" spans="1:22" ht="15" x14ac:dyDescent="0.25">
      <c r="A1003" s="235"/>
      <c r="B1003" s="235"/>
      <c r="C1003" s="236" t="s">
        <v>183</v>
      </c>
      <c r="D1003" s="235"/>
      <c r="E1003" s="235"/>
      <c r="F1003" s="235"/>
      <c r="G1003" s="235"/>
      <c r="H1003" s="436">
        <v>46.81</v>
      </c>
      <c r="I1003" s="436"/>
      <c r="J1003" s="436">
        <v>814.25</v>
      </c>
      <c r="K1003" s="436"/>
      <c r="O1003" s="163">
        <f>I995+I996+I998+I999+I1000+I1001</f>
        <v>46.81</v>
      </c>
      <c r="P1003" s="163">
        <f>K995+K996+K998+K999+K1000+K1001</f>
        <v>814.25</v>
      </c>
    </row>
    <row r="1005" spans="1:22" ht="28.5" x14ac:dyDescent="0.2">
      <c r="A1005" s="179" t="s">
        <v>2698</v>
      </c>
      <c r="B1005" s="178" t="s">
        <v>2677</v>
      </c>
      <c r="C1005" s="178" t="s">
        <v>1045</v>
      </c>
      <c r="D1005" s="177" t="s">
        <v>2678</v>
      </c>
      <c r="E1005" s="174">
        <v>0.15</v>
      </c>
      <c r="F1005" s="176"/>
      <c r="G1005" s="175"/>
      <c r="H1005" s="174"/>
      <c r="I1005" s="173"/>
      <c r="J1005" s="174"/>
      <c r="K1005" s="173"/>
      <c r="Q1005" s="160">
        <f>[8]Source!X508</f>
        <v>12.03</v>
      </c>
      <c r="R1005" s="160">
        <f>[8]Source!X509</f>
        <v>224.8</v>
      </c>
      <c r="S1005" s="160">
        <f>[8]Source!Y508</f>
        <v>8.1</v>
      </c>
      <c r="T1005" s="160">
        <f>[8]Source!Y509</f>
        <v>104.73</v>
      </c>
      <c r="U1005" s="160">
        <f>ROUND((175/100)*ROUND([8]Source!R508, 2), 2)</f>
        <v>1.4</v>
      </c>
      <c r="V1005" s="160">
        <f>ROUND((157/100)*ROUND([8]Source!R509, 2), 2)</f>
        <v>29.33</v>
      </c>
    </row>
    <row r="1006" spans="1:22" x14ac:dyDescent="0.2">
      <c r="C1006" s="181" t="s">
        <v>2679</v>
      </c>
    </row>
    <row r="1007" spans="1:22" ht="14.25" x14ac:dyDescent="0.2">
      <c r="A1007" s="179"/>
      <c r="B1007" s="178"/>
      <c r="C1007" s="178" t="s">
        <v>197</v>
      </c>
      <c r="D1007" s="177"/>
      <c r="E1007" s="174"/>
      <c r="F1007" s="176">
        <v>60.39</v>
      </c>
      <c r="G1007" s="175" t="s">
        <v>2668</v>
      </c>
      <c r="H1007" s="174">
        <v>1</v>
      </c>
      <c r="I1007" s="173">
        <v>10.94</v>
      </c>
      <c r="J1007" s="174">
        <v>23.35</v>
      </c>
      <c r="K1007" s="173">
        <v>255.45</v>
      </c>
    </row>
    <row r="1008" spans="1:22" ht="14.25" x14ac:dyDescent="0.2">
      <c r="A1008" s="179"/>
      <c r="B1008" s="178"/>
      <c r="C1008" s="178" t="s">
        <v>184</v>
      </c>
      <c r="D1008" s="177"/>
      <c r="E1008" s="174"/>
      <c r="F1008" s="176">
        <v>20.05</v>
      </c>
      <c r="G1008" s="175" t="s">
        <v>2669</v>
      </c>
      <c r="H1008" s="174">
        <v>1</v>
      </c>
      <c r="I1008" s="173">
        <v>3.95</v>
      </c>
      <c r="J1008" s="174">
        <v>8.98</v>
      </c>
      <c r="K1008" s="173">
        <v>35.47</v>
      </c>
    </row>
    <row r="1009" spans="1:22" ht="14.25" x14ac:dyDescent="0.2">
      <c r="A1009" s="179"/>
      <c r="B1009" s="178"/>
      <c r="C1009" s="178" t="s">
        <v>189</v>
      </c>
      <c r="D1009" s="177"/>
      <c r="E1009" s="174"/>
      <c r="F1009" s="176">
        <v>4.04</v>
      </c>
      <c r="G1009" s="175" t="s">
        <v>2669</v>
      </c>
      <c r="H1009" s="174">
        <v>1</v>
      </c>
      <c r="I1009" s="180">
        <v>0.8</v>
      </c>
      <c r="J1009" s="174">
        <v>23.35</v>
      </c>
      <c r="K1009" s="180">
        <v>18.68</v>
      </c>
    </row>
    <row r="1010" spans="1:22" ht="14.25" x14ac:dyDescent="0.2">
      <c r="A1010" s="179"/>
      <c r="B1010" s="178"/>
      <c r="C1010" s="178" t="s">
        <v>205</v>
      </c>
      <c r="D1010" s="177"/>
      <c r="E1010" s="174"/>
      <c r="F1010" s="176">
        <v>25.9</v>
      </c>
      <c r="G1010" s="175" t="s">
        <v>195</v>
      </c>
      <c r="H1010" s="174">
        <v>1</v>
      </c>
      <c r="I1010" s="173">
        <v>3.89</v>
      </c>
      <c r="J1010" s="174">
        <v>5.42</v>
      </c>
      <c r="K1010" s="173">
        <v>21.08</v>
      </c>
    </row>
    <row r="1011" spans="1:22" ht="14.25" x14ac:dyDescent="0.2">
      <c r="A1011" s="179"/>
      <c r="B1011" s="178"/>
      <c r="C1011" s="178" t="s">
        <v>194</v>
      </c>
      <c r="D1011" s="177" t="s">
        <v>187</v>
      </c>
      <c r="E1011" s="174">
        <v>110</v>
      </c>
      <c r="F1011" s="176"/>
      <c r="G1011" s="175"/>
      <c r="H1011" s="174"/>
      <c r="I1011" s="173">
        <v>12.03</v>
      </c>
      <c r="J1011" s="174">
        <v>88</v>
      </c>
      <c r="K1011" s="173">
        <v>224.8</v>
      </c>
    </row>
    <row r="1012" spans="1:22" ht="14.25" x14ac:dyDescent="0.2">
      <c r="A1012" s="179"/>
      <c r="B1012" s="178"/>
      <c r="C1012" s="178" t="s">
        <v>193</v>
      </c>
      <c r="D1012" s="177" t="s">
        <v>187</v>
      </c>
      <c r="E1012" s="174">
        <v>74</v>
      </c>
      <c r="F1012" s="176"/>
      <c r="G1012" s="175"/>
      <c r="H1012" s="174"/>
      <c r="I1012" s="173">
        <v>8.1</v>
      </c>
      <c r="J1012" s="174">
        <v>41</v>
      </c>
      <c r="K1012" s="173">
        <v>104.73</v>
      </c>
    </row>
    <row r="1013" spans="1:22" ht="14.25" x14ac:dyDescent="0.2">
      <c r="A1013" s="179"/>
      <c r="B1013" s="178"/>
      <c r="C1013" s="178" t="s">
        <v>188</v>
      </c>
      <c r="D1013" s="177" t="s">
        <v>187</v>
      </c>
      <c r="E1013" s="174">
        <v>175</v>
      </c>
      <c r="F1013" s="176"/>
      <c r="G1013" s="175"/>
      <c r="H1013" s="174"/>
      <c r="I1013" s="173">
        <v>1.4</v>
      </c>
      <c r="J1013" s="174">
        <v>157</v>
      </c>
      <c r="K1013" s="173">
        <v>29.33</v>
      </c>
    </row>
    <row r="1014" spans="1:22" ht="14.25" x14ac:dyDescent="0.2">
      <c r="A1014" s="242"/>
      <c r="B1014" s="241"/>
      <c r="C1014" s="241" t="s">
        <v>192</v>
      </c>
      <c r="D1014" s="240" t="s">
        <v>191</v>
      </c>
      <c r="E1014" s="238">
        <v>5.0199999999999996</v>
      </c>
      <c r="F1014" s="253"/>
      <c r="G1014" s="239" t="s">
        <v>2668</v>
      </c>
      <c r="H1014" s="238">
        <v>1</v>
      </c>
      <c r="I1014" s="237">
        <v>0.91</v>
      </c>
      <c r="J1014" s="238"/>
      <c r="K1014" s="237"/>
    </row>
    <row r="1015" spans="1:22" ht="15" x14ac:dyDescent="0.25">
      <c r="A1015" s="235"/>
      <c r="B1015" s="235"/>
      <c r="C1015" s="236" t="s">
        <v>183</v>
      </c>
      <c r="D1015" s="235"/>
      <c r="E1015" s="235"/>
      <c r="F1015" s="235"/>
      <c r="G1015" s="235"/>
      <c r="H1015" s="436">
        <v>40.31</v>
      </c>
      <c r="I1015" s="436"/>
      <c r="J1015" s="436">
        <v>670.86</v>
      </c>
      <c r="K1015" s="436"/>
      <c r="O1015" s="163">
        <f>I1007+I1008+I1010+I1011+I1012+I1013</f>
        <v>40.31</v>
      </c>
      <c r="P1015" s="163">
        <f>K1007+K1008+K1010+K1011+K1012+K1013</f>
        <v>670.86</v>
      </c>
    </row>
    <row r="1017" spans="1:22" ht="57" x14ac:dyDescent="0.2">
      <c r="A1017" s="179" t="s">
        <v>2699</v>
      </c>
      <c r="B1017" s="178" t="s">
        <v>2680</v>
      </c>
      <c r="C1017" s="178" t="s">
        <v>1052</v>
      </c>
      <c r="D1017" s="177" t="s">
        <v>1903</v>
      </c>
      <c r="E1017" s="174">
        <v>2</v>
      </c>
      <c r="F1017" s="176"/>
      <c r="G1017" s="175"/>
      <c r="H1017" s="174"/>
      <c r="I1017" s="173"/>
      <c r="J1017" s="174"/>
      <c r="K1017" s="173"/>
      <c r="Q1017" s="160">
        <f>[8]Source!X510</f>
        <v>33.21</v>
      </c>
      <c r="R1017" s="160">
        <f>[8]Source!X511</f>
        <v>620.35</v>
      </c>
      <c r="S1017" s="160">
        <f>[8]Source!Y510</f>
        <v>22.34</v>
      </c>
      <c r="T1017" s="160">
        <f>[8]Source!Y511</f>
        <v>289.02999999999997</v>
      </c>
      <c r="U1017" s="160">
        <f>ROUND((175/100)*ROUND([8]Source!R510, 2), 2)</f>
        <v>1.61</v>
      </c>
      <c r="V1017" s="160">
        <f>ROUND((157/100)*ROUND([8]Source!R511, 2), 2)</f>
        <v>33.72</v>
      </c>
    </row>
    <row r="1018" spans="1:22" ht="14.25" x14ac:dyDescent="0.2">
      <c r="A1018" s="179"/>
      <c r="B1018" s="178"/>
      <c r="C1018" s="178" t="s">
        <v>197</v>
      </c>
      <c r="D1018" s="177"/>
      <c r="E1018" s="174"/>
      <c r="F1018" s="176">
        <v>12.5</v>
      </c>
      <c r="G1018" s="175" t="s">
        <v>2668</v>
      </c>
      <c r="H1018" s="174">
        <v>1</v>
      </c>
      <c r="I1018" s="173">
        <v>30.19</v>
      </c>
      <c r="J1018" s="174">
        <v>23.35</v>
      </c>
      <c r="K1018" s="173">
        <v>704.94</v>
      </c>
    </row>
    <row r="1019" spans="1:22" ht="14.25" x14ac:dyDescent="0.2">
      <c r="A1019" s="179"/>
      <c r="B1019" s="178"/>
      <c r="C1019" s="178" t="s">
        <v>184</v>
      </c>
      <c r="D1019" s="177"/>
      <c r="E1019" s="174"/>
      <c r="F1019" s="176">
        <v>1.49</v>
      </c>
      <c r="G1019" s="175" t="s">
        <v>2669</v>
      </c>
      <c r="H1019" s="174">
        <v>1</v>
      </c>
      <c r="I1019" s="173">
        <v>3.91</v>
      </c>
      <c r="J1019" s="174">
        <v>9.58</v>
      </c>
      <c r="K1019" s="173">
        <v>37.46</v>
      </c>
    </row>
    <row r="1020" spans="1:22" ht="14.25" x14ac:dyDescent="0.2">
      <c r="A1020" s="179"/>
      <c r="B1020" s="178"/>
      <c r="C1020" s="178" t="s">
        <v>189</v>
      </c>
      <c r="D1020" s="177"/>
      <c r="E1020" s="174"/>
      <c r="F1020" s="176">
        <v>0.35</v>
      </c>
      <c r="G1020" s="175" t="s">
        <v>2669</v>
      </c>
      <c r="H1020" s="174">
        <v>1</v>
      </c>
      <c r="I1020" s="180">
        <v>0.92</v>
      </c>
      <c r="J1020" s="174">
        <v>23.35</v>
      </c>
      <c r="K1020" s="180">
        <v>21.48</v>
      </c>
    </row>
    <row r="1021" spans="1:22" ht="14.25" x14ac:dyDescent="0.2">
      <c r="A1021" s="179"/>
      <c r="B1021" s="178"/>
      <c r="C1021" s="178" t="s">
        <v>205</v>
      </c>
      <c r="D1021" s="177"/>
      <c r="E1021" s="174"/>
      <c r="F1021" s="176">
        <v>6.23</v>
      </c>
      <c r="G1021" s="175" t="s">
        <v>195</v>
      </c>
      <c r="H1021" s="174">
        <v>1</v>
      </c>
      <c r="I1021" s="173">
        <v>12.46</v>
      </c>
      <c r="J1021" s="174">
        <v>5.42</v>
      </c>
      <c r="K1021" s="173">
        <v>67.53</v>
      </c>
    </row>
    <row r="1022" spans="1:22" ht="14.25" x14ac:dyDescent="0.2">
      <c r="A1022" s="179"/>
      <c r="B1022" s="178"/>
      <c r="C1022" s="178" t="s">
        <v>194</v>
      </c>
      <c r="D1022" s="177" t="s">
        <v>187</v>
      </c>
      <c r="E1022" s="174">
        <v>110</v>
      </c>
      <c r="F1022" s="176"/>
      <c r="G1022" s="175"/>
      <c r="H1022" s="174"/>
      <c r="I1022" s="173">
        <v>33.21</v>
      </c>
      <c r="J1022" s="174">
        <v>88</v>
      </c>
      <c r="K1022" s="173">
        <v>620.35</v>
      </c>
    </row>
    <row r="1023" spans="1:22" ht="14.25" x14ac:dyDescent="0.2">
      <c r="A1023" s="179"/>
      <c r="B1023" s="178"/>
      <c r="C1023" s="178" t="s">
        <v>193</v>
      </c>
      <c r="D1023" s="177" t="s">
        <v>187</v>
      </c>
      <c r="E1023" s="174">
        <v>74</v>
      </c>
      <c r="F1023" s="176"/>
      <c r="G1023" s="175"/>
      <c r="H1023" s="174"/>
      <c r="I1023" s="173">
        <v>22.34</v>
      </c>
      <c r="J1023" s="174">
        <v>41</v>
      </c>
      <c r="K1023" s="173">
        <v>289.02999999999997</v>
      </c>
    </row>
    <row r="1024" spans="1:22" ht="14.25" x14ac:dyDescent="0.2">
      <c r="A1024" s="179"/>
      <c r="B1024" s="178"/>
      <c r="C1024" s="178" t="s">
        <v>188</v>
      </c>
      <c r="D1024" s="177" t="s">
        <v>187</v>
      </c>
      <c r="E1024" s="174">
        <v>175</v>
      </c>
      <c r="F1024" s="176"/>
      <c r="G1024" s="175"/>
      <c r="H1024" s="174"/>
      <c r="I1024" s="173">
        <v>1.61</v>
      </c>
      <c r="J1024" s="174">
        <v>157</v>
      </c>
      <c r="K1024" s="173">
        <v>33.72</v>
      </c>
    </row>
    <row r="1025" spans="1:22" ht="14.25" x14ac:dyDescent="0.2">
      <c r="A1025" s="242"/>
      <c r="B1025" s="241"/>
      <c r="C1025" s="241" t="s">
        <v>192</v>
      </c>
      <c r="D1025" s="240" t="s">
        <v>191</v>
      </c>
      <c r="E1025" s="238">
        <v>1.0900000000000001</v>
      </c>
      <c r="F1025" s="253"/>
      <c r="G1025" s="239" t="s">
        <v>2668</v>
      </c>
      <c r="H1025" s="238">
        <v>1</v>
      </c>
      <c r="I1025" s="237">
        <v>2.63</v>
      </c>
      <c r="J1025" s="238"/>
      <c r="K1025" s="237"/>
    </row>
    <row r="1026" spans="1:22" ht="15" x14ac:dyDescent="0.25">
      <c r="A1026" s="235"/>
      <c r="B1026" s="235"/>
      <c r="C1026" s="236" t="s">
        <v>183</v>
      </c>
      <c r="D1026" s="235"/>
      <c r="E1026" s="235"/>
      <c r="F1026" s="235"/>
      <c r="G1026" s="235"/>
      <c r="H1026" s="436">
        <v>103.72</v>
      </c>
      <c r="I1026" s="436"/>
      <c r="J1026" s="436">
        <v>1753.03</v>
      </c>
      <c r="K1026" s="436"/>
      <c r="O1026" s="163">
        <f>I1018+I1019+I1021+I1022+I1023+I1024</f>
        <v>103.72</v>
      </c>
      <c r="P1026" s="163">
        <f>K1018+K1019+K1021+K1022+K1023+K1024</f>
        <v>1753.03</v>
      </c>
    </row>
    <row r="1028" spans="1:22" ht="68.25" x14ac:dyDescent="0.2">
      <c r="A1028" s="250" t="s">
        <v>2700</v>
      </c>
      <c r="B1028" s="249" t="s">
        <v>2670</v>
      </c>
      <c r="C1028" s="249" t="s">
        <v>1061</v>
      </c>
      <c r="D1028" s="248" t="s">
        <v>1913</v>
      </c>
      <c r="E1028" s="246">
        <v>1</v>
      </c>
      <c r="F1028" s="254">
        <v>2473.5</v>
      </c>
      <c r="G1028" s="247" t="s">
        <v>195</v>
      </c>
      <c r="H1028" s="246">
        <v>1</v>
      </c>
      <c r="I1028" s="245">
        <v>2473.5</v>
      </c>
      <c r="J1028" s="246">
        <v>4.4000000000000004</v>
      </c>
      <c r="K1028" s="245">
        <v>10883.4</v>
      </c>
      <c r="Q1028" s="160">
        <f>[8]Source!X512</f>
        <v>0</v>
      </c>
      <c r="R1028" s="160">
        <f>[8]Source!X513</f>
        <v>0</v>
      </c>
      <c r="S1028" s="160">
        <f>[8]Source!Y512</f>
        <v>0</v>
      </c>
      <c r="T1028" s="160">
        <f>[8]Source!Y513</f>
        <v>0</v>
      </c>
      <c r="U1028" s="160">
        <f>ROUND((175/100)*ROUND([8]Source!R512, 2), 2)</f>
        <v>0</v>
      </c>
      <c r="V1028" s="160">
        <f>ROUND((157/100)*ROUND([8]Source!R513, 2), 2)</f>
        <v>0</v>
      </c>
    </row>
    <row r="1029" spans="1:22" ht="15" x14ac:dyDescent="0.25">
      <c r="A1029" s="243"/>
      <c r="B1029" s="243"/>
      <c r="C1029" s="244" t="s">
        <v>183</v>
      </c>
      <c r="D1029" s="243"/>
      <c r="E1029" s="243"/>
      <c r="F1029" s="243"/>
      <c r="G1029" s="243"/>
      <c r="H1029" s="437">
        <v>2473.5</v>
      </c>
      <c r="I1029" s="437"/>
      <c r="J1029" s="437">
        <v>10883.4</v>
      </c>
      <c r="K1029" s="437"/>
      <c r="O1029" s="163">
        <f>I1028</f>
        <v>2473.5</v>
      </c>
      <c r="P1029" s="163">
        <f>K1028</f>
        <v>10883.4</v>
      </c>
    </row>
    <row r="1031" spans="1:22" ht="28.5" x14ac:dyDescent="0.2">
      <c r="A1031" s="179" t="s">
        <v>2701</v>
      </c>
      <c r="B1031" s="178" t="s">
        <v>2673</v>
      </c>
      <c r="C1031" s="178" t="s">
        <v>1046</v>
      </c>
      <c r="D1031" s="177" t="s">
        <v>2674</v>
      </c>
      <c r="E1031" s="174">
        <v>1</v>
      </c>
      <c r="F1031" s="176"/>
      <c r="G1031" s="175"/>
      <c r="H1031" s="174"/>
      <c r="I1031" s="173"/>
      <c r="J1031" s="174"/>
      <c r="K1031" s="173"/>
      <c r="Q1031" s="160">
        <f>[8]Source!X515</f>
        <v>83.15</v>
      </c>
      <c r="R1031" s="160">
        <f>[8]Source!X516</f>
        <v>1553.23</v>
      </c>
      <c r="S1031" s="160">
        <f>[8]Source!Y515</f>
        <v>55.94</v>
      </c>
      <c r="T1031" s="160">
        <f>[8]Source!Y516</f>
        <v>723.66</v>
      </c>
      <c r="U1031" s="160">
        <f>ROUND((175/100)*ROUND([8]Source!R515, 2), 2)</f>
        <v>3.38</v>
      </c>
      <c r="V1031" s="160">
        <f>ROUND((157/100)*ROUND([8]Source!R516, 2), 2)</f>
        <v>70.760000000000005</v>
      </c>
    </row>
    <row r="1032" spans="1:22" ht="14.25" x14ac:dyDescent="0.2">
      <c r="A1032" s="179"/>
      <c r="B1032" s="178"/>
      <c r="C1032" s="178" t="s">
        <v>197</v>
      </c>
      <c r="D1032" s="177"/>
      <c r="E1032" s="174"/>
      <c r="F1032" s="176">
        <v>62.6</v>
      </c>
      <c r="G1032" s="175" t="s">
        <v>2668</v>
      </c>
      <c r="H1032" s="174">
        <v>1</v>
      </c>
      <c r="I1032" s="173">
        <v>75.59</v>
      </c>
      <c r="J1032" s="174">
        <v>23.35</v>
      </c>
      <c r="K1032" s="173">
        <v>1765.03</v>
      </c>
    </row>
    <row r="1033" spans="1:22" ht="14.25" x14ac:dyDescent="0.2">
      <c r="A1033" s="179"/>
      <c r="B1033" s="178"/>
      <c r="C1033" s="178" t="s">
        <v>184</v>
      </c>
      <c r="D1033" s="177"/>
      <c r="E1033" s="174"/>
      <c r="F1033" s="176">
        <v>8.82</v>
      </c>
      <c r="G1033" s="175" t="s">
        <v>2669</v>
      </c>
      <c r="H1033" s="174">
        <v>1</v>
      </c>
      <c r="I1033" s="173">
        <v>11.58</v>
      </c>
      <c r="J1033" s="174">
        <v>8.66</v>
      </c>
      <c r="K1033" s="173">
        <v>100.28</v>
      </c>
    </row>
    <row r="1034" spans="1:22" ht="14.25" x14ac:dyDescent="0.2">
      <c r="A1034" s="179"/>
      <c r="B1034" s="178"/>
      <c r="C1034" s="178" t="s">
        <v>189</v>
      </c>
      <c r="D1034" s="177"/>
      <c r="E1034" s="174"/>
      <c r="F1034" s="176">
        <v>1.47</v>
      </c>
      <c r="G1034" s="175" t="s">
        <v>2669</v>
      </c>
      <c r="H1034" s="174">
        <v>1</v>
      </c>
      <c r="I1034" s="180">
        <v>1.93</v>
      </c>
      <c r="J1034" s="174">
        <v>23.35</v>
      </c>
      <c r="K1034" s="180">
        <v>45.07</v>
      </c>
    </row>
    <row r="1035" spans="1:22" ht="14.25" x14ac:dyDescent="0.2">
      <c r="A1035" s="179"/>
      <c r="B1035" s="178"/>
      <c r="C1035" s="178" t="s">
        <v>205</v>
      </c>
      <c r="D1035" s="177"/>
      <c r="E1035" s="174"/>
      <c r="F1035" s="176">
        <v>2.62</v>
      </c>
      <c r="G1035" s="175" t="s">
        <v>195</v>
      </c>
      <c r="H1035" s="174">
        <v>1</v>
      </c>
      <c r="I1035" s="173">
        <v>2.62</v>
      </c>
      <c r="J1035" s="174">
        <v>2.5299999999999998</v>
      </c>
      <c r="K1035" s="173">
        <v>6.63</v>
      </c>
    </row>
    <row r="1036" spans="1:22" ht="14.25" x14ac:dyDescent="0.2">
      <c r="A1036" s="179"/>
      <c r="B1036" s="178"/>
      <c r="C1036" s="178" t="s">
        <v>194</v>
      </c>
      <c r="D1036" s="177" t="s">
        <v>187</v>
      </c>
      <c r="E1036" s="174">
        <v>110</v>
      </c>
      <c r="F1036" s="176"/>
      <c r="G1036" s="175"/>
      <c r="H1036" s="174"/>
      <c r="I1036" s="173">
        <v>83.15</v>
      </c>
      <c r="J1036" s="174">
        <v>88</v>
      </c>
      <c r="K1036" s="173">
        <v>1553.23</v>
      </c>
    </row>
    <row r="1037" spans="1:22" ht="14.25" x14ac:dyDescent="0.2">
      <c r="A1037" s="179"/>
      <c r="B1037" s="178"/>
      <c r="C1037" s="178" t="s">
        <v>193</v>
      </c>
      <c r="D1037" s="177" t="s">
        <v>187</v>
      </c>
      <c r="E1037" s="174">
        <v>74</v>
      </c>
      <c r="F1037" s="176"/>
      <c r="G1037" s="175"/>
      <c r="H1037" s="174"/>
      <c r="I1037" s="173">
        <v>55.94</v>
      </c>
      <c r="J1037" s="174">
        <v>41</v>
      </c>
      <c r="K1037" s="173">
        <v>723.66</v>
      </c>
    </row>
    <row r="1038" spans="1:22" ht="14.25" x14ac:dyDescent="0.2">
      <c r="A1038" s="179"/>
      <c r="B1038" s="178"/>
      <c r="C1038" s="178" t="s">
        <v>188</v>
      </c>
      <c r="D1038" s="177" t="s">
        <v>187</v>
      </c>
      <c r="E1038" s="174">
        <v>175</v>
      </c>
      <c r="F1038" s="176"/>
      <c r="G1038" s="175"/>
      <c r="H1038" s="174"/>
      <c r="I1038" s="173">
        <v>3.38</v>
      </c>
      <c r="J1038" s="174">
        <v>157</v>
      </c>
      <c r="K1038" s="173">
        <v>70.760000000000005</v>
      </c>
    </row>
    <row r="1039" spans="1:22" ht="14.25" x14ac:dyDescent="0.2">
      <c r="A1039" s="242"/>
      <c r="B1039" s="241"/>
      <c r="C1039" s="241" t="s">
        <v>192</v>
      </c>
      <c r="D1039" s="240" t="s">
        <v>191</v>
      </c>
      <c r="E1039" s="238">
        <v>4.96</v>
      </c>
      <c r="F1039" s="253"/>
      <c r="G1039" s="239" t="s">
        <v>2668</v>
      </c>
      <c r="H1039" s="238">
        <v>1</v>
      </c>
      <c r="I1039" s="237">
        <v>5.99</v>
      </c>
      <c r="J1039" s="238"/>
      <c r="K1039" s="237"/>
    </row>
    <row r="1040" spans="1:22" ht="15" x14ac:dyDescent="0.25">
      <c r="A1040" s="235"/>
      <c r="B1040" s="235"/>
      <c r="C1040" s="236" t="s">
        <v>183</v>
      </c>
      <c r="D1040" s="235"/>
      <c r="E1040" s="235"/>
      <c r="F1040" s="235"/>
      <c r="G1040" s="235"/>
      <c r="H1040" s="436">
        <v>232.26</v>
      </c>
      <c r="I1040" s="436"/>
      <c r="J1040" s="436">
        <v>4219.59</v>
      </c>
      <c r="K1040" s="436"/>
      <c r="O1040" s="163">
        <f>I1032+I1033+I1035+I1036+I1037+I1038</f>
        <v>232.26</v>
      </c>
      <c r="P1040" s="163">
        <f>K1032+K1033+K1035+K1036+K1037+K1038</f>
        <v>4219.59</v>
      </c>
    </row>
    <row r="1042" spans="1:22" ht="28.5" x14ac:dyDescent="0.2">
      <c r="A1042" s="179" t="s">
        <v>2702</v>
      </c>
      <c r="B1042" s="178" t="s">
        <v>2675</v>
      </c>
      <c r="C1042" s="178" t="s">
        <v>1026</v>
      </c>
      <c r="D1042" s="177" t="s">
        <v>2676</v>
      </c>
      <c r="E1042" s="174">
        <v>1</v>
      </c>
      <c r="F1042" s="176"/>
      <c r="G1042" s="175"/>
      <c r="H1042" s="174"/>
      <c r="I1042" s="173"/>
      <c r="J1042" s="174"/>
      <c r="K1042" s="173"/>
      <c r="Q1042" s="160">
        <f>[8]Source!X519</f>
        <v>15.88</v>
      </c>
      <c r="R1042" s="160">
        <f>[8]Source!X520</f>
        <v>296.70999999999998</v>
      </c>
      <c r="S1042" s="160">
        <f>[8]Source!Y519</f>
        <v>10.69</v>
      </c>
      <c r="T1042" s="160">
        <f>[8]Source!Y520</f>
        <v>138.24</v>
      </c>
      <c r="U1042" s="160">
        <f>ROUND((175/100)*ROUND([8]Source!R519, 2), 2)</f>
        <v>0.42</v>
      </c>
      <c r="V1042" s="160">
        <f>ROUND((157/100)*ROUND([8]Source!R520, 2), 2)</f>
        <v>8.7899999999999991</v>
      </c>
    </row>
    <row r="1043" spans="1:22" ht="14.25" x14ac:dyDescent="0.2">
      <c r="A1043" s="179"/>
      <c r="B1043" s="178"/>
      <c r="C1043" s="178" t="s">
        <v>197</v>
      </c>
      <c r="D1043" s="177"/>
      <c r="E1043" s="174"/>
      <c r="F1043" s="176">
        <v>11.96</v>
      </c>
      <c r="G1043" s="175" t="s">
        <v>2668</v>
      </c>
      <c r="H1043" s="174">
        <v>1</v>
      </c>
      <c r="I1043" s="173">
        <v>14.44</v>
      </c>
      <c r="J1043" s="174">
        <v>23.35</v>
      </c>
      <c r="K1043" s="173">
        <v>337.17</v>
      </c>
    </row>
    <row r="1044" spans="1:22" ht="14.25" x14ac:dyDescent="0.2">
      <c r="A1044" s="179"/>
      <c r="B1044" s="178"/>
      <c r="C1044" s="178" t="s">
        <v>184</v>
      </c>
      <c r="D1044" s="177"/>
      <c r="E1044" s="174"/>
      <c r="F1044" s="176">
        <v>0.74</v>
      </c>
      <c r="G1044" s="175" t="s">
        <v>2669</v>
      </c>
      <c r="H1044" s="174">
        <v>1</v>
      </c>
      <c r="I1044" s="173">
        <v>0.97</v>
      </c>
      <c r="J1044" s="174">
        <v>9.73</v>
      </c>
      <c r="K1044" s="173">
        <v>9.44</v>
      </c>
    </row>
    <row r="1045" spans="1:22" ht="14.25" x14ac:dyDescent="0.2">
      <c r="A1045" s="179"/>
      <c r="B1045" s="178"/>
      <c r="C1045" s="178" t="s">
        <v>189</v>
      </c>
      <c r="D1045" s="177"/>
      <c r="E1045" s="174"/>
      <c r="F1045" s="176">
        <v>0.18</v>
      </c>
      <c r="G1045" s="175" t="s">
        <v>2669</v>
      </c>
      <c r="H1045" s="174">
        <v>1</v>
      </c>
      <c r="I1045" s="180">
        <v>0.24</v>
      </c>
      <c r="J1045" s="174">
        <v>23.35</v>
      </c>
      <c r="K1045" s="180">
        <v>5.6</v>
      </c>
    </row>
    <row r="1046" spans="1:22" ht="14.25" x14ac:dyDescent="0.2">
      <c r="A1046" s="179"/>
      <c r="B1046" s="178"/>
      <c r="C1046" s="178" t="s">
        <v>205</v>
      </c>
      <c r="D1046" s="177"/>
      <c r="E1046" s="174"/>
      <c r="F1046" s="176">
        <v>4.41</v>
      </c>
      <c r="G1046" s="175" t="s">
        <v>195</v>
      </c>
      <c r="H1046" s="174">
        <v>1</v>
      </c>
      <c r="I1046" s="173">
        <v>4.41</v>
      </c>
      <c r="J1046" s="174">
        <v>5.42</v>
      </c>
      <c r="K1046" s="173">
        <v>23.9</v>
      </c>
    </row>
    <row r="1047" spans="1:22" ht="14.25" x14ac:dyDescent="0.2">
      <c r="A1047" s="179"/>
      <c r="B1047" s="178"/>
      <c r="C1047" s="178" t="s">
        <v>194</v>
      </c>
      <c r="D1047" s="177" t="s">
        <v>187</v>
      </c>
      <c r="E1047" s="174">
        <v>110</v>
      </c>
      <c r="F1047" s="176"/>
      <c r="G1047" s="175"/>
      <c r="H1047" s="174"/>
      <c r="I1047" s="173">
        <v>15.88</v>
      </c>
      <c r="J1047" s="174">
        <v>88</v>
      </c>
      <c r="K1047" s="173">
        <v>296.70999999999998</v>
      </c>
    </row>
    <row r="1048" spans="1:22" ht="14.25" x14ac:dyDescent="0.2">
      <c r="A1048" s="179"/>
      <c r="B1048" s="178"/>
      <c r="C1048" s="178" t="s">
        <v>193</v>
      </c>
      <c r="D1048" s="177" t="s">
        <v>187</v>
      </c>
      <c r="E1048" s="174">
        <v>74</v>
      </c>
      <c r="F1048" s="176"/>
      <c r="G1048" s="175"/>
      <c r="H1048" s="174"/>
      <c r="I1048" s="173">
        <v>10.69</v>
      </c>
      <c r="J1048" s="174">
        <v>41</v>
      </c>
      <c r="K1048" s="173">
        <v>138.24</v>
      </c>
    </row>
    <row r="1049" spans="1:22" ht="14.25" x14ac:dyDescent="0.2">
      <c r="A1049" s="179"/>
      <c r="B1049" s="178"/>
      <c r="C1049" s="178" t="s">
        <v>188</v>
      </c>
      <c r="D1049" s="177" t="s">
        <v>187</v>
      </c>
      <c r="E1049" s="174">
        <v>175</v>
      </c>
      <c r="F1049" s="176"/>
      <c r="G1049" s="175"/>
      <c r="H1049" s="174"/>
      <c r="I1049" s="173">
        <v>0.42</v>
      </c>
      <c r="J1049" s="174">
        <v>157</v>
      </c>
      <c r="K1049" s="173">
        <v>8.7899999999999991</v>
      </c>
    </row>
    <row r="1050" spans="1:22" ht="14.25" x14ac:dyDescent="0.2">
      <c r="A1050" s="242"/>
      <c r="B1050" s="241"/>
      <c r="C1050" s="241" t="s">
        <v>192</v>
      </c>
      <c r="D1050" s="240" t="s">
        <v>191</v>
      </c>
      <c r="E1050" s="238">
        <v>1.03</v>
      </c>
      <c r="F1050" s="253"/>
      <c r="G1050" s="239" t="s">
        <v>2668</v>
      </c>
      <c r="H1050" s="238">
        <v>1</v>
      </c>
      <c r="I1050" s="237">
        <v>1.24</v>
      </c>
      <c r="J1050" s="238"/>
      <c r="K1050" s="237"/>
    </row>
    <row r="1051" spans="1:22" ht="15" x14ac:dyDescent="0.25">
      <c r="A1051" s="235"/>
      <c r="B1051" s="235"/>
      <c r="C1051" s="236" t="s">
        <v>183</v>
      </c>
      <c r="D1051" s="235"/>
      <c r="E1051" s="235"/>
      <c r="F1051" s="235"/>
      <c r="G1051" s="235"/>
      <c r="H1051" s="436">
        <v>46.81</v>
      </c>
      <c r="I1051" s="436"/>
      <c r="J1051" s="436">
        <v>814.25</v>
      </c>
      <c r="K1051" s="436"/>
      <c r="O1051" s="163">
        <f>I1043+I1044+I1046+I1047+I1048+I1049</f>
        <v>46.81</v>
      </c>
      <c r="P1051" s="163">
        <f>K1043+K1044+K1046+K1047+K1048+K1049</f>
        <v>814.25</v>
      </c>
    </row>
    <row r="1053" spans="1:22" ht="28.5" x14ac:dyDescent="0.2">
      <c r="A1053" s="179" t="s">
        <v>2703</v>
      </c>
      <c r="B1053" s="178" t="s">
        <v>2677</v>
      </c>
      <c r="C1053" s="178" t="s">
        <v>1045</v>
      </c>
      <c r="D1053" s="177" t="s">
        <v>2678</v>
      </c>
      <c r="E1053" s="174">
        <v>0.15</v>
      </c>
      <c r="F1053" s="176"/>
      <c r="G1053" s="175"/>
      <c r="H1053" s="174"/>
      <c r="I1053" s="173"/>
      <c r="J1053" s="174"/>
      <c r="K1053" s="173"/>
      <c r="Q1053" s="160">
        <f>[8]Source!X521</f>
        <v>12.03</v>
      </c>
      <c r="R1053" s="160">
        <f>[8]Source!X522</f>
        <v>224.8</v>
      </c>
      <c r="S1053" s="160">
        <f>[8]Source!Y521</f>
        <v>8.1</v>
      </c>
      <c r="T1053" s="160">
        <f>[8]Source!Y522</f>
        <v>104.73</v>
      </c>
      <c r="U1053" s="160">
        <f>ROUND((175/100)*ROUND([8]Source!R521, 2), 2)</f>
        <v>1.4</v>
      </c>
      <c r="V1053" s="160">
        <f>ROUND((157/100)*ROUND([8]Source!R522, 2), 2)</f>
        <v>29.33</v>
      </c>
    </row>
    <row r="1054" spans="1:22" x14ac:dyDescent="0.2">
      <c r="C1054" s="181" t="s">
        <v>2679</v>
      </c>
    </row>
    <row r="1055" spans="1:22" ht="14.25" x14ac:dyDescent="0.2">
      <c r="A1055" s="179"/>
      <c r="B1055" s="178"/>
      <c r="C1055" s="178" t="s">
        <v>197</v>
      </c>
      <c r="D1055" s="177"/>
      <c r="E1055" s="174"/>
      <c r="F1055" s="176">
        <v>60.39</v>
      </c>
      <c r="G1055" s="175" t="s">
        <v>2668</v>
      </c>
      <c r="H1055" s="174">
        <v>1</v>
      </c>
      <c r="I1055" s="173">
        <v>10.94</v>
      </c>
      <c r="J1055" s="174">
        <v>23.35</v>
      </c>
      <c r="K1055" s="173">
        <v>255.45</v>
      </c>
    </row>
    <row r="1056" spans="1:22" ht="14.25" x14ac:dyDescent="0.2">
      <c r="A1056" s="179"/>
      <c r="B1056" s="178"/>
      <c r="C1056" s="178" t="s">
        <v>184</v>
      </c>
      <c r="D1056" s="177"/>
      <c r="E1056" s="174"/>
      <c r="F1056" s="176">
        <v>20.05</v>
      </c>
      <c r="G1056" s="175" t="s">
        <v>2669</v>
      </c>
      <c r="H1056" s="174">
        <v>1</v>
      </c>
      <c r="I1056" s="173">
        <v>3.95</v>
      </c>
      <c r="J1056" s="174">
        <v>8.98</v>
      </c>
      <c r="K1056" s="173">
        <v>35.47</v>
      </c>
    </row>
    <row r="1057" spans="1:22" ht="14.25" x14ac:dyDescent="0.2">
      <c r="A1057" s="179"/>
      <c r="B1057" s="178"/>
      <c r="C1057" s="178" t="s">
        <v>189</v>
      </c>
      <c r="D1057" s="177"/>
      <c r="E1057" s="174"/>
      <c r="F1057" s="176">
        <v>4.04</v>
      </c>
      <c r="G1057" s="175" t="s">
        <v>2669</v>
      </c>
      <c r="H1057" s="174">
        <v>1</v>
      </c>
      <c r="I1057" s="180">
        <v>0.8</v>
      </c>
      <c r="J1057" s="174">
        <v>23.35</v>
      </c>
      <c r="K1057" s="180">
        <v>18.68</v>
      </c>
    </row>
    <row r="1058" spans="1:22" ht="14.25" x14ac:dyDescent="0.2">
      <c r="A1058" s="179"/>
      <c r="B1058" s="178"/>
      <c r="C1058" s="178" t="s">
        <v>205</v>
      </c>
      <c r="D1058" s="177"/>
      <c r="E1058" s="174"/>
      <c r="F1058" s="176">
        <v>25.9</v>
      </c>
      <c r="G1058" s="175" t="s">
        <v>195</v>
      </c>
      <c r="H1058" s="174">
        <v>1</v>
      </c>
      <c r="I1058" s="173">
        <v>3.89</v>
      </c>
      <c r="J1058" s="174">
        <v>5.42</v>
      </c>
      <c r="K1058" s="173">
        <v>21.08</v>
      </c>
    </row>
    <row r="1059" spans="1:22" ht="14.25" x14ac:dyDescent="0.2">
      <c r="A1059" s="179"/>
      <c r="B1059" s="178"/>
      <c r="C1059" s="178" t="s">
        <v>194</v>
      </c>
      <c r="D1059" s="177" t="s">
        <v>187</v>
      </c>
      <c r="E1059" s="174">
        <v>110</v>
      </c>
      <c r="F1059" s="176"/>
      <c r="G1059" s="175"/>
      <c r="H1059" s="174"/>
      <c r="I1059" s="173">
        <v>12.03</v>
      </c>
      <c r="J1059" s="174">
        <v>88</v>
      </c>
      <c r="K1059" s="173">
        <v>224.8</v>
      </c>
    </row>
    <row r="1060" spans="1:22" ht="14.25" x14ac:dyDescent="0.2">
      <c r="A1060" s="179"/>
      <c r="B1060" s="178"/>
      <c r="C1060" s="178" t="s">
        <v>193</v>
      </c>
      <c r="D1060" s="177" t="s">
        <v>187</v>
      </c>
      <c r="E1060" s="174">
        <v>74</v>
      </c>
      <c r="F1060" s="176"/>
      <c r="G1060" s="175"/>
      <c r="H1060" s="174"/>
      <c r="I1060" s="173">
        <v>8.1</v>
      </c>
      <c r="J1060" s="174">
        <v>41</v>
      </c>
      <c r="K1060" s="173">
        <v>104.73</v>
      </c>
    </row>
    <row r="1061" spans="1:22" ht="14.25" x14ac:dyDescent="0.2">
      <c r="A1061" s="179"/>
      <c r="B1061" s="178"/>
      <c r="C1061" s="178" t="s">
        <v>188</v>
      </c>
      <c r="D1061" s="177" t="s">
        <v>187</v>
      </c>
      <c r="E1061" s="174">
        <v>175</v>
      </c>
      <c r="F1061" s="176"/>
      <c r="G1061" s="175"/>
      <c r="H1061" s="174"/>
      <c r="I1061" s="173">
        <v>1.4</v>
      </c>
      <c r="J1061" s="174">
        <v>157</v>
      </c>
      <c r="K1061" s="173">
        <v>29.33</v>
      </c>
    </row>
    <row r="1062" spans="1:22" ht="14.25" x14ac:dyDescent="0.2">
      <c r="A1062" s="242"/>
      <c r="B1062" s="241"/>
      <c r="C1062" s="241" t="s">
        <v>192</v>
      </c>
      <c r="D1062" s="240" t="s">
        <v>191</v>
      </c>
      <c r="E1062" s="238">
        <v>5.0199999999999996</v>
      </c>
      <c r="F1062" s="253"/>
      <c r="G1062" s="239" t="s">
        <v>2668</v>
      </c>
      <c r="H1062" s="238">
        <v>1</v>
      </c>
      <c r="I1062" s="237">
        <v>0.91</v>
      </c>
      <c r="J1062" s="238"/>
      <c r="K1062" s="237"/>
    </row>
    <row r="1063" spans="1:22" ht="15" x14ac:dyDescent="0.25">
      <c r="A1063" s="235"/>
      <c r="B1063" s="235"/>
      <c r="C1063" s="236" t="s">
        <v>183</v>
      </c>
      <c r="D1063" s="235"/>
      <c r="E1063" s="235"/>
      <c r="F1063" s="235"/>
      <c r="G1063" s="235"/>
      <c r="H1063" s="436">
        <v>40.31</v>
      </c>
      <c r="I1063" s="436"/>
      <c r="J1063" s="436">
        <v>670.86</v>
      </c>
      <c r="K1063" s="436"/>
      <c r="O1063" s="163">
        <f>I1055+I1056+I1058+I1059+I1060+I1061</f>
        <v>40.31</v>
      </c>
      <c r="P1063" s="163">
        <f>K1055+K1056+K1058+K1059+K1060+K1061</f>
        <v>670.86</v>
      </c>
    </row>
    <row r="1065" spans="1:22" ht="57" x14ac:dyDescent="0.2">
      <c r="A1065" s="179" t="s">
        <v>2704</v>
      </c>
      <c r="B1065" s="178" t="s">
        <v>2680</v>
      </c>
      <c r="C1065" s="178" t="s">
        <v>1052</v>
      </c>
      <c r="D1065" s="177" t="s">
        <v>1903</v>
      </c>
      <c r="E1065" s="174">
        <v>2</v>
      </c>
      <c r="F1065" s="176"/>
      <c r="G1065" s="175"/>
      <c r="H1065" s="174"/>
      <c r="I1065" s="173"/>
      <c r="J1065" s="174"/>
      <c r="K1065" s="173"/>
      <c r="Q1065" s="160">
        <f>[8]Source!X523</f>
        <v>33.21</v>
      </c>
      <c r="R1065" s="160">
        <f>[8]Source!X524</f>
        <v>620.35</v>
      </c>
      <c r="S1065" s="160">
        <f>[8]Source!Y523</f>
        <v>22.34</v>
      </c>
      <c r="T1065" s="160">
        <f>[8]Source!Y524</f>
        <v>289.02999999999997</v>
      </c>
      <c r="U1065" s="160">
        <f>ROUND((175/100)*ROUND([8]Source!R523, 2), 2)</f>
        <v>1.61</v>
      </c>
      <c r="V1065" s="160">
        <f>ROUND((157/100)*ROUND([8]Source!R524, 2), 2)</f>
        <v>33.72</v>
      </c>
    </row>
    <row r="1066" spans="1:22" ht="14.25" x14ac:dyDescent="0.2">
      <c r="A1066" s="179"/>
      <c r="B1066" s="178"/>
      <c r="C1066" s="178" t="s">
        <v>197</v>
      </c>
      <c r="D1066" s="177"/>
      <c r="E1066" s="174"/>
      <c r="F1066" s="176">
        <v>12.5</v>
      </c>
      <c r="G1066" s="175" t="s">
        <v>2668</v>
      </c>
      <c r="H1066" s="174">
        <v>1</v>
      </c>
      <c r="I1066" s="173">
        <v>30.19</v>
      </c>
      <c r="J1066" s="174">
        <v>23.35</v>
      </c>
      <c r="K1066" s="173">
        <v>704.94</v>
      </c>
    </row>
    <row r="1067" spans="1:22" ht="14.25" x14ac:dyDescent="0.2">
      <c r="A1067" s="179"/>
      <c r="B1067" s="178"/>
      <c r="C1067" s="178" t="s">
        <v>184</v>
      </c>
      <c r="D1067" s="177"/>
      <c r="E1067" s="174"/>
      <c r="F1067" s="176">
        <v>1.49</v>
      </c>
      <c r="G1067" s="175" t="s">
        <v>2669</v>
      </c>
      <c r="H1067" s="174">
        <v>1</v>
      </c>
      <c r="I1067" s="173">
        <v>3.91</v>
      </c>
      <c r="J1067" s="174">
        <v>9.58</v>
      </c>
      <c r="K1067" s="173">
        <v>37.46</v>
      </c>
    </row>
    <row r="1068" spans="1:22" ht="14.25" x14ac:dyDescent="0.2">
      <c r="A1068" s="179"/>
      <c r="B1068" s="178"/>
      <c r="C1068" s="178" t="s">
        <v>189</v>
      </c>
      <c r="D1068" s="177"/>
      <c r="E1068" s="174"/>
      <c r="F1068" s="176">
        <v>0.35</v>
      </c>
      <c r="G1068" s="175" t="s">
        <v>2669</v>
      </c>
      <c r="H1068" s="174">
        <v>1</v>
      </c>
      <c r="I1068" s="180">
        <v>0.92</v>
      </c>
      <c r="J1068" s="174">
        <v>23.35</v>
      </c>
      <c r="K1068" s="180">
        <v>21.48</v>
      </c>
    </row>
    <row r="1069" spans="1:22" ht="14.25" x14ac:dyDescent="0.2">
      <c r="A1069" s="179"/>
      <c r="B1069" s="178"/>
      <c r="C1069" s="178" t="s">
        <v>205</v>
      </c>
      <c r="D1069" s="177"/>
      <c r="E1069" s="174"/>
      <c r="F1069" s="176">
        <v>6.23</v>
      </c>
      <c r="G1069" s="175" t="s">
        <v>195</v>
      </c>
      <c r="H1069" s="174">
        <v>1</v>
      </c>
      <c r="I1069" s="173">
        <v>12.46</v>
      </c>
      <c r="J1069" s="174">
        <v>5.42</v>
      </c>
      <c r="K1069" s="173">
        <v>67.53</v>
      </c>
    </row>
    <row r="1070" spans="1:22" ht="14.25" x14ac:dyDescent="0.2">
      <c r="A1070" s="179"/>
      <c r="B1070" s="178"/>
      <c r="C1070" s="178" t="s">
        <v>194</v>
      </c>
      <c r="D1070" s="177" t="s">
        <v>187</v>
      </c>
      <c r="E1070" s="174">
        <v>110</v>
      </c>
      <c r="F1070" s="176"/>
      <c r="G1070" s="175"/>
      <c r="H1070" s="174"/>
      <c r="I1070" s="173">
        <v>33.21</v>
      </c>
      <c r="J1070" s="174">
        <v>88</v>
      </c>
      <c r="K1070" s="173">
        <v>620.35</v>
      </c>
    </row>
    <row r="1071" spans="1:22" ht="14.25" x14ac:dyDescent="0.2">
      <c r="A1071" s="179"/>
      <c r="B1071" s="178"/>
      <c r="C1071" s="178" t="s">
        <v>193</v>
      </c>
      <c r="D1071" s="177" t="s">
        <v>187</v>
      </c>
      <c r="E1071" s="174">
        <v>74</v>
      </c>
      <c r="F1071" s="176"/>
      <c r="G1071" s="175"/>
      <c r="H1071" s="174"/>
      <c r="I1071" s="173">
        <v>22.34</v>
      </c>
      <c r="J1071" s="174">
        <v>41</v>
      </c>
      <c r="K1071" s="173">
        <v>289.02999999999997</v>
      </c>
    </row>
    <row r="1072" spans="1:22" ht="14.25" x14ac:dyDescent="0.2">
      <c r="A1072" s="179"/>
      <c r="B1072" s="178"/>
      <c r="C1072" s="178" t="s">
        <v>188</v>
      </c>
      <c r="D1072" s="177" t="s">
        <v>187</v>
      </c>
      <c r="E1072" s="174">
        <v>175</v>
      </c>
      <c r="F1072" s="176"/>
      <c r="G1072" s="175"/>
      <c r="H1072" s="174"/>
      <c r="I1072" s="173">
        <v>1.61</v>
      </c>
      <c r="J1072" s="174">
        <v>157</v>
      </c>
      <c r="K1072" s="173">
        <v>33.72</v>
      </c>
    </row>
    <row r="1073" spans="1:22" ht="14.25" x14ac:dyDescent="0.2">
      <c r="A1073" s="242"/>
      <c r="B1073" s="241"/>
      <c r="C1073" s="241" t="s">
        <v>192</v>
      </c>
      <c r="D1073" s="240" t="s">
        <v>191</v>
      </c>
      <c r="E1073" s="238">
        <v>1.0900000000000001</v>
      </c>
      <c r="F1073" s="253"/>
      <c r="G1073" s="239" t="s">
        <v>2668</v>
      </c>
      <c r="H1073" s="238">
        <v>1</v>
      </c>
      <c r="I1073" s="237">
        <v>2.63</v>
      </c>
      <c r="J1073" s="238"/>
      <c r="K1073" s="237"/>
    </row>
    <row r="1074" spans="1:22" ht="15" x14ac:dyDescent="0.25">
      <c r="A1074" s="235"/>
      <c r="B1074" s="235"/>
      <c r="C1074" s="236" t="s">
        <v>183</v>
      </c>
      <c r="D1074" s="235"/>
      <c r="E1074" s="235"/>
      <c r="F1074" s="235"/>
      <c r="G1074" s="235"/>
      <c r="H1074" s="436">
        <v>103.72</v>
      </c>
      <c r="I1074" s="436"/>
      <c r="J1074" s="436">
        <v>1753.03</v>
      </c>
      <c r="K1074" s="436"/>
      <c r="O1074" s="163">
        <f>I1066+I1067+I1069+I1070+I1071+I1072</f>
        <v>103.72</v>
      </c>
      <c r="P1074" s="163">
        <f>K1066+K1067+K1069+K1070+K1071+K1072</f>
        <v>1753.03</v>
      </c>
    </row>
    <row r="1076" spans="1:22" ht="68.25" x14ac:dyDescent="0.2">
      <c r="A1076" s="250" t="s">
        <v>2705</v>
      </c>
      <c r="B1076" s="249" t="s">
        <v>2670</v>
      </c>
      <c r="C1076" s="249" t="s">
        <v>1060</v>
      </c>
      <c r="D1076" s="248" t="s">
        <v>1913</v>
      </c>
      <c r="E1076" s="246">
        <v>1</v>
      </c>
      <c r="F1076" s="254">
        <v>2892.24</v>
      </c>
      <c r="G1076" s="247" t="s">
        <v>195</v>
      </c>
      <c r="H1076" s="246">
        <v>1</v>
      </c>
      <c r="I1076" s="245">
        <v>2892.24</v>
      </c>
      <c r="J1076" s="246">
        <v>4.4000000000000004</v>
      </c>
      <c r="K1076" s="245">
        <v>12725.86</v>
      </c>
      <c r="Q1076" s="160">
        <f>[8]Source!X525</f>
        <v>0</v>
      </c>
      <c r="R1076" s="160">
        <f>[8]Source!X526</f>
        <v>0</v>
      </c>
      <c r="S1076" s="160">
        <f>[8]Source!Y525</f>
        <v>0</v>
      </c>
      <c r="T1076" s="160">
        <f>[8]Source!Y526</f>
        <v>0</v>
      </c>
      <c r="U1076" s="160">
        <f>ROUND((175/100)*ROUND([8]Source!R525, 2), 2)</f>
        <v>0</v>
      </c>
      <c r="V1076" s="160">
        <f>ROUND((157/100)*ROUND([8]Source!R526, 2), 2)</f>
        <v>0</v>
      </c>
    </row>
    <row r="1077" spans="1:22" ht="15" x14ac:dyDescent="0.25">
      <c r="A1077" s="243"/>
      <c r="B1077" s="243"/>
      <c r="C1077" s="244" t="s">
        <v>183</v>
      </c>
      <c r="D1077" s="243"/>
      <c r="E1077" s="243"/>
      <c r="F1077" s="243"/>
      <c r="G1077" s="243"/>
      <c r="H1077" s="437">
        <v>2892.24</v>
      </c>
      <c r="I1077" s="437"/>
      <c r="J1077" s="437">
        <v>12725.86</v>
      </c>
      <c r="K1077" s="437"/>
      <c r="O1077" s="163">
        <f>I1076</f>
        <v>2892.24</v>
      </c>
      <c r="P1077" s="163">
        <f>K1076</f>
        <v>12725.86</v>
      </c>
    </row>
    <row r="1079" spans="1:22" ht="28.5" x14ac:dyDescent="0.2">
      <c r="A1079" s="179" t="s">
        <v>2706</v>
      </c>
      <c r="B1079" s="178" t="s">
        <v>2673</v>
      </c>
      <c r="C1079" s="178" t="s">
        <v>1046</v>
      </c>
      <c r="D1079" s="177" t="s">
        <v>2674</v>
      </c>
      <c r="E1079" s="174">
        <v>1</v>
      </c>
      <c r="F1079" s="176"/>
      <c r="G1079" s="175"/>
      <c r="H1079" s="174"/>
      <c r="I1079" s="173"/>
      <c r="J1079" s="174"/>
      <c r="K1079" s="173"/>
      <c r="Q1079" s="160">
        <f>[8]Source!X528</f>
        <v>83.15</v>
      </c>
      <c r="R1079" s="160">
        <f>[8]Source!X529</f>
        <v>1553.23</v>
      </c>
      <c r="S1079" s="160">
        <f>[8]Source!Y528</f>
        <v>55.94</v>
      </c>
      <c r="T1079" s="160">
        <f>[8]Source!Y529</f>
        <v>723.66</v>
      </c>
      <c r="U1079" s="160">
        <f>ROUND((175/100)*ROUND([8]Source!R528, 2), 2)</f>
        <v>3.38</v>
      </c>
      <c r="V1079" s="160">
        <f>ROUND((157/100)*ROUND([8]Source!R529, 2), 2)</f>
        <v>70.760000000000005</v>
      </c>
    </row>
    <row r="1080" spans="1:22" ht="14.25" x14ac:dyDescent="0.2">
      <c r="A1080" s="179"/>
      <c r="B1080" s="178"/>
      <c r="C1080" s="178" t="s">
        <v>197</v>
      </c>
      <c r="D1080" s="177"/>
      <c r="E1080" s="174"/>
      <c r="F1080" s="176">
        <v>62.6</v>
      </c>
      <c r="G1080" s="175" t="s">
        <v>2668</v>
      </c>
      <c r="H1080" s="174">
        <v>1</v>
      </c>
      <c r="I1080" s="173">
        <v>75.59</v>
      </c>
      <c r="J1080" s="174">
        <v>23.35</v>
      </c>
      <c r="K1080" s="173">
        <v>1765.03</v>
      </c>
    </row>
    <row r="1081" spans="1:22" ht="14.25" x14ac:dyDescent="0.2">
      <c r="A1081" s="179"/>
      <c r="B1081" s="178"/>
      <c r="C1081" s="178" t="s">
        <v>184</v>
      </c>
      <c r="D1081" s="177"/>
      <c r="E1081" s="174"/>
      <c r="F1081" s="176">
        <v>8.82</v>
      </c>
      <c r="G1081" s="175" t="s">
        <v>2669</v>
      </c>
      <c r="H1081" s="174">
        <v>1</v>
      </c>
      <c r="I1081" s="173">
        <v>11.58</v>
      </c>
      <c r="J1081" s="174">
        <v>8.66</v>
      </c>
      <c r="K1081" s="173">
        <v>100.28</v>
      </c>
    </row>
    <row r="1082" spans="1:22" ht="14.25" x14ac:dyDescent="0.2">
      <c r="A1082" s="179"/>
      <c r="B1082" s="178"/>
      <c r="C1082" s="178" t="s">
        <v>189</v>
      </c>
      <c r="D1082" s="177"/>
      <c r="E1082" s="174"/>
      <c r="F1082" s="176">
        <v>1.47</v>
      </c>
      <c r="G1082" s="175" t="s">
        <v>2669</v>
      </c>
      <c r="H1082" s="174">
        <v>1</v>
      </c>
      <c r="I1082" s="180">
        <v>1.93</v>
      </c>
      <c r="J1082" s="174">
        <v>23.35</v>
      </c>
      <c r="K1082" s="180">
        <v>45.07</v>
      </c>
    </row>
    <row r="1083" spans="1:22" ht="14.25" x14ac:dyDescent="0.2">
      <c r="A1083" s="179"/>
      <c r="B1083" s="178"/>
      <c r="C1083" s="178" t="s">
        <v>205</v>
      </c>
      <c r="D1083" s="177"/>
      <c r="E1083" s="174"/>
      <c r="F1083" s="176">
        <v>2.62</v>
      </c>
      <c r="G1083" s="175" t="s">
        <v>195</v>
      </c>
      <c r="H1083" s="174">
        <v>1</v>
      </c>
      <c r="I1083" s="173">
        <v>2.62</v>
      </c>
      <c r="J1083" s="174">
        <v>2.5299999999999998</v>
      </c>
      <c r="K1083" s="173">
        <v>6.63</v>
      </c>
    </row>
    <row r="1084" spans="1:22" ht="14.25" x14ac:dyDescent="0.2">
      <c r="A1084" s="179"/>
      <c r="B1084" s="178"/>
      <c r="C1084" s="178" t="s">
        <v>194</v>
      </c>
      <c r="D1084" s="177" t="s">
        <v>187</v>
      </c>
      <c r="E1084" s="174">
        <v>110</v>
      </c>
      <c r="F1084" s="176"/>
      <c r="G1084" s="175"/>
      <c r="H1084" s="174"/>
      <c r="I1084" s="173">
        <v>83.15</v>
      </c>
      <c r="J1084" s="174">
        <v>88</v>
      </c>
      <c r="K1084" s="173">
        <v>1553.23</v>
      </c>
    </row>
    <row r="1085" spans="1:22" ht="14.25" x14ac:dyDescent="0.2">
      <c r="A1085" s="179"/>
      <c r="B1085" s="178"/>
      <c r="C1085" s="178" t="s">
        <v>193</v>
      </c>
      <c r="D1085" s="177" t="s">
        <v>187</v>
      </c>
      <c r="E1085" s="174">
        <v>74</v>
      </c>
      <c r="F1085" s="176"/>
      <c r="G1085" s="175"/>
      <c r="H1085" s="174"/>
      <c r="I1085" s="173">
        <v>55.94</v>
      </c>
      <c r="J1085" s="174">
        <v>41</v>
      </c>
      <c r="K1085" s="173">
        <v>723.66</v>
      </c>
    </row>
    <row r="1086" spans="1:22" ht="14.25" x14ac:dyDescent="0.2">
      <c r="A1086" s="179"/>
      <c r="B1086" s="178"/>
      <c r="C1086" s="178" t="s">
        <v>188</v>
      </c>
      <c r="D1086" s="177" t="s">
        <v>187</v>
      </c>
      <c r="E1086" s="174">
        <v>175</v>
      </c>
      <c r="F1086" s="176"/>
      <c r="G1086" s="175"/>
      <c r="H1086" s="174"/>
      <c r="I1086" s="173">
        <v>3.38</v>
      </c>
      <c r="J1086" s="174">
        <v>157</v>
      </c>
      <c r="K1086" s="173">
        <v>70.760000000000005</v>
      </c>
    </row>
    <row r="1087" spans="1:22" ht="14.25" x14ac:dyDescent="0.2">
      <c r="A1087" s="242"/>
      <c r="B1087" s="241"/>
      <c r="C1087" s="241" t="s">
        <v>192</v>
      </c>
      <c r="D1087" s="240" t="s">
        <v>191</v>
      </c>
      <c r="E1087" s="238">
        <v>4.96</v>
      </c>
      <c r="F1087" s="253"/>
      <c r="G1087" s="239" t="s">
        <v>2668</v>
      </c>
      <c r="H1087" s="238">
        <v>1</v>
      </c>
      <c r="I1087" s="237">
        <v>5.99</v>
      </c>
      <c r="J1087" s="238"/>
      <c r="K1087" s="237"/>
    </row>
    <row r="1088" spans="1:22" ht="15" x14ac:dyDescent="0.25">
      <c r="A1088" s="235"/>
      <c r="B1088" s="235"/>
      <c r="C1088" s="236" t="s">
        <v>183</v>
      </c>
      <c r="D1088" s="235"/>
      <c r="E1088" s="235"/>
      <c r="F1088" s="235"/>
      <c r="G1088" s="235"/>
      <c r="H1088" s="436">
        <v>232.26</v>
      </c>
      <c r="I1088" s="436"/>
      <c r="J1088" s="436">
        <v>4219.59</v>
      </c>
      <c r="K1088" s="436"/>
      <c r="O1088" s="163">
        <f>I1080+I1081+I1083+I1084+I1085+I1086</f>
        <v>232.26</v>
      </c>
      <c r="P1088" s="163">
        <f>K1080+K1081+K1083+K1084+K1085+K1086</f>
        <v>4219.59</v>
      </c>
    </row>
    <row r="1090" spans="1:22" ht="28.5" x14ac:dyDescent="0.2">
      <c r="A1090" s="179" t="s">
        <v>2707</v>
      </c>
      <c r="B1090" s="178" t="s">
        <v>2675</v>
      </c>
      <c r="C1090" s="178" t="s">
        <v>1026</v>
      </c>
      <c r="D1090" s="177" t="s">
        <v>2676</v>
      </c>
      <c r="E1090" s="174">
        <v>1</v>
      </c>
      <c r="F1090" s="176"/>
      <c r="G1090" s="175"/>
      <c r="H1090" s="174"/>
      <c r="I1090" s="173"/>
      <c r="J1090" s="174"/>
      <c r="K1090" s="173"/>
      <c r="Q1090" s="160">
        <f>[8]Source!X532</f>
        <v>15.88</v>
      </c>
      <c r="R1090" s="160">
        <f>[8]Source!X533</f>
        <v>296.70999999999998</v>
      </c>
      <c r="S1090" s="160">
        <f>[8]Source!Y532</f>
        <v>10.69</v>
      </c>
      <c r="T1090" s="160">
        <f>[8]Source!Y533</f>
        <v>138.24</v>
      </c>
      <c r="U1090" s="160">
        <f>ROUND((175/100)*ROUND([8]Source!R532, 2), 2)</f>
        <v>0.42</v>
      </c>
      <c r="V1090" s="160">
        <f>ROUND((157/100)*ROUND([8]Source!R533, 2), 2)</f>
        <v>8.7899999999999991</v>
      </c>
    </row>
    <row r="1091" spans="1:22" ht="14.25" x14ac:dyDescent="0.2">
      <c r="A1091" s="179"/>
      <c r="B1091" s="178"/>
      <c r="C1091" s="178" t="s">
        <v>197</v>
      </c>
      <c r="D1091" s="177"/>
      <c r="E1091" s="174"/>
      <c r="F1091" s="176">
        <v>11.96</v>
      </c>
      <c r="G1091" s="175" t="s">
        <v>2668</v>
      </c>
      <c r="H1091" s="174">
        <v>1</v>
      </c>
      <c r="I1091" s="173">
        <v>14.44</v>
      </c>
      <c r="J1091" s="174">
        <v>23.35</v>
      </c>
      <c r="K1091" s="173">
        <v>337.17</v>
      </c>
    </row>
    <row r="1092" spans="1:22" ht="14.25" x14ac:dyDescent="0.2">
      <c r="A1092" s="179"/>
      <c r="B1092" s="178"/>
      <c r="C1092" s="178" t="s">
        <v>184</v>
      </c>
      <c r="D1092" s="177"/>
      <c r="E1092" s="174"/>
      <c r="F1092" s="176">
        <v>0.74</v>
      </c>
      <c r="G1092" s="175" t="s">
        <v>2669</v>
      </c>
      <c r="H1092" s="174">
        <v>1</v>
      </c>
      <c r="I1092" s="173">
        <v>0.97</v>
      </c>
      <c r="J1092" s="174">
        <v>9.73</v>
      </c>
      <c r="K1092" s="173">
        <v>9.44</v>
      </c>
    </row>
    <row r="1093" spans="1:22" ht="14.25" x14ac:dyDescent="0.2">
      <c r="A1093" s="179"/>
      <c r="B1093" s="178"/>
      <c r="C1093" s="178" t="s">
        <v>189</v>
      </c>
      <c r="D1093" s="177"/>
      <c r="E1093" s="174"/>
      <c r="F1093" s="176">
        <v>0.18</v>
      </c>
      <c r="G1093" s="175" t="s">
        <v>2669</v>
      </c>
      <c r="H1093" s="174">
        <v>1</v>
      </c>
      <c r="I1093" s="180">
        <v>0.24</v>
      </c>
      <c r="J1093" s="174">
        <v>23.35</v>
      </c>
      <c r="K1093" s="180">
        <v>5.6</v>
      </c>
    </row>
    <row r="1094" spans="1:22" ht="14.25" x14ac:dyDescent="0.2">
      <c r="A1094" s="179"/>
      <c r="B1094" s="178"/>
      <c r="C1094" s="178" t="s">
        <v>205</v>
      </c>
      <c r="D1094" s="177"/>
      <c r="E1094" s="174"/>
      <c r="F1094" s="176">
        <v>4.41</v>
      </c>
      <c r="G1094" s="175" t="s">
        <v>195</v>
      </c>
      <c r="H1094" s="174">
        <v>1</v>
      </c>
      <c r="I1094" s="173">
        <v>4.41</v>
      </c>
      <c r="J1094" s="174">
        <v>5.42</v>
      </c>
      <c r="K1094" s="173">
        <v>23.9</v>
      </c>
    </row>
    <row r="1095" spans="1:22" ht="14.25" x14ac:dyDescent="0.2">
      <c r="A1095" s="179"/>
      <c r="B1095" s="178"/>
      <c r="C1095" s="178" t="s">
        <v>194</v>
      </c>
      <c r="D1095" s="177" t="s">
        <v>187</v>
      </c>
      <c r="E1095" s="174">
        <v>110</v>
      </c>
      <c r="F1095" s="176"/>
      <c r="G1095" s="175"/>
      <c r="H1095" s="174"/>
      <c r="I1095" s="173">
        <v>15.88</v>
      </c>
      <c r="J1095" s="174">
        <v>88</v>
      </c>
      <c r="K1095" s="173">
        <v>296.70999999999998</v>
      </c>
    </row>
    <row r="1096" spans="1:22" ht="14.25" x14ac:dyDescent="0.2">
      <c r="A1096" s="179"/>
      <c r="B1096" s="178"/>
      <c r="C1096" s="178" t="s">
        <v>193</v>
      </c>
      <c r="D1096" s="177" t="s">
        <v>187</v>
      </c>
      <c r="E1096" s="174">
        <v>74</v>
      </c>
      <c r="F1096" s="176"/>
      <c r="G1096" s="175"/>
      <c r="H1096" s="174"/>
      <c r="I1096" s="173">
        <v>10.69</v>
      </c>
      <c r="J1096" s="174">
        <v>41</v>
      </c>
      <c r="K1096" s="173">
        <v>138.24</v>
      </c>
    </row>
    <row r="1097" spans="1:22" ht="14.25" x14ac:dyDescent="0.2">
      <c r="A1097" s="179"/>
      <c r="B1097" s="178"/>
      <c r="C1097" s="178" t="s">
        <v>188</v>
      </c>
      <c r="D1097" s="177" t="s">
        <v>187</v>
      </c>
      <c r="E1097" s="174">
        <v>175</v>
      </c>
      <c r="F1097" s="176"/>
      <c r="G1097" s="175"/>
      <c r="H1097" s="174"/>
      <c r="I1097" s="173">
        <v>0.42</v>
      </c>
      <c r="J1097" s="174">
        <v>157</v>
      </c>
      <c r="K1097" s="173">
        <v>8.7899999999999991</v>
      </c>
    </row>
    <row r="1098" spans="1:22" ht="14.25" x14ac:dyDescent="0.2">
      <c r="A1098" s="242"/>
      <c r="B1098" s="241"/>
      <c r="C1098" s="241" t="s">
        <v>192</v>
      </c>
      <c r="D1098" s="240" t="s">
        <v>191</v>
      </c>
      <c r="E1098" s="238">
        <v>1.03</v>
      </c>
      <c r="F1098" s="253"/>
      <c r="G1098" s="239" t="s">
        <v>2668</v>
      </c>
      <c r="H1098" s="238">
        <v>1</v>
      </c>
      <c r="I1098" s="237">
        <v>1.24</v>
      </c>
      <c r="J1098" s="238"/>
      <c r="K1098" s="237"/>
    </row>
    <row r="1099" spans="1:22" ht="15" x14ac:dyDescent="0.25">
      <c r="A1099" s="235"/>
      <c r="B1099" s="235"/>
      <c r="C1099" s="236" t="s">
        <v>183</v>
      </c>
      <c r="D1099" s="235"/>
      <c r="E1099" s="235"/>
      <c r="F1099" s="235"/>
      <c r="G1099" s="235"/>
      <c r="H1099" s="436">
        <v>46.81</v>
      </c>
      <c r="I1099" s="436"/>
      <c r="J1099" s="436">
        <v>814.25</v>
      </c>
      <c r="K1099" s="436"/>
      <c r="O1099" s="163">
        <f>I1091+I1092+I1094+I1095+I1096+I1097</f>
        <v>46.81</v>
      </c>
      <c r="P1099" s="163">
        <f>K1091+K1092+K1094+K1095+K1096+K1097</f>
        <v>814.25</v>
      </c>
    </row>
    <row r="1101" spans="1:22" ht="28.5" x14ac:dyDescent="0.2">
      <c r="A1101" s="179" t="s">
        <v>2708</v>
      </c>
      <c r="B1101" s="178" t="s">
        <v>2677</v>
      </c>
      <c r="C1101" s="178" t="s">
        <v>1045</v>
      </c>
      <c r="D1101" s="177" t="s">
        <v>2678</v>
      </c>
      <c r="E1101" s="174">
        <v>0.15</v>
      </c>
      <c r="F1101" s="176"/>
      <c r="G1101" s="175"/>
      <c r="H1101" s="174"/>
      <c r="I1101" s="173"/>
      <c r="J1101" s="174"/>
      <c r="K1101" s="173"/>
      <c r="Q1101" s="160">
        <f>[8]Source!X534</f>
        <v>12.03</v>
      </c>
      <c r="R1101" s="160">
        <f>[8]Source!X535</f>
        <v>224.8</v>
      </c>
      <c r="S1101" s="160">
        <f>[8]Source!Y534</f>
        <v>8.1</v>
      </c>
      <c r="T1101" s="160">
        <f>[8]Source!Y535</f>
        <v>104.73</v>
      </c>
      <c r="U1101" s="160">
        <f>ROUND((175/100)*ROUND([8]Source!R534, 2), 2)</f>
        <v>1.4</v>
      </c>
      <c r="V1101" s="160">
        <f>ROUND((157/100)*ROUND([8]Source!R535, 2), 2)</f>
        <v>29.33</v>
      </c>
    </row>
    <row r="1102" spans="1:22" x14ac:dyDescent="0.2">
      <c r="C1102" s="181" t="s">
        <v>2679</v>
      </c>
    </row>
    <row r="1103" spans="1:22" ht="14.25" x14ac:dyDescent="0.2">
      <c r="A1103" s="179"/>
      <c r="B1103" s="178"/>
      <c r="C1103" s="178" t="s">
        <v>197</v>
      </c>
      <c r="D1103" s="177"/>
      <c r="E1103" s="174"/>
      <c r="F1103" s="176">
        <v>60.39</v>
      </c>
      <c r="G1103" s="175" t="s">
        <v>2668</v>
      </c>
      <c r="H1103" s="174">
        <v>1</v>
      </c>
      <c r="I1103" s="173">
        <v>10.94</v>
      </c>
      <c r="J1103" s="174">
        <v>23.35</v>
      </c>
      <c r="K1103" s="173">
        <v>255.45</v>
      </c>
    </row>
    <row r="1104" spans="1:22" ht="14.25" x14ac:dyDescent="0.2">
      <c r="A1104" s="179"/>
      <c r="B1104" s="178"/>
      <c r="C1104" s="178" t="s">
        <v>184</v>
      </c>
      <c r="D1104" s="177"/>
      <c r="E1104" s="174"/>
      <c r="F1104" s="176">
        <v>20.05</v>
      </c>
      <c r="G1104" s="175" t="s">
        <v>2669</v>
      </c>
      <c r="H1104" s="174">
        <v>1</v>
      </c>
      <c r="I1104" s="173">
        <v>3.95</v>
      </c>
      <c r="J1104" s="174">
        <v>8.98</v>
      </c>
      <c r="K1104" s="173">
        <v>35.47</v>
      </c>
    </row>
    <row r="1105" spans="1:22" ht="14.25" x14ac:dyDescent="0.2">
      <c r="A1105" s="179"/>
      <c r="B1105" s="178"/>
      <c r="C1105" s="178" t="s">
        <v>189</v>
      </c>
      <c r="D1105" s="177"/>
      <c r="E1105" s="174"/>
      <c r="F1105" s="176">
        <v>4.04</v>
      </c>
      <c r="G1105" s="175" t="s">
        <v>2669</v>
      </c>
      <c r="H1105" s="174">
        <v>1</v>
      </c>
      <c r="I1105" s="180">
        <v>0.8</v>
      </c>
      <c r="J1105" s="174">
        <v>23.35</v>
      </c>
      <c r="K1105" s="180">
        <v>18.68</v>
      </c>
    </row>
    <row r="1106" spans="1:22" ht="14.25" x14ac:dyDescent="0.2">
      <c r="A1106" s="179"/>
      <c r="B1106" s="178"/>
      <c r="C1106" s="178" t="s">
        <v>205</v>
      </c>
      <c r="D1106" s="177"/>
      <c r="E1106" s="174"/>
      <c r="F1106" s="176">
        <v>25.9</v>
      </c>
      <c r="G1106" s="175" t="s">
        <v>195</v>
      </c>
      <c r="H1106" s="174">
        <v>1</v>
      </c>
      <c r="I1106" s="173">
        <v>3.89</v>
      </c>
      <c r="J1106" s="174">
        <v>5.42</v>
      </c>
      <c r="K1106" s="173">
        <v>21.08</v>
      </c>
    </row>
    <row r="1107" spans="1:22" ht="14.25" x14ac:dyDescent="0.2">
      <c r="A1107" s="179"/>
      <c r="B1107" s="178"/>
      <c r="C1107" s="178" t="s">
        <v>194</v>
      </c>
      <c r="D1107" s="177" t="s">
        <v>187</v>
      </c>
      <c r="E1107" s="174">
        <v>110</v>
      </c>
      <c r="F1107" s="176"/>
      <c r="G1107" s="175"/>
      <c r="H1107" s="174"/>
      <c r="I1107" s="173">
        <v>12.03</v>
      </c>
      <c r="J1107" s="174">
        <v>88</v>
      </c>
      <c r="K1107" s="173">
        <v>224.8</v>
      </c>
    </row>
    <row r="1108" spans="1:22" ht="14.25" x14ac:dyDescent="0.2">
      <c r="A1108" s="179"/>
      <c r="B1108" s="178"/>
      <c r="C1108" s="178" t="s">
        <v>193</v>
      </c>
      <c r="D1108" s="177" t="s">
        <v>187</v>
      </c>
      <c r="E1108" s="174">
        <v>74</v>
      </c>
      <c r="F1108" s="176"/>
      <c r="G1108" s="175"/>
      <c r="H1108" s="174"/>
      <c r="I1108" s="173">
        <v>8.1</v>
      </c>
      <c r="J1108" s="174">
        <v>41</v>
      </c>
      <c r="K1108" s="173">
        <v>104.73</v>
      </c>
    </row>
    <row r="1109" spans="1:22" ht="14.25" x14ac:dyDescent="0.2">
      <c r="A1109" s="179"/>
      <c r="B1109" s="178"/>
      <c r="C1109" s="178" t="s">
        <v>188</v>
      </c>
      <c r="D1109" s="177" t="s">
        <v>187</v>
      </c>
      <c r="E1109" s="174">
        <v>175</v>
      </c>
      <c r="F1109" s="176"/>
      <c r="G1109" s="175"/>
      <c r="H1109" s="174"/>
      <c r="I1109" s="173">
        <v>1.4</v>
      </c>
      <c r="J1109" s="174">
        <v>157</v>
      </c>
      <c r="K1109" s="173">
        <v>29.33</v>
      </c>
    </row>
    <row r="1110" spans="1:22" ht="14.25" x14ac:dyDescent="0.2">
      <c r="A1110" s="242"/>
      <c r="B1110" s="241"/>
      <c r="C1110" s="241" t="s">
        <v>192</v>
      </c>
      <c r="D1110" s="240" t="s">
        <v>191</v>
      </c>
      <c r="E1110" s="238">
        <v>5.0199999999999996</v>
      </c>
      <c r="F1110" s="253"/>
      <c r="G1110" s="239" t="s">
        <v>2668</v>
      </c>
      <c r="H1110" s="238">
        <v>1</v>
      </c>
      <c r="I1110" s="237">
        <v>0.91</v>
      </c>
      <c r="J1110" s="238"/>
      <c r="K1110" s="237"/>
    </row>
    <row r="1111" spans="1:22" ht="15" x14ac:dyDescent="0.25">
      <c r="A1111" s="235"/>
      <c r="B1111" s="235"/>
      <c r="C1111" s="236" t="s">
        <v>183</v>
      </c>
      <c r="D1111" s="235"/>
      <c r="E1111" s="235"/>
      <c r="F1111" s="235"/>
      <c r="G1111" s="235"/>
      <c r="H1111" s="436">
        <v>40.31</v>
      </c>
      <c r="I1111" s="436"/>
      <c r="J1111" s="436">
        <v>670.86</v>
      </c>
      <c r="K1111" s="436"/>
      <c r="O1111" s="163">
        <f>I1103+I1104+I1106+I1107+I1108+I1109</f>
        <v>40.31</v>
      </c>
      <c r="P1111" s="163">
        <f>K1103+K1104+K1106+K1107+K1108+K1109</f>
        <v>670.86</v>
      </c>
    </row>
    <row r="1113" spans="1:22" ht="57" x14ac:dyDescent="0.2">
      <c r="A1113" s="179" t="s">
        <v>2709</v>
      </c>
      <c r="B1113" s="178" t="s">
        <v>2680</v>
      </c>
      <c r="C1113" s="178" t="s">
        <v>1052</v>
      </c>
      <c r="D1113" s="177" t="s">
        <v>1903</v>
      </c>
      <c r="E1113" s="174">
        <v>2</v>
      </c>
      <c r="F1113" s="176"/>
      <c r="G1113" s="175"/>
      <c r="H1113" s="174"/>
      <c r="I1113" s="173"/>
      <c r="J1113" s="174"/>
      <c r="K1113" s="173"/>
      <c r="Q1113" s="160">
        <f>[8]Source!X536</f>
        <v>33.21</v>
      </c>
      <c r="R1113" s="160">
        <f>[8]Source!X537</f>
        <v>620.35</v>
      </c>
      <c r="S1113" s="160">
        <f>[8]Source!Y536</f>
        <v>22.34</v>
      </c>
      <c r="T1113" s="160">
        <f>[8]Source!Y537</f>
        <v>289.02999999999997</v>
      </c>
      <c r="U1113" s="160">
        <f>ROUND((175/100)*ROUND([8]Source!R536, 2), 2)</f>
        <v>1.61</v>
      </c>
      <c r="V1113" s="160">
        <f>ROUND((157/100)*ROUND([8]Source!R537, 2), 2)</f>
        <v>33.72</v>
      </c>
    </row>
    <row r="1114" spans="1:22" ht="14.25" x14ac:dyDescent="0.2">
      <c r="A1114" s="179"/>
      <c r="B1114" s="178"/>
      <c r="C1114" s="178" t="s">
        <v>197</v>
      </c>
      <c r="D1114" s="177"/>
      <c r="E1114" s="174"/>
      <c r="F1114" s="176">
        <v>12.5</v>
      </c>
      <c r="G1114" s="175" t="s">
        <v>2668</v>
      </c>
      <c r="H1114" s="174">
        <v>1</v>
      </c>
      <c r="I1114" s="173">
        <v>30.19</v>
      </c>
      <c r="J1114" s="174">
        <v>23.35</v>
      </c>
      <c r="K1114" s="173">
        <v>704.94</v>
      </c>
    </row>
    <row r="1115" spans="1:22" ht="14.25" x14ac:dyDescent="0.2">
      <c r="A1115" s="179"/>
      <c r="B1115" s="178"/>
      <c r="C1115" s="178" t="s">
        <v>184</v>
      </c>
      <c r="D1115" s="177"/>
      <c r="E1115" s="174"/>
      <c r="F1115" s="176">
        <v>1.49</v>
      </c>
      <c r="G1115" s="175" t="s">
        <v>2669</v>
      </c>
      <c r="H1115" s="174">
        <v>1</v>
      </c>
      <c r="I1115" s="173">
        <v>3.91</v>
      </c>
      <c r="J1115" s="174">
        <v>9.58</v>
      </c>
      <c r="K1115" s="173">
        <v>37.46</v>
      </c>
    </row>
    <row r="1116" spans="1:22" ht="14.25" x14ac:dyDescent="0.2">
      <c r="A1116" s="179"/>
      <c r="B1116" s="178"/>
      <c r="C1116" s="178" t="s">
        <v>189</v>
      </c>
      <c r="D1116" s="177"/>
      <c r="E1116" s="174"/>
      <c r="F1116" s="176">
        <v>0.35</v>
      </c>
      <c r="G1116" s="175" t="s">
        <v>2669</v>
      </c>
      <c r="H1116" s="174">
        <v>1</v>
      </c>
      <c r="I1116" s="180">
        <v>0.92</v>
      </c>
      <c r="J1116" s="174">
        <v>23.35</v>
      </c>
      <c r="K1116" s="180">
        <v>21.48</v>
      </c>
    </row>
    <row r="1117" spans="1:22" ht="14.25" x14ac:dyDescent="0.2">
      <c r="A1117" s="179"/>
      <c r="B1117" s="178"/>
      <c r="C1117" s="178" t="s">
        <v>205</v>
      </c>
      <c r="D1117" s="177"/>
      <c r="E1117" s="174"/>
      <c r="F1117" s="176">
        <v>6.23</v>
      </c>
      <c r="G1117" s="175" t="s">
        <v>195</v>
      </c>
      <c r="H1117" s="174">
        <v>1</v>
      </c>
      <c r="I1117" s="173">
        <v>12.46</v>
      </c>
      <c r="J1117" s="174">
        <v>5.42</v>
      </c>
      <c r="K1117" s="173">
        <v>67.53</v>
      </c>
    </row>
    <row r="1118" spans="1:22" ht="14.25" x14ac:dyDescent="0.2">
      <c r="A1118" s="179"/>
      <c r="B1118" s="178"/>
      <c r="C1118" s="178" t="s">
        <v>194</v>
      </c>
      <c r="D1118" s="177" t="s">
        <v>187</v>
      </c>
      <c r="E1118" s="174">
        <v>110</v>
      </c>
      <c r="F1118" s="176"/>
      <c r="G1118" s="175"/>
      <c r="H1118" s="174"/>
      <c r="I1118" s="173">
        <v>33.21</v>
      </c>
      <c r="J1118" s="174">
        <v>88</v>
      </c>
      <c r="K1118" s="173">
        <v>620.35</v>
      </c>
    </row>
    <row r="1119" spans="1:22" ht="14.25" x14ac:dyDescent="0.2">
      <c r="A1119" s="179"/>
      <c r="B1119" s="178"/>
      <c r="C1119" s="178" t="s">
        <v>193</v>
      </c>
      <c r="D1119" s="177" t="s">
        <v>187</v>
      </c>
      <c r="E1119" s="174">
        <v>74</v>
      </c>
      <c r="F1119" s="176"/>
      <c r="G1119" s="175"/>
      <c r="H1119" s="174"/>
      <c r="I1119" s="173">
        <v>22.34</v>
      </c>
      <c r="J1119" s="174">
        <v>41</v>
      </c>
      <c r="K1119" s="173">
        <v>289.02999999999997</v>
      </c>
    </row>
    <row r="1120" spans="1:22" ht="14.25" x14ac:dyDescent="0.2">
      <c r="A1120" s="179"/>
      <c r="B1120" s="178"/>
      <c r="C1120" s="178" t="s">
        <v>188</v>
      </c>
      <c r="D1120" s="177" t="s">
        <v>187</v>
      </c>
      <c r="E1120" s="174">
        <v>175</v>
      </c>
      <c r="F1120" s="176"/>
      <c r="G1120" s="175"/>
      <c r="H1120" s="174"/>
      <c r="I1120" s="173">
        <v>1.61</v>
      </c>
      <c r="J1120" s="174">
        <v>157</v>
      </c>
      <c r="K1120" s="173">
        <v>33.72</v>
      </c>
    </row>
    <row r="1121" spans="1:22" ht="14.25" x14ac:dyDescent="0.2">
      <c r="A1121" s="242"/>
      <c r="B1121" s="241"/>
      <c r="C1121" s="241" t="s">
        <v>192</v>
      </c>
      <c r="D1121" s="240" t="s">
        <v>191</v>
      </c>
      <c r="E1121" s="238">
        <v>1.0900000000000001</v>
      </c>
      <c r="F1121" s="253"/>
      <c r="G1121" s="239" t="s">
        <v>2668</v>
      </c>
      <c r="H1121" s="238">
        <v>1</v>
      </c>
      <c r="I1121" s="237">
        <v>2.63</v>
      </c>
      <c r="J1121" s="238"/>
      <c r="K1121" s="237"/>
    </row>
    <row r="1122" spans="1:22" ht="15" x14ac:dyDescent="0.25">
      <c r="A1122" s="235"/>
      <c r="B1122" s="235"/>
      <c r="C1122" s="236" t="s">
        <v>183</v>
      </c>
      <c r="D1122" s="235"/>
      <c r="E1122" s="235"/>
      <c r="F1122" s="235"/>
      <c r="G1122" s="235"/>
      <c r="H1122" s="436">
        <v>103.72</v>
      </c>
      <c r="I1122" s="436"/>
      <c r="J1122" s="436">
        <v>1753.03</v>
      </c>
      <c r="K1122" s="436"/>
      <c r="O1122" s="163">
        <f>I1114+I1115+I1117+I1118+I1119+I1120</f>
        <v>103.72</v>
      </c>
      <c r="P1122" s="163">
        <f>K1114+K1115+K1117+K1118+K1119+K1120</f>
        <v>1753.03</v>
      </c>
    </row>
    <row r="1124" spans="1:22" ht="68.25" x14ac:dyDescent="0.2">
      <c r="A1124" s="250" t="s">
        <v>2710</v>
      </c>
      <c r="B1124" s="249" t="s">
        <v>2670</v>
      </c>
      <c r="C1124" s="249" t="s">
        <v>1059</v>
      </c>
      <c r="D1124" s="248" t="s">
        <v>1913</v>
      </c>
      <c r="E1124" s="246">
        <v>1</v>
      </c>
      <c r="F1124" s="254">
        <v>2892.24</v>
      </c>
      <c r="G1124" s="247" t="s">
        <v>195</v>
      </c>
      <c r="H1124" s="246">
        <v>1</v>
      </c>
      <c r="I1124" s="245">
        <v>2892.24</v>
      </c>
      <c r="J1124" s="246">
        <v>4.4000000000000004</v>
      </c>
      <c r="K1124" s="245">
        <v>12725.86</v>
      </c>
      <c r="Q1124" s="160">
        <f>[8]Source!X538</f>
        <v>0</v>
      </c>
      <c r="R1124" s="160">
        <f>[8]Source!X539</f>
        <v>0</v>
      </c>
      <c r="S1124" s="160">
        <f>[8]Source!Y538</f>
        <v>0</v>
      </c>
      <c r="T1124" s="160">
        <f>[8]Source!Y539</f>
        <v>0</v>
      </c>
      <c r="U1124" s="160">
        <f>ROUND((175/100)*ROUND([8]Source!R538, 2), 2)</f>
        <v>0</v>
      </c>
      <c r="V1124" s="160">
        <f>ROUND((157/100)*ROUND([8]Source!R539, 2), 2)</f>
        <v>0</v>
      </c>
    </row>
    <row r="1125" spans="1:22" ht="15" x14ac:dyDescent="0.25">
      <c r="A1125" s="243"/>
      <c r="B1125" s="243"/>
      <c r="C1125" s="244" t="s">
        <v>183</v>
      </c>
      <c r="D1125" s="243"/>
      <c r="E1125" s="243"/>
      <c r="F1125" s="243"/>
      <c r="G1125" s="243"/>
      <c r="H1125" s="437">
        <v>2892.24</v>
      </c>
      <c r="I1125" s="437"/>
      <c r="J1125" s="437">
        <v>12725.86</v>
      </c>
      <c r="K1125" s="437"/>
      <c r="O1125" s="163">
        <f>I1124</f>
        <v>2892.24</v>
      </c>
      <c r="P1125" s="163">
        <f>K1124</f>
        <v>12725.86</v>
      </c>
    </row>
    <row r="1127" spans="1:22" ht="28.5" x14ac:dyDescent="0.2">
      <c r="A1127" s="179" t="s">
        <v>2711</v>
      </c>
      <c r="B1127" s="178" t="s">
        <v>2673</v>
      </c>
      <c r="C1127" s="178" t="s">
        <v>1046</v>
      </c>
      <c r="D1127" s="177" t="s">
        <v>2674</v>
      </c>
      <c r="E1127" s="174">
        <v>1</v>
      </c>
      <c r="F1127" s="176"/>
      <c r="G1127" s="175"/>
      <c r="H1127" s="174"/>
      <c r="I1127" s="173"/>
      <c r="J1127" s="174"/>
      <c r="K1127" s="173"/>
      <c r="Q1127" s="160">
        <f>[8]Source!X541</f>
        <v>83.15</v>
      </c>
      <c r="R1127" s="160">
        <f>[8]Source!X542</f>
        <v>1553.23</v>
      </c>
      <c r="S1127" s="160">
        <f>[8]Source!Y541</f>
        <v>55.94</v>
      </c>
      <c r="T1127" s="160">
        <f>[8]Source!Y542</f>
        <v>723.66</v>
      </c>
      <c r="U1127" s="160">
        <f>ROUND((175/100)*ROUND([8]Source!R541, 2), 2)</f>
        <v>3.38</v>
      </c>
      <c r="V1127" s="160">
        <f>ROUND((157/100)*ROUND([8]Source!R542, 2), 2)</f>
        <v>70.760000000000005</v>
      </c>
    </row>
    <row r="1128" spans="1:22" ht="14.25" x14ac:dyDescent="0.2">
      <c r="A1128" s="179"/>
      <c r="B1128" s="178"/>
      <c r="C1128" s="178" t="s">
        <v>197</v>
      </c>
      <c r="D1128" s="177"/>
      <c r="E1128" s="174"/>
      <c r="F1128" s="176">
        <v>62.6</v>
      </c>
      <c r="G1128" s="175" t="s">
        <v>2668</v>
      </c>
      <c r="H1128" s="174">
        <v>1</v>
      </c>
      <c r="I1128" s="173">
        <v>75.59</v>
      </c>
      <c r="J1128" s="174">
        <v>23.35</v>
      </c>
      <c r="K1128" s="173">
        <v>1765.03</v>
      </c>
    </row>
    <row r="1129" spans="1:22" ht="14.25" x14ac:dyDescent="0.2">
      <c r="A1129" s="179"/>
      <c r="B1129" s="178"/>
      <c r="C1129" s="178" t="s">
        <v>184</v>
      </c>
      <c r="D1129" s="177"/>
      <c r="E1129" s="174"/>
      <c r="F1129" s="176">
        <v>8.82</v>
      </c>
      <c r="G1129" s="175" t="s">
        <v>2669</v>
      </c>
      <c r="H1129" s="174">
        <v>1</v>
      </c>
      <c r="I1129" s="173">
        <v>11.58</v>
      </c>
      <c r="J1129" s="174">
        <v>8.66</v>
      </c>
      <c r="K1129" s="173">
        <v>100.28</v>
      </c>
    </row>
    <row r="1130" spans="1:22" ht="14.25" x14ac:dyDescent="0.2">
      <c r="A1130" s="179"/>
      <c r="B1130" s="178"/>
      <c r="C1130" s="178" t="s">
        <v>189</v>
      </c>
      <c r="D1130" s="177"/>
      <c r="E1130" s="174"/>
      <c r="F1130" s="176">
        <v>1.47</v>
      </c>
      <c r="G1130" s="175" t="s">
        <v>2669</v>
      </c>
      <c r="H1130" s="174">
        <v>1</v>
      </c>
      <c r="I1130" s="180">
        <v>1.93</v>
      </c>
      <c r="J1130" s="174">
        <v>23.35</v>
      </c>
      <c r="K1130" s="180">
        <v>45.07</v>
      </c>
    </row>
    <row r="1131" spans="1:22" ht="14.25" x14ac:dyDescent="0.2">
      <c r="A1131" s="179"/>
      <c r="B1131" s="178"/>
      <c r="C1131" s="178" t="s">
        <v>205</v>
      </c>
      <c r="D1131" s="177"/>
      <c r="E1131" s="174"/>
      <c r="F1131" s="176">
        <v>2.62</v>
      </c>
      <c r="G1131" s="175" t="s">
        <v>195</v>
      </c>
      <c r="H1131" s="174">
        <v>1</v>
      </c>
      <c r="I1131" s="173">
        <v>2.62</v>
      </c>
      <c r="J1131" s="174">
        <v>2.5299999999999998</v>
      </c>
      <c r="K1131" s="173">
        <v>6.63</v>
      </c>
    </row>
    <row r="1132" spans="1:22" ht="14.25" x14ac:dyDescent="0.2">
      <c r="A1132" s="179"/>
      <c r="B1132" s="178"/>
      <c r="C1132" s="178" t="s">
        <v>194</v>
      </c>
      <c r="D1132" s="177" t="s">
        <v>187</v>
      </c>
      <c r="E1132" s="174">
        <v>110</v>
      </c>
      <c r="F1132" s="176"/>
      <c r="G1132" s="175"/>
      <c r="H1132" s="174"/>
      <c r="I1132" s="173">
        <v>83.15</v>
      </c>
      <c r="J1132" s="174">
        <v>88</v>
      </c>
      <c r="K1132" s="173">
        <v>1553.23</v>
      </c>
    </row>
    <row r="1133" spans="1:22" ht="14.25" x14ac:dyDescent="0.2">
      <c r="A1133" s="179"/>
      <c r="B1133" s="178"/>
      <c r="C1133" s="178" t="s">
        <v>193</v>
      </c>
      <c r="D1133" s="177" t="s">
        <v>187</v>
      </c>
      <c r="E1133" s="174">
        <v>74</v>
      </c>
      <c r="F1133" s="176"/>
      <c r="G1133" s="175"/>
      <c r="H1133" s="174"/>
      <c r="I1133" s="173">
        <v>55.94</v>
      </c>
      <c r="J1133" s="174">
        <v>41</v>
      </c>
      <c r="K1133" s="173">
        <v>723.66</v>
      </c>
    </row>
    <row r="1134" spans="1:22" ht="14.25" x14ac:dyDescent="0.2">
      <c r="A1134" s="179"/>
      <c r="B1134" s="178"/>
      <c r="C1134" s="178" t="s">
        <v>188</v>
      </c>
      <c r="D1134" s="177" t="s">
        <v>187</v>
      </c>
      <c r="E1134" s="174">
        <v>175</v>
      </c>
      <c r="F1134" s="176"/>
      <c r="G1134" s="175"/>
      <c r="H1134" s="174"/>
      <c r="I1134" s="173">
        <v>3.38</v>
      </c>
      <c r="J1134" s="174">
        <v>157</v>
      </c>
      <c r="K1134" s="173">
        <v>70.760000000000005</v>
      </c>
    </row>
    <row r="1135" spans="1:22" ht="14.25" x14ac:dyDescent="0.2">
      <c r="A1135" s="242"/>
      <c r="B1135" s="241"/>
      <c r="C1135" s="241" t="s">
        <v>192</v>
      </c>
      <c r="D1135" s="240" t="s">
        <v>191</v>
      </c>
      <c r="E1135" s="238">
        <v>4.96</v>
      </c>
      <c r="F1135" s="253"/>
      <c r="G1135" s="239" t="s">
        <v>2668</v>
      </c>
      <c r="H1135" s="238">
        <v>1</v>
      </c>
      <c r="I1135" s="237">
        <v>5.99</v>
      </c>
      <c r="J1135" s="238"/>
      <c r="K1135" s="237"/>
    </row>
    <row r="1136" spans="1:22" ht="15" x14ac:dyDescent="0.25">
      <c r="A1136" s="235"/>
      <c r="B1136" s="235"/>
      <c r="C1136" s="236" t="s">
        <v>183</v>
      </c>
      <c r="D1136" s="235"/>
      <c r="E1136" s="235"/>
      <c r="F1136" s="235"/>
      <c r="G1136" s="235"/>
      <c r="H1136" s="436">
        <v>232.26</v>
      </c>
      <c r="I1136" s="436"/>
      <c r="J1136" s="436">
        <v>4219.59</v>
      </c>
      <c r="K1136" s="436"/>
      <c r="O1136" s="163">
        <f>I1128+I1129+I1131+I1132+I1133+I1134</f>
        <v>232.26</v>
      </c>
      <c r="P1136" s="163">
        <f>K1128+K1129+K1131+K1132+K1133+K1134</f>
        <v>4219.59</v>
      </c>
    </row>
    <row r="1138" spans="1:22" ht="28.5" x14ac:dyDescent="0.2">
      <c r="A1138" s="179" t="s">
        <v>2712</v>
      </c>
      <c r="B1138" s="178" t="s">
        <v>2675</v>
      </c>
      <c r="C1138" s="178" t="s">
        <v>1026</v>
      </c>
      <c r="D1138" s="177" t="s">
        <v>2676</v>
      </c>
      <c r="E1138" s="174">
        <v>1</v>
      </c>
      <c r="F1138" s="176"/>
      <c r="G1138" s="175"/>
      <c r="H1138" s="174"/>
      <c r="I1138" s="173"/>
      <c r="J1138" s="174"/>
      <c r="K1138" s="173"/>
      <c r="Q1138" s="160">
        <f>[8]Source!X545</f>
        <v>15.88</v>
      </c>
      <c r="R1138" s="160">
        <f>[8]Source!X546</f>
        <v>296.70999999999998</v>
      </c>
      <c r="S1138" s="160">
        <f>[8]Source!Y545</f>
        <v>10.69</v>
      </c>
      <c r="T1138" s="160">
        <f>[8]Source!Y546</f>
        <v>138.24</v>
      </c>
      <c r="U1138" s="160">
        <f>ROUND((175/100)*ROUND([8]Source!R545, 2), 2)</f>
        <v>0.42</v>
      </c>
      <c r="V1138" s="160">
        <f>ROUND((157/100)*ROUND([8]Source!R546, 2), 2)</f>
        <v>8.7899999999999991</v>
      </c>
    </row>
    <row r="1139" spans="1:22" ht="14.25" x14ac:dyDescent="0.2">
      <c r="A1139" s="179"/>
      <c r="B1139" s="178"/>
      <c r="C1139" s="178" t="s">
        <v>197</v>
      </c>
      <c r="D1139" s="177"/>
      <c r="E1139" s="174"/>
      <c r="F1139" s="176">
        <v>11.96</v>
      </c>
      <c r="G1139" s="175" t="s">
        <v>2668</v>
      </c>
      <c r="H1139" s="174">
        <v>1</v>
      </c>
      <c r="I1139" s="173">
        <v>14.44</v>
      </c>
      <c r="J1139" s="174">
        <v>23.35</v>
      </c>
      <c r="K1139" s="173">
        <v>337.17</v>
      </c>
    </row>
    <row r="1140" spans="1:22" ht="14.25" x14ac:dyDescent="0.2">
      <c r="A1140" s="179"/>
      <c r="B1140" s="178"/>
      <c r="C1140" s="178" t="s">
        <v>184</v>
      </c>
      <c r="D1140" s="177"/>
      <c r="E1140" s="174"/>
      <c r="F1140" s="176">
        <v>0.74</v>
      </c>
      <c r="G1140" s="175" t="s">
        <v>2669</v>
      </c>
      <c r="H1140" s="174">
        <v>1</v>
      </c>
      <c r="I1140" s="173">
        <v>0.97</v>
      </c>
      <c r="J1140" s="174">
        <v>9.73</v>
      </c>
      <c r="K1140" s="173">
        <v>9.44</v>
      </c>
    </row>
    <row r="1141" spans="1:22" ht="14.25" x14ac:dyDescent="0.2">
      <c r="A1141" s="179"/>
      <c r="B1141" s="178"/>
      <c r="C1141" s="178" t="s">
        <v>189</v>
      </c>
      <c r="D1141" s="177"/>
      <c r="E1141" s="174"/>
      <c r="F1141" s="176">
        <v>0.18</v>
      </c>
      <c r="G1141" s="175" t="s">
        <v>2669</v>
      </c>
      <c r="H1141" s="174">
        <v>1</v>
      </c>
      <c r="I1141" s="180">
        <v>0.24</v>
      </c>
      <c r="J1141" s="174">
        <v>23.35</v>
      </c>
      <c r="K1141" s="180">
        <v>5.6</v>
      </c>
    </row>
    <row r="1142" spans="1:22" ht="14.25" x14ac:dyDescent="0.2">
      <c r="A1142" s="179"/>
      <c r="B1142" s="178"/>
      <c r="C1142" s="178" t="s">
        <v>205</v>
      </c>
      <c r="D1142" s="177"/>
      <c r="E1142" s="174"/>
      <c r="F1142" s="176">
        <v>4.41</v>
      </c>
      <c r="G1142" s="175" t="s">
        <v>195</v>
      </c>
      <c r="H1142" s="174">
        <v>1</v>
      </c>
      <c r="I1142" s="173">
        <v>4.41</v>
      </c>
      <c r="J1142" s="174">
        <v>5.42</v>
      </c>
      <c r="K1142" s="173">
        <v>23.9</v>
      </c>
    </row>
    <row r="1143" spans="1:22" ht="14.25" x14ac:dyDescent="0.2">
      <c r="A1143" s="179"/>
      <c r="B1143" s="178"/>
      <c r="C1143" s="178" t="s">
        <v>194</v>
      </c>
      <c r="D1143" s="177" t="s">
        <v>187</v>
      </c>
      <c r="E1143" s="174">
        <v>110</v>
      </c>
      <c r="F1143" s="176"/>
      <c r="G1143" s="175"/>
      <c r="H1143" s="174"/>
      <c r="I1143" s="173">
        <v>15.88</v>
      </c>
      <c r="J1143" s="174">
        <v>88</v>
      </c>
      <c r="K1143" s="173">
        <v>296.70999999999998</v>
      </c>
    </row>
    <row r="1144" spans="1:22" ht="14.25" x14ac:dyDescent="0.2">
      <c r="A1144" s="179"/>
      <c r="B1144" s="178"/>
      <c r="C1144" s="178" t="s">
        <v>193</v>
      </c>
      <c r="D1144" s="177" t="s">
        <v>187</v>
      </c>
      <c r="E1144" s="174">
        <v>74</v>
      </c>
      <c r="F1144" s="176"/>
      <c r="G1144" s="175"/>
      <c r="H1144" s="174"/>
      <c r="I1144" s="173">
        <v>10.69</v>
      </c>
      <c r="J1144" s="174">
        <v>41</v>
      </c>
      <c r="K1144" s="173">
        <v>138.24</v>
      </c>
    </row>
    <row r="1145" spans="1:22" ht="14.25" x14ac:dyDescent="0.2">
      <c r="A1145" s="179"/>
      <c r="B1145" s="178"/>
      <c r="C1145" s="178" t="s">
        <v>188</v>
      </c>
      <c r="D1145" s="177" t="s">
        <v>187</v>
      </c>
      <c r="E1145" s="174">
        <v>175</v>
      </c>
      <c r="F1145" s="176"/>
      <c r="G1145" s="175"/>
      <c r="H1145" s="174"/>
      <c r="I1145" s="173">
        <v>0.42</v>
      </c>
      <c r="J1145" s="174">
        <v>157</v>
      </c>
      <c r="K1145" s="173">
        <v>8.7899999999999991</v>
      </c>
    </row>
    <row r="1146" spans="1:22" ht="14.25" x14ac:dyDescent="0.2">
      <c r="A1146" s="242"/>
      <c r="B1146" s="241"/>
      <c r="C1146" s="241" t="s">
        <v>192</v>
      </c>
      <c r="D1146" s="240" t="s">
        <v>191</v>
      </c>
      <c r="E1146" s="238">
        <v>1.03</v>
      </c>
      <c r="F1146" s="253"/>
      <c r="G1146" s="239" t="s">
        <v>2668</v>
      </c>
      <c r="H1146" s="238">
        <v>1</v>
      </c>
      <c r="I1146" s="237">
        <v>1.24</v>
      </c>
      <c r="J1146" s="238"/>
      <c r="K1146" s="237"/>
    </row>
    <row r="1147" spans="1:22" ht="15" x14ac:dyDescent="0.25">
      <c r="A1147" s="235"/>
      <c r="B1147" s="235"/>
      <c r="C1147" s="236" t="s">
        <v>183</v>
      </c>
      <c r="D1147" s="235"/>
      <c r="E1147" s="235"/>
      <c r="F1147" s="235"/>
      <c r="G1147" s="235"/>
      <c r="H1147" s="436">
        <v>46.81</v>
      </c>
      <c r="I1147" s="436"/>
      <c r="J1147" s="436">
        <v>814.25</v>
      </c>
      <c r="K1147" s="436"/>
      <c r="O1147" s="163">
        <f>I1139+I1140+I1142+I1143+I1144+I1145</f>
        <v>46.81</v>
      </c>
      <c r="P1147" s="163">
        <f>K1139+K1140+K1142+K1143+K1144+K1145</f>
        <v>814.25</v>
      </c>
    </row>
    <row r="1149" spans="1:22" ht="28.5" x14ac:dyDescent="0.2">
      <c r="A1149" s="179" t="s">
        <v>2713</v>
      </c>
      <c r="B1149" s="178" t="s">
        <v>2677</v>
      </c>
      <c r="C1149" s="178" t="s">
        <v>1045</v>
      </c>
      <c r="D1149" s="177" t="s">
        <v>2678</v>
      </c>
      <c r="E1149" s="174">
        <v>0.15</v>
      </c>
      <c r="F1149" s="176"/>
      <c r="G1149" s="175"/>
      <c r="H1149" s="174"/>
      <c r="I1149" s="173"/>
      <c r="J1149" s="174"/>
      <c r="K1149" s="173"/>
      <c r="Q1149" s="160">
        <f>[8]Source!X547</f>
        <v>12.03</v>
      </c>
      <c r="R1149" s="160">
        <f>[8]Source!X548</f>
        <v>224.8</v>
      </c>
      <c r="S1149" s="160">
        <f>[8]Source!Y547</f>
        <v>8.1</v>
      </c>
      <c r="T1149" s="160">
        <f>[8]Source!Y548</f>
        <v>104.73</v>
      </c>
      <c r="U1149" s="160">
        <f>ROUND((175/100)*ROUND([8]Source!R547, 2), 2)</f>
        <v>1.4</v>
      </c>
      <c r="V1149" s="160">
        <f>ROUND((157/100)*ROUND([8]Source!R548, 2), 2)</f>
        <v>29.33</v>
      </c>
    </row>
    <row r="1150" spans="1:22" x14ac:dyDescent="0.2">
      <c r="C1150" s="181" t="s">
        <v>2679</v>
      </c>
    </row>
    <row r="1151" spans="1:22" ht="14.25" x14ac:dyDescent="0.2">
      <c r="A1151" s="179"/>
      <c r="B1151" s="178"/>
      <c r="C1151" s="178" t="s">
        <v>197</v>
      </c>
      <c r="D1151" s="177"/>
      <c r="E1151" s="174"/>
      <c r="F1151" s="176">
        <v>60.39</v>
      </c>
      <c r="G1151" s="175" t="s">
        <v>2668</v>
      </c>
      <c r="H1151" s="174">
        <v>1</v>
      </c>
      <c r="I1151" s="173">
        <v>10.94</v>
      </c>
      <c r="J1151" s="174">
        <v>23.35</v>
      </c>
      <c r="K1151" s="173">
        <v>255.45</v>
      </c>
    </row>
    <row r="1152" spans="1:22" ht="14.25" x14ac:dyDescent="0.2">
      <c r="A1152" s="179"/>
      <c r="B1152" s="178"/>
      <c r="C1152" s="178" t="s">
        <v>184</v>
      </c>
      <c r="D1152" s="177"/>
      <c r="E1152" s="174"/>
      <c r="F1152" s="176">
        <v>20.05</v>
      </c>
      <c r="G1152" s="175" t="s">
        <v>2669</v>
      </c>
      <c r="H1152" s="174">
        <v>1</v>
      </c>
      <c r="I1152" s="173">
        <v>3.95</v>
      </c>
      <c r="J1152" s="174">
        <v>8.98</v>
      </c>
      <c r="K1152" s="173">
        <v>35.47</v>
      </c>
    </row>
    <row r="1153" spans="1:22" ht="14.25" x14ac:dyDescent="0.2">
      <c r="A1153" s="179"/>
      <c r="B1153" s="178"/>
      <c r="C1153" s="178" t="s">
        <v>189</v>
      </c>
      <c r="D1153" s="177"/>
      <c r="E1153" s="174"/>
      <c r="F1153" s="176">
        <v>4.04</v>
      </c>
      <c r="G1153" s="175" t="s">
        <v>2669</v>
      </c>
      <c r="H1153" s="174">
        <v>1</v>
      </c>
      <c r="I1153" s="180">
        <v>0.8</v>
      </c>
      <c r="J1153" s="174">
        <v>23.35</v>
      </c>
      <c r="K1153" s="180">
        <v>18.68</v>
      </c>
    </row>
    <row r="1154" spans="1:22" ht="14.25" x14ac:dyDescent="0.2">
      <c r="A1154" s="179"/>
      <c r="B1154" s="178"/>
      <c r="C1154" s="178" t="s">
        <v>205</v>
      </c>
      <c r="D1154" s="177"/>
      <c r="E1154" s="174"/>
      <c r="F1154" s="176">
        <v>25.9</v>
      </c>
      <c r="G1154" s="175" t="s">
        <v>195</v>
      </c>
      <c r="H1154" s="174">
        <v>1</v>
      </c>
      <c r="I1154" s="173">
        <v>3.89</v>
      </c>
      <c r="J1154" s="174">
        <v>5.42</v>
      </c>
      <c r="K1154" s="173">
        <v>21.08</v>
      </c>
    </row>
    <row r="1155" spans="1:22" ht="14.25" x14ac:dyDescent="0.2">
      <c r="A1155" s="179"/>
      <c r="B1155" s="178"/>
      <c r="C1155" s="178" t="s">
        <v>194</v>
      </c>
      <c r="D1155" s="177" t="s">
        <v>187</v>
      </c>
      <c r="E1155" s="174">
        <v>110</v>
      </c>
      <c r="F1155" s="176"/>
      <c r="G1155" s="175"/>
      <c r="H1155" s="174"/>
      <c r="I1155" s="173">
        <v>12.03</v>
      </c>
      <c r="J1155" s="174">
        <v>88</v>
      </c>
      <c r="K1155" s="173">
        <v>224.8</v>
      </c>
    </row>
    <row r="1156" spans="1:22" ht="14.25" x14ac:dyDescent="0.2">
      <c r="A1156" s="179"/>
      <c r="B1156" s="178"/>
      <c r="C1156" s="178" t="s">
        <v>193</v>
      </c>
      <c r="D1156" s="177" t="s">
        <v>187</v>
      </c>
      <c r="E1156" s="174">
        <v>74</v>
      </c>
      <c r="F1156" s="176"/>
      <c r="G1156" s="175"/>
      <c r="H1156" s="174"/>
      <c r="I1156" s="173">
        <v>8.1</v>
      </c>
      <c r="J1156" s="174">
        <v>41</v>
      </c>
      <c r="K1156" s="173">
        <v>104.73</v>
      </c>
    </row>
    <row r="1157" spans="1:22" ht="14.25" x14ac:dyDescent="0.2">
      <c r="A1157" s="179"/>
      <c r="B1157" s="178"/>
      <c r="C1157" s="178" t="s">
        <v>188</v>
      </c>
      <c r="D1157" s="177" t="s">
        <v>187</v>
      </c>
      <c r="E1157" s="174">
        <v>175</v>
      </c>
      <c r="F1157" s="176"/>
      <c r="G1157" s="175"/>
      <c r="H1157" s="174"/>
      <c r="I1157" s="173">
        <v>1.4</v>
      </c>
      <c r="J1157" s="174">
        <v>157</v>
      </c>
      <c r="K1157" s="173">
        <v>29.33</v>
      </c>
    </row>
    <row r="1158" spans="1:22" ht="14.25" x14ac:dyDescent="0.2">
      <c r="A1158" s="242"/>
      <c r="B1158" s="241"/>
      <c r="C1158" s="241" t="s">
        <v>192</v>
      </c>
      <c r="D1158" s="240" t="s">
        <v>191</v>
      </c>
      <c r="E1158" s="238">
        <v>5.0199999999999996</v>
      </c>
      <c r="F1158" s="253"/>
      <c r="G1158" s="239" t="s">
        <v>2668</v>
      </c>
      <c r="H1158" s="238">
        <v>1</v>
      </c>
      <c r="I1158" s="237">
        <v>0.91</v>
      </c>
      <c r="J1158" s="238"/>
      <c r="K1158" s="237"/>
    </row>
    <row r="1159" spans="1:22" ht="15" x14ac:dyDescent="0.25">
      <c r="A1159" s="235"/>
      <c r="B1159" s="235"/>
      <c r="C1159" s="236" t="s">
        <v>183</v>
      </c>
      <c r="D1159" s="235"/>
      <c r="E1159" s="235"/>
      <c r="F1159" s="235"/>
      <c r="G1159" s="235"/>
      <c r="H1159" s="436">
        <v>40.31</v>
      </c>
      <c r="I1159" s="436"/>
      <c r="J1159" s="436">
        <v>670.86</v>
      </c>
      <c r="K1159" s="436"/>
      <c r="O1159" s="163">
        <f>I1151+I1152+I1154+I1155+I1156+I1157</f>
        <v>40.31</v>
      </c>
      <c r="P1159" s="163">
        <f>K1151+K1152+K1154+K1155+K1156+K1157</f>
        <v>670.86</v>
      </c>
    </row>
    <row r="1161" spans="1:22" ht="57" x14ac:dyDescent="0.2">
      <c r="A1161" s="179" t="s">
        <v>2714</v>
      </c>
      <c r="B1161" s="178" t="s">
        <v>2680</v>
      </c>
      <c r="C1161" s="178" t="s">
        <v>1052</v>
      </c>
      <c r="D1161" s="177" t="s">
        <v>1903</v>
      </c>
      <c r="E1161" s="174">
        <v>2</v>
      </c>
      <c r="F1161" s="176"/>
      <c r="G1161" s="175"/>
      <c r="H1161" s="174"/>
      <c r="I1161" s="173"/>
      <c r="J1161" s="174"/>
      <c r="K1161" s="173"/>
      <c r="Q1161" s="160">
        <f>[8]Source!X549</f>
        <v>33.21</v>
      </c>
      <c r="R1161" s="160">
        <f>[8]Source!X550</f>
        <v>620.35</v>
      </c>
      <c r="S1161" s="160">
        <f>[8]Source!Y549</f>
        <v>22.34</v>
      </c>
      <c r="T1161" s="160">
        <f>[8]Source!Y550</f>
        <v>289.02999999999997</v>
      </c>
      <c r="U1161" s="160">
        <f>ROUND((175/100)*ROUND([8]Source!R549, 2), 2)</f>
        <v>1.61</v>
      </c>
      <c r="V1161" s="160">
        <f>ROUND((157/100)*ROUND([8]Source!R550, 2), 2)</f>
        <v>33.72</v>
      </c>
    </row>
    <row r="1162" spans="1:22" ht="14.25" x14ac:dyDescent="0.2">
      <c r="A1162" s="179"/>
      <c r="B1162" s="178"/>
      <c r="C1162" s="178" t="s">
        <v>197</v>
      </c>
      <c r="D1162" s="177"/>
      <c r="E1162" s="174"/>
      <c r="F1162" s="176">
        <v>12.5</v>
      </c>
      <c r="G1162" s="175" t="s">
        <v>2668</v>
      </c>
      <c r="H1162" s="174">
        <v>1</v>
      </c>
      <c r="I1162" s="173">
        <v>30.19</v>
      </c>
      <c r="J1162" s="174">
        <v>23.35</v>
      </c>
      <c r="K1162" s="173">
        <v>704.94</v>
      </c>
    </row>
    <row r="1163" spans="1:22" ht="14.25" x14ac:dyDescent="0.2">
      <c r="A1163" s="179"/>
      <c r="B1163" s="178"/>
      <c r="C1163" s="178" t="s">
        <v>184</v>
      </c>
      <c r="D1163" s="177"/>
      <c r="E1163" s="174"/>
      <c r="F1163" s="176">
        <v>1.49</v>
      </c>
      <c r="G1163" s="175" t="s">
        <v>2669</v>
      </c>
      <c r="H1163" s="174">
        <v>1</v>
      </c>
      <c r="I1163" s="173">
        <v>3.91</v>
      </c>
      <c r="J1163" s="174">
        <v>9.58</v>
      </c>
      <c r="K1163" s="173">
        <v>37.46</v>
      </c>
    </row>
    <row r="1164" spans="1:22" ht="14.25" x14ac:dyDescent="0.2">
      <c r="A1164" s="179"/>
      <c r="B1164" s="178"/>
      <c r="C1164" s="178" t="s">
        <v>189</v>
      </c>
      <c r="D1164" s="177"/>
      <c r="E1164" s="174"/>
      <c r="F1164" s="176">
        <v>0.35</v>
      </c>
      <c r="G1164" s="175" t="s">
        <v>2669</v>
      </c>
      <c r="H1164" s="174">
        <v>1</v>
      </c>
      <c r="I1164" s="180">
        <v>0.92</v>
      </c>
      <c r="J1164" s="174">
        <v>23.35</v>
      </c>
      <c r="K1164" s="180">
        <v>21.48</v>
      </c>
    </row>
    <row r="1165" spans="1:22" ht="14.25" x14ac:dyDescent="0.2">
      <c r="A1165" s="179"/>
      <c r="B1165" s="178"/>
      <c r="C1165" s="178" t="s">
        <v>205</v>
      </c>
      <c r="D1165" s="177"/>
      <c r="E1165" s="174"/>
      <c r="F1165" s="176">
        <v>6.23</v>
      </c>
      <c r="G1165" s="175" t="s">
        <v>195</v>
      </c>
      <c r="H1165" s="174">
        <v>1</v>
      </c>
      <c r="I1165" s="173">
        <v>12.46</v>
      </c>
      <c r="J1165" s="174">
        <v>5.42</v>
      </c>
      <c r="K1165" s="173">
        <v>67.53</v>
      </c>
    </row>
    <row r="1166" spans="1:22" ht="14.25" x14ac:dyDescent="0.2">
      <c r="A1166" s="179"/>
      <c r="B1166" s="178"/>
      <c r="C1166" s="178" t="s">
        <v>194</v>
      </c>
      <c r="D1166" s="177" t="s">
        <v>187</v>
      </c>
      <c r="E1166" s="174">
        <v>110</v>
      </c>
      <c r="F1166" s="176"/>
      <c r="G1166" s="175"/>
      <c r="H1166" s="174"/>
      <c r="I1166" s="173">
        <v>33.21</v>
      </c>
      <c r="J1166" s="174">
        <v>88</v>
      </c>
      <c r="K1166" s="173">
        <v>620.35</v>
      </c>
    </row>
    <row r="1167" spans="1:22" ht="14.25" x14ac:dyDescent="0.2">
      <c r="A1167" s="179"/>
      <c r="B1167" s="178"/>
      <c r="C1167" s="178" t="s">
        <v>193</v>
      </c>
      <c r="D1167" s="177" t="s">
        <v>187</v>
      </c>
      <c r="E1167" s="174">
        <v>74</v>
      </c>
      <c r="F1167" s="176"/>
      <c r="G1167" s="175"/>
      <c r="H1167" s="174"/>
      <c r="I1167" s="173">
        <v>22.34</v>
      </c>
      <c r="J1167" s="174">
        <v>41</v>
      </c>
      <c r="K1167" s="173">
        <v>289.02999999999997</v>
      </c>
    </row>
    <row r="1168" spans="1:22" ht="14.25" x14ac:dyDescent="0.2">
      <c r="A1168" s="179"/>
      <c r="B1168" s="178"/>
      <c r="C1168" s="178" t="s">
        <v>188</v>
      </c>
      <c r="D1168" s="177" t="s">
        <v>187</v>
      </c>
      <c r="E1168" s="174">
        <v>175</v>
      </c>
      <c r="F1168" s="176"/>
      <c r="G1168" s="175"/>
      <c r="H1168" s="174"/>
      <c r="I1168" s="173">
        <v>1.61</v>
      </c>
      <c r="J1168" s="174">
        <v>157</v>
      </c>
      <c r="K1168" s="173">
        <v>33.72</v>
      </c>
    </row>
    <row r="1169" spans="1:22" ht="14.25" x14ac:dyDescent="0.2">
      <c r="A1169" s="242"/>
      <c r="B1169" s="241"/>
      <c r="C1169" s="241" t="s">
        <v>192</v>
      </c>
      <c r="D1169" s="240" t="s">
        <v>191</v>
      </c>
      <c r="E1169" s="238">
        <v>1.0900000000000001</v>
      </c>
      <c r="F1169" s="253"/>
      <c r="G1169" s="239" t="s">
        <v>2668</v>
      </c>
      <c r="H1169" s="238">
        <v>1</v>
      </c>
      <c r="I1169" s="237">
        <v>2.63</v>
      </c>
      <c r="J1169" s="238"/>
      <c r="K1169" s="237"/>
    </row>
    <row r="1170" spans="1:22" ht="15" x14ac:dyDescent="0.25">
      <c r="A1170" s="235"/>
      <c r="B1170" s="235"/>
      <c r="C1170" s="236" t="s">
        <v>183</v>
      </c>
      <c r="D1170" s="235"/>
      <c r="E1170" s="235"/>
      <c r="F1170" s="235"/>
      <c r="G1170" s="235"/>
      <c r="H1170" s="436">
        <v>103.72</v>
      </c>
      <c r="I1170" s="436"/>
      <c r="J1170" s="436">
        <v>1753.03</v>
      </c>
      <c r="K1170" s="436"/>
      <c r="O1170" s="163">
        <f>I1162+I1163+I1165+I1166+I1167+I1168</f>
        <v>103.72</v>
      </c>
      <c r="P1170" s="163">
        <f>K1162+K1163+K1165+K1166+K1167+K1168</f>
        <v>1753.03</v>
      </c>
    </row>
    <row r="1172" spans="1:22" ht="68.25" x14ac:dyDescent="0.2">
      <c r="A1172" s="250" t="s">
        <v>2715</v>
      </c>
      <c r="B1172" s="249" t="s">
        <v>2670</v>
      </c>
      <c r="C1172" s="249" t="s">
        <v>1058</v>
      </c>
      <c r="D1172" s="248" t="s">
        <v>1913</v>
      </c>
      <c r="E1172" s="246">
        <v>1</v>
      </c>
      <c r="F1172" s="254">
        <v>2892.24</v>
      </c>
      <c r="G1172" s="247" t="s">
        <v>195</v>
      </c>
      <c r="H1172" s="246">
        <v>1</v>
      </c>
      <c r="I1172" s="245">
        <v>2892.24</v>
      </c>
      <c r="J1172" s="246">
        <v>4.4000000000000004</v>
      </c>
      <c r="K1172" s="245">
        <v>12725.86</v>
      </c>
      <c r="Q1172" s="160">
        <f>[8]Source!X551</f>
        <v>0</v>
      </c>
      <c r="R1172" s="160">
        <f>[8]Source!X552</f>
        <v>0</v>
      </c>
      <c r="S1172" s="160">
        <f>[8]Source!Y551</f>
        <v>0</v>
      </c>
      <c r="T1172" s="160">
        <f>[8]Source!Y552</f>
        <v>0</v>
      </c>
      <c r="U1172" s="160">
        <f>ROUND((175/100)*ROUND([8]Source!R551, 2), 2)</f>
        <v>0</v>
      </c>
      <c r="V1172" s="160">
        <f>ROUND((157/100)*ROUND([8]Source!R552, 2), 2)</f>
        <v>0</v>
      </c>
    </row>
    <row r="1173" spans="1:22" ht="15" x14ac:dyDescent="0.25">
      <c r="A1173" s="243"/>
      <c r="B1173" s="243"/>
      <c r="C1173" s="244" t="s">
        <v>183</v>
      </c>
      <c r="D1173" s="243"/>
      <c r="E1173" s="243"/>
      <c r="F1173" s="243"/>
      <c r="G1173" s="243"/>
      <c r="H1173" s="437">
        <v>2892.24</v>
      </c>
      <c r="I1173" s="437"/>
      <c r="J1173" s="437">
        <v>12725.86</v>
      </c>
      <c r="K1173" s="437"/>
      <c r="O1173" s="163">
        <f>I1172</f>
        <v>2892.24</v>
      </c>
      <c r="P1173" s="163">
        <f>K1172</f>
        <v>12725.86</v>
      </c>
    </row>
    <row r="1175" spans="1:22" ht="28.5" x14ac:dyDescent="0.2">
      <c r="A1175" s="179" t="s">
        <v>2716</v>
      </c>
      <c r="B1175" s="178" t="s">
        <v>2673</v>
      </c>
      <c r="C1175" s="178" t="s">
        <v>1046</v>
      </c>
      <c r="D1175" s="177" t="s">
        <v>2674</v>
      </c>
      <c r="E1175" s="174">
        <v>1</v>
      </c>
      <c r="F1175" s="176"/>
      <c r="G1175" s="175"/>
      <c r="H1175" s="174"/>
      <c r="I1175" s="173"/>
      <c r="J1175" s="174"/>
      <c r="K1175" s="173"/>
      <c r="Q1175" s="160">
        <f>[8]Source!X554</f>
        <v>83.15</v>
      </c>
      <c r="R1175" s="160">
        <f>[8]Source!X555</f>
        <v>1553.23</v>
      </c>
      <c r="S1175" s="160">
        <f>[8]Source!Y554</f>
        <v>55.94</v>
      </c>
      <c r="T1175" s="160">
        <f>[8]Source!Y555</f>
        <v>723.66</v>
      </c>
      <c r="U1175" s="160">
        <f>ROUND((175/100)*ROUND([8]Source!R554, 2), 2)</f>
        <v>3.38</v>
      </c>
      <c r="V1175" s="160">
        <f>ROUND((157/100)*ROUND([8]Source!R555, 2), 2)</f>
        <v>70.760000000000005</v>
      </c>
    </row>
    <row r="1176" spans="1:22" ht="14.25" x14ac:dyDescent="0.2">
      <c r="A1176" s="179"/>
      <c r="B1176" s="178"/>
      <c r="C1176" s="178" t="s">
        <v>197</v>
      </c>
      <c r="D1176" s="177"/>
      <c r="E1176" s="174"/>
      <c r="F1176" s="176">
        <v>62.6</v>
      </c>
      <c r="G1176" s="175" t="s">
        <v>2668</v>
      </c>
      <c r="H1176" s="174">
        <v>1</v>
      </c>
      <c r="I1176" s="173">
        <v>75.59</v>
      </c>
      <c r="J1176" s="174">
        <v>23.35</v>
      </c>
      <c r="K1176" s="173">
        <v>1765.03</v>
      </c>
    </row>
    <row r="1177" spans="1:22" ht="14.25" x14ac:dyDescent="0.2">
      <c r="A1177" s="179"/>
      <c r="B1177" s="178"/>
      <c r="C1177" s="178" t="s">
        <v>184</v>
      </c>
      <c r="D1177" s="177"/>
      <c r="E1177" s="174"/>
      <c r="F1177" s="176">
        <v>8.82</v>
      </c>
      <c r="G1177" s="175" t="s">
        <v>2669</v>
      </c>
      <c r="H1177" s="174">
        <v>1</v>
      </c>
      <c r="I1177" s="173">
        <v>11.58</v>
      </c>
      <c r="J1177" s="174">
        <v>8.66</v>
      </c>
      <c r="K1177" s="173">
        <v>100.28</v>
      </c>
    </row>
    <row r="1178" spans="1:22" ht="14.25" x14ac:dyDescent="0.2">
      <c r="A1178" s="179"/>
      <c r="B1178" s="178"/>
      <c r="C1178" s="178" t="s">
        <v>189</v>
      </c>
      <c r="D1178" s="177"/>
      <c r="E1178" s="174"/>
      <c r="F1178" s="176">
        <v>1.47</v>
      </c>
      <c r="G1178" s="175" t="s">
        <v>2669</v>
      </c>
      <c r="H1178" s="174">
        <v>1</v>
      </c>
      <c r="I1178" s="180">
        <v>1.93</v>
      </c>
      <c r="J1178" s="174">
        <v>23.35</v>
      </c>
      <c r="K1178" s="180">
        <v>45.07</v>
      </c>
    </row>
    <row r="1179" spans="1:22" ht="14.25" x14ac:dyDescent="0.2">
      <c r="A1179" s="179"/>
      <c r="B1179" s="178"/>
      <c r="C1179" s="178" t="s">
        <v>205</v>
      </c>
      <c r="D1179" s="177"/>
      <c r="E1179" s="174"/>
      <c r="F1179" s="176">
        <v>2.62</v>
      </c>
      <c r="G1179" s="175" t="s">
        <v>195</v>
      </c>
      <c r="H1179" s="174">
        <v>1</v>
      </c>
      <c r="I1179" s="173">
        <v>2.62</v>
      </c>
      <c r="J1179" s="174">
        <v>2.5299999999999998</v>
      </c>
      <c r="K1179" s="173">
        <v>6.63</v>
      </c>
    </row>
    <row r="1180" spans="1:22" ht="14.25" x14ac:dyDescent="0.2">
      <c r="A1180" s="179"/>
      <c r="B1180" s="178"/>
      <c r="C1180" s="178" t="s">
        <v>194</v>
      </c>
      <c r="D1180" s="177" t="s">
        <v>187</v>
      </c>
      <c r="E1180" s="174">
        <v>110</v>
      </c>
      <c r="F1180" s="176"/>
      <c r="G1180" s="175"/>
      <c r="H1180" s="174"/>
      <c r="I1180" s="173">
        <v>83.15</v>
      </c>
      <c r="J1180" s="174">
        <v>88</v>
      </c>
      <c r="K1180" s="173">
        <v>1553.23</v>
      </c>
    </row>
    <row r="1181" spans="1:22" ht="14.25" x14ac:dyDescent="0.2">
      <c r="A1181" s="179"/>
      <c r="B1181" s="178"/>
      <c r="C1181" s="178" t="s">
        <v>193</v>
      </c>
      <c r="D1181" s="177" t="s">
        <v>187</v>
      </c>
      <c r="E1181" s="174">
        <v>74</v>
      </c>
      <c r="F1181" s="176"/>
      <c r="G1181" s="175"/>
      <c r="H1181" s="174"/>
      <c r="I1181" s="173">
        <v>55.94</v>
      </c>
      <c r="J1181" s="174">
        <v>41</v>
      </c>
      <c r="K1181" s="173">
        <v>723.66</v>
      </c>
    </row>
    <row r="1182" spans="1:22" ht="14.25" x14ac:dyDescent="0.2">
      <c r="A1182" s="179"/>
      <c r="B1182" s="178"/>
      <c r="C1182" s="178" t="s">
        <v>188</v>
      </c>
      <c r="D1182" s="177" t="s">
        <v>187</v>
      </c>
      <c r="E1182" s="174">
        <v>175</v>
      </c>
      <c r="F1182" s="176"/>
      <c r="G1182" s="175"/>
      <c r="H1182" s="174"/>
      <c r="I1182" s="173">
        <v>3.38</v>
      </c>
      <c r="J1182" s="174">
        <v>157</v>
      </c>
      <c r="K1182" s="173">
        <v>70.760000000000005</v>
      </c>
    </row>
    <row r="1183" spans="1:22" ht="14.25" x14ac:dyDescent="0.2">
      <c r="A1183" s="242"/>
      <c r="B1183" s="241"/>
      <c r="C1183" s="241" t="s">
        <v>192</v>
      </c>
      <c r="D1183" s="240" t="s">
        <v>191</v>
      </c>
      <c r="E1183" s="238">
        <v>4.96</v>
      </c>
      <c r="F1183" s="253"/>
      <c r="G1183" s="239" t="s">
        <v>2668</v>
      </c>
      <c r="H1183" s="238">
        <v>1</v>
      </c>
      <c r="I1183" s="237">
        <v>5.99</v>
      </c>
      <c r="J1183" s="238"/>
      <c r="K1183" s="237"/>
    </row>
    <row r="1184" spans="1:22" ht="15" x14ac:dyDescent="0.25">
      <c r="A1184" s="235"/>
      <c r="B1184" s="235"/>
      <c r="C1184" s="236" t="s">
        <v>183</v>
      </c>
      <c r="D1184" s="235"/>
      <c r="E1184" s="235"/>
      <c r="F1184" s="235"/>
      <c r="G1184" s="235"/>
      <c r="H1184" s="436">
        <v>232.26</v>
      </c>
      <c r="I1184" s="436"/>
      <c r="J1184" s="436">
        <v>4219.59</v>
      </c>
      <c r="K1184" s="436"/>
      <c r="O1184" s="163">
        <f>I1176+I1177+I1179+I1180+I1181+I1182</f>
        <v>232.26</v>
      </c>
      <c r="P1184" s="163">
        <f>K1176+K1177+K1179+K1180+K1181+K1182</f>
        <v>4219.59</v>
      </c>
    </row>
    <row r="1186" spans="1:22" ht="28.5" x14ac:dyDescent="0.2">
      <c r="A1186" s="179" t="s">
        <v>2717</v>
      </c>
      <c r="B1186" s="178" t="s">
        <v>2675</v>
      </c>
      <c r="C1186" s="178" t="s">
        <v>1026</v>
      </c>
      <c r="D1186" s="177" t="s">
        <v>2676</v>
      </c>
      <c r="E1186" s="174">
        <v>1</v>
      </c>
      <c r="F1186" s="176"/>
      <c r="G1186" s="175"/>
      <c r="H1186" s="174"/>
      <c r="I1186" s="173"/>
      <c r="J1186" s="174"/>
      <c r="K1186" s="173"/>
      <c r="Q1186" s="160">
        <f>[8]Source!X558</f>
        <v>15.88</v>
      </c>
      <c r="R1186" s="160">
        <f>[8]Source!X559</f>
        <v>296.70999999999998</v>
      </c>
      <c r="S1186" s="160">
        <f>[8]Source!Y558</f>
        <v>10.69</v>
      </c>
      <c r="T1186" s="160">
        <f>[8]Source!Y559</f>
        <v>138.24</v>
      </c>
      <c r="U1186" s="160">
        <f>ROUND((175/100)*ROUND([8]Source!R558, 2), 2)</f>
        <v>0.42</v>
      </c>
      <c r="V1186" s="160">
        <f>ROUND((157/100)*ROUND([8]Source!R559, 2), 2)</f>
        <v>8.7899999999999991</v>
      </c>
    </row>
    <row r="1187" spans="1:22" ht="14.25" x14ac:dyDescent="0.2">
      <c r="A1187" s="179"/>
      <c r="B1187" s="178"/>
      <c r="C1187" s="178" t="s">
        <v>197</v>
      </c>
      <c r="D1187" s="177"/>
      <c r="E1187" s="174"/>
      <c r="F1187" s="176">
        <v>11.96</v>
      </c>
      <c r="G1187" s="175" t="s">
        <v>2668</v>
      </c>
      <c r="H1187" s="174">
        <v>1</v>
      </c>
      <c r="I1187" s="173">
        <v>14.44</v>
      </c>
      <c r="J1187" s="174">
        <v>23.35</v>
      </c>
      <c r="K1187" s="173">
        <v>337.17</v>
      </c>
    </row>
    <row r="1188" spans="1:22" ht="14.25" x14ac:dyDescent="0.2">
      <c r="A1188" s="179"/>
      <c r="B1188" s="178"/>
      <c r="C1188" s="178" t="s">
        <v>184</v>
      </c>
      <c r="D1188" s="177"/>
      <c r="E1188" s="174"/>
      <c r="F1188" s="176">
        <v>0.74</v>
      </c>
      <c r="G1188" s="175" t="s">
        <v>2669</v>
      </c>
      <c r="H1188" s="174">
        <v>1</v>
      </c>
      <c r="I1188" s="173">
        <v>0.97</v>
      </c>
      <c r="J1188" s="174">
        <v>9.73</v>
      </c>
      <c r="K1188" s="173">
        <v>9.44</v>
      </c>
    </row>
    <row r="1189" spans="1:22" ht="14.25" x14ac:dyDescent="0.2">
      <c r="A1189" s="179"/>
      <c r="B1189" s="178"/>
      <c r="C1189" s="178" t="s">
        <v>189</v>
      </c>
      <c r="D1189" s="177"/>
      <c r="E1189" s="174"/>
      <c r="F1189" s="176">
        <v>0.18</v>
      </c>
      <c r="G1189" s="175" t="s">
        <v>2669</v>
      </c>
      <c r="H1189" s="174">
        <v>1</v>
      </c>
      <c r="I1189" s="180">
        <v>0.24</v>
      </c>
      <c r="J1189" s="174">
        <v>23.35</v>
      </c>
      <c r="K1189" s="180">
        <v>5.6</v>
      </c>
    </row>
    <row r="1190" spans="1:22" ht="14.25" x14ac:dyDescent="0.2">
      <c r="A1190" s="179"/>
      <c r="B1190" s="178"/>
      <c r="C1190" s="178" t="s">
        <v>205</v>
      </c>
      <c r="D1190" s="177"/>
      <c r="E1190" s="174"/>
      <c r="F1190" s="176">
        <v>4.41</v>
      </c>
      <c r="G1190" s="175" t="s">
        <v>195</v>
      </c>
      <c r="H1190" s="174">
        <v>1</v>
      </c>
      <c r="I1190" s="173">
        <v>4.41</v>
      </c>
      <c r="J1190" s="174">
        <v>5.42</v>
      </c>
      <c r="K1190" s="173">
        <v>23.9</v>
      </c>
    </row>
    <row r="1191" spans="1:22" ht="14.25" x14ac:dyDescent="0.2">
      <c r="A1191" s="179"/>
      <c r="B1191" s="178"/>
      <c r="C1191" s="178" t="s">
        <v>194</v>
      </c>
      <c r="D1191" s="177" t="s">
        <v>187</v>
      </c>
      <c r="E1191" s="174">
        <v>110</v>
      </c>
      <c r="F1191" s="176"/>
      <c r="G1191" s="175"/>
      <c r="H1191" s="174"/>
      <c r="I1191" s="173">
        <v>15.88</v>
      </c>
      <c r="J1191" s="174">
        <v>88</v>
      </c>
      <c r="K1191" s="173">
        <v>296.70999999999998</v>
      </c>
    </row>
    <row r="1192" spans="1:22" ht="14.25" x14ac:dyDescent="0.2">
      <c r="A1192" s="179"/>
      <c r="B1192" s="178"/>
      <c r="C1192" s="178" t="s">
        <v>193</v>
      </c>
      <c r="D1192" s="177" t="s">
        <v>187</v>
      </c>
      <c r="E1192" s="174">
        <v>74</v>
      </c>
      <c r="F1192" s="176"/>
      <c r="G1192" s="175"/>
      <c r="H1192" s="174"/>
      <c r="I1192" s="173">
        <v>10.69</v>
      </c>
      <c r="J1192" s="174">
        <v>41</v>
      </c>
      <c r="K1192" s="173">
        <v>138.24</v>
      </c>
    </row>
    <row r="1193" spans="1:22" ht="14.25" x14ac:dyDescent="0.2">
      <c r="A1193" s="179"/>
      <c r="B1193" s="178"/>
      <c r="C1193" s="178" t="s">
        <v>188</v>
      </c>
      <c r="D1193" s="177" t="s">
        <v>187</v>
      </c>
      <c r="E1193" s="174">
        <v>175</v>
      </c>
      <c r="F1193" s="176"/>
      <c r="G1193" s="175"/>
      <c r="H1193" s="174"/>
      <c r="I1193" s="173">
        <v>0.42</v>
      </c>
      <c r="J1193" s="174">
        <v>157</v>
      </c>
      <c r="K1193" s="173">
        <v>8.7899999999999991</v>
      </c>
    </row>
    <row r="1194" spans="1:22" ht="14.25" x14ac:dyDescent="0.2">
      <c r="A1194" s="242"/>
      <c r="B1194" s="241"/>
      <c r="C1194" s="241" t="s">
        <v>192</v>
      </c>
      <c r="D1194" s="240" t="s">
        <v>191</v>
      </c>
      <c r="E1194" s="238">
        <v>1.03</v>
      </c>
      <c r="F1194" s="253"/>
      <c r="G1194" s="239" t="s">
        <v>2668</v>
      </c>
      <c r="H1194" s="238">
        <v>1</v>
      </c>
      <c r="I1194" s="237">
        <v>1.24</v>
      </c>
      <c r="J1194" s="238"/>
      <c r="K1194" s="237"/>
    </row>
    <row r="1195" spans="1:22" ht="15" x14ac:dyDescent="0.25">
      <c r="A1195" s="235"/>
      <c r="B1195" s="235"/>
      <c r="C1195" s="236" t="s">
        <v>183</v>
      </c>
      <c r="D1195" s="235"/>
      <c r="E1195" s="235"/>
      <c r="F1195" s="235"/>
      <c r="G1195" s="235"/>
      <c r="H1195" s="436">
        <v>46.81</v>
      </c>
      <c r="I1195" s="436"/>
      <c r="J1195" s="436">
        <v>814.25</v>
      </c>
      <c r="K1195" s="436"/>
      <c r="O1195" s="163">
        <f>I1187+I1188+I1190+I1191+I1192+I1193</f>
        <v>46.81</v>
      </c>
      <c r="P1195" s="163">
        <f>K1187+K1188+K1190+K1191+K1192+K1193</f>
        <v>814.25</v>
      </c>
    </row>
    <row r="1197" spans="1:22" ht="28.5" x14ac:dyDescent="0.2">
      <c r="A1197" s="179" t="s">
        <v>2718</v>
      </c>
      <c r="B1197" s="178" t="s">
        <v>2677</v>
      </c>
      <c r="C1197" s="178" t="s">
        <v>1045</v>
      </c>
      <c r="D1197" s="177" t="s">
        <v>2678</v>
      </c>
      <c r="E1197" s="174">
        <v>0.15</v>
      </c>
      <c r="F1197" s="176"/>
      <c r="G1197" s="175"/>
      <c r="H1197" s="174"/>
      <c r="I1197" s="173"/>
      <c r="J1197" s="174"/>
      <c r="K1197" s="173"/>
      <c r="Q1197" s="160">
        <f>[8]Source!X560</f>
        <v>12.03</v>
      </c>
      <c r="R1197" s="160">
        <f>[8]Source!X561</f>
        <v>224.8</v>
      </c>
      <c r="S1197" s="160">
        <f>[8]Source!Y560</f>
        <v>8.1</v>
      </c>
      <c r="T1197" s="160">
        <f>[8]Source!Y561</f>
        <v>104.73</v>
      </c>
      <c r="U1197" s="160">
        <f>ROUND((175/100)*ROUND([8]Source!R560, 2), 2)</f>
        <v>1.4</v>
      </c>
      <c r="V1197" s="160">
        <f>ROUND((157/100)*ROUND([8]Source!R561, 2), 2)</f>
        <v>29.33</v>
      </c>
    </row>
    <row r="1198" spans="1:22" x14ac:dyDescent="0.2">
      <c r="C1198" s="181" t="s">
        <v>2679</v>
      </c>
    </row>
    <row r="1199" spans="1:22" ht="14.25" x14ac:dyDescent="0.2">
      <c r="A1199" s="179"/>
      <c r="B1199" s="178"/>
      <c r="C1199" s="178" t="s">
        <v>197</v>
      </c>
      <c r="D1199" s="177"/>
      <c r="E1199" s="174"/>
      <c r="F1199" s="176">
        <v>60.39</v>
      </c>
      <c r="G1199" s="175" t="s">
        <v>2668</v>
      </c>
      <c r="H1199" s="174">
        <v>1</v>
      </c>
      <c r="I1199" s="173">
        <v>10.94</v>
      </c>
      <c r="J1199" s="174">
        <v>23.35</v>
      </c>
      <c r="K1199" s="173">
        <v>255.45</v>
      </c>
    </row>
    <row r="1200" spans="1:22" ht="14.25" x14ac:dyDescent="0.2">
      <c r="A1200" s="179"/>
      <c r="B1200" s="178"/>
      <c r="C1200" s="178" t="s">
        <v>184</v>
      </c>
      <c r="D1200" s="177"/>
      <c r="E1200" s="174"/>
      <c r="F1200" s="176">
        <v>20.05</v>
      </c>
      <c r="G1200" s="175" t="s">
        <v>2669</v>
      </c>
      <c r="H1200" s="174">
        <v>1</v>
      </c>
      <c r="I1200" s="173">
        <v>3.95</v>
      </c>
      <c r="J1200" s="174">
        <v>8.98</v>
      </c>
      <c r="K1200" s="173">
        <v>35.47</v>
      </c>
    </row>
    <row r="1201" spans="1:22" ht="14.25" x14ac:dyDescent="0.2">
      <c r="A1201" s="179"/>
      <c r="B1201" s="178"/>
      <c r="C1201" s="178" t="s">
        <v>189</v>
      </c>
      <c r="D1201" s="177"/>
      <c r="E1201" s="174"/>
      <c r="F1201" s="176">
        <v>4.04</v>
      </c>
      <c r="G1201" s="175" t="s">
        <v>2669</v>
      </c>
      <c r="H1201" s="174">
        <v>1</v>
      </c>
      <c r="I1201" s="180">
        <v>0.8</v>
      </c>
      <c r="J1201" s="174">
        <v>23.35</v>
      </c>
      <c r="K1201" s="180">
        <v>18.68</v>
      </c>
    </row>
    <row r="1202" spans="1:22" ht="14.25" x14ac:dyDescent="0.2">
      <c r="A1202" s="179"/>
      <c r="B1202" s="178"/>
      <c r="C1202" s="178" t="s">
        <v>205</v>
      </c>
      <c r="D1202" s="177"/>
      <c r="E1202" s="174"/>
      <c r="F1202" s="176">
        <v>25.9</v>
      </c>
      <c r="G1202" s="175" t="s">
        <v>195</v>
      </c>
      <c r="H1202" s="174">
        <v>1</v>
      </c>
      <c r="I1202" s="173">
        <v>3.89</v>
      </c>
      <c r="J1202" s="174">
        <v>5.42</v>
      </c>
      <c r="K1202" s="173">
        <v>21.08</v>
      </c>
    </row>
    <row r="1203" spans="1:22" ht="14.25" x14ac:dyDescent="0.2">
      <c r="A1203" s="179"/>
      <c r="B1203" s="178"/>
      <c r="C1203" s="178" t="s">
        <v>194</v>
      </c>
      <c r="D1203" s="177" t="s">
        <v>187</v>
      </c>
      <c r="E1203" s="174">
        <v>110</v>
      </c>
      <c r="F1203" s="176"/>
      <c r="G1203" s="175"/>
      <c r="H1203" s="174"/>
      <c r="I1203" s="173">
        <v>12.03</v>
      </c>
      <c r="J1203" s="174">
        <v>88</v>
      </c>
      <c r="K1203" s="173">
        <v>224.8</v>
      </c>
    </row>
    <row r="1204" spans="1:22" ht="14.25" x14ac:dyDescent="0.2">
      <c r="A1204" s="179"/>
      <c r="B1204" s="178"/>
      <c r="C1204" s="178" t="s">
        <v>193</v>
      </c>
      <c r="D1204" s="177" t="s">
        <v>187</v>
      </c>
      <c r="E1204" s="174">
        <v>74</v>
      </c>
      <c r="F1204" s="176"/>
      <c r="G1204" s="175"/>
      <c r="H1204" s="174"/>
      <c r="I1204" s="173">
        <v>8.1</v>
      </c>
      <c r="J1204" s="174">
        <v>41</v>
      </c>
      <c r="K1204" s="173">
        <v>104.73</v>
      </c>
    </row>
    <row r="1205" spans="1:22" ht="14.25" x14ac:dyDescent="0.2">
      <c r="A1205" s="179"/>
      <c r="B1205" s="178"/>
      <c r="C1205" s="178" t="s">
        <v>188</v>
      </c>
      <c r="D1205" s="177" t="s">
        <v>187</v>
      </c>
      <c r="E1205" s="174">
        <v>175</v>
      </c>
      <c r="F1205" s="176"/>
      <c r="G1205" s="175"/>
      <c r="H1205" s="174"/>
      <c r="I1205" s="173">
        <v>1.4</v>
      </c>
      <c r="J1205" s="174">
        <v>157</v>
      </c>
      <c r="K1205" s="173">
        <v>29.33</v>
      </c>
    </row>
    <row r="1206" spans="1:22" ht="14.25" x14ac:dyDescent="0.2">
      <c r="A1206" s="242"/>
      <c r="B1206" s="241"/>
      <c r="C1206" s="241" t="s">
        <v>192</v>
      </c>
      <c r="D1206" s="240" t="s">
        <v>191</v>
      </c>
      <c r="E1206" s="238">
        <v>5.0199999999999996</v>
      </c>
      <c r="F1206" s="253"/>
      <c r="G1206" s="239" t="s">
        <v>2668</v>
      </c>
      <c r="H1206" s="238">
        <v>1</v>
      </c>
      <c r="I1206" s="237">
        <v>0.91</v>
      </c>
      <c r="J1206" s="238"/>
      <c r="K1206" s="237"/>
    </row>
    <row r="1207" spans="1:22" ht="15" x14ac:dyDescent="0.25">
      <c r="A1207" s="235"/>
      <c r="B1207" s="235"/>
      <c r="C1207" s="236" t="s">
        <v>183</v>
      </c>
      <c r="D1207" s="235"/>
      <c r="E1207" s="235"/>
      <c r="F1207" s="235"/>
      <c r="G1207" s="235"/>
      <c r="H1207" s="436">
        <v>40.31</v>
      </c>
      <c r="I1207" s="436"/>
      <c r="J1207" s="436">
        <v>670.86</v>
      </c>
      <c r="K1207" s="436"/>
      <c r="O1207" s="163">
        <f>I1199+I1200+I1202+I1203+I1204+I1205</f>
        <v>40.31</v>
      </c>
      <c r="P1207" s="163">
        <f>K1199+K1200+K1202+K1203+K1204+K1205</f>
        <v>670.86</v>
      </c>
    </row>
    <row r="1209" spans="1:22" ht="57" x14ac:dyDescent="0.2">
      <c r="A1209" s="179" t="s">
        <v>2719</v>
      </c>
      <c r="B1209" s="178" t="s">
        <v>2680</v>
      </c>
      <c r="C1209" s="178" t="s">
        <v>1052</v>
      </c>
      <c r="D1209" s="177" t="s">
        <v>1903</v>
      </c>
      <c r="E1209" s="174">
        <v>2</v>
      </c>
      <c r="F1209" s="176"/>
      <c r="G1209" s="175"/>
      <c r="H1209" s="174"/>
      <c r="I1209" s="173"/>
      <c r="J1209" s="174"/>
      <c r="K1209" s="173"/>
      <c r="Q1209" s="160">
        <f>[8]Source!X562</f>
        <v>33.21</v>
      </c>
      <c r="R1209" s="160">
        <f>[8]Source!X563</f>
        <v>620.35</v>
      </c>
      <c r="S1209" s="160">
        <f>[8]Source!Y562</f>
        <v>22.34</v>
      </c>
      <c r="T1209" s="160">
        <f>[8]Source!Y563</f>
        <v>289.02999999999997</v>
      </c>
      <c r="U1209" s="160">
        <f>ROUND((175/100)*ROUND([8]Source!R562, 2), 2)</f>
        <v>1.61</v>
      </c>
      <c r="V1209" s="160">
        <f>ROUND((157/100)*ROUND([8]Source!R563, 2), 2)</f>
        <v>33.72</v>
      </c>
    </row>
    <row r="1210" spans="1:22" ht="14.25" x14ac:dyDescent="0.2">
      <c r="A1210" s="179"/>
      <c r="B1210" s="178"/>
      <c r="C1210" s="178" t="s">
        <v>197</v>
      </c>
      <c r="D1210" s="177"/>
      <c r="E1210" s="174"/>
      <c r="F1210" s="176">
        <v>12.5</v>
      </c>
      <c r="G1210" s="175" t="s">
        <v>2668</v>
      </c>
      <c r="H1210" s="174">
        <v>1</v>
      </c>
      <c r="I1210" s="173">
        <v>30.19</v>
      </c>
      <c r="J1210" s="174">
        <v>23.35</v>
      </c>
      <c r="K1210" s="173">
        <v>704.94</v>
      </c>
    </row>
    <row r="1211" spans="1:22" ht="14.25" x14ac:dyDescent="0.2">
      <c r="A1211" s="179"/>
      <c r="B1211" s="178"/>
      <c r="C1211" s="178" t="s">
        <v>184</v>
      </c>
      <c r="D1211" s="177"/>
      <c r="E1211" s="174"/>
      <c r="F1211" s="176">
        <v>1.49</v>
      </c>
      <c r="G1211" s="175" t="s">
        <v>2669</v>
      </c>
      <c r="H1211" s="174">
        <v>1</v>
      </c>
      <c r="I1211" s="173">
        <v>3.91</v>
      </c>
      <c r="J1211" s="174">
        <v>9.58</v>
      </c>
      <c r="K1211" s="173">
        <v>37.46</v>
      </c>
    </row>
    <row r="1212" spans="1:22" ht="14.25" x14ac:dyDescent="0.2">
      <c r="A1212" s="179"/>
      <c r="B1212" s="178"/>
      <c r="C1212" s="178" t="s">
        <v>189</v>
      </c>
      <c r="D1212" s="177"/>
      <c r="E1212" s="174"/>
      <c r="F1212" s="176">
        <v>0.35</v>
      </c>
      <c r="G1212" s="175" t="s">
        <v>2669</v>
      </c>
      <c r="H1212" s="174">
        <v>1</v>
      </c>
      <c r="I1212" s="180">
        <v>0.92</v>
      </c>
      <c r="J1212" s="174">
        <v>23.35</v>
      </c>
      <c r="K1212" s="180">
        <v>21.48</v>
      </c>
    </row>
    <row r="1213" spans="1:22" ht="14.25" x14ac:dyDescent="0.2">
      <c r="A1213" s="179"/>
      <c r="B1213" s="178"/>
      <c r="C1213" s="178" t="s">
        <v>205</v>
      </c>
      <c r="D1213" s="177"/>
      <c r="E1213" s="174"/>
      <c r="F1213" s="176">
        <v>6.23</v>
      </c>
      <c r="G1213" s="175" t="s">
        <v>195</v>
      </c>
      <c r="H1213" s="174">
        <v>1</v>
      </c>
      <c r="I1213" s="173">
        <v>12.46</v>
      </c>
      <c r="J1213" s="174">
        <v>5.42</v>
      </c>
      <c r="K1213" s="173">
        <v>67.53</v>
      </c>
    </row>
    <row r="1214" spans="1:22" ht="14.25" x14ac:dyDescent="0.2">
      <c r="A1214" s="179"/>
      <c r="B1214" s="178"/>
      <c r="C1214" s="178" t="s">
        <v>194</v>
      </c>
      <c r="D1214" s="177" t="s">
        <v>187</v>
      </c>
      <c r="E1214" s="174">
        <v>110</v>
      </c>
      <c r="F1214" s="176"/>
      <c r="G1214" s="175"/>
      <c r="H1214" s="174"/>
      <c r="I1214" s="173">
        <v>33.21</v>
      </c>
      <c r="J1214" s="174">
        <v>88</v>
      </c>
      <c r="K1214" s="173">
        <v>620.35</v>
      </c>
    </row>
    <row r="1215" spans="1:22" ht="14.25" x14ac:dyDescent="0.2">
      <c r="A1215" s="179"/>
      <c r="B1215" s="178"/>
      <c r="C1215" s="178" t="s">
        <v>193</v>
      </c>
      <c r="D1215" s="177" t="s">
        <v>187</v>
      </c>
      <c r="E1215" s="174">
        <v>74</v>
      </c>
      <c r="F1215" s="176"/>
      <c r="G1215" s="175"/>
      <c r="H1215" s="174"/>
      <c r="I1215" s="173">
        <v>22.34</v>
      </c>
      <c r="J1215" s="174">
        <v>41</v>
      </c>
      <c r="K1215" s="173">
        <v>289.02999999999997</v>
      </c>
    </row>
    <row r="1216" spans="1:22" ht="14.25" x14ac:dyDescent="0.2">
      <c r="A1216" s="179"/>
      <c r="B1216" s="178"/>
      <c r="C1216" s="178" t="s">
        <v>188</v>
      </c>
      <c r="D1216" s="177" t="s">
        <v>187</v>
      </c>
      <c r="E1216" s="174">
        <v>175</v>
      </c>
      <c r="F1216" s="176"/>
      <c r="G1216" s="175"/>
      <c r="H1216" s="174"/>
      <c r="I1216" s="173">
        <v>1.61</v>
      </c>
      <c r="J1216" s="174">
        <v>157</v>
      </c>
      <c r="K1216" s="173">
        <v>33.72</v>
      </c>
    </row>
    <row r="1217" spans="1:22" ht="14.25" x14ac:dyDescent="0.2">
      <c r="A1217" s="242"/>
      <c r="B1217" s="241"/>
      <c r="C1217" s="241" t="s">
        <v>192</v>
      </c>
      <c r="D1217" s="240" t="s">
        <v>191</v>
      </c>
      <c r="E1217" s="238">
        <v>1.0900000000000001</v>
      </c>
      <c r="F1217" s="253"/>
      <c r="G1217" s="239" t="s">
        <v>2668</v>
      </c>
      <c r="H1217" s="238">
        <v>1</v>
      </c>
      <c r="I1217" s="237">
        <v>2.63</v>
      </c>
      <c r="J1217" s="238"/>
      <c r="K1217" s="237"/>
    </row>
    <row r="1218" spans="1:22" ht="15" x14ac:dyDescent="0.25">
      <c r="A1218" s="235"/>
      <c r="B1218" s="235"/>
      <c r="C1218" s="236" t="s">
        <v>183</v>
      </c>
      <c r="D1218" s="235"/>
      <c r="E1218" s="235"/>
      <c r="F1218" s="235"/>
      <c r="G1218" s="235"/>
      <c r="H1218" s="436">
        <v>103.72</v>
      </c>
      <c r="I1218" s="436"/>
      <c r="J1218" s="436">
        <v>1753.03</v>
      </c>
      <c r="K1218" s="436"/>
      <c r="O1218" s="163">
        <f>I1210+I1211+I1213+I1214+I1215+I1216</f>
        <v>103.72</v>
      </c>
      <c r="P1218" s="163">
        <f>K1210+K1211+K1213+K1214+K1215+K1216</f>
        <v>1753.03</v>
      </c>
    </row>
    <row r="1220" spans="1:22" ht="68.25" x14ac:dyDescent="0.2">
      <c r="A1220" s="250" t="s">
        <v>2720</v>
      </c>
      <c r="B1220" s="249" t="s">
        <v>2670</v>
      </c>
      <c r="C1220" s="249" t="s">
        <v>1057</v>
      </c>
      <c r="D1220" s="248" t="s">
        <v>1913</v>
      </c>
      <c r="E1220" s="246">
        <v>1</v>
      </c>
      <c r="F1220" s="254">
        <v>2892.24</v>
      </c>
      <c r="G1220" s="247" t="s">
        <v>195</v>
      </c>
      <c r="H1220" s="246">
        <v>1</v>
      </c>
      <c r="I1220" s="245">
        <v>2892.24</v>
      </c>
      <c r="J1220" s="246">
        <v>4.4000000000000004</v>
      </c>
      <c r="K1220" s="245">
        <v>12725.86</v>
      </c>
      <c r="Q1220" s="160">
        <f>[8]Source!X564</f>
        <v>0</v>
      </c>
      <c r="R1220" s="160">
        <f>[8]Source!X565</f>
        <v>0</v>
      </c>
      <c r="S1220" s="160">
        <f>[8]Source!Y564</f>
        <v>0</v>
      </c>
      <c r="T1220" s="160">
        <f>[8]Source!Y565</f>
        <v>0</v>
      </c>
      <c r="U1220" s="160">
        <f>ROUND((175/100)*ROUND([8]Source!R564, 2), 2)</f>
        <v>0</v>
      </c>
      <c r="V1220" s="160">
        <f>ROUND((157/100)*ROUND([8]Source!R565, 2), 2)</f>
        <v>0</v>
      </c>
    </row>
    <row r="1221" spans="1:22" ht="15" x14ac:dyDescent="0.25">
      <c r="A1221" s="243"/>
      <c r="B1221" s="243"/>
      <c r="C1221" s="244" t="s">
        <v>183</v>
      </c>
      <c r="D1221" s="243"/>
      <c r="E1221" s="243"/>
      <c r="F1221" s="243"/>
      <c r="G1221" s="243"/>
      <c r="H1221" s="437">
        <v>2892.24</v>
      </c>
      <c r="I1221" s="437"/>
      <c r="J1221" s="437">
        <v>12725.86</v>
      </c>
      <c r="K1221" s="437"/>
      <c r="O1221" s="163">
        <f>I1220</f>
        <v>2892.24</v>
      </c>
      <c r="P1221" s="163">
        <f>K1220</f>
        <v>12725.86</v>
      </c>
    </row>
    <row r="1223" spans="1:22" ht="28.5" x14ac:dyDescent="0.2">
      <c r="A1223" s="179" t="s">
        <v>2721</v>
      </c>
      <c r="B1223" s="178" t="s">
        <v>2673</v>
      </c>
      <c r="C1223" s="178" t="s">
        <v>1046</v>
      </c>
      <c r="D1223" s="177" t="s">
        <v>2674</v>
      </c>
      <c r="E1223" s="174">
        <v>1</v>
      </c>
      <c r="F1223" s="176"/>
      <c r="G1223" s="175"/>
      <c r="H1223" s="174"/>
      <c r="I1223" s="173"/>
      <c r="J1223" s="174"/>
      <c r="K1223" s="173"/>
      <c r="Q1223" s="160">
        <f>[8]Source!X567</f>
        <v>83.15</v>
      </c>
      <c r="R1223" s="160">
        <f>[8]Source!X568</f>
        <v>1553.23</v>
      </c>
      <c r="S1223" s="160">
        <f>[8]Source!Y567</f>
        <v>55.94</v>
      </c>
      <c r="T1223" s="160">
        <f>[8]Source!Y568</f>
        <v>723.66</v>
      </c>
      <c r="U1223" s="160">
        <f>ROUND((175/100)*ROUND([8]Source!R567, 2), 2)</f>
        <v>3.38</v>
      </c>
      <c r="V1223" s="160">
        <f>ROUND((157/100)*ROUND([8]Source!R568, 2), 2)</f>
        <v>70.760000000000005</v>
      </c>
    </row>
    <row r="1224" spans="1:22" ht="14.25" x14ac:dyDescent="0.2">
      <c r="A1224" s="179"/>
      <c r="B1224" s="178"/>
      <c r="C1224" s="178" t="s">
        <v>197</v>
      </c>
      <c r="D1224" s="177"/>
      <c r="E1224" s="174"/>
      <c r="F1224" s="176">
        <v>62.6</v>
      </c>
      <c r="G1224" s="175" t="s">
        <v>2668</v>
      </c>
      <c r="H1224" s="174">
        <v>1</v>
      </c>
      <c r="I1224" s="173">
        <v>75.59</v>
      </c>
      <c r="J1224" s="174">
        <v>23.35</v>
      </c>
      <c r="K1224" s="173">
        <v>1765.03</v>
      </c>
    </row>
    <row r="1225" spans="1:22" ht="14.25" x14ac:dyDescent="0.2">
      <c r="A1225" s="179"/>
      <c r="B1225" s="178"/>
      <c r="C1225" s="178" t="s">
        <v>184</v>
      </c>
      <c r="D1225" s="177"/>
      <c r="E1225" s="174"/>
      <c r="F1225" s="176">
        <v>8.82</v>
      </c>
      <c r="G1225" s="175" t="s">
        <v>2669</v>
      </c>
      <c r="H1225" s="174">
        <v>1</v>
      </c>
      <c r="I1225" s="173">
        <v>11.58</v>
      </c>
      <c r="J1225" s="174">
        <v>8.66</v>
      </c>
      <c r="K1225" s="173">
        <v>100.28</v>
      </c>
    </row>
    <row r="1226" spans="1:22" ht="14.25" x14ac:dyDescent="0.2">
      <c r="A1226" s="179"/>
      <c r="B1226" s="178"/>
      <c r="C1226" s="178" t="s">
        <v>189</v>
      </c>
      <c r="D1226" s="177"/>
      <c r="E1226" s="174"/>
      <c r="F1226" s="176">
        <v>1.47</v>
      </c>
      <c r="G1226" s="175" t="s">
        <v>2669</v>
      </c>
      <c r="H1226" s="174">
        <v>1</v>
      </c>
      <c r="I1226" s="180">
        <v>1.93</v>
      </c>
      <c r="J1226" s="174">
        <v>23.35</v>
      </c>
      <c r="K1226" s="180">
        <v>45.07</v>
      </c>
    </row>
    <row r="1227" spans="1:22" ht="14.25" x14ac:dyDescent="0.2">
      <c r="A1227" s="179"/>
      <c r="B1227" s="178"/>
      <c r="C1227" s="178" t="s">
        <v>205</v>
      </c>
      <c r="D1227" s="177"/>
      <c r="E1227" s="174"/>
      <c r="F1227" s="176">
        <v>2.62</v>
      </c>
      <c r="G1227" s="175" t="s">
        <v>195</v>
      </c>
      <c r="H1227" s="174">
        <v>1</v>
      </c>
      <c r="I1227" s="173">
        <v>2.62</v>
      </c>
      <c r="J1227" s="174">
        <v>2.5299999999999998</v>
      </c>
      <c r="K1227" s="173">
        <v>6.63</v>
      </c>
    </row>
    <row r="1228" spans="1:22" ht="14.25" x14ac:dyDescent="0.2">
      <c r="A1228" s="179"/>
      <c r="B1228" s="178"/>
      <c r="C1228" s="178" t="s">
        <v>194</v>
      </c>
      <c r="D1228" s="177" t="s">
        <v>187</v>
      </c>
      <c r="E1228" s="174">
        <v>110</v>
      </c>
      <c r="F1228" s="176"/>
      <c r="G1228" s="175"/>
      <c r="H1228" s="174"/>
      <c r="I1228" s="173">
        <v>83.15</v>
      </c>
      <c r="J1228" s="174">
        <v>88</v>
      </c>
      <c r="K1228" s="173">
        <v>1553.23</v>
      </c>
    </row>
    <row r="1229" spans="1:22" ht="14.25" x14ac:dyDescent="0.2">
      <c r="A1229" s="179"/>
      <c r="B1229" s="178"/>
      <c r="C1229" s="178" t="s">
        <v>193</v>
      </c>
      <c r="D1229" s="177" t="s">
        <v>187</v>
      </c>
      <c r="E1229" s="174">
        <v>74</v>
      </c>
      <c r="F1229" s="176"/>
      <c r="G1229" s="175"/>
      <c r="H1229" s="174"/>
      <c r="I1229" s="173">
        <v>55.94</v>
      </c>
      <c r="J1229" s="174">
        <v>41</v>
      </c>
      <c r="K1229" s="173">
        <v>723.66</v>
      </c>
    </row>
    <row r="1230" spans="1:22" ht="14.25" x14ac:dyDescent="0.2">
      <c r="A1230" s="179"/>
      <c r="B1230" s="178"/>
      <c r="C1230" s="178" t="s">
        <v>188</v>
      </c>
      <c r="D1230" s="177" t="s">
        <v>187</v>
      </c>
      <c r="E1230" s="174">
        <v>175</v>
      </c>
      <c r="F1230" s="176"/>
      <c r="G1230" s="175"/>
      <c r="H1230" s="174"/>
      <c r="I1230" s="173">
        <v>3.38</v>
      </c>
      <c r="J1230" s="174">
        <v>157</v>
      </c>
      <c r="K1230" s="173">
        <v>70.760000000000005</v>
      </c>
    </row>
    <row r="1231" spans="1:22" ht="14.25" x14ac:dyDescent="0.2">
      <c r="A1231" s="242"/>
      <c r="B1231" s="241"/>
      <c r="C1231" s="241" t="s">
        <v>192</v>
      </c>
      <c r="D1231" s="240" t="s">
        <v>191</v>
      </c>
      <c r="E1231" s="238">
        <v>4.96</v>
      </c>
      <c r="F1231" s="253"/>
      <c r="G1231" s="239" t="s">
        <v>2668</v>
      </c>
      <c r="H1231" s="238">
        <v>1</v>
      </c>
      <c r="I1231" s="237">
        <v>5.99</v>
      </c>
      <c r="J1231" s="238"/>
      <c r="K1231" s="237"/>
    </row>
    <row r="1232" spans="1:22" ht="15" x14ac:dyDescent="0.25">
      <c r="A1232" s="235"/>
      <c r="B1232" s="235"/>
      <c r="C1232" s="236" t="s">
        <v>183</v>
      </c>
      <c r="D1232" s="235"/>
      <c r="E1232" s="235"/>
      <c r="F1232" s="235"/>
      <c r="G1232" s="235"/>
      <c r="H1232" s="436">
        <v>232.26</v>
      </c>
      <c r="I1232" s="436"/>
      <c r="J1232" s="436">
        <v>4219.59</v>
      </c>
      <c r="K1232" s="436"/>
      <c r="O1232" s="163">
        <f>I1224+I1225+I1227+I1228+I1229+I1230</f>
        <v>232.26</v>
      </c>
      <c r="P1232" s="163">
        <f>K1224+K1225+K1227+K1228+K1229+K1230</f>
        <v>4219.59</v>
      </c>
    </row>
    <row r="1234" spans="1:22" ht="28.5" x14ac:dyDescent="0.2">
      <c r="A1234" s="179" t="s">
        <v>2722</v>
      </c>
      <c r="B1234" s="178" t="s">
        <v>2675</v>
      </c>
      <c r="C1234" s="178" t="s">
        <v>1026</v>
      </c>
      <c r="D1234" s="177" t="s">
        <v>2676</v>
      </c>
      <c r="E1234" s="174">
        <v>1</v>
      </c>
      <c r="F1234" s="176"/>
      <c r="G1234" s="175"/>
      <c r="H1234" s="174"/>
      <c r="I1234" s="173"/>
      <c r="J1234" s="174"/>
      <c r="K1234" s="173"/>
      <c r="Q1234" s="160">
        <f>[8]Source!X571</f>
        <v>15.88</v>
      </c>
      <c r="R1234" s="160">
        <f>[8]Source!X572</f>
        <v>296.70999999999998</v>
      </c>
      <c r="S1234" s="160">
        <f>[8]Source!Y571</f>
        <v>10.69</v>
      </c>
      <c r="T1234" s="160">
        <f>[8]Source!Y572</f>
        <v>138.24</v>
      </c>
      <c r="U1234" s="160">
        <f>ROUND((175/100)*ROUND([8]Source!R571, 2), 2)</f>
        <v>0.42</v>
      </c>
      <c r="V1234" s="160">
        <f>ROUND((157/100)*ROUND([8]Source!R572, 2), 2)</f>
        <v>8.7899999999999991</v>
      </c>
    </row>
    <row r="1235" spans="1:22" ht="14.25" x14ac:dyDescent="0.2">
      <c r="A1235" s="179"/>
      <c r="B1235" s="178"/>
      <c r="C1235" s="178" t="s">
        <v>197</v>
      </c>
      <c r="D1235" s="177"/>
      <c r="E1235" s="174"/>
      <c r="F1235" s="176">
        <v>11.96</v>
      </c>
      <c r="G1235" s="175" t="s">
        <v>2668</v>
      </c>
      <c r="H1235" s="174">
        <v>1</v>
      </c>
      <c r="I1235" s="173">
        <v>14.44</v>
      </c>
      <c r="J1235" s="174">
        <v>23.35</v>
      </c>
      <c r="K1235" s="173">
        <v>337.17</v>
      </c>
    </row>
    <row r="1236" spans="1:22" ht="14.25" x14ac:dyDescent="0.2">
      <c r="A1236" s="179"/>
      <c r="B1236" s="178"/>
      <c r="C1236" s="178" t="s">
        <v>184</v>
      </c>
      <c r="D1236" s="177"/>
      <c r="E1236" s="174"/>
      <c r="F1236" s="176">
        <v>0.74</v>
      </c>
      <c r="G1236" s="175" t="s">
        <v>2669</v>
      </c>
      <c r="H1236" s="174">
        <v>1</v>
      </c>
      <c r="I1236" s="173">
        <v>0.97</v>
      </c>
      <c r="J1236" s="174">
        <v>9.73</v>
      </c>
      <c r="K1236" s="173">
        <v>9.44</v>
      </c>
    </row>
    <row r="1237" spans="1:22" ht="14.25" x14ac:dyDescent="0.2">
      <c r="A1237" s="179"/>
      <c r="B1237" s="178"/>
      <c r="C1237" s="178" t="s">
        <v>189</v>
      </c>
      <c r="D1237" s="177"/>
      <c r="E1237" s="174"/>
      <c r="F1237" s="176">
        <v>0.18</v>
      </c>
      <c r="G1237" s="175" t="s">
        <v>2669</v>
      </c>
      <c r="H1237" s="174">
        <v>1</v>
      </c>
      <c r="I1237" s="180">
        <v>0.24</v>
      </c>
      <c r="J1237" s="174">
        <v>23.35</v>
      </c>
      <c r="K1237" s="180">
        <v>5.6</v>
      </c>
    </row>
    <row r="1238" spans="1:22" ht="14.25" x14ac:dyDescent="0.2">
      <c r="A1238" s="179"/>
      <c r="B1238" s="178"/>
      <c r="C1238" s="178" t="s">
        <v>205</v>
      </c>
      <c r="D1238" s="177"/>
      <c r="E1238" s="174"/>
      <c r="F1238" s="176">
        <v>4.41</v>
      </c>
      <c r="G1238" s="175" t="s">
        <v>195</v>
      </c>
      <c r="H1238" s="174">
        <v>1</v>
      </c>
      <c r="I1238" s="173">
        <v>4.41</v>
      </c>
      <c r="J1238" s="174">
        <v>5.42</v>
      </c>
      <c r="K1238" s="173">
        <v>23.9</v>
      </c>
    </row>
    <row r="1239" spans="1:22" ht="14.25" x14ac:dyDescent="0.2">
      <c r="A1239" s="179"/>
      <c r="B1239" s="178"/>
      <c r="C1239" s="178" t="s">
        <v>194</v>
      </c>
      <c r="D1239" s="177" t="s">
        <v>187</v>
      </c>
      <c r="E1239" s="174">
        <v>110</v>
      </c>
      <c r="F1239" s="176"/>
      <c r="G1239" s="175"/>
      <c r="H1239" s="174"/>
      <c r="I1239" s="173">
        <v>15.88</v>
      </c>
      <c r="J1239" s="174">
        <v>88</v>
      </c>
      <c r="K1239" s="173">
        <v>296.70999999999998</v>
      </c>
    </row>
    <row r="1240" spans="1:22" ht="14.25" x14ac:dyDescent="0.2">
      <c r="A1240" s="179"/>
      <c r="B1240" s="178"/>
      <c r="C1240" s="178" t="s">
        <v>193</v>
      </c>
      <c r="D1240" s="177" t="s">
        <v>187</v>
      </c>
      <c r="E1240" s="174">
        <v>74</v>
      </c>
      <c r="F1240" s="176"/>
      <c r="G1240" s="175"/>
      <c r="H1240" s="174"/>
      <c r="I1240" s="173">
        <v>10.69</v>
      </c>
      <c r="J1240" s="174">
        <v>41</v>
      </c>
      <c r="K1240" s="173">
        <v>138.24</v>
      </c>
    </row>
    <row r="1241" spans="1:22" ht="14.25" x14ac:dyDescent="0.2">
      <c r="A1241" s="179"/>
      <c r="B1241" s="178"/>
      <c r="C1241" s="178" t="s">
        <v>188</v>
      </c>
      <c r="D1241" s="177" t="s">
        <v>187</v>
      </c>
      <c r="E1241" s="174">
        <v>175</v>
      </c>
      <c r="F1241" s="176"/>
      <c r="G1241" s="175"/>
      <c r="H1241" s="174"/>
      <c r="I1241" s="173">
        <v>0.42</v>
      </c>
      <c r="J1241" s="174">
        <v>157</v>
      </c>
      <c r="K1241" s="173">
        <v>8.7899999999999991</v>
      </c>
    </row>
    <row r="1242" spans="1:22" ht="14.25" x14ac:dyDescent="0.2">
      <c r="A1242" s="242"/>
      <c r="B1242" s="241"/>
      <c r="C1242" s="241" t="s">
        <v>192</v>
      </c>
      <c r="D1242" s="240" t="s">
        <v>191</v>
      </c>
      <c r="E1242" s="238">
        <v>1.03</v>
      </c>
      <c r="F1242" s="253"/>
      <c r="G1242" s="239" t="s">
        <v>2668</v>
      </c>
      <c r="H1242" s="238">
        <v>1</v>
      </c>
      <c r="I1242" s="237">
        <v>1.24</v>
      </c>
      <c r="J1242" s="238"/>
      <c r="K1242" s="237"/>
    </row>
    <row r="1243" spans="1:22" ht="15" x14ac:dyDescent="0.25">
      <c r="A1243" s="235"/>
      <c r="B1243" s="235"/>
      <c r="C1243" s="236" t="s">
        <v>183</v>
      </c>
      <c r="D1243" s="235"/>
      <c r="E1243" s="235"/>
      <c r="F1243" s="235"/>
      <c r="G1243" s="235"/>
      <c r="H1243" s="436">
        <v>46.81</v>
      </c>
      <c r="I1243" s="436"/>
      <c r="J1243" s="436">
        <v>814.25</v>
      </c>
      <c r="K1243" s="436"/>
      <c r="O1243" s="163">
        <f>I1235+I1236+I1238+I1239+I1240+I1241</f>
        <v>46.81</v>
      </c>
      <c r="P1243" s="163">
        <f>K1235+K1236+K1238+K1239+K1240+K1241</f>
        <v>814.25</v>
      </c>
    </row>
    <row r="1245" spans="1:22" ht="28.5" x14ac:dyDescent="0.2">
      <c r="A1245" s="179" t="s">
        <v>2723</v>
      </c>
      <c r="B1245" s="178" t="s">
        <v>2677</v>
      </c>
      <c r="C1245" s="178" t="s">
        <v>1045</v>
      </c>
      <c r="D1245" s="177" t="s">
        <v>2678</v>
      </c>
      <c r="E1245" s="174">
        <v>0.15</v>
      </c>
      <c r="F1245" s="176"/>
      <c r="G1245" s="175"/>
      <c r="H1245" s="174"/>
      <c r="I1245" s="173"/>
      <c r="J1245" s="174"/>
      <c r="K1245" s="173"/>
      <c r="Q1245" s="160">
        <f>[8]Source!X573</f>
        <v>12.03</v>
      </c>
      <c r="R1245" s="160">
        <f>[8]Source!X574</f>
        <v>224.8</v>
      </c>
      <c r="S1245" s="160">
        <f>[8]Source!Y573</f>
        <v>8.1</v>
      </c>
      <c r="T1245" s="160">
        <f>[8]Source!Y574</f>
        <v>104.73</v>
      </c>
      <c r="U1245" s="160">
        <f>ROUND((175/100)*ROUND([8]Source!R573, 2), 2)</f>
        <v>1.4</v>
      </c>
      <c r="V1245" s="160">
        <f>ROUND((157/100)*ROUND([8]Source!R574, 2), 2)</f>
        <v>29.33</v>
      </c>
    </row>
    <row r="1246" spans="1:22" x14ac:dyDescent="0.2">
      <c r="C1246" s="181" t="s">
        <v>2679</v>
      </c>
    </row>
    <row r="1247" spans="1:22" ht="14.25" x14ac:dyDescent="0.2">
      <c r="A1247" s="179"/>
      <c r="B1247" s="178"/>
      <c r="C1247" s="178" t="s">
        <v>197</v>
      </c>
      <c r="D1247" s="177"/>
      <c r="E1247" s="174"/>
      <c r="F1247" s="176">
        <v>60.39</v>
      </c>
      <c r="G1247" s="175" t="s">
        <v>2668</v>
      </c>
      <c r="H1247" s="174">
        <v>1</v>
      </c>
      <c r="I1247" s="173">
        <v>10.94</v>
      </c>
      <c r="J1247" s="174">
        <v>23.35</v>
      </c>
      <c r="K1247" s="173">
        <v>255.45</v>
      </c>
    </row>
    <row r="1248" spans="1:22" ht="14.25" x14ac:dyDescent="0.2">
      <c r="A1248" s="179"/>
      <c r="B1248" s="178"/>
      <c r="C1248" s="178" t="s">
        <v>184</v>
      </c>
      <c r="D1248" s="177"/>
      <c r="E1248" s="174"/>
      <c r="F1248" s="176">
        <v>20.05</v>
      </c>
      <c r="G1248" s="175" t="s">
        <v>2669</v>
      </c>
      <c r="H1248" s="174">
        <v>1</v>
      </c>
      <c r="I1248" s="173">
        <v>3.95</v>
      </c>
      <c r="J1248" s="174">
        <v>8.98</v>
      </c>
      <c r="K1248" s="173">
        <v>35.47</v>
      </c>
    </row>
    <row r="1249" spans="1:22" ht="14.25" x14ac:dyDescent="0.2">
      <c r="A1249" s="179"/>
      <c r="B1249" s="178"/>
      <c r="C1249" s="178" t="s">
        <v>189</v>
      </c>
      <c r="D1249" s="177"/>
      <c r="E1249" s="174"/>
      <c r="F1249" s="176">
        <v>4.04</v>
      </c>
      <c r="G1249" s="175" t="s">
        <v>2669</v>
      </c>
      <c r="H1249" s="174">
        <v>1</v>
      </c>
      <c r="I1249" s="180">
        <v>0.8</v>
      </c>
      <c r="J1249" s="174">
        <v>23.35</v>
      </c>
      <c r="K1249" s="180">
        <v>18.68</v>
      </c>
    </row>
    <row r="1250" spans="1:22" ht="14.25" x14ac:dyDescent="0.2">
      <c r="A1250" s="179"/>
      <c r="B1250" s="178"/>
      <c r="C1250" s="178" t="s">
        <v>205</v>
      </c>
      <c r="D1250" s="177"/>
      <c r="E1250" s="174"/>
      <c r="F1250" s="176">
        <v>25.9</v>
      </c>
      <c r="G1250" s="175" t="s">
        <v>195</v>
      </c>
      <c r="H1250" s="174">
        <v>1</v>
      </c>
      <c r="I1250" s="173">
        <v>3.89</v>
      </c>
      <c r="J1250" s="174">
        <v>5.42</v>
      </c>
      <c r="K1250" s="173">
        <v>21.08</v>
      </c>
    </row>
    <row r="1251" spans="1:22" ht="14.25" x14ac:dyDescent="0.2">
      <c r="A1251" s="179"/>
      <c r="B1251" s="178"/>
      <c r="C1251" s="178" t="s">
        <v>194</v>
      </c>
      <c r="D1251" s="177" t="s">
        <v>187</v>
      </c>
      <c r="E1251" s="174">
        <v>110</v>
      </c>
      <c r="F1251" s="176"/>
      <c r="G1251" s="175"/>
      <c r="H1251" s="174"/>
      <c r="I1251" s="173">
        <v>12.03</v>
      </c>
      <c r="J1251" s="174">
        <v>88</v>
      </c>
      <c r="K1251" s="173">
        <v>224.8</v>
      </c>
    </row>
    <row r="1252" spans="1:22" ht="14.25" x14ac:dyDescent="0.2">
      <c r="A1252" s="179"/>
      <c r="B1252" s="178"/>
      <c r="C1252" s="178" t="s">
        <v>193</v>
      </c>
      <c r="D1252" s="177" t="s">
        <v>187</v>
      </c>
      <c r="E1252" s="174">
        <v>74</v>
      </c>
      <c r="F1252" s="176"/>
      <c r="G1252" s="175"/>
      <c r="H1252" s="174"/>
      <c r="I1252" s="173">
        <v>8.1</v>
      </c>
      <c r="J1252" s="174">
        <v>41</v>
      </c>
      <c r="K1252" s="173">
        <v>104.73</v>
      </c>
    </row>
    <row r="1253" spans="1:22" ht="14.25" x14ac:dyDescent="0.2">
      <c r="A1253" s="179"/>
      <c r="B1253" s="178"/>
      <c r="C1253" s="178" t="s">
        <v>188</v>
      </c>
      <c r="D1253" s="177" t="s">
        <v>187</v>
      </c>
      <c r="E1253" s="174">
        <v>175</v>
      </c>
      <c r="F1253" s="176"/>
      <c r="G1253" s="175"/>
      <c r="H1253" s="174"/>
      <c r="I1253" s="173">
        <v>1.4</v>
      </c>
      <c r="J1253" s="174">
        <v>157</v>
      </c>
      <c r="K1253" s="173">
        <v>29.33</v>
      </c>
    </row>
    <row r="1254" spans="1:22" ht="14.25" x14ac:dyDescent="0.2">
      <c r="A1254" s="242"/>
      <c r="B1254" s="241"/>
      <c r="C1254" s="241" t="s">
        <v>192</v>
      </c>
      <c r="D1254" s="240" t="s">
        <v>191</v>
      </c>
      <c r="E1254" s="238">
        <v>5.0199999999999996</v>
      </c>
      <c r="F1254" s="253"/>
      <c r="G1254" s="239" t="s">
        <v>2668</v>
      </c>
      <c r="H1254" s="238">
        <v>1</v>
      </c>
      <c r="I1254" s="237">
        <v>0.91</v>
      </c>
      <c r="J1254" s="238"/>
      <c r="K1254" s="237"/>
    </row>
    <row r="1255" spans="1:22" ht="15" x14ac:dyDescent="0.25">
      <c r="A1255" s="235"/>
      <c r="B1255" s="235"/>
      <c r="C1255" s="236" t="s">
        <v>183</v>
      </c>
      <c r="D1255" s="235"/>
      <c r="E1255" s="235"/>
      <c r="F1255" s="235"/>
      <c r="G1255" s="235"/>
      <c r="H1255" s="436">
        <v>40.31</v>
      </c>
      <c r="I1255" s="436"/>
      <c r="J1255" s="436">
        <v>670.86</v>
      </c>
      <c r="K1255" s="436"/>
      <c r="O1255" s="163">
        <f>I1247+I1248+I1250+I1251+I1252+I1253</f>
        <v>40.31</v>
      </c>
      <c r="P1255" s="163">
        <f>K1247+K1248+K1250+K1251+K1252+K1253</f>
        <v>670.86</v>
      </c>
    </row>
    <row r="1257" spans="1:22" ht="57" x14ac:dyDescent="0.2">
      <c r="A1257" s="179" t="s">
        <v>2724</v>
      </c>
      <c r="B1257" s="178" t="s">
        <v>2680</v>
      </c>
      <c r="C1257" s="178" t="s">
        <v>1052</v>
      </c>
      <c r="D1257" s="177" t="s">
        <v>1903</v>
      </c>
      <c r="E1257" s="174">
        <v>2</v>
      </c>
      <c r="F1257" s="176"/>
      <c r="G1257" s="175"/>
      <c r="H1257" s="174"/>
      <c r="I1257" s="173"/>
      <c r="J1257" s="174"/>
      <c r="K1257" s="173"/>
      <c r="Q1257" s="160">
        <f>[8]Source!X575</f>
        <v>33.21</v>
      </c>
      <c r="R1257" s="160">
        <f>[8]Source!X576</f>
        <v>620.35</v>
      </c>
      <c r="S1257" s="160">
        <f>[8]Source!Y575</f>
        <v>22.34</v>
      </c>
      <c r="T1257" s="160">
        <f>[8]Source!Y576</f>
        <v>289.02999999999997</v>
      </c>
      <c r="U1257" s="160">
        <f>ROUND((175/100)*ROUND([8]Source!R575, 2), 2)</f>
        <v>1.61</v>
      </c>
      <c r="V1257" s="160">
        <f>ROUND((157/100)*ROUND([8]Source!R576, 2), 2)</f>
        <v>33.72</v>
      </c>
    </row>
    <row r="1258" spans="1:22" ht="14.25" x14ac:dyDescent="0.2">
      <c r="A1258" s="179"/>
      <c r="B1258" s="178"/>
      <c r="C1258" s="178" t="s">
        <v>197</v>
      </c>
      <c r="D1258" s="177"/>
      <c r="E1258" s="174"/>
      <c r="F1258" s="176">
        <v>12.5</v>
      </c>
      <c r="G1258" s="175" t="s">
        <v>2668</v>
      </c>
      <c r="H1258" s="174">
        <v>1</v>
      </c>
      <c r="I1258" s="173">
        <v>30.19</v>
      </c>
      <c r="J1258" s="174">
        <v>23.35</v>
      </c>
      <c r="K1258" s="173">
        <v>704.94</v>
      </c>
    </row>
    <row r="1259" spans="1:22" ht="14.25" x14ac:dyDescent="0.2">
      <c r="A1259" s="179"/>
      <c r="B1259" s="178"/>
      <c r="C1259" s="178" t="s">
        <v>184</v>
      </c>
      <c r="D1259" s="177"/>
      <c r="E1259" s="174"/>
      <c r="F1259" s="176">
        <v>1.49</v>
      </c>
      <c r="G1259" s="175" t="s">
        <v>2669</v>
      </c>
      <c r="H1259" s="174">
        <v>1</v>
      </c>
      <c r="I1259" s="173">
        <v>3.91</v>
      </c>
      <c r="J1259" s="174">
        <v>9.58</v>
      </c>
      <c r="K1259" s="173">
        <v>37.46</v>
      </c>
    </row>
    <row r="1260" spans="1:22" ht="14.25" x14ac:dyDescent="0.2">
      <c r="A1260" s="179"/>
      <c r="B1260" s="178"/>
      <c r="C1260" s="178" t="s">
        <v>189</v>
      </c>
      <c r="D1260" s="177"/>
      <c r="E1260" s="174"/>
      <c r="F1260" s="176">
        <v>0.35</v>
      </c>
      <c r="G1260" s="175" t="s">
        <v>2669</v>
      </c>
      <c r="H1260" s="174">
        <v>1</v>
      </c>
      <c r="I1260" s="180">
        <v>0.92</v>
      </c>
      <c r="J1260" s="174">
        <v>23.35</v>
      </c>
      <c r="K1260" s="180">
        <v>21.48</v>
      </c>
    </row>
    <row r="1261" spans="1:22" ht="14.25" x14ac:dyDescent="0.2">
      <c r="A1261" s="179"/>
      <c r="B1261" s="178"/>
      <c r="C1261" s="178" t="s">
        <v>205</v>
      </c>
      <c r="D1261" s="177"/>
      <c r="E1261" s="174"/>
      <c r="F1261" s="176">
        <v>6.23</v>
      </c>
      <c r="G1261" s="175" t="s">
        <v>195</v>
      </c>
      <c r="H1261" s="174">
        <v>1</v>
      </c>
      <c r="I1261" s="173">
        <v>12.46</v>
      </c>
      <c r="J1261" s="174">
        <v>5.42</v>
      </c>
      <c r="K1261" s="173">
        <v>67.53</v>
      </c>
    </row>
    <row r="1262" spans="1:22" ht="14.25" x14ac:dyDescent="0.2">
      <c r="A1262" s="179"/>
      <c r="B1262" s="178"/>
      <c r="C1262" s="178" t="s">
        <v>194</v>
      </c>
      <c r="D1262" s="177" t="s">
        <v>187</v>
      </c>
      <c r="E1262" s="174">
        <v>110</v>
      </c>
      <c r="F1262" s="176"/>
      <c r="G1262" s="175"/>
      <c r="H1262" s="174"/>
      <c r="I1262" s="173">
        <v>33.21</v>
      </c>
      <c r="J1262" s="174">
        <v>88</v>
      </c>
      <c r="K1262" s="173">
        <v>620.35</v>
      </c>
    </row>
    <row r="1263" spans="1:22" ht="14.25" x14ac:dyDescent="0.2">
      <c r="A1263" s="179"/>
      <c r="B1263" s="178"/>
      <c r="C1263" s="178" t="s">
        <v>193</v>
      </c>
      <c r="D1263" s="177" t="s">
        <v>187</v>
      </c>
      <c r="E1263" s="174">
        <v>74</v>
      </c>
      <c r="F1263" s="176"/>
      <c r="G1263" s="175"/>
      <c r="H1263" s="174"/>
      <c r="I1263" s="173">
        <v>22.34</v>
      </c>
      <c r="J1263" s="174">
        <v>41</v>
      </c>
      <c r="K1263" s="173">
        <v>289.02999999999997</v>
      </c>
    </row>
    <row r="1264" spans="1:22" ht="14.25" x14ac:dyDescent="0.2">
      <c r="A1264" s="179"/>
      <c r="B1264" s="178"/>
      <c r="C1264" s="178" t="s">
        <v>188</v>
      </c>
      <c r="D1264" s="177" t="s">
        <v>187</v>
      </c>
      <c r="E1264" s="174">
        <v>175</v>
      </c>
      <c r="F1264" s="176"/>
      <c r="G1264" s="175"/>
      <c r="H1264" s="174"/>
      <c r="I1264" s="173">
        <v>1.61</v>
      </c>
      <c r="J1264" s="174">
        <v>157</v>
      </c>
      <c r="K1264" s="173">
        <v>33.72</v>
      </c>
    </row>
    <row r="1265" spans="1:22" ht="14.25" x14ac:dyDescent="0.2">
      <c r="A1265" s="242"/>
      <c r="B1265" s="241"/>
      <c r="C1265" s="241" t="s">
        <v>192</v>
      </c>
      <c r="D1265" s="240" t="s">
        <v>191</v>
      </c>
      <c r="E1265" s="238">
        <v>1.0900000000000001</v>
      </c>
      <c r="F1265" s="253"/>
      <c r="G1265" s="239" t="s">
        <v>2668</v>
      </c>
      <c r="H1265" s="238">
        <v>1</v>
      </c>
      <c r="I1265" s="237">
        <v>2.63</v>
      </c>
      <c r="J1265" s="238"/>
      <c r="K1265" s="237"/>
    </row>
    <row r="1266" spans="1:22" ht="15" x14ac:dyDescent="0.25">
      <c r="A1266" s="235"/>
      <c r="B1266" s="235"/>
      <c r="C1266" s="236" t="s">
        <v>183</v>
      </c>
      <c r="D1266" s="235"/>
      <c r="E1266" s="235"/>
      <c r="F1266" s="235"/>
      <c r="G1266" s="235"/>
      <c r="H1266" s="436">
        <v>103.72</v>
      </c>
      <c r="I1266" s="436"/>
      <c r="J1266" s="436">
        <v>1753.03</v>
      </c>
      <c r="K1266" s="436"/>
      <c r="O1266" s="163">
        <f>I1258+I1259+I1261+I1262+I1263+I1264</f>
        <v>103.72</v>
      </c>
      <c r="P1266" s="163">
        <f>K1258+K1259+K1261+K1262+K1263+K1264</f>
        <v>1753.03</v>
      </c>
    </row>
    <row r="1268" spans="1:22" ht="68.25" x14ac:dyDescent="0.2">
      <c r="A1268" s="250" t="s">
        <v>2725</v>
      </c>
      <c r="B1268" s="249" t="s">
        <v>2670</v>
      </c>
      <c r="C1268" s="249" t="s">
        <v>1056</v>
      </c>
      <c r="D1268" s="248" t="s">
        <v>1913</v>
      </c>
      <c r="E1268" s="246">
        <v>1</v>
      </c>
      <c r="F1268" s="254">
        <v>2306.21</v>
      </c>
      <c r="G1268" s="247" t="s">
        <v>195</v>
      </c>
      <c r="H1268" s="246">
        <v>1</v>
      </c>
      <c r="I1268" s="245">
        <v>2306.21</v>
      </c>
      <c r="J1268" s="246">
        <v>4.4000000000000004</v>
      </c>
      <c r="K1268" s="245">
        <v>10147.32</v>
      </c>
      <c r="Q1268" s="160">
        <f>[8]Source!X577</f>
        <v>0</v>
      </c>
      <c r="R1268" s="160">
        <f>[8]Source!X578</f>
        <v>0</v>
      </c>
      <c r="S1268" s="160">
        <f>[8]Source!Y577</f>
        <v>0</v>
      </c>
      <c r="T1268" s="160">
        <f>[8]Source!Y578</f>
        <v>0</v>
      </c>
      <c r="U1268" s="160">
        <f>ROUND((175/100)*ROUND([8]Source!R577, 2), 2)</f>
        <v>0</v>
      </c>
      <c r="V1268" s="160">
        <f>ROUND((157/100)*ROUND([8]Source!R578, 2), 2)</f>
        <v>0</v>
      </c>
    </row>
    <row r="1269" spans="1:22" ht="15" x14ac:dyDescent="0.25">
      <c r="A1269" s="243"/>
      <c r="B1269" s="243"/>
      <c r="C1269" s="244" t="s">
        <v>183</v>
      </c>
      <c r="D1269" s="243"/>
      <c r="E1269" s="243"/>
      <c r="F1269" s="243"/>
      <c r="G1269" s="243"/>
      <c r="H1269" s="437">
        <v>2306.21</v>
      </c>
      <c r="I1269" s="437"/>
      <c r="J1269" s="437">
        <v>10147.32</v>
      </c>
      <c r="K1269" s="437"/>
      <c r="O1269" s="163">
        <f>I1268</f>
        <v>2306.21</v>
      </c>
      <c r="P1269" s="163">
        <f>K1268</f>
        <v>10147.32</v>
      </c>
    </row>
    <row r="1271" spans="1:22" ht="28.5" x14ac:dyDescent="0.2">
      <c r="A1271" s="179" t="s">
        <v>2726</v>
      </c>
      <c r="B1271" s="178" t="s">
        <v>2673</v>
      </c>
      <c r="C1271" s="178" t="s">
        <v>1046</v>
      </c>
      <c r="D1271" s="177" t="s">
        <v>2674</v>
      </c>
      <c r="E1271" s="174">
        <v>1</v>
      </c>
      <c r="F1271" s="176"/>
      <c r="G1271" s="175"/>
      <c r="H1271" s="174"/>
      <c r="I1271" s="173"/>
      <c r="J1271" s="174"/>
      <c r="K1271" s="173"/>
      <c r="Q1271" s="160">
        <f>[8]Source!X580</f>
        <v>83.15</v>
      </c>
      <c r="R1271" s="160">
        <f>[8]Source!X581</f>
        <v>1553.23</v>
      </c>
      <c r="S1271" s="160">
        <f>[8]Source!Y580</f>
        <v>55.94</v>
      </c>
      <c r="T1271" s="160">
        <f>[8]Source!Y581</f>
        <v>723.66</v>
      </c>
      <c r="U1271" s="160">
        <f>ROUND((175/100)*ROUND([8]Source!R580, 2), 2)</f>
        <v>3.38</v>
      </c>
      <c r="V1271" s="160">
        <f>ROUND((157/100)*ROUND([8]Source!R581, 2), 2)</f>
        <v>70.760000000000005</v>
      </c>
    </row>
    <row r="1272" spans="1:22" ht="14.25" x14ac:dyDescent="0.2">
      <c r="A1272" s="179"/>
      <c r="B1272" s="178"/>
      <c r="C1272" s="178" t="s">
        <v>197</v>
      </c>
      <c r="D1272" s="177"/>
      <c r="E1272" s="174"/>
      <c r="F1272" s="176">
        <v>62.6</v>
      </c>
      <c r="G1272" s="175" t="s">
        <v>2668</v>
      </c>
      <c r="H1272" s="174">
        <v>1</v>
      </c>
      <c r="I1272" s="173">
        <v>75.59</v>
      </c>
      <c r="J1272" s="174">
        <v>23.35</v>
      </c>
      <c r="K1272" s="173">
        <v>1765.03</v>
      </c>
    </row>
    <row r="1273" spans="1:22" ht="14.25" x14ac:dyDescent="0.2">
      <c r="A1273" s="179"/>
      <c r="B1273" s="178"/>
      <c r="C1273" s="178" t="s">
        <v>184</v>
      </c>
      <c r="D1273" s="177"/>
      <c r="E1273" s="174"/>
      <c r="F1273" s="176">
        <v>8.82</v>
      </c>
      <c r="G1273" s="175" t="s">
        <v>2669</v>
      </c>
      <c r="H1273" s="174">
        <v>1</v>
      </c>
      <c r="I1273" s="173">
        <v>11.58</v>
      </c>
      <c r="J1273" s="174">
        <v>8.66</v>
      </c>
      <c r="K1273" s="173">
        <v>100.28</v>
      </c>
    </row>
    <row r="1274" spans="1:22" ht="14.25" x14ac:dyDescent="0.2">
      <c r="A1274" s="179"/>
      <c r="B1274" s="178"/>
      <c r="C1274" s="178" t="s">
        <v>189</v>
      </c>
      <c r="D1274" s="177"/>
      <c r="E1274" s="174"/>
      <c r="F1274" s="176">
        <v>1.47</v>
      </c>
      <c r="G1274" s="175" t="s">
        <v>2669</v>
      </c>
      <c r="H1274" s="174">
        <v>1</v>
      </c>
      <c r="I1274" s="180">
        <v>1.93</v>
      </c>
      <c r="J1274" s="174">
        <v>23.35</v>
      </c>
      <c r="K1274" s="180">
        <v>45.07</v>
      </c>
    </row>
    <row r="1275" spans="1:22" ht="14.25" x14ac:dyDescent="0.2">
      <c r="A1275" s="179"/>
      <c r="B1275" s="178"/>
      <c r="C1275" s="178" t="s">
        <v>205</v>
      </c>
      <c r="D1275" s="177"/>
      <c r="E1275" s="174"/>
      <c r="F1275" s="176">
        <v>2.62</v>
      </c>
      <c r="G1275" s="175" t="s">
        <v>195</v>
      </c>
      <c r="H1275" s="174">
        <v>1</v>
      </c>
      <c r="I1275" s="173">
        <v>2.62</v>
      </c>
      <c r="J1275" s="174">
        <v>2.5299999999999998</v>
      </c>
      <c r="K1275" s="173">
        <v>6.63</v>
      </c>
    </row>
    <row r="1276" spans="1:22" ht="14.25" x14ac:dyDescent="0.2">
      <c r="A1276" s="179"/>
      <c r="B1276" s="178"/>
      <c r="C1276" s="178" t="s">
        <v>194</v>
      </c>
      <c r="D1276" s="177" t="s">
        <v>187</v>
      </c>
      <c r="E1276" s="174">
        <v>110</v>
      </c>
      <c r="F1276" s="176"/>
      <c r="G1276" s="175"/>
      <c r="H1276" s="174"/>
      <c r="I1276" s="173">
        <v>83.15</v>
      </c>
      <c r="J1276" s="174">
        <v>88</v>
      </c>
      <c r="K1276" s="173">
        <v>1553.23</v>
      </c>
    </row>
    <row r="1277" spans="1:22" ht="14.25" x14ac:dyDescent="0.2">
      <c r="A1277" s="179"/>
      <c r="B1277" s="178"/>
      <c r="C1277" s="178" t="s">
        <v>193</v>
      </c>
      <c r="D1277" s="177" t="s">
        <v>187</v>
      </c>
      <c r="E1277" s="174">
        <v>74</v>
      </c>
      <c r="F1277" s="176"/>
      <c r="G1277" s="175"/>
      <c r="H1277" s="174"/>
      <c r="I1277" s="173">
        <v>55.94</v>
      </c>
      <c r="J1277" s="174">
        <v>41</v>
      </c>
      <c r="K1277" s="173">
        <v>723.66</v>
      </c>
    </row>
    <row r="1278" spans="1:22" ht="14.25" x14ac:dyDescent="0.2">
      <c r="A1278" s="179"/>
      <c r="B1278" s="178"/>
      <c r="C1278" s="178" t="s">
        <v>188</v>
      </c>
      <c r="D1278" s="177" t="s">
        <v>187</v>
      </c>
      <c r="E1278" s="174">
        <v>175</v>
      </c>
      <c r="F1278" s="176"/>
      <c r="G1278" s="175"/>
      <c r="H1278" s="174"/>
      <c r="I1278" s="173">
        <v>3.38</v>
      </c>
      <c r="J1278" s="174">
        <v>157</v>
      </c>
      <c r="K1278" s="173">
        <v>70.760000000000005</v>
      </c>
    </row>
    <row r="1279" spans="1:22" ht="14.25" x14ac:dyDescent="0.2">
      <c r="A1279" s="242"/>
      <c r="B1279" s="241"/>
      <c r="C1279" s="241" t="s">
        <v>192</v>
      </c>
      <c r="D1279" s="240" t="s">
        <v>191</v>
      </c>
      <c r="E1279" s="238">
        <v>4.96</v>
      </c>
      <c r="F1279" s="253"/>
      <c r="G1279" s="239" t="s">
        <v>2668</v>
      </c>
      <c r="H1279" s="238">
        <v>1</v>
      </c>
      <c r="I1279" s="237">
        <v>5.99</v>
      </c>
      <c r="J1279" s="238"/>
      <c r="K1279" s="237"/>
    </row>
    <row r="1280" spans="1:22" ht="15" x14ac:dyDescent="0.25">
      <c r="A1280" s="235"/>
      <c r="B1280" s="235"/>
      <c r="C1280" s="236" t="s">
        <v>183</v>
      </c>
      <c r="D1280" s="235"/>
      <c r="E1280" s="235"/>
      <c r="F1280" s="235"/>
      <c r="G1280" s="235"/>
      <c r="H1280" s="436">
        <v>232.26</v>
      </c>
      <c r="I1280" s="436"/>
      <c r="J1280" s="436">
        <v>4219.59</v>
      </c>
      <c r="K1280" s="436"/>
      <c r="O1280" s="163">
        <f>I1272+I1273+I1275+I1276+I1277+I1278</f>
        <v>232.26</v>
      </c>
      <c r="P1280" s="163">
        <f>K1272+K1273+K1275+K1276+K1277+K1278</f>
        <v>4219.59</v>
      </c>
    </row>
    <row r="1282" spans="1:22" ht="28.5" x14ac:dyDescent="0.2">
      <c r="A1282" s="179" t="s">
        <v>2727</v>
      </c>
      <c r="B1282" s="178" t="s">
        <v>2675</v>
      </c>
      <c r="C1282" s="178" t="s">
        <v>1026</v>
      </c>
      <c r="D1282" s="177" t="s">
        <v>2676</v>
      </c>
      <c r="E1282" s="174">
        <v>1</v>
      </c>
      <c r="F1282" s="176"/>
      <c r="G1282" s="175"/>
      <c r="H1282" s="174"/>
      <c r="I1282" s="173"/>
      <c r="J1282" s="174"/>
      <c r="K1282" s="173"/>
      <c r="Q1282" s="160">
        <f>[8]Source!X584</f>
        <v>15.88</v>
      </c>
      <c r="R1282" s="160">
        <f>[8]Source!X585</f>
        <v>296.70999999999998</v>
      </c>
      <c r="S1282" s="160">
        <f>[8]Source!Y584</f>
        <v>10.69</v>
      </c>
      <c r="T1282" s="160">
        <f>[8]Source!Y585</f>
        <v>138.24</v>
      </c>
      <c r="U1282" s="160">
        <f>ROUND((175/100)*ROUND([8]Source!R584, 2), 2)</f>
        <v>0.42</v>
      </c>
      <c r="V1282" s="160">
        <f>ROUND((157/100)*ROUND([8]Source!R585, 2), 2)</f>
        <v>8.7899999999999991</v>
      </c>
    </row>
    <row r="1283" spans="1:22" ht="14.25" x14ac:dyDescent="0.2">
      <c r="A1283" s="179"/>
      <c r="B1283" s="178"/>
      <c r="C1283" s="178" t="s">
        <v>197</v>
      </c>
      <c r="D1283" s="177"/>
      <c r="E1283" s="174"/>
      <c r="F1283" s="176">
        <v>11.96</v>
      </c>
      <c r="G1283" s="175" t="s">
        <v>2668</v>
      </c>
      <c r="H1283" s="174">
        <v>1</v>
      </c>
      <c r="I1283" s="173">
        <v>14.44</v>
      </c>
      <c r="J1283" s="174">
        <v>23.35</v>
      </c>
      <c r="K1283" s="173">
        <v>337.17</v>
      </c>
    </row>
    <row r="1284" spans="1:22" ht="14.25" x14ac:dyDescent="0.2">
      <c r="A1284" s="179"/>
      <c r="B1284" s="178"/>
      <c r="C1284" s="178" t="s">
        <v>184</v>
      </c>
      <c r="D1284" s="177"/>
      <c r="E1284" s="174"/>
      <c r="F1284" s="176">
        <v>0.74</v>
      </c>
      <c r="G1284" s="175" t="s">
        <v>2669</v>
      </c>
      <c r="H1284" s="174">
        <v>1</v>
      </c>
      <c r="I1284" s="173">
        <v>0.97</v>
      </c>
      <c r="J1284" s="174">
        <v>9.73</v>
      </c>
      <c r="K1284" s="173">
        <v>9.44</v>
      </c>
    </row>
    <row r="1285" spans="1:22" ht="14.25" x14ac:dyDescent="0.2">
      <c r="A1285" s="179"/>
      <c r="B1285" s="178"/>
      <c r="C1285" s="178" t="s">
        <v>189</v>
      </c>
      <c r="D1285" s="177"/>
      <c r="E1285" s="174"/>
      <c r="F1285" s="176">
        <v>0.18</v>
      </c>
      <c r="G1285" s="175" t="s">
        <v>2669</v>
      </c>
      <c r="H1285" s="174">
        <v>1</v>
      </c>
      <c r="I1285" s="180">
        <v>0.24</v>
      </c>
      <c r="J1285" s="174">
        <v>23.35</v>
      </c>
      <c r="K1285" s="180">
        <v>5.6</v>
      </c>
    </row>
    <row r="1286" spans="1:22" ht="14.25" x14ac:dyDescent="0.2">
      <c r="A1286" s="179"/>
      <c r="B1286" s="178"/>
      <c r="C1286" s="178" t="s">
        <v>205</v>
      </c>
      <c r="D1286" s="177"/>
      <c r="E1286" s="174"/>
      <c r="F1286" s="176">
        <v>4.41</v>
      </c>
      <c r="G1286" s="175" t="s">
        <v>195</v>
      </c>
      <c r="H1286" s="174">
        <v>1</v>
      </c>
      <c r="I1286" s="173">
        <v>4.41</v>
      </c>
      <c r="J1286" s="174">
        <v>5.42</v>
      </c>
      <c r="K1286" s="173">
        <v>23.9</v>
      </c>
    </row>
    <row r="1287" spans="1:22" ht="14.25" x14ac:dyDescent="0.2">
      <c r="A1287" s="179"/>
      <c r="B1287" s="178"/>
      <c r="C1287" s="178" t="s">
        <v>194</v>
      </c>
      <c r="D1287" s="177" t="s">
        <v>187</v>
      </c>
      <c r="E1287" s="174">
        <v>110</v>
      </c>
      <c r="F1287" s="176"/>
      <c r="G1287" s="175"/>
      <c r="H1287" s="174"/>
      <c r="I1287" s="173">
        <v>15.88</v>
      </c>
      <c r="J1287" s="174">
        <v>88</v>
      </c>
      <c r="K1287" s="173">
        <v>296.70999999999998</v>
      </c>
    </row>
    <row r="1288" spans="1:22" ht="14.25" x14ac:dyDescent="0.2">
      <c r="A1288" s="179"/>
      <c r="B1288" s="178"/>
      <c r="C1288" s="178" t="s">
        <v>193</v>
      </c>
      <c r="D1288" s="177" t="s">
        <v>187</v>
      </c>
      <c r="E1288" s="174">
        <v>74</v>
      </c>
      <c r="F1288" s="176"/>
      <c r="G1288" s="175"/>
      <c r="H1288" s="174"/>
      <c r="I1288" s="173">
        <v>10.69</v>
      </c>
      <c r="J1288" s="174">
        <v>41</v>
      </c>
      <c r="K1288" s="173">
        <v>138.24</v>
      </c>
    </row>
    <row r="1289" spans="1:22" ht="14.25" x14ac:dyDescent="0.2">
      <c r="A1289" s="179"/>
      <c r="B1289" s="178"/>
      <c r="C1289" s="178" t="s">
        <v>188</v>
      </c>
      <c r="D1289" s="177" t="s">
        <v>187</v>
      </c>
      <c r="E1289" s="174">
        <v>175</v>
      </c>
      <c r="F1289" s="176"/>
      <c r="G1289" s="175"/>
      <c r="H1289" s="174"/>
      <c r="I1289" s="173">
        <v>0.42</v>
      </c>
      <c r="J1289" s="174">
        <v>157</v>
      </c>
      <c r="K1289" s="173">
        <v>8.7899999999999991</v>
      </c>
    </row>
    <row r="1290" spans="1:22" ht="14.25" x14ac:dyDescent="0.2">
      <c r="A1290" s="242"/>
      <c r="B1290" s="241"/>
      <c r="C1290" s="241" t="s">
        <v>192</v>
      </c>
      <c r="D1290" s="240" t="s">
        <v>191</v>
      </c>
      <c r="E1290" s="238">
        <v>1.03</v>
      </c>
      <c r="F1290" s="253"/>
      <c r="G1290" s="239" t="s">
        <v>2668</v>
      </c>
      <c r="H1290" s="238">
        <v>1</v>
      </c>
      <c r="I1290" s="237">
        <v>1.24</v>
      </c>
      <c r="J1290" s="238"/>
      <c r="K1290" s="237"/>
    </row>
    <row r="1291" spans="1:22" ht="15" x14ac:dyDescent="0.25">
      <c r="A1291" s="235"/>
      <c r="B1291" s="235"/>
      <c r="C1291" s="236" t="s">
        <v>183</v>
      </c>
      <c r="D1291" s="235"/>
      <c r="E1291" s="235"/>
      <c r="F1291" s="235"/>
      <c r="G1291" s="235"/>
      <c r="H1291" s="436">
        <v>46.81</v>
      </c>
      <c r="I1291" s="436"/>
      <c r="J1291" s="436">
        <v>814.25</v>
      </c>
      <c r="K1291" s="436"/>
      <c r="O1291" s="163">
        <f>I1283+I1284+I1286+I1287+I1288+I1289</f>
        <v>46.81</v>
      </c>
      <c r="P1291" s="163">
        <f>K1283+K1284+K1286+K1287+K1288+K1289</f>
        <v>814.25</v>
      </c>
    </row>
    <row r="1293" spans="1:22" ht="28.5" x14ac:dyDescent="0.2">
      <c r="A1293" s="179" t="s">
        <v>2728</v>
      </c>
      <c r="B1293" s="178" t="s">
        <v>2677</v>
      </c>
      <c r="C1293" s="178" t="s">
        <v>1045</v>
      </c>
      <c r="D1293" s="177" t="s">
        <v>2678</v>
      </c>
      <c r="E1293" s="174">
        <v>0.15</v>
      </c>
      <c r="F1293" s="176"/>
      <c r="G1293" s="175"/>
      <c r="H1293" s="174"/>
      <c r="I1293" s="173"/>
      <c r="J1293" s="174"/>
      <c r="K1293" s="173"/>
      <c r="Q1293" s="160">
        <f>[8]Source!X586</f>
        <v>12.03</v>
      </c>
      <c r="R1293" s="160">
        <f>[8]Source!X587</f>
        <v>224.8</v>
      </c>
      <c r="S1293" s="160">
        <f>[8]Source!Y586</f>
        <v>8.1</v>
      </c>
      <c r="T1293" s="160">
        <f>[8]Source!Y587</f>
        <v>104.73</v>
      </c>
      <c r="U1293" s="160">
        <f>ROUND((175/100)*ROUND([8]Source!R586, 2), 2)</f>
        <v>1.4</v>
      </c>
      <c r="V1293" s="160">
        <f>ROUND((157/100)*ROUND([8]Source!R587, 2), 2)</f>
        <v>29.33</v>
      </c>
    </row>
    <row r="1294" spans="1:22" x14ac:dyDescent="0.2">
      <c r="C1294" s="181" t="s">
        <v>2679</v>
      </c>
    </row>
    <row r="1295" spans="1:22" ht="14.25" x14ac:dyDescent="0.2">
      <c r="A1295" s="179"/>
      <c r="B1295" s="178"/>
      <c r="C1295" s="178" t="s">
        <v>197</v>
      </c>
      <c r="D1295" s="177"/>
      <c r="E1295" s="174"/>
      <c r="F1295" s="176">
        <v>60.39</v>
      </c>
      <c r="G1295" s="175" t="s">
        <v>2668</v>
      </c>
      <c r="H1295" s="174">
        <v>1</v>
      </c>
      <c r="I1295" s="173">
        <v>10.94</v>
      </c>
      <c r="J1295" s="174">
        <v>23.35</v>
      </c>
      <c r="K1295" s="173">
        <v>255.45</v>
      </c>
    </row>
    <row r="1296" spans="1:22" ht="14.25" x14ac:dyDescent="0.2">
      <c r="A1296" s="179"/>
      <c r="B1296" s="178"/>
      <c r="C1296" s="178" t="s">
        <v>184</v>
      </c>
      <c r="D1296" s="177"/>
      <c r="E1296" s="174"/>
      <c r="F1296" s="176">
        <v>20.05</v>
      </c>
      <c r="G1296" s="175" t="s">
        <v>2669</v>
      </c>
      <c r="H1296" s="174">
        <v>1</v>
      </c>
      <c r="I1296" s="173">
        <v>3.95</v>
      </c>
      <c r="J1296" s="174">
        <v>8.98</v>
      </c>
      <c r="K1296" s="173">
        <v>35.47</v>
      </c>
    </row>
    <row r="1297" spans="1:22" ht="14.25" x14ac:dyDescent="0.2">
      <c r="A1297" s="179"/>
      <c r="B1297" s="178"/>
      <c r="C1297" s="178" t="s">
        <v>189</v>
      </c>
      <c r="D1297" s="177"/>
      <c r="E1297" s="174"/>
      <c r="F1297" s="176">
        <v>4.04</v>
      </c>
      <c r="G1297" s="175" t="s">
        <v>2669</v>
      </c>
      <c r="H1297" s="174">
        <v>1</v>
      </c>
      <c r="I1297" s="180">
        <v>0.8</v>
      </c>
      <c r="J1297" s="174">
        <v>23.35</v>
      </c>
      <c r="K1297" s="180">
        <v>18.68</v>
      </c>
    </row>
    <row r="1298" spans="1:22" ht="14.25" x14ac:dyDescent="0.2">
      <c r="A1298" s="179"/>
      <c r="B1298" s="178"/>
      <c r="C1298" s="178" t="s">
        <v>205</v>
      </c>
      <c r="D1298" s="177"/>
      <c r="E1298" s="174"/>
      <c r="F1298" s="176">
        <v>25.9</v>
      </c>
      <c r="G1298" s="175" t="s">
        <v>195</v>
      </c>
      <c r="H1298" s="174">
        <v>1</v>
      </c>
      <c r="I1298" s="173">
        <v>3.89</v>
      </c>
      <c r="J1298" s="174">
        <v>5.42</v>
      </c>
      <c r="K1298" s="173">
        <v>21.08</v>
      </c>
    </row>
    <row r="1299" spans="1:22" ht="14.25" x14ac:dyDescent="0.2">
      <c r="A1299" s="179"/>
      <c r="B1299" s="178"/>
      <c r="C1299" s="178" t="s">
        <v>194</v>
      </c>
      <c r="D1299" s="177" t="s">
        <v>187</v>
      </c>
      <c r="E1299" s="174">
        <v>110</v>
      </c>
      <c r="F1299" s="176"/>
      <c r="G1299" s="175"/>
      <c r="H1299" s="174"/>
      <c r="I1299" s="173">
        <v>12.03</v>
      </c>
      <c r="J1299" s="174">
        <v>88</v>
      </c>
      <c r="K1299" s="173">
        <v>224.8</v>
      </c>
    </row>
    <row r="1300" spans="1:22" ht="14.25" x14ac:dyDescent="0.2">
      <c r="A1300" s="179"/>
      <c r="B1300" s="178"/>
      <c r="C1300" s="178" t="s">
        <v>193</v>
      </c>
      <c r="D1300" s="177" t="s">
        <v>187</v>
      </c>
      <c r="E1300" s="174">
        <v>74</v>
      </c>
      <c r="F1300" s="176"/>
      <c r="G1300" s="175"/>
      <c r="H1300" s="174"/>
      <c r="I1300" s="173">
        <v>8.1</v>
      </c>
      <c r="J1300" s="174">
        <v>41</v>
      </c>
      <c r="K1300" s="173">
        <v>104.73</v>
      </c>
    </row>
    <row r="1301" spans="1:22" ht="14.25" x14ac:dyDescent="0.2">
      <c r="A1301" s="179"/>
      <c r="B1301" s="178"/>
      <c r="C1301" s="178" t="s">
        <v>188</v>
      </c>
      <c r="D1301" s="177" t="s">
        <v>187</v>
      </c>
      <c r="E1301" s="174">
        <v>175</v>
      </c>
      <c r="F1301" s="176"/>
      <c r="G1301" s="175"/>
      <c r="H1301" s="174"/>
      <c r="I1301" s="173">
        <v>1.4</v>
      </c>
      <c r="J1301" s="174">
        <v>157</v>
      </c>
      <c r="K1301" s="173">
        <v>29.33</v>
      </c>
    </row>
    <row r="1302" spans="1:22" ht="14.25" x14ac:dyDescent="0.2">
      <c r="A1302" s="242"/>
      <c r="B1302" s="241"/>
      <c r="C1302" s="241" t="s">
        <v>192</v>
      </c>
      <c r="D1302" s="240" t="s">
        <v>191</v>
      </c>
      <c r="E1302" s="238">
        <v>5.0199999999999996</v>
      </c>
      <c r="F1302" s="253"/>
      <c r="G1302" s="239" t="s">
        <v>2668</v>
      </c>
      <c r="H1302" s="238">
        <v>1</v>
      </c>
      <c r="I1302" s="237">
        <v>0.91</v>
      </c>
      <c r="J1302" s="238"/>
      <c r="K1302" s="237"/>
    </row>
    <row r="1303" spans="1:22" ht="15" x14ac:dyDescent="0.25">
      <c r="A1303" s="235"/>
      <c r="B1303" s="235"/>
      <c r="C1303" s="236" t="s">
        <v>183</v>
      </c>
      <c r="D1303" s="235"/>
      <c r="E1303" s="235"/>
      <c r="F1303" s="235"/>
      <c r="G1303" s="235"/>
      <c r="H1303" s="436">
        <v>40.31</v>
      </c>
      <c r="I1303" s="436"/>
      <c r="J1303" s="436">
        <v>670.86</v>
      </c>
      <c r="K1303" s="436"/>
      <c r="O1303" s="163">
        <f>I1295+I1296+I1298+I1299+I1300+I1301</f>
        <v>40.31</v>
      </c>
      <c r="P1303" s="163">
        <f>K1295+K1296+K1298+K1299+K1300+K1301</f>
        <v>670.86</v>
      </c>
    </row>
    <row r="1305" spans="1:22" ht="57" x14ac:dyDescent="0.2">
      <c r="A1305" s="179" t="s">
        <v>2729</v>
      </c>
      <c r="B1305" s="178" t="s">
        <v>2680</v>
      </c>
      <c r="C1305" s="178" t="s">
        <v>1052</v>
      </c>
      <c r="D1305" s="177" t="s">
        <v>1903</v>
      </c>
      <c r="E1305" s="174">
        <v>2</v>
      </c>
      <c r="F1305" s="176"/>
      <c r="G1305" s="175"/>
      <c r="H1305" s="174"/>
      <c r="I1305" s="173"/>
      <c r="J1305" s="174"/>
      <c r="K1305" s="173"/>
      <c r="Q1305" s="160">
        <f>[8]Source!X588</f>
        <v>33.21</v>
      </c>
      <c r="R1305" s="160">
        <f>[8]Source!X589</f>
        <v>620.35</v>
      </c>
      <c r="S1305" s="160">
        <f>[8]Source!Y588</f>
        <v>22.34</v>
      </c>
      <c r="T1305" s="160">
        <f>[8]Source!Y589</f>
        <v>289.02999999999997</v>
      </c>
      <c r="U1305" s="160">
        <f>ROUND((175/100)*ROUND([8]Source!R588, 2), 2)</f>
        <v>1.61</v>
      </c>
      <c r="V1305" s="160">
        <f>ROUND((157/100)*ROUND([8]Source!R589, 2), 2)</f>
        <v>33.72</v>
      </c>
    </row>
    <row r="1306" spans="1:22" ht="14.25" x14ac:dyDescent="0.2">
      <c r="A1306" s="179"/>
      <c r="B1306" s="178"/>
      <c r="C1306" s="178" t="s">
        <v>197</v>
      </c>
      <c r="D1306" s="177"/>
      <c r="E1306" s="174"/>
      <c r="F1306" s="176">
        <v>12.5</v>
      </c>
      <c r="G1306" s="175" t="s">
        <v>2668</v>
      </c>
      <c r="H1306" s="174">
        <v>1</v>
      </c>
      <c r="I1306" s="173">
        <v>30.19</v>
      </c>
      <c r="J1306" s="174">
        <v>23.35</v>
      </c>
      <c r="K1306" s="173">
        <v>704.94</v>
      </c>
    </row>
    <row r="1307" spans="1:22" ht="14.25" x14ac:dyDescent="0.2">
      <c r="A1307" s="179"/>
      <c r="B1307" s="178"/>
      <c r="C1307" s="178" t="s">
        <v>184</v>
      </c>
      <c r="D1307" s="177"/>
      <c r="E1307" s="174"/>
      <c r="F1307" s="176">
        <v>1.49</v>
      </c>
      <c r="G1307" s="175" t="s">
        <v>2669</v>
      </c>
      <c r="H1307" s="174">
        <v>1</v>
      </c>
      <c r="I1307" s="173">
        <v>3.91</v>
      </c>
      <c r="J1307" s="174">
        <v>9.58</v>
      </c>
      <c r="K1307" s="173">
        <v>37.46</v>
      </c>
    </row>
    <row r="1308" spans="1:22" ht="14.25" x14ac:dyDescent="0.2">
      <c r="A1308" s="179"/>
      <c r="B1308" s="178"/>
      <c r="C1308" s="178" t="s">
        <v>189</v>
      </c>
      <c r="D1308" s="177"/>
      <c r="E1308" s="174"/>
      <c r="F1308" s="176">
        <v>0.35</v>
      </c>
      <c r="G1308" s="175" t="s">
        <v>2669</v>
      </c>
      <c r="H1308" s="174">
        <v>1</v>
      </c>
      <c r="I1308" s="180">
        <v>0.92</v>
      </c>
      <c r="J1308" s="174">
        <v>23.35</v>
      </c>
      <c r="K1308" s="180">
        <v>21.48</v>
      </c>
    </row>
    <row r="1309" spans="1:22" ht="14.25" x14ac:dyDescent="0.2">
      <c r="A1309" s="179"/>
      <c r="B1309" s="178"/>
      <c r="C1309" s="178" t="s">
        <v>205</v>
      </c>
      <c r="D1309" s="177"/>
      <c r="E1309" s="174"/>
      <c r="F1309" s="176">
        <v>6.23</v>
      </c>
      <c r="G1309" s="175" t="s">
        <v>195</v>
      </c>
      <c r="H1309" s="174">
        <v>1</v>
      </c>
      <c r="I1309" s="173">
        <v>12.46</v>
      </c>
      <c r="J1309" s="174">
        <v>5.42</v>
      </c>
      <c r="K1309" s="173">
        <v>67.53</v>
      </c>
    </row>
    <row r="1310" spans="1:22" ht="14.25" x14ac:dyDescent="0.2">
      <c r="A1310" s="179"/>
      <c r="B1310" s="178"/>
      <c r="C1310" s="178" t="s">
        <v>194</v>
      </c>
      <c r="D1310" s="177" t="s">
        <v>187</v>
      </c>
      <c r="E1310" s="174">
        <v>110</v>
      </c>
      <c r="F1310" s="176"/>
      <c r="G1310" s="175"/>
      <c r="H1310" s="174"/>
      <c r="I1310" s="173">
        <v>33.21</v>
      </c>
      <c r="J1310" s="174">
        <v>88</v>
      </c>
      <c r="K1310" s="173">
        <v>620.35</v>
      </c>
    </row>
    <row r="1311" spans="1:22" ht="14.25" x14ac:dyDescent="0.2">
      <c r="A1311" s="179"/>
      <c r="B1311" s="178"/>
      <c r="C1311" s="178" t="s">
        <v>193</v>
      </c>
      <c r="D1311" s="177" t="s">
        <v>187</v>
      </c>
      <c r="E1311" s="174">
        <v>74</v>
      </c>
      <c r="F1311" s="176"/>
      <c r="G1311" s="175"/>
      <c r="H1311" s="174"/>
      <c r="I1311" s="173">
        <v>22.34</v>
      </c>
      <c r="J1311" s="174">
        <v>41</v>
      </c>
      <c r="K1311" s="173">
        <v>289.02999999999997</v>
      </c>
    </row>
    <row r="1312" spans="1:22" ht="14.25" x14ac:dyDescent="0.2">
      <c r="A1312" s="179"/>
      <c r="B1312" s="178"/>
      <c r="C1312" s="178" t="s">
        <v>188</v>
      </c>
      <c r="D1312" s="177" t="s">
        <v>187</v>
      </c>
      <c r="E1312" s="174">
        <v>175</v>
      </c>
      <c r="F1312" s="176"/>
      <c r="G1312" s="175"/>
      <c r="H1312" s="174"/>
      <c r="I1312" s="173">
        <v>1.61</v>
      </c>
      <c r="J1312" s="174">
        <v>157</v>
      </c>
      <c r="K1312" s="173">
        <v>33.72</v>
      </c>
    </row>
    <row r="1313" spans="1:22" ht="14.25" x14ac:dyDescent="0.2">
      <c r="A1313" s="242"/>
      <c r="B1313" s="241"/>
      <c r="C1313" s="241" t="s">
        <v>192</v>
      </c>
      <c r="D1313" s="240" t="s">
        <v>191</v>
      </c>
      <c r="E1313" s="238">
        <v>1.0900000000000001</v>
      </c>
      <c r="F1313" s="253"/>
      <c r="G1313" s="239" t="s">
        <v>2668</v>
      </c>
      <c r="H1313" s="238">
        <v>1</v>
      </c>
      <c r="I1313" s="237">
        <v>2.63</v>
      </c>
      <c r="J1313" s="238"/>
      <c r="K1313" s="237"/>
    </row>
    <row r="1314" spans="1:22" ht="15" x14ac:dyDescent="0.25">
      <c r="A1314" s="235"/>
      <c r="B1314" s="235"/>
      <c r="C1314" s="236" t="s">
        <v>183</v>
      </c>
      <c r="D1314" s="235"/>
      <c r="E1314" s="235"/>
      <c r="F1314" s="235"/>
      <c r="G1314" s="235"/>
      <c r="H1314" s="436">
        <v>103.72</v>
      </c>
      <c r="I1314" s="436"/>
      <c r="J1314" s="436">
        <v>1753.03</v>
      </c>
      <c r="K1314" s="436"/>
      <c r="O1314" s="163">
        <f>I1306+I1307+I1309+I1310+I1311+I1312</f>
        <v>103.72</v>
      </c>
      <c r="P1314" s="163">
        <f>K1306+K1307+K1309+K1310+K1311+K1312</f>
        <v>1753.03</v>
      </c>
    </row>
    <row r="1316" spans="1:22" ht="68.25" x14ac:dyDescent="0.2">
      <c r="A1316" s="250" t="s">
        <v>2730</v>
      </c>
      <c r="B1316" s="249" t="s">
        <v>2670</v>
      </c>
      <c r="C1316" s="249" t="s">
        <v>1055</v>
      </c>
      <c r="D1316" s="248" t="s">
        <v>1913</v>
      </c>
      <c r="E1316" s="246">
        <v>1</v>
      </c>
      <c r="F1316" s="254">
        <v>2892.24</v>
      </c>
      <c r="G1316" s="247" t="s">
        <v>195</v>
      </c>
      <c r="H1316" s="246">
        <v>1</v>
      </c>
      <c r="I1316" s="245">
        <v>2892.24</v>
      </c>
      <c r="J1316" s="246">
        <v>4.4000000000000004</v>
      </c>
      <c r="K1316" s="245">
        <v>12725.86</v>
      </c>
      <c r="Q1316" s="160">
        <f>[8]Source!X590</f>
        <v>0</v>
      </c>
      <c r="R1316" s="160">
        <f>[8]Source!X591</f>
        <v>0</v>
      </c>
      <c r="S1316" s="160">
        <f>[8]Source!Y590</f>
        <v>0</v>
      </c>
      <c r="T1316" s="160">
        <f>[8]Source!Y591</f>
        <v>0</v>
      </c>
      <c r="U1316" s="160">
        <f>ROUND((175/100)*ROUND([8]Source!R590, 2), 2)</f>
        <v>0</v>
      </c>
      <c r="V1316" s="160">
        <f>ROUND((157/100)*ROUND([8]Source!R591, 2), 2)</f>
        <v>0</v>
      </c>
    </row>
    <row r="1317" spans="1:22" ht="15" x14ac:dyDescent="0.25">
      <c r="A1317" s="243"/>
      <c r="B1317" s="243"/>
      <c r="C1317" s="244" t="s">
        <v>183</v>
      </c>
      <c r="D1317" s="243"/>
      <c r="E1317" s="243"/>
      <c r="F1317" s="243"/>
      <c r="G1317" s="243"/>
      <c r="H1317" s="437">
        <v>2892.24</v>
      </c>
      <c r="I1317" s="437"/>
      <c r="J1317" s="437">
        <v>12725.86</v>
      </c>
      <c r="K1317" s="437"/>
      <c r="O1317" s="163">
        <f>I1316</f>
        <v>2892.24</v>
      </c>
      <c r="P1317" s="163">
        <f>K1316</f>
        <v>12725.86</v>
      </c>
    </row>
    <row r="1319" spans="1:22" ht="28.5" x14ac:dyDescent="0.2">
      <c r="A1319" s="179" t="s">
        <v>2731</v>
      </c>
      <c r="B1319" s="178" t="s">
        <v>2673</v>
      </c>
      <c r="C1319" s="178" t="s">
        <v>1046</v>
      </c>
      <c r="D1319" s="177" t="s">
        <v>2674</v>
      </c>
      <c r="E1319" s="174">
        <v>1</v>
      </c>
      <c r="F1319" s="176"/>
      <c r="G1319" s="175"/>
      <c r="H1319" s="174"/>
      <c r="I1319" s="173"/>
      <c r="J1319" s="174"/>
      <c r="K1319" s="173"/>
      <c r="Q1319" s="160">
        <f>[8]Source!X593</f>
        <v>83.15</v>
      </c>
      <c r="R1319" s="160">
        <f>[8]Source!X594</f>
        <v>1553.23</v>
      </c>
      <c r="S1319" s="160">
        <f>[8]Source!Y593</f>
        <v>55.94</v>
      </c>
      <c r="T1319" s="160">
        <f>[8]Source!Y594</f>
        <v>723.66</v>
      </c>
      <c r="U1319" s="160">
        <f>ROUND((175/100)*ROUND([8]Source!R593, 2), 2)</f>
        <v>3.38</v>
      </c>
      <c r="V1319" s="160">
        <f>ROUND((157/100)*ROUND([8]Source!R594, 2), 2)</f>
        <v>70.760000000000005</v>
      </c>
    </row>
    <row r="1320" spans="1:22" ht="14.25" x14ac:dyDescent="0.2">
      <c r="A1320" s="179"/>
      <c r="B1320" s="178"/>
      <c r="C1320" s="178" t="s">
        <v>197</v>
      </c>
      <c r="D1320" s="177"/>
      <c r="E1320" s="174"/>
      <c r="F1320" s="176">
        <v>62.6</v>
      </c>
      <c r="G1320" s="175" t="s">
        <v>2668</v>
      </c>
      <c r="H1320" s="174">
        <v>1</v>
      </c>
      <c r="I1320" s="173">
        <v>75.59</v>
      </c>
      <c r="J1320" s="174">
        <v>23.35</v>
      </c>
      <c r="K1320" s="173">
        <v>1765.03</v>
      </c>
    </row>
    <row r="1321" spans="1:22" ht="14.25" x14ac:dyDescent="0.2">
      <c r="A1321" s="179"/>
      <c r="B1321" s="178"/>
      <c r="C1321" s="178" t="s">
        <v>184</v>
      </c>
      <c r="D1321" s="177"/>
      <c r="E1321" s="174"/>
      <c r="F1321" s="176">
        <v>8.82</v>
      </c>
      <c r="G1321" s="175" t="s">
        <v>2669</v>
      </c>
      <c r="H1321" s="174">
        <v>1</v>
      </c>
      <c r="I1321" s="173">
        <v>11.58</v>
      </c>
      <c r="J1321" s="174">
        <v>8.66</v>
      </c>
      <c r="K1321" s="173">
        <v>100.28</v>
      </c>
    </row>
    <row r="1322" spans="1:22" ht="14.25" x14ac:dyDescent="0.2">
      <c r="A1322" s="179"/>
      <c r="B1322" s="178"/>
      <c r="C1322" s="178" t="s">
        <v>189</v>
      </c>
      <c r="D1322" s="177"/>
      <c r="E1322" s="174"/>
      <c r="F1322" s="176">
        <v>1.47</v>
      </c>
      <c r="G1322" s="175" t="s">
        <v>2669</v>
      </c>
      <c r="H1322" s="174">
        <v>1</v>
      </c>
      <c r="I1322" s="180">
        <v>1.93</v>
      </c>
      <c r="J1322" s="174">
        <v>23.35</v>
      </c>
      <c r="K1322" s="180">
        <v>45.07</v>
      </c>
    </row>
    <row r="1323" spans="1:22" ht="14.25" x14ac:dyDescent="0.2">
      <c r="A1323" s="179"/>
      <c r="B1323" s="178"/>
      <c r="C1323" s="178" t="s">
        <v>205</v>
      </c>
      <c r="D1323" s="177"/>
      <c r="E1323" s="174"/>
      <c r="F1323" s="176">
        <v>2.62</v>
      </c>
      <c r="G1323" s="175" t="s">
        <v>195</v>
      </c>
      <c r="H1323" s="174">
        <v>1</v>
      </c>
      <c r="I1323" s="173">
        <v>2.62</v>
      </c>
      <c r="J1323" s="174">
        <v>2.5299999999999998</v>
      </c>
      <c r="K1323" s="173">
        <v>6.63</v>
      </c>
    </row>
    <row r="1324" spans="1:22" ht="14.25" x14ac:dyDescent="0.2">
      <c r="A1324" s="179"/>
      <c r="B1324" s="178"/>
      <c r="C1324" s="178" t="s">
        <v>194</v>
      </c>
      <c r="D1324" s="177" t="s">
        <v>187</v>
      </c>
      <c r="E1324" s="174">
        <v>110</v>
      </c>
      <c r="F1324" s="176"/>
      <c r="G1324" s="175"/>
      <c r="H1324" s="174"/>
      <c r="I1324" s="173">
        <v>83.15</v>
      </c>
      <c r="J1324" s="174">
        <v>88</v>
      </c>
      <c r="K1324" s="173">
        <v>1553.23</v>
      </c>
    </row>
    <row r="1325" spans="1:22" ht="14.25" x14ac:dyDescent="0.2">
      <c r="A1325" s="179"/>
      <c r="B1325" s="178"/>
      <c r="C1325" s="178" t="s">
        <v>193</v>
      </c>
      <c r="D1325" s="177" t="s">
        <v>187</v>
      </c>
      <c r="E1325" s="174">
        <v>74</v>
      </c>
      <c r="F1325" s="176"/>
      <c r="G1325" s="175"/>
      <c r="H1325" s="174"/>
      <c r="I1325" s="173">
        <v>55.94</v>
      </c>
      <c r="J1325" s="174">
        <v>41</v>
      </c>
      <c r="K1325" s="173">
        <v>723.66</v>
      </c>
    </row>
    <row r="1326" spans="1:22" ht="14.25" x14ac:dyDescent="0.2">
      <c r="A1326" s="179"/>
      <c r="B1326" s="178"/>
      <c r="C1326" s="178" t="s">
        <v>188</v>
      </c>
      <c r="D1326" s="177" t="s">
        <v>187</v>
      </c>
      <c r="E1326" s="174">
        <v>175</v>
      </c>
      <c r="F1326" s="176"/>
      <c r="G1326" s="175"/>
      <c r="H1326" s="174"/>
      <c r="I1326" s="173">
        <v>3.38</v>
      </c>
      <c r="J1326" s="174">
        <v>157</v>
      </c>
      <c r="K1326" s="173">
        <v>70.760000000000005</v>
      </c>
    </row>
    <row r="1327" spans="1:22" ht="14.25" x14ac:dyDescent="0.2">
      <c r="A1327" s="242"/>
      <c r="B1327" s="241"/>
      <c r="C1327" s="241" t="s">
        <v>192</v>
      </c>
      <c r="D1327" s="240" t="s">
        <v>191</v>
      </c>
      <c r="E1327" s="238">
        <v>4.96</v>
      </c>
      <c r="F1327" s="253"/>
      <c r="G1327" s="239" t="s">
        <v>2668</v>
      </c>
      <c r="H1327" s="238">
        <v>1</v>
      </c>
      <c r="I1327" s="237">
        <v>5.99</v>
      </c>
      <c r="J1327" s="238"/>
      <c r="K1327" s="237"/>
    </row>
    <row r="1328" spans="1:22" ht="15" x14ac:dyDescent="0.25">
      <c r="A1328" s="235"/>
      <c r="B1328" s="235"/>
      <c r="C1328" s="236" t="s">
        <v>183</v>
      </c>
      <c r="D1328" s="235"/>
      <c r="E1328" s="235"/>
      <c r="F1328" s="235"/>
      <c r="G1328" s="235"/>
      <c r="H1328" s="436">
        <v>232.26</v>
      </c>
      <c r="I1328" s="436"/>
      <c r="J1328" s="436">
        <v>4219.59</v>
      </c>
      <c r="K1328" s="436"/>
      <c r="O1328" s="163">
        <f>I1320+I1321+I1323+I1324+I1325+I1326</f>
        <v>232.26</v>
      </c>
      <c r="P1328" s="163">
        <f>K1320+K1321+K1323+K1324+K1325+K1326</f>
        <v>4219.59</v>
      </c>
    </row>
    <row r="1330" spans="1:22" ht="28.5" x14ac:dyDescent="0.2">
      <c r="A1330" s="179" t="s">
        <v>2732</v>
      </c>
      <c r="B1330" s="178" t="s">
        <v>2675</v>
      </c>
      <c r="C1330" s="178" t="s">
        <v>1026</v>
      </c>
      <c r="D1330" s="177" t="s">
        <v>2676</v>
      </c>
      <c r="E1330" s="174">
        <v>1</v>
      </c>
      <c r="F1330" s="176"/>
      <c r="G1330" s="175"/>
      <c r="H1330" s="174"/>
      <c r="I1330" s="173"/>
      <c r="J1330" s="174"/>
      <c r="K1330" s="173"/>
      <c r="Q1330" s="160">
        <f>[8]Source!X597</f>
        <v>15.88</v>
      </c>
      <c r="R1330" s="160">
        <f>[8]Source!X598</f>
        <v>296.70999999999998</v>
      </c>
      <c r="S1330" s="160">
        <f>[8]Source!Y597</f>
        <v>10.69</v>
      </c>
      <c r="T1330" s="160">
        <f>[8]Source!Y598</f>
        <v>138.24</v>
      </c>
      <c r="U1330" s="160">
        <f>ROUND((175/100)*ROUND([8]Source!R597, 2), 2)</f>
        <v>0.42</v>
      </c>
      <c r="V1330" s="160">
        <f>ROUND((157/100)*ROUND([8]Source!R598, 2), 2)</f>
        <v>8.7899999999999991</v>
      </c>
    </row>
    <row r="1331" spans="1:22" ht="14.25" x14ac:dyDescent="0.2">
      <c r="A1331" s="179"/>
      <c r="B1331" s="178"/>
      <c r="C1331" s="178" t="s">
        <v>197</v>
      </c>
      <c r="D1331" s="177"/>
      <c r="E1331" s="174"/>
      <c r="F1331" s="176">
        <v>11.96</v>
      </c>
      <c r="G1331" s="175" t="s">
        <v>2668</v>
      </c>
      <c r="H1331" s="174">
        <v>1</v>
      </c>
      <c r="I1331" s="173">
        <v>14.44</v>
      </c>
      <c r="J1331" s="174">
        <v>23.35</v>
      </c>
      <c r="K1331" s="173">
        <v>337.17</v>
      </c>
    </row>
    <row r="1332" spans="1:22" ht="14.25" x14ac:dyDescent="0.2">
      <c r="A1332" s="179"/>
      <c r="B1332" s="178"/>
      <c r="C1332" s="178" t="s">
        <v>184</v>
      </c>
      <c r="D1332" s="177"/>
      <c r="E1332" s="174"/>
      <c r="F1332" s="176">
        <v>0.74</v>
      </c>
      <c r="G1332" s="175" t="s">
        <v>2669</v>
      </c>
      <c r="H1332" s="174">
        <v>1</v>
      </c>
      <c r="I1332" s="173">
        <v>0.97</v>
      </c>
      <c r="J1332" s="174">
        <v>9.73</v>
      </c>
      <c r="K1332" s="173">
        <v>9.44</v>
      </c>
    </row>
    <row r="1333" spans="1:22" ht="14.25" x14ac:dyDescent="0.2">
      <c r="A1333" s="179"/>
      <c r="B1333" s="178"/>
      <c r="C1333" s="178" t="s">
        <v>189</v>
      </c>
      <c r="D1333" s="177"/>
      <c r="E1333" s="174"/>
      <c r="F1333" s="176">
        <v>0.18</v>
      </c>
      <c r="G1333" s="175" t="s">
        <v>2669</v>
      </c>
      <c r="H1333" s="174">
        <v>1</v>
      </c>
      <c r="I1333" s="180">
        <v>0.24</v>
      </c>
      <c r="J1333" s="174">
        <v>23.35</v>
      </c>
      <c r="K1333" s="180">
        <v>5.6</v>
      </c>
    </row>
    <row r="1334" spans="1:22" ht="14.25" x14ac:dyDescent="0.2">
      <c r="A1334" s="179"/>
      <c r="B1334" s="178"/>
      <c r="C1334" s="178" t="s">
        <v>205</v>
      </c>
      <c r="D1334" s="177"/>
      <c r="E1334" s="174"/>
      <c r="F1334" s="176">
        <v>4.41</v>
      </c>
      <c r="G1334" s="175" t="s">
        <v>195</v>
      </c>
      <c r="H1334" s="174">
        <v>1</v>
      </c>
      <c r="I1334" s="173">
        <v>4.41</v>
      </c>
      <c r="J1334" s="174">
        <v>5.42</v>
      </c>
      <c r="K1334" s="173">
        <v>23.9</v>
      </c>
    </row>
    <row r="1335" spans="1:22" ht="14.25" x14ac:dyDescent="0.2">
      <c r="A1335" s="179"/>
      <c r="B1335" s="178"/>
      <c r="C1335" s="178" t="s">
        <v>194</v>
      </c>
      <c r="D1335" s="177" t="s">
        <v>187</v>
      </c>
      <c r="E1335" s="174">
        <v>110</v>
      </c>
      <c r="F1335" s="176"/>
      <c r="G1335" s="175"/>
      <c r="H1335" s="174"/>
      <c r="I1335" s="173">
        <v>15.88</v>
      </c>
      <c r="J1335" s="174">
        <v>88</v>
      </c>
      <c r="K1335" s="173">
        <v>296.70999999999998</v>
      </c>
    </row>
    <row r="1336" spans="1:22" ht="14.25" x14ac:dyDescent="0.2">
      <c r="A1336" s="179"/>
      <c r="B1336" s="178"/>
      <c r="C1336" s="178" t="s">
        <v>193</v>
      </c>
      <c r="D1336" s="177" t="s">
        <v>187</v>
      </c>
      <c r="E1336" s="174">
        <v>74</v>
      </c>
      <c r="F1336" s="176"/>
      <c r="G1336" s="175"/>
      <c r="H1336" s="174"/>
      <c r="I1336" s="173">
        <v>10.69</v>
      </c>
      <c r="J1336" s="174">
        <v>41</v>
      </c>
      <c r="K1336" s="173">
        <v>138.24</v>
      </c>
    </row>
    <row r="1337" spans="1:22" ht="14.25" x14ac:dyDescent="0.2">
      <c r="A1337" s="179"/>
      <c r="B1337" s="178"/>
      <c r="C1337" s="178" t="s">
        <v>188</v>
      </c>
      <c r="D1337" s="177" t="s">
        <v>187</v>
      </c>
      <c r="E1337" s="174">
        <v>175</v>
      </c>
      <c r="F1337" s="176"/>
      <c r="G1337" s="175"/>
      <c r="H1337" s="174"/>
      <c r="I1337" s="173">
        <v>0.42</v>
      </c>
      <c r="J1337" s="174">
        <v>157</v>
      </c>
      <c r="K1337" s="173">
        <v>8.7899999999999991</v>
      </c>
    </row>
    <row r="1338" spans="1:22" ht="14.25" x14ac:dyDescent="0.2">
      <c r="A1338" s="242"/>
      <c r="B1338" s="241"/>
      <c r="C1338" s="241" t="s">
        <v>192</v>
      </c>
      <c r="D1338" s="240" t="s">
        <v>191</v>
      </c>
      <c r="E1338" s="238">
        <v>1.03</v>
      </c>
      <c r="F1338" s="253"/>
      <c r="G1338" s="239" t="s">
        <v>2668</v>
      </c>
      <c r="H1338" s="238">
        <v>1</v>
      </c>
      <c r="I1338" s="237">
        <v>1.24</v>
      </c>
      <c r="J1338" s="238"/>
      <c r="K1338" s="237"/>
    </row>
    <row r="1339" spans="1:22" ht="15" x14ac:dyDescent="0.25">
      <c r="A1339" s="235"/>
      <c r="B1339" s="235"/>
      <c r="C1339" s="236" t="s">
        <v>183</v>
      </c>
      <c r="D1339" s="235"/>
      <c r="E1339" s="235"/>
      <c r="F1339" s="235"/>
      <c r="G1339" s="235"/>
      <c r="H1339" s="436">
        <v>46.81</v>
      </c>
      <c r="I1339" s="436"/>
      <c r="J1339" s="436">
        <v>814.25</v>
      </c>
      <c r="K1339" s="436"/>
      <c r="O1339" s="163">
        <f>I1331+I1332+I1334+I1335+I1336+I1337</f>
        <v>46.81</v>
      </c>
      <c r="P1339" s="163">
        <f>K1331+K1332+K1334+K1335+K1336+K1337</f>
        <v>814.25</v>
      </c>
    </row>
    <row r="1341" spans="1:22" ht="28.5" x14ac:dyDescent="0.2">
      <c r="A1341" s="179" t="s">
        <v>2733</v>
      </c>
      <c r="B1341" s="178" t="s">
        <v>2677</v>
      </c>
      <c r="C1341" s="178" t="s">
        <v>1045</v>
      </c>
      <c r="D1341" s="177" t="s">
        <v>2678</v>
      </c>
      <c r="E1341" s="174">
        <v>0.15</v>
      </c>
      <c r="F1341" s="176"/>
      <c r="G1341" s="175"/>
      <c r="H1341" s="174"/>
      <c r="I1341" s="173"/>
      <c r="J1341" s="174"/>
      <c r="K1341" s="173"/>
      <c r="Q1341" s="160">
        <f>[8]Source!X599</f>
        <v>12.03</v>
      </c>
      <c r="R1341" s="160">
        <f>[8]Source!X600</f>
        <v>224.8</v>
      </c>
      <c r="S1341" s="160">
        <f>[8]Source!Y599</f>
        <v>8.1</v>
      </c>
      <c r="T1341" s="160">
        <f>[8]Source!Y600</f>
        <v>104.73</v>
      </c>
      <c r="U1341" s="160">
        <f>ROUND((175/100)*ROUND([8]Source!R599, 2), 2)</f>
        <v>1.4</v>
      </c>
      <c r="V1341" s="160">
        <f>ROUND((157/100)*ROUND([8]Source!R600, 2), 2)</f>
        <v>29.33</v>
      </c>
    </row>
    <row r="1342" spans="1:22" x14ac:dyDescent="0.2">
      <c r="C1342" s="181" t="s">
        <v>2679</v>
      </c>
    </row>
    <row r="1343" spans="1:22" ht="14.25" x14ac:dyDescent="0.2">
      <c r="A1343" s="179"/>
      <c r="B1343" s="178"/>
      <c r="C1343" s="178" t="s">
        <v>197</v>
      </c>
      <c r="D1343" s="177"/>
      <c r="E1343" s="174"/>
      <c r="F1343" s="176">
        <v>60.39</v>
      </c>
      <c r="G1343" s="175" t="s">
        <v>2668</v>
      </c>
      <c r="H1343" s="174">
        <v>1</v>
      </c>
      <c r="I1343" s="173">
        <v>10.94</v>
      </c>
      <c r="J1343" s="174">
        <v>23.35</v>
      </c>
      <c r="K1343" s="173">
        <v>255.45</v>
      </c>
    </row>
    <row r="1344" spans="1:22" ht="14.25" x14ac:dyDescent="0.2">
      <c r="A1344" s="179"/>
      <c r="B1344" s="178"/>
      <c r="C1344" s="178" t="s">
        <v>184</v>
      </c>
      <c r="D1344" s="177"/>
      <c r="E1344" s="174"/>
      <c r="F1344" s="176">
        <v>20.05</v>
      </c>
      <c r="G1344" s="175" t="s">
        <v>2669</v>
      </c>
      <c r="H1344" s="174">
        <v>1</v>
      </c>
      <c r="I1344" s="173">
        <v>3.95</v>
      </c>
      <c r="J1344" s="174">
        <v>8.98</v>
      </c>
      <c r="K1344" s="173">
        <v>35.47</v>
      </c>
    </row>
    <row r="1345" spans="1:22" ht="14.25" x14ac:dyDescent="0.2">
      <c r="A1345" s="179"/>
      <c r="B1345" s="178"/>
      <c r="C1345" s="178" t="s">
        <v>189</v>
      </c>
      <c r="D1345" s="177"/>
      <c r="E1345" s="174"/>
      <c r="F1345" s="176">
        <v>4.04</v>
      </c>
      <c r="G1345" s="175" t="s">
        <v>2669</v>
      </c>
      <c r="H1345" s="174">
        <v>1</v>
      </c>
      <c r="I1345" s="180">
        <v>0.8</v>
      </c>
      <c r="J1345" s="174">
        <v>23.35</v>
      </c>
      <c r="K1345" s="180">
        <v>18.68</v>
      </c>
    </row>
    <row r="1346" spans="1:22" ht="14.25" x14ac:dyDescent="0.2">
      <c r="A1346" s="179"/>
      <c r="B1346" s="178"/>
      <c r="C1346" s="178" t="s">
        <v>205</v>
      </c>
      <c r="D1346" s="177"/>
      <c r="E1346" s="174"/>
      <c r="F1346" s="176">
        <v>25.9</v>
      </c>
      <c r="G1346" s="175" t="s">
        <v>195</v>
      </c>
      <c r="H1346" s="174">
        <v>1</v>
      </c>
      <c r="I1346" s="173">
        <v>3.89</v>
      </c>
      <c r="J1346" s="174">
        <v>5.42</v>
      </c>
      <c r="K1346" s="173">
        <v>21.08</v>
      </c>
    </row>
    <row r="1347" spans="1:22" ht="14.25" x14ac:dyDescent="0.2">
      <c r="A1347" s="179"/>
      <c r="B1347" s="178"/>
      <c r="C1347" s="178" t="s">
        <v>194</v>
      </c>
      <c r="D1347" s="177" t="s">
        <v>187</v>
      </c>
      <c r="E1347" s="174">
        <v>110</v>
      </c>
      <c r="F1347" s="176"/>
      <c r="G1347" s="175"/>
      <c r="H1347" s="174"/>
      <c r="I1347" s="173">
        <v>12.03</v>
      </c>
      <c r="J1347" s="174">
        <v>88</v>
      </c>
      <c r="K1347" s="173">
        <v>224.8</v>
      </c>
    </row>
    <row r="1348" spans="1:22" ht="14.25" x14ac:dyDescent="0.2">
      <c r="A1348" s="179"/>
      <c r="B1348" s="178"/>
      <c r="C1348" s="178" t="s">
        <v>193</v>
      </c>
      <c r="D1348" s="177" t="s">
        <v>187</v>
      </c>
      <c r="E1348" s="174">
        <v>74</v>
      </c>
      <c r="F1348" s="176"/>
      <c r="G1348" s="175"/>
      <c r="H1348" s="174"/>
      <c r="I1348" s="173">
        <v>8.1</v>
      </c>
      <c r="J1348" s="174">
        <v>41</v>
      </c>
      <c r="K1348" s="173">
        <v>104.73</v>
      </c>
    </row>
    <row r="1349" spans="1:22" ht="14.25" x14ac:dyDescent="0.2">
      <c r="A1349" s="179"/>
      <c r="B1349" s="178"/>
      <c r="C1349" s="178" t="s">
        <v>188</v>
      </c>
      <c r="D1349" s="177" t="s">
        <v>187</v>
      </c>
      <c r="E1349" s="174">
        <v>175</v>
      </c>
      <c r="F1349" s="176"/>
      <c r="G1349" s="175"/>
      <c r="H1349" s="174"/>
      <c r="I1349" s="173">
        <v>1.4</v>
      </c>
      <c r="J1349" s="174">
        <v>157</v>
      </c>
      <c r="K1349" s="173">
        <v>29.33</v>
      </c>
    </row>
    <row r="1350" spans="1:22" ht="14.25" x14ac:dyDescent="0.2">
      <c r="A1350" s="242"/>
      <c r="B1350" s="241"/>
      <c r="C1350" s="241" t="s">
        <v>192</v>
      </c>
      <c r="D1350" s="240" t="s">
        <v>191</v>
      </c>
      <c r="E1350" s="238">
        <v>5.0199999999999996</v>
      </c>
      <c r="F1350" s="253"/>
      <c r="G1350" s="239" t="s">
        <v>2668</v>
      </c>
      <c r="H1350" s="238">
        <v>1</v>
      </c>
      <c r="I1350" s="237">
        <v>0.91</v>
      </c>
      <c r="J1350" s="238"/>
      <c r="K1350" s="237"/>
    </row>
    <row r="1351" spans="1:22" ht="15" x14ac:dyDescent="0.25">
      <c r="A1351" s="235"/>
      <c r="B1351" s="235"/>
      <c r="C1351" s="236" t="s">
        <v>183</v>
      </c>
      <c r="D1351" s="235"/>
      <c r="E1351" s="235"/>
      <c r="F1351" s="235"/>
      <c r="G1351" s="235"/>
      <c r="H1351" s="436">
        <v>40.31</v>
      </c>
      <c r="I1351" s="436"/>
      <c r="J1351" s="436">
        <v>670.86</v>
      </c>
      <c r="K1351" s="436"/>
      <c r="O1351" s="163">
        <f>I1343+I1344+I1346+I1347+I1348+I1349</f>
        <v>40.31</v>
      </c>
      <c r="P1351" s="163">
        <f>K1343+K1344+K1346+K1347+K1348+K1349</f>
        <v>670.86</v>
      </c>
    </row>
    <row r="1353" spans="1:22" ht="57" x14ac:dyDescent="0.2">
      <c r="A1353" s="179" t="s">
        <v>2734</v>
      </c>
      <c r="B1353" s="178" t="s">
        <v>2680</v>
      </c>
      <c r="C1353" s="178" t="s">
        <v>1052</v>
      </c>
      <c r="D1353" s="177" t="s">
        <v>1903</v>
      </c>
      <c r="E1353" s="174">
        <v>2</v>
      </c>
      <c r="F1353" s="176"/>
      <c r="G1353" s="175"/>
      <c r="H1353" s="174"/>
      <c r="I1353" s="173"/>
      <c r="J1353" s="174"/>
      <c r="K1353" s="173"/>
      <c r="Q1353" s="160">
        <f>[8]Source!X601</f>
        <v>33.21</v>
      </c>
      <c r="R1353" s="160">
        <f>[8]Source!X602</f>
        <v>620.35</v>
      </c>
      <c r="S1353" s="160">
        <f>[8]Source!Y601</f>
        <v>22.34</v>
      </c>
      <c r="T1353" s="160">
        <f>[8]Source!Y602</f>
        <v>289.02999999999997</v>
      </c>
      <c r="U1353" s="160">
        <f>ROUND((175/100)*ROUND([8]Source!R601, 2), 2)</f>
        <v>1.61</v>
      </c>
      <c r="V1353" s="160">
        <f>ROUND((157/100)*ROUND([8]Source!R602, 2), 2)</f>
        <v>33.72</v>
      </c>
    </row>
    <row r="1354" spans="1:22" ht="14.25" x14ac:dyDescent="0.2">
      <c r="A1354" s="179"/>
      <c r="B1354" s="178"/>
      <c r="C1354" s="178" t="s">
        <v>197</v>
      </c>
      <c r="D1354" s="177"/>
      <c r="E1354" s="174"/>
      <c r="F1354" s="176">
        <v>12.5</v>
      </c>
      <c r="G1354" s="175" t="s">
        <v>2668</v>
      </c>
      <c r="H1354" s="174">
        <v>1</v>
      </c>
      <c r="I1354" s="173">
        <v>30.19</v>
      </c>
      <c r="J1354" s="174">
        <v>23.35</v>
      </c>
      <c r="K1354" s="173">
        <v>704.94</v>
      </c>
    </row>
    <row r="1355" spans="1:22" ht="14.25" x14ac:dyDescent="0.2">
      <c r="A1355" s="179"/>
      <c r="B1355" s="178"/>
      <c r="C1355" s="178" t="s">
        <v>184</v>
      </c>
      <c r="D1355" s="177"/>
      <c r="E1355" s="174"/>
      <c r="F1355" s="176">
        <v>1.49</v>
      </c>
      <c r="G1355" s="175" t="s">
        <v>2669</v>
      </c>
      <c r="H1355" s="174">
        <v>1</v>
      </c>
      <c r="I1355" s="173">
        <v>3.91</v>
      </c>
      <c r="J1355" s="174">
        <v>9.58</v>
      </c>
      <c r="K1355" s="173">
        <v>37.46</v>
      </c>
    </row>
    <row r="1356" spans="1:22" ht="14.25" x14ac:dyDescent="0.2">
      <c r="A1356" s="179"/>
      <c r="B1356" s="178"/>
      <c r="C1356" s="178" t="s">
        <v>189</v>
      </c>
      <c r="D1356" s="177"/>
      <c r="E1356" s="174"/>
      <c r="F1356" s="176">
        <v>0.35</v>
      </c>
      <c r="G1356" s="175" t="s">
        <v>2669</v>
      </c>
      <c r="H1356" s="174">
        <v>1</v>
      </c>
      <c r="I1356" s="180">
        <v>0.92</v>
      </c>
      <c r="J1356" s="174">
        <v>23.35</v>
      </c>
      <c r="K1356" s="180">
        <v>21.48</v>
      </c>
    </row>
    <row r="1357" spans="1:22" ht="14.25" x14ac:dyDescent="0.2">
      <c r="A1357" s="179"/>
      <c r="B1357" s="178"/>
      <c r="C1357" s="178" t="s">
        <v>205</v>
      </c>
      <c r="D1357" s="177"/>
      <c r="E1357" s="174"/>
      <c r="F1357" s="176">
        <v>6.23</v>
      </c>
      <c r="G1357" s="175" t="s">
        <v>195</v>
      </c>
      <c r="H1357" s="174">
        <v>1</v>
      </c>
      <c r="I1357" s="173">
        <v>12.46</v>
      </c>
      <c r="J1357" s="174">
        <v>5.42</v>
      </c>
      <c r="K1357" s="173">
        <v>67.53</v>
      </c>
    </row>
    <row r="1358" spans="1:22" ht="14.25" x14ac:dyDescent="0.2">
      <c r="A1358" s="179"/>
      <c r="B1358" s="178"/>
      <c r="C1358" s="178" t="s">
        <v>194</v>
      </c>
      <c r="D1358" s="177" t="s">
        <v>187</v>
      </c>
      <c r="E1358" s="174">
        <v>110</v>
      </c>
      <c r="F1358" s="176"/>
      <c r="G1358" s="175"/>
      <c r="H1358" s="174"/>
      <c r="I1358" s="173">
        <v>33.21</v>
      </c>
      <c r="J1358" s="174">
        <v>88</v>
      </c>
      <c r="K1358" s="173">
        <v>620.35</v>
      </c>
    </row>
    <row r="1359" spans="1:22" ht="14.25" x14ac:dyDescent="0.2">
      <c r="A1359" s="179"/>
      <c r="B1359" s="178"/>
      <c r="C1359" s="178" t="s">
        <v>193</v>
      </c>
      <c r="D1359" s="177" t="s">
        <v>187</v>
      </c>
      <c r="E1359" s="174">
        <v>74</v>
      </c>
      <c r="F1359" s="176"/>
      <c r="G1359" s="175"/>
      <c r="H1359" s="174"/>
      <c r="I1359" s="173">
        <v>22.34</v>
      </c>
      <c r="J1359" s="174">
        <v>41</v>
      </c>
      <c r="K1359" s="173">
        <v>289.02999999999997</v>
      </c>
    </row>
    <row r="1360" spans="1:22" ht="14.25" x14ac:dyDescent="0.2">
      <c r="A1360" s="179"/>
      <c r="B1360" s="178"/>
      <c r="C1360" s="178" t="s">
        <v>188</v>
      </c>
      <c r="D1360" s="177" t="s">
        <v>187</v>
      </c>
      <c r="E1360" s="174">
        <v>175</v>
      </c>
      <c r="F1360" s="176"/>
      <c r="G1360" s="175"/>
      <c r="H1360" s="174"/>
      <c r="I1360" s="173">
        <v>1.61</v>
      </c>
      <c r="J1360" s="174">
        <v>157</v>
      </c>
      <c r="K1360" s="173">
        <v>33.72</v>
      </c>
    </row>
    <row r="1361" spans="1:22" ht="14.25" x14ac:dyDescent="0.2">
      <c r="A1361" s="242"/>
      <c r="B1361" s="241"/>
      <c r="C1361" s="241" t="s">
        <v>192</v>
      </c>
      <c r="D1361" s="240" t="s">
        <v>191</v>
      </c>
      <c r="E1361" s="238">
        <v>1.0900000000000001</v>
      </c>
      <c r="F1361" s="253"/>
      <c r="G1361" s="239" t="s">
        <v>2668</v>
      </c>
      <c r="H1361" s="238">
        <v>1</v>
      </c>
      <c r="I1361" s="237">
        <v>2.63</v>
      </c>
      <c r="J1361" s="238"/>
      <c r="K1361" s="237"/>
    </row>
    <row r="1362" spans="1:22" ht="15" x14ac:dyDescent="0.25">
      <c r="A1362" s="235"/>
      <c r="B1362" s="235"/>
      <c r="C1362" s="236" t="s">
        <v>183</v>
      </c>
      <c r="D1362" s="235"/>
      <c r="E1362" s="235"/>
      <c r="F1362" s="235"/>
      <c r="G1362" s="235"/>
      <c r="H1362" s="436">
        <v>103.72</v>
      </c>
      <c r="I1362" s="436"/>
      <c r="J1362" s="436">
        <v>1753.03</v>
      </c>
      <c r="K1362" s="436"/>
      <c r="O1362" s="163">
        <f>I1354+I1355+I1357+I1358+I1359+I1360</f>
        <v>103.72</v>
      </c>
      <c r="P1362" s="163">
        <f>K1354+K1355+K1357+K1358+K1359+K1360</f>
        <v>1753.03</v>
      </c>
    </row>
    <row r="1364" spans="1:22" ht="68.25" x14ac:dyDescent="0.2">
      <c r="A1364" s="250" t="s">
        <v>2735</v>
      </c>
      <c r="B1364" s="249" t="s">
        <v>2670</v>
      </c>
      <c r="C1364" s="249" t="s">
        <v>1054</v>
      </c>
      <c r="D1364" s="248" t="s">
        <v>1913</v>
      </c>
      <c r="E1364" s="246">
        <v>1</v>
      </c>
      <c r="F1364" s="254">
        <v>2892.24</v>
      </c>
      <c r="G1364" s="247" t="s">
        <v>195</v>
      </c>
      <c r="H1364" s="246">
        <v>1</v>
      </c>
      <c r="I1364" s="245">
        <v>2892.24</v>
      </c>
      <c r="J1364" s="246">
        <v>4.4000000000000004</v>
      </c>
      <c r="K1364" s="245">
        <v>12725.86</v>
      </c>
      <c r="Q1364" s="160">
        <f>[8]Source!X603</f>
        <v>0</v>
      </c>
      <c r="R1364" s="160">
        <f>[8]Source!X604</f>
        <v>0</v>
      </c>
      <c r="S1364" s="160">
        <f>[8]Source!Y603</f>
        <v>0</v>
      </c>
      <c r="T1364" s="160">
        <f>[8]Source!Y604</f>
        <v>0</v>
      </c>
      <c r="U1364" s="160">
        <f>ROUND((175/100)*ROUND([8]Source!R603, 2), 2)</f>
        <v>0</v>
      </c>
      <c r="V1364" s="160">
        <f>ROUND((157/100)*ROUND([8]Source!R604, 2), 2)</f>
        <v>0</v>
      </c>
    </row>
    <row r="1365" spans="1:22" ht="15" x14ac:dyDescent="0.25">
      <c r="A1365" s="243"/>
      <c r="B1365" s="243"/>
      <c r="C1365" s="244" t="s">
        <v>183</v>
      </c>
      <c r="D1365" s="243"/>
      <c r="E1365" s="243"/>
      <c r="F1365" s="243"/>
      <c r="G1365" s="243"/>
      <c r="H1365" s="437">
        <v>2892.24</v>
      </c>
      <c r="I1365" s="437"/>
      <c r="J1365" s="437">
        <v>12725.86</v>
      </c>
      <c r="K1365" s="437"/>
      <c r="O1365" s="163">
        <f>I1364</f>
        <v>2892.24</v>
      </c>
      <c r="P1365" s="163">
        <f>K1364</f>
        <v>12725.86</v>
      </c>
    </row>
    <row r="1367" spans="1:22" ht="28.5" x14ac:dyDescent="0.2">
      <c r="A1367" s="179" t="s">
        <v>2736</v>
      </c>
      <c r="B1367" s="178" t="s">
        <v>2673</v>
      </c>
      <c r="C1367" s="178" t="s">
        <v>1046</v>
      </c>
      <c r="D1367" s="177" t="s">
        <v>2674</v>
      </c>
      <c r="E1367" s="174">
        <v>1</v>
      </c>
      <c r="F1367" s="176"/>
      <c r="G1367" s="175"/>
      <c r="H1367" s="174"/>
      <c r="I1367" s="173"/>
      <c r="J1367" s="174"/>
      <c r="K1367" s="173"/>
      <c r="Q1367" s="160">
        <f>[8]Source!X606</f>
        <v>83.15</v>
      </c>
      <c r="R1367" s="160">
        <f>[8]Source!X607</f>
        <v>1553.23</v>
      </c>
      <c r="S1367" s="160">
        <f>[8]Source!Y606</f>
        <v>55.94</v>
      </c>
      <c r="T1367" s="160">
        <f>[8]Source!Y607</f>
        <v>723.66</v>
      </c>
      <c r="U1367" s="160">
        <f>ROUND((175/100)*ROUND([8]Source!R606, 2), 2)</f>
        <v>3.38</v>
      </c>
      <c r="V1367" s="160">
        <f>ROUND((157/100)*ROUND([8]Source!R607, 2), 2)</f>
        <v>70.760000000000005</v>
      </c>
    </row>
    <row r="1368" spans="1:22" ht="14.25" x14ac:dyDescent="0.2">
      <c r="A1368" s="179"/>
      <c r="B1368" s="178"/>
      <c r="C1368" s="178" t="s">
        <v>197</v>
      </c>
      <c r="D1368" s="177"/>
      <c r="E1368" s="174"/>
      <c r="F1368" s="176">
        <v>62.6</v>
      </c>
      <c r="G1368" s="175" t="s">
        <v>2668</v>
      </c>
      <c r="H1368" s="174">
        <v>1</v>
      </c>
      <c r="I1368" s="173">
        <v>75.59</v>
      </c>
      <c r="J1368" s="174">
        <v>23.35</v>
      </c>
      <c r="K1368" s="173">
        <v>1765.03</v>
      </c>
    </row>
    <row r="1369" spans="1:22" ht="14.25" x14ac:dyDescent="0.2">
      <c r="A1369" s="179"/>
      <c r="B1369" s="178"/>
      <c r="C1369" s="178" t="s">
        <v>184</v>
      </c>
      <c r="D1369" s="177"/>
      <c r="E1369" s="174"/>
      <c r="F1369" s="176">
        <v>8.82</v>
      </c>
      <c r="G1369" s="175" t="s">
        <v>2669</v>
      </c>
      <c r="H1369" s="174">
        <v>1</v>
      </c>
      <c r="I1369" s="173">
        <v>11.58</v>
      </c>
      <c r="J1369" s="174">
        <v>8.66</v>
      </c>
      <c r="K1369" s="173">
        <v>100.28</v>
      </c>
    </row>
    <row r="1370" spans="1:22" ht="14.25" x14ac:dyDescent="0.2">
      <c r="A1370" s="179"/>
      <c r="B1370" s="178"/>
      <c r="C1370" s="178" t="s">
        <v>189</v>
      </c>
      <c r="D1370" s="177"/>
      <c r="E1370" s="174"/>
      <c r="F1370" s="176">
        <v>1.47</v>
      </c>
      <c r="G1370" s="175" t="s">
        <v>2669</v>
      </c>
      <c r="H1370" s="174">
        <v>1</v>
      </c>
      <c r="I1370" s="180">
        <v>1.93</v>
      </c>
      <c r="J1370" s="174">
        <v>23.35</v>
      </c>
      <c r="K1370" s="180">
        <v>45.07</v>
      </c>
    </row>
    <row r="1371" spans="1:22" ht="14.25" x14ac:dyDescent="0.2">
      <c r="A1371" s="179"/>
      <c r="B1371" s="178"/>
      <c r="C1371" s="178" t="s">
        <v>205</v>
      </c>
      <c r="D1371" s="177"/>
      <c r="E1371" s="174"/>
      <c r="F1371" s="176">
        <v>2.62</v>
      </c>
      <c r="G1371" s="175" t="s">
        <v>195</v>
      </c>
      <c r="H1371" s="174">
        <v>1</v>
      </c>
      <c r="I1371" s="173">
        <v>2.62</v>
      </c>
      <c r="J1371" s="174">
        <v>2.5299999999999998</v>
      </c>
      <c r="K1371" s="173">
        <v>6.63</v>
      </c>
    </row>
    <row r="1372" spans="1:22" ht="14.25" x14ac:dyDescent="0.2">
      <c r="A1372" s="179"/>
      <c r="B1372" s="178"/>
      <c r="C1372" s="178" t="s">
        <v>194</v>
      </c>
      <c r="D1372" s="177" t="s">
        <v>187</v>
      </c>
      <c r="E1372" s="174">
        <v>110</v>
      </c>
      <c r="F1372" s="176"/>
      <c r="G1372" s="175"/>
      <c r="H1372" s="174"/>
      <c r="I1372" s="173">
        <v>83.15</v>
      </c>
      <c r="J1372" s="174">
        <v>88</v>
      </c>
      <c r="K1372" s="173">
        <v>1553.23</v>
      </c>
    </row>
    <row r="1373" spans="1:22" ht="14.25" x14ac:dyDescent="0.2">
      <c r="A1373" s="179"/>
      <c r="B1373" s="178"/>
      <c r="C1373" s="178" t="s">
        <v>193</v>
      </c>
      <c r="D1373" s="177" t="s">
        <v>187</v>
      </c>
      <c r="E1373" s="174">
        <v>74</v>
      </c>
      <c r="F1373" s="176"/>
      <c r="G1373" s="175"/>
      <c r="H1373" s="174"/>
      <c r="I1373" s="173">
        <v>55.94</v>
      </c>
      <c r="J1373" s="174">
        <v>41</v>
      </c>
      <c r="K1373" s="173">
        <v>723.66</v>
      </c>
    </row>
    <row r="1374" spans="1:22" ht="14.25" x14ac:dyDescent="0.2">
      <c r="A1374" s="179"/>
      <c r="B1374" s="178"/>
      <c r="C1374" s="178" t="s">
        <v>188</v>
      </c>
      <c r="D1374" s="177" t="s">
        <v>187</v>
      </c>
      <c r="E1374" s="174">
        <v>175</v>
      </c>
      <c r="F1374" s="176"/>
      <c r="G1374" s="175"/>
      <c r="H1374" s="174"/>
      <c r="I1374" s="173">
        <v>3.38</v>
      </c>
      <c r="J1374" s="174">
        <v>157</v>
      </c>
      <c r="K1374" s="173">
        <v>70.760000000000005</v>
      </c>
    </row>
    <row r="1375" spans="1:22" ht="14.25" x14ac:dyDescent="0.2">
      <c r="A1375" s="242"/>
      <c r="B1375" s="241"/>
      <c r="C1375" s="241" t="s">
        <v>192</v>
      </c>
      <c r="D1375" s="240" t="s">
        <v>191</v>
      </c>
      <c r="E1375" s="238">
        <v>4.96</v>
      </c>
      <c r="F1375" s="253"/>
      <c r="G1375" s="239" t="s">
        <v>2668</v>
      </c>
      <c r="H1375" s="238">
        <v>1</v>
      </c>
      <c r="I1375" s="237">
        <v>5.99</v>
      </c>
      <c r="J1375" s="238"/>
      <c r="K1375" s="237"/>
    </row>
    <row r="1376" spans="1:22" ht="15" x14ac:dyDescent="0.25">
      <c r="A1376" s="235"/>
      <c r="B1376" s="235"/>
      <c r="C1376" s="236" t="s">
        <v>183</v>
      </c>
      <c r="D1376" s="235"/>
      <c r="E1376" s="235"/>
      <c r="F1376" s="235"/>
      <c r="G1376" s="235"/>
      <c r="H1376" s="436">
        <v>232.26</v>
      </c>
      <c r="I1376" s="436"/>
      <c r="J1376" s="436">
        <v>4219.59</v>
      </c>
      <c r="K1376" s="436"/>
      <c r="O1376" s="163">
        <f>I1368+I1369+I1371+I1372+I1373+I1374</f>
        <v>232.26</v>
      </c>
      <c r="P1376" s="163">
        <f>K1368+K1369+K1371+K1372+K1373+K1374</f>
        <v>4219.59</v>
      </c>
    </row>
    <row r="1378" spans="1:22" ht="28.5" x14ac:dyDescent="0.2">
      <c r="A1378" s="179" t="s">
        <v>2737</v>
      </c>
      <c r="B1378" s="178" t="s">
        <v>2675</v>
      </c>
      <c r="C1378" s="178" t="s">
        <v>1026</v>
      </c>
      <c r="D1378" s="177" t="s">
        <v>2676</v>
      </c>
      <c r="E1378" s="174">
        <v>1</v>
      </c>
      <c r="F1378" s="176"/>
      <c r="G1378" s="175"/>
      <c r="H1378" s="174"/>
      <c r="I1378" s="173"/>
      <c r="J1378" s="174"/>
      <c r="K1378" s="173"/>
      <c r="Q1378" s="160">
        <f>[8]Source!X610</f>
        <v>15.88</v>
      </c>
      <c r="R1378" s="160">
        <f>[8]Source!X611</f>
        <v>296.70999999999998</v>
      </c>
      <c r="S1378" s="160">
        <f>[8]Source!Y610</f>
        <v>10.69</v>
      </c>
      <c r="T1378" s="160">
        <f>[8]Source!Y611</f>
        <v>138.24</v>
      </c>
      <c r="U1378" s="160">
        <f>ROUND((175/100)*ROUND([8]Source!R610, 2), 2)</f>
        <v>0.42</v>
      </c>
      <c r="V1378" s="160">
        <f>ROUND((157/100)*ROUND([8]Source!R611, 2), 2)</f>
        <v>8.7899999999999991</v>
      </c>
    </row>
    <row r="1379" spans="1:22" ht="14.25" x14ac:dyDescent="0.2">
      <c r="A1379" s="179"/>
      <c r="B1379" s="178"/>
      <c r="C1379" s="178" t="s">
        <v>197</v>
      </c>
      <c r="D1379" s="177"/>
      <c r="E1379" s="174"/>
      <c r="F1379" s="176">
        <v>11.96</v>
      </c>
      <c r="G1379" s="175" t="s">
        <v>2668</v>
      </c>
      <c r="H1379" s="174">
        <v>1</v>
      </c>
      <c r="I1379" s="173">
        <v>14.44</v>
      </c>
      <c r="J1379" s="174">
        <v>23.35</v>
      </c>
      <c r="K1379" s="173">
        <v>337.17</v>
      </c>
    </row>
    <row r="1380" spans="1:22" ht="14.25" x14ac:dyDescent="0.2">
      <c r="A1380" s="179"/>
      <c r="B1380" s="178"/>
      <c r="C1380" s="178" t="s">
        <v>184</v>
      </c>
      <c r="D1380" s="177"/>
      <c r="E1380" s="174"/>
      <c r="F1380" s="176">
        <v>0.74</v>
      </c>
      <c r="G1380" s="175" t="s">
        <v>2669</v>
      </c>
      <c r="H1380" s="174">
        <v>1</v>
      </c>
      <c r="I1380" s="173">
        <v>0.97</v>
      </c>
      <c r="J1380" s="174">
        <v>9.73</v>
      </c>
      <c r="K1380" s="173">
        <v>9.44</v>
      </c>
    </row>
    <row r="1381" spans="1:22" ht="14.25" x14ac:dyDescent="0.2">
      <c r="A1381" s="179"/>
      <c r="B1381" s="178"/>
      <c r="C1381" s="178" t="s">
        <v>189</v>
      </c>
      <c r="D1381" s="177"/>
      <c r="E1381" s="174"/>
      <c r="F1381" s="176">
        <v>0.18</v>
      </c>
      <c r="G1381" s="175" t="s">
        <v>2669</v>
      </c>
      <c r="H1381" s="174">
        <v>1</v>
      </c>
      <c r="I1381" s="180">
        <v>0.24</v>
      </c>
      <c r="J1381" s="174">
        <v>23.35</v>
      </c>
      <c r="K1381" s="180">
        <v>5.6</v>
      </c>
    </row>
    <row r="1382" spans="1:22" ht="14.25" x14ac:dyDescent="0.2">
      <c r="A1382" s="179"/>
      <c r="B1382" s="178"/>
      <c r="C1382" s="178" t="s">
        <v>205</v>
      </c>
      <c r="D1382" s="177"/>
      <c r="E1382" s="174"/>
      <c r="F1382" s="176">
        <v>4.41</v>
      </c>
      <c r="G1382" s="175" t="s">
        <v>195</v>
      </c>
      <c r="H1382" s="174">
        <v>1</v>
      </c>
      <c r="I1382" s="173">
        <v>4.41</v>
      </c>
      <c r="J1382" s="174">
        <v>5.42</v>
      </c>
      <c r="K1382" s="173">
        <v>23.9</v>
      </c>
    </row>
    <row r="1383" spans="1:22" ht="14.25" x14ac:dyDescent="0.2">
      <c r="A1383" s="179"/>
      <c r="B1383" s="178"/>
      <c r="C1383" s="178" t="s">
        <v>194</v>
      </c>
      <c r="D1383" s="177" t="s">
        <v>187</v>
      </c>
      <c r="E1383" s="174">
        <v>110</v>
      </c>
      <c r="F1383" s="176"/>
      <c r="G1383" s="175"/>
      <c r="H1383" s="174"/>
      <c r="I1383" s="173">
        <v>15.88</v>
      </c>
      <c r="J1383" s="174">
        <v>88</v>
      </c>
      <c r="K1383" s="173">
        <v>296.70999999999998</v>
      </c>
    </row>
    <row r="1384" spans="1:22" ht="14.25" x14ac:dyDescent="0.2">
      <c r="A1384" s="179"/>
      <c r="B1384" s="178"/>
      <c r="C1384" s="178" t="s">
        <v>193</v>
      </c>
      <c r="D1384" s="177" t="s">
        <v>187</v>
      </c>
      <c r="E1384" s="174">
        <v>74</v>
      </c>
      <c r="F1384" s="176"/>
      <c r="G1384" s="175"/>
      <c r="H1384" s="174"/>
      <c r="I1384" s="173">
        <v>10.69</v>
      </c>
      <c r="J1384" s="174">
        <v>41</v>
      </c>
      <c r="K1384" s="173">
        <v>138.24</v>
      </c>
    </row>
    <row r="1385" spans="1:22" ht="14.25" x14ac:dyDescent="0.2">
      <c r="A1385" s="179"/>
      <c r="B1385" s="178"/>
      <c r="C1385" s="178" t="s">
        <v>188</v>
      </c>
      <c r="D1385" s="177" t="s">
        <v>187</v>
      </c>
      <c r="E1385" s="174">
        <v>175</v>
      </c>
      <c r="F1385" s="176"/>
      <c r="G1385" s="175"/>
      <c r="H1385" s="174"/>
      <c r="I1385" s="173">
        <v>0.42</v>
      </c>
      <c r="J1385" s="174">
        <v>157</v>
      </c>
      <c r="K1385" s="173">
        <v>8.7899999999999991</v>
      </c>
    </row>
    <row r="1386" spans="1:22" ht="14.25" x14ac:dyDescent="0.2">
      <c r="A1386" s="242"/>
      <c r="B1386" s="241"/>
      <c r="C1386" s="241" t="s">
        <v>192</v>
      </c>
      <c r="D1386" s="240" t="s">
        <v>191</v>
      </c>
      <c r="E1386" s="238">
        <v>1.03</v>
      </c>
      <c r="F1386" s="253"/>
      <c r="G1386" s="239" t="s">
        <v>2668</v>
      </c>
      <c r="H1386" s="238">
        <v>1</v>
      </c>
      <c r="I1386" s="237">
        <v>1.24</v>
      </c>
      <c r="J1386" s="238"/>
      <c r="K1386" s="237"/>
    </row>
    <row r="1387" spans="1:22" ht="15" x14ac:dyDescent="0.25">
      <c r="A1387" s="235"/>
      <c r="B1387" s="235"/>
      <c r="C1387" s="236" t="s">
        <v>183</v>
      </c>
      <c r="D1387" s="235"/>
      <c r="E1387" s="235"/>
      <c r="F1387" s="235"/>
      <c r="G1387" s="235"/>
      <c r="H1387" s="436">
        <v>46.81</v>
      </c>
      <c r="I1387" s="436"/>
      <c r="J1387" s="436">
        <v>814.25</v>
      </c>
      <c r="K1387" s="436"/>
      <c r="O1387" s="163">
        <f>I1379+I1380+I1382+I1383+I1384+I1385</f>
        <v>46.81</v>
      </c>
      <c r="P1387" s="163">
        <f>K1379+K1380+K1382+K1383+K1384+K1385</f>
        <v>814.25</v>
      </c>
    </row>
    <row r="1389" spans="1:22" ht="28.5" x14ac:dyDescent="0.2">
      <c r="A1389" s="179" t="s">
        <v>2738</v>
      </c>
      <c r="B1389" s="178" t="s">
        <v>2677</v>
      </c>
      <c r="C1389" s="178" t="s">
        <v>1045</v>
      </c>
      <c r="D1389" s="177" t="s">
        <v>2678</v>
      </c>
      <c r="E1389" s="174">
        <v>0.15</v>
      </c>
      <c r="F1389" s="176"/>
      <c r="G1389" s="175"/>
      <c r="H1389" s="174"/>
      <c r="I1389" s="173"/>
      <c r="J1389" s="174"/>
      <c r="K1389" s="173"/>
      <c r="Q1389" s="160">
        <f>[8]Source!X612</f>
        <v>12.03</v>
      </c>
      <c r="R1389" s="160">
        <f>[8]Source!X613</f>
        <v>224.8</v>
      </c>
      <c r="S1389" s="160">
        <f>[8]Source!Y612</f>
        <v>8.1</v>
      </c>
      <c r="T1389" s="160">
        <f>[8]Source!Y613</f>
        <v>104.73</v>
      </c>
      <c r="U1389" s="160">
        <f>ROUND((175/100)*ROUND([8]Source!R612, 2), 2)</f>
        <v>1.4</v>
      </c>
      <c r="V1389" s="160">
        <f>ROUND((157/100)*ROUND([8]Source!R613, 2), 2)</f>
        <v>29.33</v>
      </c>
    </row>
    <row r="1390" spans="1:22" x14ac:dyDescent="0.2">
      <c r="C1390" s="181" t="s">
        <v>2679</v>
      </c>
    </row>
    <row r="1391" spans="1:22" ht="14.25" x14ac:dyDescent="0.2">
      <c r="A1391" s="179"/>
      <c r="B1391" s="178"/>
      <c r="C1391" s="178" t="s">
        <v>197</v>
      </c>
      <c r="D1391" s="177"/>
      <c r="E1391" s="174"/>
      <c r="F1391" s="176">
        <v>60.39</v>
      </c>
      <c r="G1391" s="175" t="s">
        <v>2668</v>
      </c>
      <c r="H1391" s="174">
        <v>1</v>
      </c>
      <c r="I1391" s="173">
        <v>10.94</v>
      </c>
      <c r="J1391" s="174">
        <v>23.35</v>
      </c>
      <c r="K1391" s="173">
        <v>255.45</v>
      </c>
    </row>
    <row r="1392" spans="1:22" ht="14.25" x14ac:dyDescent="0.2">
      <c r="A1392" s="179"/>
      <c r="B1392" s="178"/>
      <c r="C1392" s="178" t="s">
        <v>184</v>
      </c>
      <c r="D1392" s="177"/>
      <c r="E1392" s="174"/>
      <c r="F1392" s="176">
        <v>20.05</v>
      </c>
      <c r="G1392" s="175" t="s">
        <v>2669</v>
      </c>
      <c r="H1392" s="174">
        <v>1</v>
      </c>
      <c r="I1392" s="173">
        <v>3.95</v>
      </c>
      <c r="J1392" s="174">
        <v>8.98</v>
      </c>
      <c r="K1392" s="173">
        <v>35.47</v>
      </c>
    </row>
    <row r="1393" spans="1:22" ht="14.25" x14ac:dyDescent="0.2">
      <c r="A1393" s="179"/>
      <c r="B1393" s="178"/>
      <c r="C1393" s="178" t="s">
        <v>189</v>
      </c>
      <c r="D1393" s="177"/>
      <c r="E1393" s="174"/>
      <c r="F1393" s="176">
        <v>4.04</v>
      </c>
      <c r="G1393" s="175" t="s">
        <v>2669</v>
      </c>
      <c r="H1393" s="174">
        <v>1</v>
      </c>
      <c r="I1393" s="180">
        <v>0.8</v>
      </c>
      <c r="J1393" s="174">
        <v>23.35</v>
      </c>
      <c r="K1393" s="180">
        <v>18.68</v>
      </c>
    </row>
    <row r="1394" spans="1:22" ht="14.25" x14ac:dyDescent="0.2">
      <c r="A1394" s="179"/>
      <c r="B1394" s="178"/>
      <c r="C1394" s="178" t="s">
        <v>205</v>
      </c>
      <c r="D1394" s="177"/>
      <c r="E1394" s="174"/>
      <c r="F1394" s="176">
        <v>25.9</v>
      </c>
      <c r="G1394" s="175" t="s">
        <v>195</v>
      </c>
      <c r="H1394" s="174">
        <v>1</v>
      </c>
      <c r="I1394" s="173">
        <v>3.89</v>
      </c>
      <c r="J1394" s="174">
        <v>5.42</v>
      </c>
      <c r="K1394" s="173">
        <v>21.08</v>
      </c>
    </row>
    <row r="1395" spans="1:22" ht="14.25" x14ac:dyDescent="0.2">
      <c r="A1395" s="179"/>
      <c r="B1395" s="178"/>
      <c r="C1395" s="178" t="s">
        <v>194</v>
      </c>
      <c r="D1395" s="177" t="s">
        <v>187</v>
      </c>
      <c r="E1395" s="174">
        <v>110</v>
      </c>
      <c r="F1395" s="176"/>
      <c r="G1395" s="175"/>
      <c r="H1395" s="174"/>
      <c r="I1395" s="173">
        <v>12.03</v>
      </c>
      <c r="J1395" s="174">
        <v>88</v>
      </c>
      <c r="K1395" s="173">
        <v>224.8</v>
      </c>
    </row>
    <row r="1396" spans="1:22" ht="14.25" x14ac:dyDescent="0.2">
      <c r="A1396" s="179"/>
      <c r="B1396" s="178"/>
      <c r="C1396" s="178" t="s">
        <v>193</v>
      </c>
      <c r="D1396" s="177" t="s">
        <v>187</v>
      </c>
      <c r="E1396" s="174">
        <v>74</v>
      </c>
      <c r="F1396" s="176"/>
      <c r="G1396" s="175"/>
      <c r="H1396" s="174"/>
      <c r="I1396" s="173">
        <v>8.1</v>
      </c>
      <c r="J1396" s="174">
        <v>41</v>
      </c>
      <c r="K1396" s="173">
        <v>104.73</v>
      </c>
    </row>
    <row r="1397" spans="1:22" ht="14.25" x14ac:dyDescent="0.2">
      <c r="A1397" s="179"/>
      <c r="B1397" s="178"/>
      <c r="C1397" s="178" t="s">
        <v>188</v>
      </c>
      <c r="D1397" s="177" t="s">
        <v>187</v>
      </c>
      <c r="E1397" s="174">
        <v>175</v>
      </c>
      <c r="F1397" s="176"/>
      <c r="G1397" s="175"/>
      <c r="H1397" s="174"/>
      <c r="I1397" s="173">
        <v>1.4</v>
      </c>
      <c r="J1397" s="174">
        <v>157</v>
      </c>
      <c r="K1397" s="173">
        <v>29.33</v>
      </c>
    </row>
    <row r="1398" spans="1:22" ht="14.25" x14ac:dyDescent="0.2">
      <c r="A1398" s="242"/>
      <c r="B1398" s="241"/>
      <c r="C1398" s="241" t="s">
        <v>192</v>
      </c>
      <c r="D1398" s="240" t="s">
        <v>191</v>
      </c>
      <c r="E1398" s="238">
        <v>5.0199999999999996</v>
      </c>
      <c r="F1398" s="253"/>
      <c r="G1398" s="239" t="s">
        <v>2668</v>
      </c>
      <c r="H1398" s="238">
        <v>1</v>
      </c>
      <c r="I1398" s="237">
        <v>0.91</v>
      </c>
      <c r="J1398" s="238"/>
      <c r="K1398" s="237"/>
    </row>
    <row r="1399" spans="1:22" ht="15" x14ac:dyDescent="0.25">
      <c r="A1399" s="235"/>
      <c r="B1399" s="235"/>
      <c r="C1399" s="236" t="s">
        <v>183</v>
      </c>
      <c r="D1399" s="235"/>
      <c r="E1399" s="235"/>
      <c r="F1399" s="235"/>
      <c r="G1399" s="235"/>
      <c r="H1399" s="436">
        <v>40.31</v>
      </c>
      <c r="I1399" s="436"/>
      <c r="J1399" s="436">
        <v>670.86</v>
      </c>
      <c r="K1399" s="436"/>
      <c r="O1399" s="163">
        <f>I1391+I1392+I1394+I1395+I1396+I1397</f>
        <v>40.31</v>
      </c>
      <c r="P1399" s="163">
        <f>K1391+K1392+K1394+K1395+K1396+K1397</f>
        <v>670.86</v>
      </c>
    </row>
    <row r="1401" spans="1:22" ht="57" x14ac:dyDescent="0.2">
      <c r="A1401" s="179" t="s">
        <v>2739</v>
      </c>
      <c r="B1401" s="178" t="s">
        <v>2680</v>
      </c>
      <c r="C1401" s="178" t="s">
        <v>1052</v>
      </c>
      <c r="D1401" s="177" t="s">
        <v>1903</v>
      </c>
      <c r="E1401" s="174">
        <v>2</v>
      </c>
      <c r="F1401" s="176"/>
      <c r="G1401" s="175"/>
      <c r="H1401" s="174"/>
      <c r="I1401" s="173"/>
      <c r="J1401" s="174"/>
      <c r="K1401" s="173"/>
      <c r="Q1401" s="160">
        <f>[8]Source!X614</f>
        <v>33.21</v>
      </c>
      <c r="R1401" s="160">
        <f>[8]Source!X615</f>
        <v>620.35</v>
      </c>
      <c r="S1401" s="160">
        <f>[8]Source!Y614</f>
        <v>22.34</v>
      </c>
      <c r="T1401" s="160">
        <f>[8]Source!Y615</f>
        <v>289.02999999999997</v>
      </c>
      <c r="U1401" s="160">
        <f>ROUND((175/100)*ROUND([8]Source!R614, 2), 2)</f>
        <v>1.61</v>
      </c>
      <c r="V1401" s="160">
        <f>ROUND((157/100)*ROUND([8]Source!R615, 2), 2)</f>
        <v>33.72</v>
      </c>
    </row>
    <row r="1402" spans="1:22" ht="14.25" x14ac:dyDescent="0.2">
      <c r="A1402" s="179"/>
      <c r="B1402" s="178"/>
      <c r="C1402" s="178" t="s">
        <v>197</v>
      </c>
      <c r="D1402" s="177"/>
      <c r="E1402" s="174"/>
      <c r="F1402" s="176">
        <v>12.5</v>
      </c>
      <c r="G1402" s="175" t="s">
        <v>2668</v>
      </c>
      <c r="H1402" s="174">
        <v>1</v>
      </c>
      <c r="I1402" s="173">
        <v>30.19</v>
      </c>
      <c r="J1402" s="174">
        <v>23.35</v>
      </c>
      <c r="K1402" s="173">
        <v>704.94</v>
      </c>
    </row>
    <row r="1403" spans="1:22" ht="14.25" x14ac:dyDescent="0.2">
      <c r="A1403" s="179"/>
      <c r="B1403" s="178"/>
      <c r="C1403" s="178" t="s">
        <v>184</v>
      </c>
      <c r="D1403" s="177"/>
      <c r="E1403" s="174"/>
      <c r="F1403" s="176">
        <v>1.49</v>
      </c>
      <c r="G1403" s="175" t="s">
        <v>2669</v>
      </c>
      <c r="H1403" s="174">
        <v>1</v>
      </c>
      <c r="I1403" s="173">
        <v>3.91</v>
      </c>
      <c r="J1403" s="174">
        <v>9.58</v>
      </c>
      <c r="K1403" s="173">
        <v>37.46</v>
      </c>
    </row>
    <row r="1404" spans="1:22" ht="14.25" x14ac:dyDescent="0.2">
      <c r="A1404" s="179"/>
      <c r="B1404" s="178"/>
      <c r="C1404" s="178" t="s">
        <v>189</v>
      </c>
      <c r="D1404" s="177"/>
      <c r="E1404" s="174"/>
      <c r="F1404" s="176">
        <v>0.35</v>
      </c>
      <c r="G1404" s="175" t="s">
        <v>2669</v>
      </c>
      <c r="H1404" s="174">
        <v>1</v>
      </c>
      <c r="I1404" s="180">
        <v>0.92</v>
      </c>
      <c r="J1404" s="174">
        <v>23.35</v>
      </c>
      <c r="K1404" s="180">
        <v>21.48</v>
      </c>
    </row>
    <row r="1405" spans="1:22" ht="14.25" x14ac:dyDescent="0.2">
      <c r="A1405" s="179"/>
      <c r="B1405" s="178"/>
      <c r="C1405" s="178" t="s">
        <v>205</v>
      </c>
      <c r="D1405" s="177"/>
      <c r="E1405" s="174"/>
      <c r="F1405" s="176">
        <v>6.23</v>
      </c>
      <c r="G1405" s="175" t="s">
        <v>195</v>
      </c>
      <c r="H1405" s="174">
        <v>1</v>
      </c>
      <c r="I1405" s="173">
        <v>12.46</v>
      </c>
      <c r="J1405" s="174">
        <v>5.42</v>
      </c>
      <c r="K1405" s="173">
        <v>67.53</v>
      </c>
    </row>
    <row r="1406" spans="1:22" ht="14.25" x14ac:dyDescent="0.2">
      <c r="A1406" s="179"/>
      <c r="B1406" s="178"/>
      <c r="C1406" s="178" t="s">
        <v>194</v>
      </c>
      <c r="D1406" s="177" t="s">
        <v>187</v>
      </c>
      <c r="E1406" s="174">
        <v>110</v>
      </c>
      <c r="F1406" s="176"/>
      <c r="G1406" s="175"/>
      <c r="H1406" s="174"/>
      <c r="I1406" s="173">
        <v>33.21</v>
      </c>
      <c r="J1406" s="174">
        <v>88</v>
      </c>
      <c r="K1406" s="173">
        <v>620.35</v>
      </c>
    </row>
    <row r="1407" spans="1:22" ht="14.25" x14ac:dyDescent="0.2">
      <c r="A1407" s="179"/>
      <c r="B1407" s="178"/>
      <c r="C1407" s="178" t="s">
        <v>193</v>
      </c>
      <c r="D1407" s="177" t="s">
        <v>187</v>
      </c>
      <c r="E1407" s="174">
        <v>74</v>
      </c>
      <c r="F1407" s="176"/>
      <c r="G1407" s="175"/>
      <c r="H1407" s="174"/>
      <c r="I1407" s="173">
        <v>22.34</v>
      </c>
      <c r="J1407" s="174">
        <v>41</v>
      </c>
      <c r="K1407" s="173">
        <v>289.02999999999997</v>
      </c>
    </row>
    <row r="1408" spans="1:22" ht="14.25" x14ac:dyDescent="0.2">
      <c r="A1408" s="179"/>
      <c r="B1408" s="178"/>
      <c r="C1408" s="178" t="s">
        <v>188</v>
      </c>
      <c r="D1408" s="177" t="s">
        <v>187</v>
      </c>
      <c r="E1408" s="174">
        <v>175</v>
      </c>
      <c r="F1408" s="176"/>
      <c r="G1408" s="175"/>
      <c r="H1408" s="174"/>
      <c r="I1408" s="173">
        <v>1.61</v>
      </c>
      <c r="J1408" s="174">
        <v>157</v>
      </c>
      <c r="K1408" s="173">
        <v>33.72</v>
      </c>
    </row>
    <row r="1409" spans="1:22" ht="14.25" x14ac:dyDescent="0.2">
      <c r="A1409" s="242"/>
      <c r="B1409" s="241"/>
      <c r="C1409" s="241" t="s">
        <v>192</v>
      </c>
      <c r="D1409" s="240" t="s">
        <v>191</v>
      </c>
      <c r="E1409" s="238">
        <v>1.0900000000000001</v>
      </c>
      <c r="F1409" s="253"/>
      <c r="G1409" s="239" t="s">
        <v>2668</v>
      </c>
      <c r="H1409" s="238">
        <v>1</v>
      </c>
      <c r="I1409" s="237">
        <v>2.63</v>
      </c>
      <c r="J1409" s="238"/>
      <c r="K1409" s="237"/>
    </row>
    <row r="1410" spans="1:22" ht="15" x14ac:dyDescent="0.25">
      <c r="A1410" s="235"/>
      <c r="B1410" s="235"/>
      <c r="C1410" s="236" t="s">
        <v>183</v>
      </c>
      <c r="D1410" s="235"/>
      <c r="E1410" s="235"/>
      <c r="F1410" s="235"/>
      <c r="G1410" s="235"/>
      <c r="H1410" s="436">
        <v>103.72</v>
      </c>
      <c r="I1410" s="436"/>
      <c r="J1410" s="436">
        <v>1753.03</v>
      </c>
      <c r="K1410" s="436"/>
      <c r="O1410" s="163">
        <f>I1402+I1403+I1405+I1406+I1407+I1408</f>
        <v>103.72</v>
      </c>
      <c r="P1410" s="163">
        <f>K1402+K1403+K1405+K1406+K1407+K1408</f>
        <v>1753.03</v>
      </c>
    </row>
    <row r="1412" spans="1:22" ht="68.25" x14ac:dyDescent="0.2">
      <c r="A1412" s="250" t="s">
        <v>2740</v>
      </c>
      <c r="B1412" s="249" t="s">
        <v>2670</v>
      </c>
      <c r="C1412" s="249" t="s">
        <v>1053</v>
      </c>
      <c r="D1412" s="248" t="s">
        <v>1913</v>
      </c>
      <c r="E1412" s="246">
        <v>1</v>
      </c>
      <c r="F1412" s="254">
        <v>2473.5</v>
      </c>
      <c r="G1412" s="247" t="s">
        <v>195</v>
      </c>
      <c r="H1412" s="246">
        <v>1</v>
      </c>
      <c r="I1412" s="245">
        <v>2473.5</v>
      </c>
      <c r="J1412" s="246">
        <v>4.4000000000000004</v>
      </c>
      <c r="K1412" s="245">
        <v>10883.4</v>
      </c>
      <c r="Q1412" s="160">
        <f>[8]Source!X616</f>
        <v>0</v>
      </c>
      <c r="R1412" s="160">
        <f>[8]Source!X617</f>
        <v>0</v>
      </c>
      <c r="S1412" s="160">
        <f>[8]Source!Y616</f>
        <v>0</v>
      </c>
      <c r="T1412" s="160">
        <f>[8]Source!Y617</f>
        <v>0</v>
      </c>
      <c r="U1412" s="160">
        <f>ROUND((175/100)*ROUND([8]Source!R616, 2), 2)</f>
        <v>0</v>
      </c>
      <c r="V1412" s="160">
        <f>ROUND((157/100)*ROUND([8]Source!R617, 2), 2)</f>
        <v>0</v>
      </c>
    </row>
    <row r="1413" spans="1:22" ht="15" x14ac:dyDescent="0.25">
      <c r="A1413" s="243"/>
      <c r="B1413" s="243"/>
      <c r="C1413" s="244" t="s">
        <v>183</v>
      </c>
      <c r="D1413" s="243"/>
      <c r="E1413" s="243"/>
      <c r="F1413" s="243"/>
      <c r="G1413" s="243"/>
      <c r="H1413" s="437">
        <v>2473.5</v>
      </c>
      <c r="I1413" s="437"/>
      <c r="J1413" s="437">
        <v>10883.4</v>
      </c>
      <c r="K1413" s="437"/>
      <c r="O1413" s="163">
        <f>I1412</f>
        <v>2473.5</v>
      </c>
      <c r="P1413" s="163">
        <f>K1412</f>
        <v>10883.4</v>
      </c>
    </row>
    <row r="1415" spans="1:22" ht="28.5" x14ac:dyDescent="0.2">
      <c r="A1415" s="179" t="s">
        <v>2741</v>
      </c>
      <c r="B1415" s="178" t="s">
        <v>2673</v>
      </c>
      <c r="C1415" s="178" t="s">
        <v>1046</v>
      </c>
      <c r="D1415" s="177" t="s">
        <v>2674</v>
      </c>
      <c r="E1415" s="174">
        <v>1</v>
      </c>
      <c r="F1415" s="176"/>
      <c r="G1415" s="175"/>
      <c r="H1415" s="174"/>
      <c r="I1415" s="173"/>
      <c r="J1415" s="174"/>
      <c r="K1415" s="173"/>
      <c r="Q1415" s="160">
        <f>[8]Source!X619</f>
        <v>83.15</v>
      </c>
      <c r="R1415" s="160">
        <f>[8]Source!X620</f>
        <v>1553.23</v>
      </c>
      <c r="S1415" s="160">
        <f>[8]Source!Y619</f>
        <v>55.94</v>
      </c>
      <c r="T1415" s="160">
        <f>[8]Source!Y620</f>
        <v>723.66</v>
      </c>
      <c r="U1415" s="160">
        <f>ROUND((175/100)*ROUND([8]Source!R619, 2), 2)</f>
        <v>3.38</v>
      </c>
      <c r="V1415" s="160">
        <f>ROUND((157/100)*ROUND([8]Source!R620, 2), 2)</f>
        <v>70.760000000000005</v>
      </c>
    </row>
    <row r="1416" spans="1:22" ht="14.25" x14ac:dyDescent="0.2">
      <c r="A1416" s="179"/>
      <c r="B1416" s="178"/>
      <c r="C1416" s="178" t="s">
        <v>197</v>
      </c>
      <c r="D1416" s="177"/>
      <c r="E1416" s="174"/>
      <c r="F1416" s="176">
        <v>62.6</v>
      </c>
      <c r="G1416" s="175" t="s">
        <v>2668</v>
      </c>
      <c r="H1416" s="174">
        <v>1</v>
      </c>
      <c r="I1416" s="173">
        <v>75.59</v>
      </c>
      <c r="J1416" s="174">
        <v>23.35</v>
      </c>
      <c r="K1416" s="173">
        <v>1765.03</v>
      </c>
    </row>
    <row r="1417" spans="1:22" ht="14.25" x14ac:dyDescent="0.2">
      <c r="A1417" s="179"/>
      <c r="B1417" s="178"/>
      <c r="C1417" s="178" t="s">
        <v>184</v>
      </c>
      <c r="D1417" s="177"/>
      <c r="E1417" s="174"/>
      <c r="F1417" s="176">
        <v>8.82</v>
      </c>
      <c r="G1417" s="175" t="s">
        <v>2669</v>
      </c>
      <c r="H1417" s="174">
        <v>1</v>
      </c>
      <c r="I1417" s="173">
        <v>11.58</v>
      </c>
      <c r="J1417" s="174">
        <v>8.66</v>
      </c>
      <c r="K1417" s="173">
        <v>100.28</v>
      </c>
    </row>
    <row r="1418" spans="1:22" ht="14.25" x14ac:dyDescent="0.2">
      <c r="A1418" s="179"/>
      <c r="B1418" s="178"/>
      <c r="C1418" s="178" t="s">
        <v>189</v>
      </c>
      <c r="D1418" s="177"/>
      <c r="E1418" s="174"/>
      <c r="F1418" s="176">
        <v>1.47</v>
      </c>
      <c r="G1418" s="175" t="s">
        <v>2669</v>
      </c>
      <c r="H1418" s="174">
        <v>1</v>
      </c>
      <c r="I1418" s="180">
        <v>1.93</v>
      </c>
      <c r="J1418" s="174">
        <v>23.35</v>
      </c>
      <c r="K1418" s="180">
        <v>45.07</v>
      </c>
    </row>
    <row r="1419" spans="1:22" ht="14.25" x14ac:dyDescent="0.2">
      <c r="A1419" s="179"/>
      <c r="B1419" s="178"/>
      <c r="C1419" s="178" t="s">
        <v>205</v>
      </c>
      <c r="D1419" s="177"/>
      <c r="E1419" s="174"/>
      <c r="F1419" s="176">
        <v>2.62</v>
      </c>
      <c r="G1419" s="175" t="s">
        <v>195</v>
      </c>
      <c r="H1419" s="174">
        <v>1</v>
      </c>
      <c r="I1419" s="173">
        <v>2.62</v>
      </c>
      <c r="J1419" s="174">
        <v>2.5299999999999998</v>
      </c>
      <c r="K1419" s="173">
        <v>6.63</v>
      </c>
    </row>
    <row r="1420" spans="1:22" ht="14.25" x14ac:dyDescent="0.2">
      <c r="A1420" s="179"/>
      <c r="B1420" s="178"/>
      <c r="C1420" s="178" t="s">
        <v>194</v>
      </c>
      <c r="D1420" s="177" t="s">
        <v>187</v>
      </c>
      <c r="E1420" s="174">
        <v>110</v>
      </c>
      <c r="F1420" s="176"/>
      <c r="G1420" s="175"/>
      <c r="H1420" s="174"/>
      <c r="I1420" s="173">
        <v>83.15</v>
      </c>
      <c r="J1420" s="174">
        <v>88</v>
      </c>
      <c r="K1420" s="173">
        <v>1553.23</v>
      </c>
    </row>
    <row r="1421" spans="1:22" ht="14.25" x14ac:dyDescent="0.2">
      <c r="A1421" s="179"/>
      <c r="B1421" s="178"/>
      <c r="C1421" s="178" t="s">
        <v>193</v>
      </c>
      <c r="D1421" s="177" t="s">
        <v>187</v>
      </c>
      <c r="E1421" s="174">
        <v>74</v>
      </c>
      <c r="F1421" s="176"/>
      <c r="G1421" s="175"/>
      <c r="H1421" s="174"/>
      <c r="I1421" s="173">
        <v>55.94</v>
      </c>
      <c r="J1421" s="174">
        <v>41</v>
      </c>
      <c r="K1421" s="173">
        <v>723.66</v>
      </c>
    </row>
    <row r="1422" spans="1:22" ht="14.25" x14ac:dyDescent="0.2">
      <c r="A1422" s="179"/>
      <c r="B1422" s="178"/>
      <c r="C1422" s="178" t="s">
        <v>188</v>
      </c>
      <c r="D1422" s="177" t="s">
        <v>187</v>
      </c>
      <c r="E1422" s="174">
        <v>175</v>
      </c>
      <c r="F1422" s="176"/>
      <c r="G1422" s="175"/>
      <c r="H1422" s="174"/>
      <c r="I1422" s="173">
        <v>3.38</v>
      </c>
      <c r="J1422" s="174">
        <v>157</v>
      </c>
      <c r="K1422" s="173">
        <v>70.760000000000005</v>
      </c>
    </row>
    <row r="1423" spans="1:22" ht="14.25" x14ac:dyDescent="0.2">
      <c r="A1423" s="242"/>
      <c r="B1423" s="241"/>
      <c r="C1423" s="241" t="s">
        <v>192</v>
      </c>
      <c r="D1423" s="240" t="s">
        <v>191</v>
      </c>
      <c r="E1423" s="238">
        <v>4.96</v>
      </c>
      <c r="F1423" s="253"/>
      <c r="G1423" s="239" t="s">
        <v>2668</v>
      </c>
      <c r="H1423" s="238">
        <v>1</v>
      </c>
      <c r="I1423" s="237">
        <v>5.99</v>
      </c>
      <c r="J1423" s="238"/>
      <c r="K1423" s="237"/>
    </row>
    <row r="1424" spans="1:22" ht="15" x14ac:dyDescent="0.25">
      <c r="A1424" s="235"/>
      <c r="B1424" s="235"/>
      <c r="C1424" s="236" t="s">
        <v>183</v>
      </c>
      <c r="D1424" s="235"/>
      <c r="E1424" s="235"/>
      <c r="F1424" s="235"/>
      <c r="G1424" s="235"/>
      <c r="H1424" s="436">
        <v>232.26</v>
      </c>
      <c r="I1424" s="436"/>
      <c r="J1424" s="436">
        <v>4219.59</v>
      </c>
      <c r="K1424" s="436"/>
      <c r="O1424" s="163">
        <f>I1416+I1417+I1419+I1420+I1421+I1422</f>
        <v>232.26</v>
      </c>
      <c r="P1424" s="163">
        <f>K1416+K1417+K1419+K1420+K1421+K1422</f>
        <v>4219.59</v>
      </c>
    </row>
    <row r="1426" spans="1:22" ht="28.5" x14ac:dyDescent="0.2">
      <c r="A1426" s="179" t="s">
        <v>2742</v>
      </c>
      <c r="B1426" s="178" t="s">
        <v>2675</v>
      </c>
      <c r="C1426" s="178" t="s">
        <v>1026</v>
      </c>
      <c r="D1426" s="177" t="s">
        <v>2676</v>
      </c>
      <c r="E1426" s="174">
        <v>1</v>
      </c>
      <c r="F1426" s="176"/>
      <c r="G1426" s="175"/>
      <c r="H1426" s="174"/>
      <c r="I1426" s="173"/>
      <c r="J1426" s="174"/>
      <c r="K1426" s="173"/>
      <c r="Q1426" s="160">
        <f>[8]Source!X623</f>
        <v>15.88</v>
      </c>
      <c r="R1426" s="160">
        <f>[8]Source!X624</f>
        <v>296.70999999999998</v>
      </c>
      <c r="S1426" s="160">
        <f>[8]Source!Y623</f>
        <v>10.69</v>
      </c>
      <c r="T1426" s="160">
        <f>[8]Source!Y624</f>
        <v>138.24</v>
      </c>
      <c r="U1426" s="160">
        <f>ROUND((175/100)*ROUND([8]Source!R623, 2), 2)</f>
        <v>0.42</v>
      </c>
      <c r="V1426" s="160">
        <f>ROUND((157/100)*ROUND([8]Source!R624, 2), 2)</f>
        <v>8.7899999999999991</v>
      </c>
    </row>
    <row r="1427" spans="1:22" ht="14.25" x14ac:dyDescent="0.2">
      <c r="A1427" s="179"/>
      <c r="B1427" s="178"/>
      <c r="C1427" s="178" t="s">
        <v>197</v>
      </c>
      <c r="D1427" s="177"/>
      <c r="E1427" s="174"/>
      <c r="F1427" s="176">
        <v>11.96</v>
      </c>
      <c r="G1427" s="175" t="s">
        <v>2668</v>
      </c>
      <c r="H1427" s="174">
        <v>1</v>
      </c>
      <c r="I1427" s="173">
        <v>14.44</v>
      </c>
      <c r="J1427" s="174">
        <v>23.35</v>
      </c>
      <c r="K1427" s="173">
        <v>337.17</v>
      </c>
    </row>
    <row r="1428" spans="1:22" ht="14.25" x14ac:dyDescent="0.2">
      <c r="A1428" s="179"/>
      <c r="B1428" s="178"/>
      <c r="C1428" s="178" t="s">
        <v>184</v>
      </c>
      <c r="D1428" s="177"/>
      <c r="E1428" s="174"/>
      <c r="F1428" s="176">
        <v>0.74</v>
      </c>
      <c r="G1428" s="175" t="s">
        <v>2669</v>
      </c>
      <c r="H1428" s="174">
        <v>1</v>
      </c>
      <c r="I1428" s="173">
        <v>0.97</v>
      </c>
      <c r="J1428" s="174">
        <v>9.73</v>
      </c>
      <c r="K1428" s="173">
        <v>9.44</v>
      </c>
    </row>
    <row r="1429" spans="1:22" ht="14.25" x14ac:dyDescent="0.2">
      <c r="A1429" s="179"/>
      <c r="B1429" s="178"/>
      <c r="C1429" s="178" t="s">
        <v>189</v>
      </c>
      <c r="D1429" s="177"/>
      <c r="E1429" s="174"/>
      <c r="F1429" s="176">
        <v>0.18</v>
      </c>
      <c r="G1429" s="175" t="s">
        <v>2669</v>
      </c>
      <c r="H1429" s="174">
        <v>1</v>
      </c>
      <c r="I1429" s="180">
        <v>0.24</v>
      </c>
      <c r="J1429" s="174">
        <v>23.35</v>
      </c>
      <c r="K1429" s="180">
        <v>5.6</v>
      </c>
    </row>
    <row r="1430" spans="1:22" ht="14.25" x14ac:dyDescent="0.2">
      <c r="A1430" s="179"/>
      <c r="B1430" s="178"/>
      <c r="C1430" s="178" t="s">
        <v>205</v>
      </c>
      <c r="D1430" s="177"/>
      <c r="E1430" s="174"/>
      <c r="F1430" s="176">
        <v>4.41</v>
      </c>
      <c r="G1430" s="175" t="s">
        <v>195</v>
      </c>
      <c r="H1430" s="174">
        <v>1</v>
      </c>
      <c r="I1430" s="173">
        <v>4.41</v>
      </c>
      <c r="J1430" s="174">
        <v>5.42</v>
      </c>
      <c r="K1430" s="173">
        <v>23.9</v>
      </c>
    </row>
    <row r="1431" spans="1:22" ht="14.25" x14ac:dyDescent="0.2">
      <c r="A1431" s="179"/>
      <c r="B1431" s="178"/>
      <c r="C1431" s="178" t="s">
        <v>194</v>
      </c>
      <c r="D1431" s="177" t="s">
        <v>187</v>
      </c>
      <c r="E1431" s="174">
        <v>110</v>
      </c>
      <c r="F1431" s="176"/>
      <c r="G1431" s="175"/>
      <c r="H1431" s="174"/>
      <c r="I1431" s="173">
        <v>15.88</v>
      </c>
      <c r="J1431" s="174">
        <v>88</v>
      </c>
      <c r="K1431" s="173">
        <v>296.70999999999998</v>
      </c>
    </row>
    <row r="1432" spans="1:22" ht="14.25" x14ac:dyDescent="0.2">
      <c r="A1432" s="179"/>
      <c r="B1432" s="178"/>
      <c r="C1432" s="178" t="s">
        <v>193</v>
      </c>
      <c r="D1432" s="177" t="s">
        <v>187</v>
      </c>
      <c r="E1432" s="174">
        <v>74</v>
      </c>
      <c r="F1432" s="176"/>
      <c r="G1432" s="175"/>
      <c r="H1432" s="174"/>
      <c r="I1432" s="173">
        <v>10.69</v>
      </c>
      <c r="J1432" s="174">
        <v>41</v>
      </c>
      <c r="K1432" s="173">
        <v>138.24</v>
      </c>
    </row>
    <row r="1433" spans="1:22" ht="14.25" x14ac:dyDescent="0.2">
      <c r="A1433" s="179"/>
      <c r="B1433" s="178"/>
      <c r="C1433" s="178" t="s">
        <v>188</v>
      </c>
      <c r="D1433" s="177" t="s">
        <v>187</v>
      </c>
      <c r="E1433" s="174">
        <v>175</v>
      </c>
      <c r="F1433" s="176"/>
      <c r="G1433" s="175"/>
      <c r="H1433" s="174"/>
      <c r="I1433" s="173">
        <v>0.42</v>
      </c>
      <c r="J1433" s="174">
        <v>157</v>
      </c>
      <c r="K1433" s="173">
        <v>8.7899999999999991</v>
      </c>
    </row>
    <row r="1434" spans="1:22" ht="14.25" x14ac:dyDescent="0.2">
      <c r="A1434" s="242"/>
      <c r="B1434" s="241"/>
      <c r="C1434" s="241" t="s">
        <v>192</v>
      </c>
      <c r="D1434" s="240" t="s">
        <v>191</v>
      </c>
      <c r="E1434" s="238">
        <v>1.03</v>
      </c>
      <c r="F1434" s="253"/>
      <c r="G1434" s="239" t="s">
        <v>2668</v>
      </c>
      <c r="H1434" s="238">
        <v>1</v>
      </c>
      <c r="I1434" s="237">
        <v>1.24</v>
      </c>
      <c r="J1434" s="238"/>
      <c r="K1434" s="237"/>
    </row>
    <row r="1435" spans="1:22" ht="15" x14ac:dyDescent="0.25">
      <c r="A1435" s="235"/>
      <c r="B1435" s="235"/>
      <c r="C1435" s="236" t="s">
        <v>183</v>
      </c>
      <c r="D1435" s="235"/>
      <c r="E1435" s="235"/>
      <c r="F1435" s="235"/>
      <c r="G1435" s="235"/>
      <c r="H1435" s="436">
        <v>46.81</v>
      </c>
      <c r="I1435" s="436"/>
      <c r="J1435" s="436">
        <v>814.25</v>
      </c>
      <c r="K1435" s="436"/>
      <c r="O1435" s="163">
        <f>I1427+I1428+I1430+I1431+I1432+I1433</f>
        <v>46.81</v>
      </c>
      <c r="P1435" s="163">
        <f>K1427+K1428+K1430+K1431+K1432+K1433</f>
        <v>814.25</v>
      </c>
    </row>
    <row r="1437" spans="1:22" ht="28.5" x14ac:dyDescent="0.2">
      <c r="A1437" s="179" t="s">
        <v>2743</v>
      </c>
      <c r="B1437" s="178" t="s">
        <v>2677</v>
      </c>
      <c r="C1437" s="178" t="s">
        <v>1045</v>
      </c>
      <c r="D1437" s="177" t="s">
        <v>2678</v>
      </c>
      <c r="E1437" s="174">
        <v>0.15</v>
      </c>
      <c r="F1437" s="176"/>
      <c r="G1437" s="175"/>
      <c r="H1437" s="174"/>
      <c r="I1437" s="173"/>
      <c r="J1437" s="174"/>
      <c r="K1437" s="173"/>
      <c r="Q1437" s="160">
        <f>[8]Source!X625</f>
        <v>12.03</v>
      </c>
      <c r="R1437" s="160">
        <f>[8]Source!X626</f>
        <v>224.8</v>
      </c>
      <c r="S1437" s="160">
        <f>[8]Source!Y625</f>
        <v>8.1</v>
      </c>
      <c r="T1437" s="160">
        <f>[8]Source!Y626</f>
        <v>104.73</v>
      </c>
      <c r="U1437" s="160">
        <f>ROUND((175/100)*ROUND([8]Source!R625, 2), 2)</f>
        <v>1.4</v>
      </c>
      <c r="V1437" s="160">
        <f>ROUND((157/100)*ROUND([8]Source!R626, 2), 2)</f>
        <v>29.33</v>
      </c>
    </row>
    <row r="1438" spans="1:22" x14ac:dyDescent="0.2">
      <c r="C1438" s="181" t="s">
        <v>2679</v>
      </c>
    </row>
    <row r="1439" spans="1:22" ht="14.25" x14ac:dyDescent="0.2">
      <c r="A1439" s="179"/>
      <c r="B1439" s="178"/>
      <c r="C1439" s="178" t="s">
        <v>197</v>
      </c>
      <c r="D1439" s="177"/>
      <c r="E1439" s="174"/>
      <c r="F1439" s="176">
        <v>60.39</v>
      </c>
      <c r="G1439" s="175" t="s">
        <v>2668</v>
      </c>
      <c r="H1439" s="174">
        <v>1</v>
      </c>
      <c r="I1439" s="173">
        <v>10.94</v>
      </c>
      <c r="J1439" s="174">
        <v>23.35</v>
      </c>
      <c r="K1439" s="173">
        <v>255.45</v>
      </c>
    </row>
    <row r="1440" spans="1:22" ht="14.25" x14ac:dyDescent="0.2">
      <c r="A1440" s="179"/>
      <c r="B1440" s="178"/>
      <c r="C1440" s="178" t="s">
        <v>184</v>
      </c>
      <c r="D1440" s="177"/>
      <c r="E1440" s="174"/>
      <c r="F1440" s="176">
        <v>20.05</v>
      </c>
      <c r="G1440" s="175" t="s">
        <v>2669</v>
      </c>
      <c r="H1440" s="174">
        <v>1</v>
      </c>
      <c r="I1440" s="173">
        <v>3.95</v>
      </c>
      <c r="J1440" s="174">
        <v>8.98</v>
      </c>
      <c r="K1440" s="173">
        <v>35.47</v>
      </c>
    </row>
    <row r="1441" spans="1:22" ht="14.25" x14ac:dyDescent="0.2">
      <c r="A1441" s="179"/>
      <c r="B1441" s="178"/>
      <c r="C1441" s="178" t="s">
        <v>189</v>
      </c>
      <c r="D1441" s="177"/>
      <c r="E1441" s="174"/>
      <c r="F1441" s="176">
        <v>4.04</v>
      </c>
      <c r="G1441" s="175" t="s">
        <v>2669</v>
      </c>
      <c r="H1441" s="174">
        <v>1</v>
      </c>
      <c r="I1441" s="180">
        <v>0.8</v>
      </c>
      <c r="J1441" s="174">
        <v>23.35</v>
      </c>
      <c r="K1441" s="180">
        <v>18.68</v>
      </c>
    </row>
    <row r="1442" spans="1:22" ht="14.25" x14ac:dyDescent="0.2">
      <c r="A1442" s="179"/>
      <c r="B1442" s="178"/>
      <c r="C1442" s="178" t="s">
        <v>205</v>
      </c>
      <c r="D1442" s="177"/>
      <c r="E1442" s="174"/>
      <c r="F1442" s="176">
        <v>25.9</v>
      </c>
      <c r="G1442" s="175" t="s">
        <v>195</v>
      </c>
      <c r="H1442" s="174">
        <v>1</v>
      </c>
      <c r="I1442" s="173">
        <v>3.89</v>
      </c>
      <c r="J1442" s="174">
        <v>5.42</v>
      </c>
      <c r="K1442" s="173">
        <v>21.08</v>
      </c>
    </row>
    <row r="1443" spans="1:22" ht="14.25" x14ac:dyDescent="0.2">
      <c r="A1443" s="179"/>
      <c r="B1443" s="178"/>
      <c r="C1443" s="178" t="s">
        <v>194</v>
      </c>
      <c r="D1443" s="177" t="s">
        <v>187</v>
      </c>
      <c r="E1443" s="174">
        <v>110</v>
      </c>
      <c r="F1443" s="176"/>
      <c r="G1443" s="175"/>
      <c r="H1443" s="174"/>
      <c r="I1443" s="173">
        <v>12.03</v>
      </c>
      <c r="J1443" s="174">
        <v>88</v>
      </c>
      <c r="K1443" s="173">
        <v>224.8</v>
      </c>
    </row>
    <row r="1444" spans="1:22" ht="14.25" x14ac:dyDescent="0.2">
      <c r="A1444" s="179"/>
      <c r="B1444" s="178"/>
      <c r="C1444" s="178" t="s">
        <v>193</v>
      </c>
      <c r="D1444" s="177" t="s">
        <v>187</v>
      </c>
      <c r="E1444" s="174">
        <v>74</v>
      </c>
      <c r="F1444" s="176"/>
      <c r="G1444" s="175"/>
      <c r="H1444" s="174"/>
      <c r="I1444" s="173">
        <v>8.1</v>
      </c>
      <c r="J1444" s="174">
        <v>41</v>
      </c>
      <c r="K1444" s="173">
        <v>104.73</v>
      </c>
    </row>
    <row r="1445" spans="1:22" ht="14.25" x14ac:dyDescent="0.2">
      <c r="A1445" s="179"/>
      <c r="B1445" s="178"/>
      <c r="C1445" s="178" t="s">
        <v>188</v>
      </c>
      <c r="D1445" s="177" t="s">
        <v>187</v>
      </c>
      <c r="E1445" s="174">
        <v>175</v>
      </c>
      <c r="F1445" s="176"/>
      <c r="G1445" s="175"/>
      <c r="H1445" s="174"/>
      <c r="I1445" s="173">
        <v>1.4</v>
      </c>
      <c r="J1445" s="174">
        <v>157</v>
      </c>
      <c r="K1445" s="173">
        <v>29.33</v>
      </c>
    </row>
    <row r="1446" spans="1:22" ht="14.25" x14ac:dyDescent="0.2">
      <c r="A1446" s="242"/>
      <c r="B1446" s="241"/>
      <c r="C1446" s="241" t="s">
        <v>192</v>
      </c>
      <c r="D1446" s="240" t="s">
        <v>191</v>
      </c>
      <c r="E1446" s="238">
        <v>5.0199999999999996</v>
      </c>
      <c r="F1446" s="253"/>
      <c r="G1446" s="239" t="s">
        <v>2668</v>
      </c>
      <c r="H1446" s="238">
        <v>1</v>
      </c>
      <c r="I1446" s="237">
        <v>0.91</v>
      </c>
      <c r="J1446" s="238"/>
      <c r="K1446" s="237"/>
    </row>
    <row r="1447" spans="1:22" ht="15" x14ac:dyDescent="0.25">
      <c r="A1447" s="235"/>
      <c r="B1447" s="235"/>
      <c r="C1447" s="236" t="s">
        <v>183</v>
      </c>
      <c r="D1447" s="235"/>
      <c r="E1447" s="235"/>
      <c r="F1447" s="235"/>
      <c r="G1447" s="235"/>
      <c r="H1447" s="436">
        <v>40.31</v>
      </c>
      <c r="I1447" s="436"/>
      <c r="J1447" s="436">
        <v>670.86</v>
      </c>
      <c r="K1447" s="436"/>
      <c r="O1447" s="163">
        <f>I1439+I1440+I1442+I1443+I1444+I1445</f>
        <v>40.31</v>
      </c>
      <c r="P1447" s="163">
        <f>K1439+K1440+K1442+K1443+K1444+K1445</f>
        <v>670.86</v>
      </c>
    </row>
    <row r="1449" spans="1:22" ht="57" x14ac:dyDescent="0.2">
      <c r="A1449" s="179" t="s">
        <v>2744</v>
      </c>
      <c r="B1449" s="178" t="s">
        <v>2680</v>
      </c>
      <c r="C1449" s="178" t="s">
        <v>1052</v>
      </c>
      <c r="D1449" s="177" t="s">
        <v>1903</v>
      </c>
      <c r="E1449" s="174">
        <v>2</v>
      </c>
      <c r="F1449" s="176"/>
      <c r="G1449" s="175"/>
      <c r="H1449" s="174"/>
      <c r="I1449" s="173"/>
      <c r="J1449" s="174"/>
      <c r="K1449" s="173"/>
      <c r="Q1449" s="160">
        <f>[8]Source!X627</f>
        <v>33.21</v>
      </c>
      <c r="R1449" s="160">
        <f>[8]Source!X628</f>
        <v>620.35</v>
      </c>
      <c r="S1449" s="160">
        <f>[8]Source!Y627</f>
        <v>22.34</v>
      </c>
      <c r="T1449" s="160">
        <f>[8]Source!Y628</f>
        <v>289.02999999999997</v>
      </c>
      <c r="U1449" s="160">
        <f>ROUND((175/100)*ROUND([8]Source!R627, 2), 2)</f>
        <v>1.61</v>
      </c>
      <c r="V1449" s="160">
        <f>ROUND((157/100)*ROUND([8]Source!R628, 2), 2)</f>
        <v>33.72</v>
      </c>
    </row>
    <row r="1450" spans="1:22" ht="14.25" x14ac:dyDescent="0.2">
      <c r="A1450" s="179"/>
      <c r="B1450" s="178"/>
      <c r="C1450" s="178" t="s">
        <v>197</v>
      </c>
      <c r="D1450" s="177"/>
      <c r="E1450" s="174"/>
      <c r="F1450" s="176">
        <v>12.5</v>
      </c>
      <c r="G1450" s="175" t="s">
        <v>2668</v>
      </c>
      <c r="H1450" s="174">
        <v>1</v>
      </c>
      <c r="I1450" s="173">
        <v>30.19</v>
      </c>
      <c r="J1450" s="174">
        <v>23.35</v>
      </c>
      <c r="K1450" s="173">
        <v>704.94</v>
      </c>
    </row>
    <row r="1451" spans="1:22" ht="14.25" x14ac:dyDescent="0.2">
      <c r="A1451" s="179"/>
      <c r="B1451" s="178"/>
      <c r="C1451" s="178" t="s">
        <v>184</v>
      </c>
      <c r="D1451" s="177"/>
      <c r="E1451" s="174"/>
      <c r="F1451" s="176">
        <v>1.49</v>
      </c>
      <c r="G1451" s="175" t="s">
        <v>2669</v>
      </c>
      <c r="H1451" s="174">
        <v>1</v>
      </c>
      <c r="I1451" s="173">
        <v>3.91</v>
      </c>
      <c r="J1451" s="174">
        <v>9.58</v>
      </c>
      <c r="K1451" s="173">
        <v>37.46</v>
      </c>
    </row>
    <row r="1452" spans="1:22" ht="14.25" x14ac:dyDescent="0.2">
      <c r="A1452" s="179"/>
      <c r="B1452" s="178"/>
      <c r="C1452" s="178" t="s">
        <v>189</v>
      </c>
      <c r="D1452" s="177"/>
      <c r="E1452" s="174"/>
      <c r="F1452" s="176">
        <v>0.35</v>
      </c>
      <c r="G1452" s="175" t="s">
        <v>2669</v>
      </c>
      <c r="H1452" s="174">
        <v>1</v>
      </c>
      <c r="I1452" s="180">
        <v>0.92</v>
      </c>
      <c r="J1452" s="174">
        <v>23.35</v>
      </c>
      <c r="K1452" s="180">
        <v>21.48</v>
      </c>
    </row>
    <row r="1453" spans="1:22" ht="14.25" x14ac:dyDescent="0.2">
      <c r="A1453" s="179"/>
      <c r="B1453" s="178"/>
      <c r="C1453" s="178" t="s">
        <v>205</v>
      </c>
      <c r="D1453" s="177"/>
      <c r="E1453" s="174"/>
      <c r="F1453" s="176">
        <v>6.23</v>
      </c>
      <c r="G1453" s="175" t="s">
        <v>195</v>
      </c>
      <c r="H1453" s="174">
        <v>1</v>
      </c>
      <c r="I1453" s="173">
        <v>12.46</v>
      </c>
      <c r="J1453" s="174">
        <v>5.42</v>
      </c>
      <c r="K1453" s="173">
        <v>67.53</v>
      </c>
    </row>
    <row r="1454" spans="1:22" ht="14.25" x14ac:dyDescent="0.2">
      <c r="A1454" s="179"/>
      <c r="B1454" s="178"/>
      <c r="C1454" s="178" t="s">
        <v>194</v>
      </c>
      <c r="D1454" s="177" t="s">
        <v>187</v>
      </c>
      <c r="E1454" s="174">
        <v>110</v>
      </c>
      <c r="F1454" s="176"/>
      <c r="G1454" s="175"/>
      <c r="H1454" s="174"/>
      <c r="I1454" s="173">
        <v>33.21</v>
      </c>
      <c r="J1454" s="174">
        <v>88</v>
      </c>
      <c r="K1454" s="173">
        <v>620.35</v>
      </c>
    </row>
    <row r="1455" spans="1:22" ht="14.25" x14ac:dyDescent="0.2">
      <c r="A1455" s="179"/>
      <c r="B1455" s="178"/>
      <c r="C1455" s="178" t="s">
        <v>193</v>
      </c>
      <c r="D1455" s="177" t="s">
        <v>187</v>
      </c>
      <c r="E1455" s="174">
        <v>74</v>
      </c>
      <c r="F1455" s="176"/>
      <c r="G1455" s="175"/>
      <c r="H1455" s="174"/>
      <c r="I1455" s="173">
        <v>22.34</v>
      </c>
      <c r="J1455" s="174">
        <v>41</v>
      </c>
      <c r="K1455" s="173">
        <v>289.02999999999997</v>
      </c>
    </row>
    <row r="1456" spans="1:22" ht="14.25" x14ac:dyDescent="0.2">
      <c r="A1456" s="179"/>
      <c r="B1456" s="178"/>
      <c r="C1456" s="178" t="s">
        <v>188</v>
      </c>
      <c r="D1456" s="177" t="s">
        <v>187</v>
      </c>
      <c r="E1456" s="174">
        <v>175</v>
      </c>
      <c r="F1456" s="176"/>
      <c r="G1456" s="175"/>
      <c r="H1456" s="174"/>
      <c r="I1456" s="173">
        <v>1.61</v>
      </c>
      <c r="J1456" s="174">
        <v>157</v>
      </c>
      <c r="K1456" s="173">
        <v>33.72</v>
      </c>
    </row>
    <row r="1457" spans="1:22" ht="14.25" x14ac:dyDescent="0.2">
      <c r="A1457" s="242"/>
      <c r="B1457" s="241"/>
      <c r="C1457" s="241" t="s">
        <v>192</v>
      </c>
      <c r="D1457" s="240" t="s">
        <v>191</v>
      </c>
      <c r="E1457" s="238">
        <v>1.0900000000000001</v>
      </c>
      <c r="F1457" s="253"/>
      <c r="G1457" s="239" t="s">
        <v>2668</v>
      </c>
      <c r="H1457" s="238">
        <v>1</v>
      </c>
      <c r="I1457" s="237">
        <v>2.63</v>
      </c>
      <c r="J1457" s="238"/>
      <c r="K1457" s="237"/>
    </row>
    <row r="1458" spans="1:22" ht="15" x14ac:dyDescent="0.25">
      <c r="A1458" s="235"/>
      <c r="B1458" s="235"/>
      <c r="C1458" s="236" t="s">
        <v>183</v>
      </c>
      <c r="D1458" s="235"/>
      <c r="E1458" s="235"/>
      <c r="F1458" s="235"/>
      <c r="G1458" s="235"/>
      <c r="H1458" s="436">
        <v>103.72</v>
      </c>
      <c r="I1458" s="436"/>
      <c r="J1458" s="436">
        <v>1753.03</v>
      </c>
      <c r="K1458" s="436"/>
      <c r="O1458" s="163">
        <f>I1450+I1451+I1453+I1454+I1455+I1456</f>
        <v>103.72</v>
      </c>
      <c r="P1458" s="163">
        <f>K1450+K1451+K1453+K1454+K1455+K1456</f>
        <v>1753.03</v>
      </c>
    </row>
    <row r="1460" spans="1:22" ht="68.25" x14ac:dyDescent="0.2">
      <c r="A1460" s="250" t="s">
        <v>2745</v>
      </c>
      <c r="B1460" s="249" t="s">
        <v>2670</v>
      </c>
      <c r="C1460" s="249" t="s">
        <v>1051</v>
      </c>
      <c r="D1460" s="248" t="s">
        <v>1913</v>
      </c>
      <c r="E1460" s="246">
        <v>1</v>
      </c>
      <c r="F1460" s="254">
        <v>2473.5</v>
      </c>
      <c r="G1460" s="247" t="s">
        <v>195</v>
      </c>
      <c r="H1460" s="246">
        <v>1</v>
      </c>
      <c r="I1460" s="245">
        <v>2473.5</v>
      </c>
      <c r="J1460" s="246">
        <v>4.4000000000000004</v>
      </c>
      <c r="K1460" s="245">
        <v>10883.4</v>
      </c>
      <c r="Q1460" s="160">
        <f>[8]Source!X629</f>
        <v>0</v>
      </c>
      <c r="R1460" s="160">
        <f>[8]Source!X630</f>
        <v>0</v>
      </c>
      <c r="S1460" s="160">
        <f>[8]Source!Y629</f>
        <v>0</v>
      </c>
      <c r="T1460" s="160">
        <f>[8]Source!Y630</f>
        <v>0</v>
      </c>
      <c r="U1460" s="160">
        <f>ROUND((175/100)*ROUND([8]Source!R629, 2), 2)</f>
        <v>0</v>
      </c>
      <c r="V1460" s="160">
        <f>ROUND((157/100)*ROUND([8]Source!R630, 2), 2)</f>
        <v>0</v>
      </c>
    </row>
    <row r="1461" spans="1:22" ht="15" x14ac:dyDescent="0.25">
      <c r="A1461" s="243"/>
      <c r="B1461" s="243"/>
      <c r="C1461" s="244" t="s">
        <v>183</v>
      </c>
      <c r="D1461" s="243"/>
      <c r="E1461" s="243"/>
      <c r="F1461" s="243"/>
      <c r="G1461" s="243"/>
      <c r="H1461" s="437">
        <v>2473.5</v>
      </c>
      <c r="I1461" s="437"/>
      <c r="J1461" s="437">
        <v>10883.4</v>
      </c>
      <c r="K1461" s="437"/>
      <c r="O1461" s="163">
        <f>I1460</f>
        <v>2473.5</v>
      </c>
      <c r="P1461" s="163">
        <f>K1460</f>
        <v>10883.4</v>
      </c>
    </row>
    <row r="1463" spans="1:22" ht="28.5" x14ac:dyDescent="0.2">
      <c r="A1463" s="179" t="s">
        <v>2746</v>
      </c>
      <c r="B1463" s="178" t="s">
        <v>2673</v>
      </c>
      <c r="C1463" s="178" t="s">
        <v>1046</v>
      </c>
      <c r="D1463" s="177" t="s">
        <v>2674</v>
      </c>
      <c r="E1463" s="174">
        <v>1</v>
      </c>
      <c r="F1463" s="176"/>
      <c r="G1463" s="175"/>
      <c r="H1463" s="174"/>
      <c r="I1463" s="173"/>
      <c r="J1463" s="174"/>
      <c r="K1463" s="173"/>
      <c r="Q1463" s="160">
        <f>[8]Source!X632</f>
        <v>83.15</v>
      </c>
      <c r="R1463" s="160">
        <f>[8]Source!X633</f>
        <v>1553.23</v>
      </c>
      <c r="S1463" s="160">
        <f>[8]Source!Y632</f>
        <v>55.94</v>
      </c>
      <c r="T1463" s="160">
        <f>[8]Source!Y633</f>
        <v>723.66</v>
      </c>
      <c r="U1463" s="160">
        <f>ROUND((175/100)*ROUND([8]Source!R632, 2), 2)</f>
        <v>3.38</v>
      </c>
      <c r="V1463" s="160">
        <f>ROUND((157/100)*ROUND([8]Source!R633, 2), 2)</f>
        <v>70.760000000000005</v>
      </c>
    </row>
    <row r="1464" spans="1:22" ht="14.25" x14ac:dyDescent="0.2">
      <c r="A1464" s="179"/>
      <c r="B1464" s="178"/>
      <c r="C1464" s="178" t="s">
        <v>197</v>
      </c>
      <c r="D1464" s="177"/>
      <c r="E1464" s="174"/>
      <c r="F1464" s="176">
        <v>62.6</v>
      </c>
      <c r="G1464" s="175" t="s">
        <v>2668</v>
      </c>
      <c r="H1464" s="174">
        <v>1</v>
      </c>
      <c r="I1464" s="173">
        <v>75.59</v>
      </c>
      <c r="J1464" s="174">
        <v>23.35</v>
      </c>
      <c r="K1464" s="173">
        <v>1765.03</v>
      </c>
    </row>
    <row r="1465" spans="1:22" ht="14.25" x14ac:dyDescent="0.2">
      <c r="A1465" s="179"/>
      <c r="B1465" s="178"/>
      <c r="C1465" s="178" t="s">
        <v>184</v>
      </c>
      <c r="D1465" s="177"/>
      <c r="E1465" s="174"/>
      <c r="F1465" s="176">
        <v>8.82</v>
      </c>
      <c r="G1465" s="175" t="s">
        <v>2669</v>
      </c>
      <c r="H1465" s="174">
        <v>1</v>
      </c>
      <c r="I1465" s="173">
        <v>11.58</v>
      </c>
      <c r="J1465" s="174">
        <v>8.66</v>
      </c>
      <c r="K1465" s="173">
        <v>100.28</v>
      </c>
    </row>
    <row r="1466" spans="1:22" ht="14.25" x14ac:dyDescent="0.2">
      <c r="A1466" s="179"/>
      <c r="B1466" s="178"/>
      <c r="C1466" s="178" t="s">
        <v>189</v>
      </c>
      <c r="D1466" s="177"/>
      <c r="E1466" s="174"/>
      <c r="F1466" s="176">
        <v>1.47</v>
      </c>
      <c r="G1466" s="175" t="s">
        <v>2669</v>
      </c>
      <c r="H1466" s="174">
        <v>1</v>
      </c>
      <c r="I1466" s="180">
        <v>1.93</v>
      </c>
      <c r="J1466" s="174">
        <v>23.35</v>
      </c>
      <c r="K1466" s="180">
        <v>45.07</v>
      </c>
    </row>
    <row r="1467" spans="1:22" ht="14.25" x14ac:dyDescent="0.2">
      <c r="A1467" s="179"/>
      <c r="B1467" s="178"/>
      <c r="C1467" s="178" t="s">
        <v>205</v>
      </c>
      <c r="D1467" s="177"/>
      <c r="E1467" s="174"/>
      <c r="F1467" s="176">
        <v>2.62</v>
      </c>
      <c r="G1467" s="175" t="s">
        <v>195</v>
      </c>
      <c r="H1467" s="174">
        <v>1</v>
      </c>
      <c r="I1467" s="173">
        <v>2.62</v>
      </c>
      <c r="J1467" s="174">
        <v>2.5299999999999998</v>
      </c>
      <c r="K1467" s="173">
        <v>6.63</v>
      </c>
    </row>
    <row r="1468" spans="1:22" ht="14.25" x14ac:dyDescent="0.2">
      <c r="A1468" s="179"/>
      <c r="B1468" s="178"/>
      <c r="C1468" s="178" t="s">
        <v>194</v>
      </c>
      <c r="D1468" s="177" t="s">
        <v>187</v>
      </c>
      <c r="E1468" s="174">
        <v>110</v>
      </c>
      <c r="F1468" s="176"/>
      <c r="G1468" s="175"/>
      <c r="H1468" s="174"/>
      <c r="I1468" s="173">
        <v>83.15</v>
      </c>
      <c r="J1468" s="174">
        <v>88</v>
      </c>
      <c r="K1468" s="173">
        <v>1553.23</v>
      </c>
    </row>
    <row r="1469" spans="1:22" ht="14.25" x14ac:dyDescent="0.2">
      <c r="A1469" s="179"/>
      <c r="B1469" s="178"/>
      <c r="C1469" s="178" t="s">
        <v>193</v>
      </c>
      <c r="D1469" s="177" t="s">
        <v>187</v>
      </c>
      <c r="E1469" s="174">
        <v>74</v>
      </c>
      <c r="F1469" s="176"/>
      <c r="G1469" s="175"/>
      <c r="H1469" s="174"/>
      <c r="I1469" s="173">
        <v>55.94</v>
      </c>
      <c r="J1469" s="174">
        <v>41</v>
      </c>
      <c r="K1469" s="173">
        <v>723.66</v>
      </c>
    </row>
    <row r="1470" spans="1:22" ht="14.25" x14ac:dyDescent="0.2">
      <c r="A1470" s="179"/>
      <c r="B1470" s="178"/>
      <c r="C1470" s="178" t="s">
        <v>188</v>
      </c>
      <c r="D1470" s="177" t="s">
        <v>187</v>
      </c>
      <c r="E1470" s="174">
        <v>175</v>
      </c>
      <c r="F1470" s="176"/>
      <c r="G1470" s="175"/>
      <c r="H1470" s="174"/>
      <c r="I1470" s="173">
        <v>3.38</v>
      </c>
      <c r="J1470" s="174">
        <v>157</v>
      </c>
      <c r="K1470" s="173">
        <v>70.760000000000005</v>
      </c>
    </row>
    <row r="1471" spans="1:22" ht="14.25" x14ac:dyDescent="0.2">
      <c r="A1471" s="242"/>
      <c r="B1471" s="241"/>
      <c r="C1471" s="241" t="s">
        <v>192</v>
      </c>
      <c r="D1471" s="240" t="s">
        <v>191</v>
      </c>
      <c r="E1471" s="238">
        <v>4.96</v>
      </c>
      <c r="F1471" s="253"/>
      <c r="G1471" s="239" t="s">
        <v>2668</v>
      </c>
      <c r="H1471" s="238">
        <v>1</v>
      </c>
      <c r="I1471" s="237">
        <v>5.99</v>
      </c>
      <c r="J1471" s="238"/>
      <c r="K1471" s="237"/>
    </row>
    <row r="1472" spans="1:22" ht="15" x14ac:dyDescent="0.25">
      <c r="A1472" s="235"/>
      <c r="B1472" s="235"/>
      <c r="C1472" s="236" t="s">
        <v>183</v>
      </c>
      <c r="D1472" s="235"/>
      <c r="E1472" s="235"/>
      <c r="F1472" s="235"/>
      <c r="G1472" s="235"/>
      <c r="H1472" s="436">
        <v>232.26</v>
      </c>
      <c r="I1472" s="436"/>
      <c r="J1472" s="436">
        <v>4219.59</v>
      </c>
      <c r="K1472" s="436"/>
      <c r="O1472" s="163">
        <f>I1464+I1465+I1467+I1468+I1469+I1470</f>
        <v>232.26</v>
      </c>
      <c r="P1472" s="163">
        <f>K1464+K1465+K1467+K1468+K1469+K1470</f>
        <v>4219.59</v>
      </c>
    </row>
    <row r="1474" spans="1:22" ht="28.5" x14ac:dyDescent="0.2">
      <c r="A1474" s="179" t="s">
        <v>2747</v>
      </c>
      <c r="B1474" s="178" t="s">
        <v>2675</v>
      </c>
      <c r="C1474" s="178" t="s">
        <v>1026</v>
      </c>
      <c r="D1474" s="177" t="s">
        <v>2676</v>
      </c>
      <c r="E1474" s="174">
        <v>1</v>
      </c>
      <c r="F1474" s="176"/>
      <c r="G1474" s="175"/>
      <c r="H1474" s="174"/>
      <c r="I1474" s="173"/>
      <c r="J1474" s="174"/>
      <c r="K1474" s="173"/>
      <c r="Q1474" s="160">
        <f>[8]Source!X636</f>
        <v>15.88</v>
      </c>
      <c r="R1474" s="160">
        <f>[8]Source!X637</f>
        <v>296.70999999999998</v>
      </c>
      <c r="S1474" s="160">
        <f>[8]Source!Y636</f>
        <v>10.69</v>
      </c>
      <c r="T1474" s="160">
        <f>[8]Source!Y637</f>
        <v>138.24</v>
      </c>
      <c r="U1474" s="160">
        <f>ROUND((175/100)*ROUND([8]Source!R636, 2), 2)</f>
        <v>0.42</v>
      </c>
      <c r="V1474" s="160">
        <f>ROUND((157/100)*ROUND([8]Source!R637, 2), 2)</f>
        <v>8.7899999999999991</v>
      </c>
    </row>
    <row r="1475" spans="1:22" ht="14.25" x14ac:dyDescent="0.2">
      <c r="A1475" s="179"/>
      <c r="B1475" s="178"/>
      <c r="C1475" s="178" t="s">
        <v>197</v>
      </c>
      <c r="D1475" s="177"/>
      <c r="E1475" s="174"/>
      <c r="F1475" s="176">
        <v>11.96</v>
      </c>
      <c r="G1475" s="175" t="s">
        <v>2668</v>
      </c>
      <c r="H1475" s="174">
        <v>1</v>
      </c>
      <c r="I1475" s="173">
        <v>14.44</v>
      </c>
      <c r="J1475" s="174">
        <v>23.35</v>
      </c>
      <c r="K1475" s="173">
        <v>337.17</v>
      </c>
    </row>
    <row r="1476" spans="1:22" ht="14.25" x14ac:dyDescent="0.2">
      <c r="A1476" s="179"/>
      <c r="B1476" s="178"/>
      <c r="C1476" s="178" t="s">
        <v>184</v>
      </c>
      <c r="D1476" s="177"/>
      <c r="E1476" s="174"/>
      <c r="F1476" s="176">
        <v>0.74</v>
      </c>
      <c r="G1476" s="175" t="s">
        <v>2669</v>
      </c>
      <c r="H1476" s="174">
        <v>1</v>
      </c>
      <c r="I1476" s="173">
        <v>0.97</v>
      </c>
      <c r="J1476" s="174">
        <v>9.73</v>
      </c>
      <c r="K1476" s="173">
        <v>9.44</v>
      </c>
    </row>
    <row r="1477" spans="1:22" ht="14.25" x14ac:dyDescent="0.2">
      <c r="A1477" s="179"/>
      <c r="B1477" s="178"/>
      <c r="C1477" s="178" t="s">
        <v>189</v>
      </c>
      <c r="D1477" s="177"/>
      <c r="E1477" s="174"/>
      <c r="F1477" s="176">
        <v>0.18</v>
      </c>
      <c r="G1477" s="175" t="s">
        <v>2669</v>
      </c>
      <c r="H1477" s="174">
        <v>1</v>
      </c>
      <c r="I1477" s="180">
        <v>0.24</v>
      </c>
      <c r="J1477" s="174">
        <v>23.35</v>
      </c>
      <c r="K1477" s="180">
        <v>5.6</v>
      </c>
    </row>
    <row r="1478" spans="1:22" ht="14.25" x14ac:dyDescent="0.2">
      <c r="A1478" s="179"/>
      <c r="B1478" s="178"/>
      <c r="C1478" s="178" t="s">
        <v>205</v>
      </c>
      <c r="D1478" s="177"/>
      <c r="E1478" s="174"/>
      <c r="F1478" s="176">
        <v>4.41</v>
      </c>
      <c r="G1478" s="175" t="s">
        <v>195</v>
      </c>
      <c r="H1478" s="174">
        <v>1</v>
      </c>
      <c r="I1478" s="173">
        <v>4.41</v>
      </c>
      <c r="J1478" s="174">
        <v>5.42</v>
      </c>
      <c r="K1478" s="173">
        <v>23.9</v>
      </c>
    </row>
    <row r="1479" spans="1:22" ht="14.25" x14ac:dyDescent="0.2">
      <c r="A1479" s="179"/>
      <c r="B1479" s="178"/>
      <c r="C1479" s="178" t="s">
        <v>194</v>
      </c>
      <c r="D1479" s="177" t="s">
        <v>187</v>
      </c>
      <c r="E1479" s="174">
        <v>110</v>
      </c>
      <c r="F1479" s="176"/>
      <c r="G1479" s="175"/>
      <c r="H1479" s="174"/>
      <c r="I1479" s="173">
        <v>15.88</v>
      </c>
      <c r="J1479" s="174">
        <v>88</v>
      </c>
      <c r="K1479" s="173">
        <v>296.70999999999998</v>
      </c>
    </row>
    <row r="1480" spans="1:22" ht="14.25" x14ac:dyDescent="0.2">
      <c r="A1480" s="179"/>
      <c r="B1480" s="178"/>
      <c r="C1480" s="178" t="s">
        <v>193</v>
      </c>
      <c r="D1480" s="177" t="s">
        <v>187</v>
      </c>
      <c r="E1480" s="174">
        <v>74</v>
      </c>
      <c r="F1480" s="176"/>
      <c r="G1480" s="175"/>
      <c r="H1480" s="174"/>
      <c r="I1480" s="173">
        <v>10.69</v>
      </c>
      <c r="J1480" s="174">
        <v>41</v>
      </c>
      <c r="K1480" s="173">
        <v>138.24</v>
      </c>
    </row>
    <row r="1481" spans="1:22" ht="14.25" x14ac:dyDescent="0.2">
      <c r="A1481" s="179"/>
      <c r="B1481" s="178"/>
      <c r="C1481" s="178" t="s">
        <v>188</v>
      </c>
      <c r="D1481" s="177" t="s">
        <v>187</v>
      </c>
      <c r="E1481" s="174">
        <v>175</v>
      </c>
      <c r="F1481" s="176"/>
      <c r="G1481" s="175"/>
      <c r="H1481" s="174"/>
      <c r="I1481" s="173">
        <v>0.42</v>
      </c>
      <c r="J1481" s="174">
        <v>157</v>
      </c>
      <c r="K1481" s="173">
        <v>8.7899999999999991</v>
      </c>
    </row>
    <row r="1482" spans="1:22" ht="14.25" x14ac:dyDescent="0.2">
      <c r="A1482" s="242"/>
      <c r="B1482" s="241"/>
      <c r="C1482" s="241" t="s">
        <v>192</v>
      </c>
      <c r="D1482" s="240" t="s">
        <v>191</v>
      </c>
      <c r="E1482" s="238">
        <v>1.03</v>
      </c>
      <c r="F1482" s="253"/>
      <c r="G1482" s="239" t="s">
        <v>2668</v>
      </c>
      <c r="H1482" s="238">
        <v>1</v>
      </c>
      <c r="I1482" s="237">
        <v>1.24</v>
      </c>
      <c r="J1482" s="238"/>
      <c r="K1482" s="237"/>
    </row>
    <row r="1483" spans="1:22" ht="15" x14ac:dyDescent="0.25">
      <c r="A1483" s="235"/>
      <c r="B1483" s="235"/>
      <c r="C1483" s="236" t="s">
        <v>183</v>
      </c>
      <c r="D1483" s="235"/>
      <c r="E1483" s="235"/>
      <c r="F1483" s="235"/>
      <c r="G1483" s="235"/>
      <c r="H1483" s="436">
        <v>46.81</v>
      </c>
      <c r="I1483" s="436"/>
      <c r="J1483" s="436">
        <v>814.25</v>
      </c>
      <c r="K1483" s="436"/>
      <c r="O1483" s="163">
        <f>I1475+I1476+I1478+I1479+I1480+I1481</f>
        <v>46.81</v>
      </c>
      <c r="P1483" s="163">
        <f>K1475+K1476+K1478+K1479+K1480+K1481</f>
        <v>814.25</v>
      </c>
    </row>
    <row r="1485" spans="1:22" ht="28.5" x14ac:dyDescent="0.2">
      <c r="A1485" s="179" t="s">
        <v>2748</v>
      </c>
      <c r="B1485" s="178" t="s">
        <v>2677</v>
      </c>
      <c r="C1485" s="178" t="s">
        <v>1045</v>
      </c>
      <c r="D1485" s="177" t="s">
        <v>2678</v>
      </c>
      <c r="E1485" s="174">
        <v>0.15</v>
      </c>
      <c r="F1485" s="176"/>
      <c r="G1485" s="175"/>
      <c r="H1485" s="174"/>
      <c r="I1485" s="173"/>
      <c r="J1485" s="174"/>
      <c r="K1485" s="173"/>
      <c r="Q1485" s="160">
        <f>[8]Source!X638</f>
        <v>12.03</v>
      </c>
      <c r="R1485" s="160">
        <f>[8]Source!X639</f>
        <v>224.8</v>
      </c>
      <c r="S1485" s="160">
        <f>[8]Source!Y638</f>
        <v>8.1</v>
      </c>
      <c r="T1485" s="160">
        <f>[8]Source!Y639</f>
        <v>104.73</v>
      </c>
      <c r="U1485" s="160">
        <f>ROUND((175/100)*ROUND([8]Source!R638, 2), 2)</f>
        <v>1.4</v>
      </c>
      <c r="V1485" s="160">
        <f>ROUND((157/100)*ROUND([8]Source!R639, 2), 2)</f>
        <v>29.33</v>
      </c>
    </row>
    <row r="1486" spans="1:22" x14ac:dyDescent="0.2">
      <c r="C1486" s="181" t="s">
        <v>2679</v>
      </c>
    </row>
    <row r="1487" spans="1:22" ht="14.25" x14ac:dyDescent="0.2">
      <c r="A1487" s="179"/>
      <c r="B1487" s="178"/>
      <c r="C1487" s="178" t="s">
        <v>197</v>
      </c>
      <c r="D1487" s="177"/>
      <c r="E1487" s="174"/>
      <c r="F1487" s="176">
        <v>60.39</v>
      </c>
      <c r="G1487" s="175" t="s">
        <v>2668</v>
      </c>
      <c r="H1487" s="174">
        <v>1</v>
      </c>
      <c r="I1487" s="173">
        <v>10.94</v>
      </c>
      <c r="J1487" s="174">
        <v>23.35</v>
      </c>
      <c r="K1487" s="173">
        <v>255.45</v>
      </c>
    </row>
    <row r="1488" spans="1:22" ht="14.25" x14ac:dyDescent="0.2">
      <c r="A1488" s="179"/>
      <c r="B1488" s="178"/>
      <c r="C1488" s="178" t="s">
        <v>184</v>
      </c>
      <c r="D1488" s="177"/>
      <c r="E1488" s="174"/>
      <c r="F1488" s="176">
        <v>20.05</v>
      </c>
      <c r="G1488" s="175" t="s">
        <v>2669</v>
      </c>
      <c r="H1488" s="174">
        <v>1</v>
      </c>
      <c r="I1488" s="173">
        <v>3.95</v>
      </c>
      <c r="J1488" s="174">
        <v>8.98</v>
      </c>
      <c r="K1488" s="173">
        <v>35.47</v>
      </c>
    </row>
    <row r="1489" spans="1:22" ht="14.25" x14ac:dyDescent="0.2">
      <c r="A1489" s="179"/>
      <c r="B1489" s="178"/>
      <c r="C1489" s="178" t="s">
        <v>189</v>
      </c>
      <c r="D1489" s="177"/>
      <c r="E1489" s="174"/>
      <c r="F1489" s="176">
        <v>4.04</v>
      </c>
      <c r="G1489" s="175" t="s">
        <v>2669</v>
      </c>
      <c r="H1489" s="174">
        <v>1</v>
      </c>
      <c r="I1489" s="180">
        <v>0.8</v>
      </c>
      <c r="J1489" s="174">
        <v>23.35</v>
      </c>
      <c r="K1489" s="180">
        <v>18.68</v>
      </c>
    </row>
    <row r="1490" spans="1:22" ht="14.25" x14ac:dyDescent="0.2">
      <c r="A1490" s="179"/>
      <c r="B1490" s="178"/>
      <c r="C1490" s="178" t="s">
        <v>205</v>
      </c>
      <c r="D1490" s="177"/>
      <c r="E1490" s="174"/>
      <c r="F1490" s="176">
        <v>25.9</v>
      </c>
      <c r="G1490" s="175" t="s">
        <v>195</v>
      </c>
      <c r="H1490" s="174">
        <v>1</v>
      </c>
      <c r="I1490" s="173">
        <v>3.89</v>
      </c>
      <c r="J1490" s="174">
        <v>5.42</v>
      </c>
      <c r="K1490" s="173">
        <v>21.08</v>
      </c>
    </row>
    <row r="1491" spans="1:22" ht="14.25" x14ac:dyDescent="0.2">
      <c r="A1491" s="179"/>
      <c r="B1491" s="178"/>
      <c r="C1491" s="178" t="s">
        <v>194</v>
      </c>
      <c r="D1491" s="177" t="s">
        <v>187</v>
      </c>
      <c r="E1491" s="174">
        <v>110</v>
      </c>
      <c r="F1491" s="176"/>
      <c r="G1491" s="175"/>
      <c r="H1491" s="174"/>
      <c r="I1491" s="173">
        <v>12.03</v>
      </c>
      <c r="J1491" s="174">
        <v>88</v>
      </c>
      <c r="K1491" s="173">
        <v>224.8</v>
      </c>
    </row>
    <row r="1492" spans="1:22" ht="14.25" x14ac:dyDescent="0.2">
      <c r="A1492" s="179"/>
      <c r="B1492" s="178"/>
      <c r="C1492" s="178" t="s">
        <v>193</v>
      </c>
      <c r="D1492" s="177" t="s">
        <v>187</v>
      </c>
      <c r="E1492" s="174">
        <v>74</v>
      </c>
      <c r="F1492" s="176"/>
      <c r="G1492" s="175"/>
      <c r="H1492" s="174"/>
      <c r="I1492" s="173">
        <v>8.1</v>
      </c>
      <c r="J1492" s="174">
        <v>41</v>
      </c>
      <c r="K1492" s="173">
        <v>104.73</v>
      </c>
    </row>
    <row r="1493" spans="1:22" ht="14.25" x14ac:dyDescent="0.2">
      <c r="A1493" s="179"/>
      <c r="B1493" s="178"/>
      <c r="C1493" s="178" t="s">
        <v>188</v>
      </c>
      <c r="D1493" s="177" t="s">
        <v>187</v>
      </c>
      <c r="E1493" s="174">
        <v>175</v>
      </c>
      <c r="F1493" s="176"/>
      <c r="G1493" s="175"/>
      <c r="H1493" s="174"/>
      <c r="I1493" s="173">
        <v>1.4</v>
      </c>
      <c r="J1493" s="174">
        <v>157</v>
      </c>
      <c r="K1493" s="173">
        <v>29.33</v>
      </c>
    </row>
    <row r="1494" spans="1:22" ht="14.25" x14ac:dyDescent="0.2">
      <c r="A1494" s="242"/>
      <c r="B1494" s="241"/>
      <c r="C1494" s="241" t="s">
        <v>192</v>
      </c>
      <c r="D1494" s="240" t="s">
        <v>191</v>
      </c>
      <c r="E1494" s="238">
        <v>5.0199999999999996</v>
      </c>
      <c r="F1494" s="253"/>
      <c r="G1494" s="239" t="s">
        <v>2668</v>
      </c>
      <c r="H1494" s="238">
        <v>1</v>
      </c>
      <c r="I1494" s="237">
        <v>0.91</v>
      </c>
      <c r="J1494" s="238"/>
      <c r="K1494" s="237"/>
    </row>
    <row r="1495" spans="1:22" ht="15" x14ac:dyDescent="0.25">
      <c r="A1495" s="235"/>
      <c r="B1495" s="235"/>
      <c r="C1495" s="236" t="s">
        <v>183</v>
      </c>
      <c r="D1495" s="235"/>
      <c r="E1495" s="235"/>
      <c r="F1495" s="235"/>
      <c r="G1495" s="235"/>
      <c r="H1495" s="436">
        <v>40.31</v>
      </c>
      <c r="I1495" s="436"/>
      <c r="J1495" s="436">
        <v>670.86</v>
      </c>
      <c r="K1495" s="436"/>
      <c r="O1495" s="163">
        <f>I1487+I1488+I1490+I1491+I1492+I1493</f>
        <v>40.31</v>
      </c>
      <c r="P1495" s="163">
        <f>K1487+K1488+K1490+K1491+K1492+K1493</f>
        <v>670.86</v>
      </c>
    </row>
    <row r="1497" spans="1:22" ht="68.25" x14ac:dyDescent="0.2">
      <c r="A1497" s="250" t="s">
        <v>2749</v>
      </c>
      <c r="B1497" s="249" t="s">
        <v>2670</v>
      </c>
      <c r="C1497" s="249" t="s">
        <v>1050</v>
      </c>
      <c r="D1497" s="248" t="s">
        <v>1913</v>
      </c>
      <c r="E1497" s="246">
        <v>1</v>
      </c>
      <c r="F1497" s="254">
        <v>2892.24</v>
      </c>
      <c r="G1497" s="247" t="s">
        <v>195</v>
      </c>
      <c r="H1497" s="246">
        <v>1</v>
      </c>
      <c r="I1497" s="245">
        <v>2892.24</v>
      </c>
      <c r="J1497" s="246">
        <v>4.4000000000000004</v>
      </c>
      <c r="K1497" s="245">
        <v>12725.86</v>
      </c>
      <c r="Q1497" s="160">
        <f>[8]Source!X642</f>
        <v>0</v>
      </c>
      <c r="R1497" s="160">
        <f>[8]Source!X643</f>
        <v>0</v>
      </c>
      <c r="S1497" s="160">
        <f>[8]Source!Y642</f>
        <v>0</v>
      </c>
      <c r="T1497" s="160">
        <f>[8]Source!Y643</f>
        <v>0</v>
      </c>
      <c r="U1497" s="160">
        <f>ROUND((175/100)*ROUND([8]Source!R642, 2), 2)</f>
        <v>0</v>
      </c>
      <c r="V1497" s="160">
        <f>ROUND((157/100)*ROUND([8]Source!R643, 2), 2)</f>
        <v>0</v>
      </c>
    </row>
    <row r="1498" spans="1:22" ht="15" x14ac:dyDescent="0.25">
      <c r="A1498" s="243"/>
      <c r="B1498" s="243"/>
      <c r="C1498" s="244" t="s">
        <v>183</v>
      </c>
      <c r="D1498" s="243"/>
      <c r="E1498" s="243"/>
      <c r="F1498" s="243"/>
      <c r="G1498" s="243"/>
      <c r="H1498" s="437">
        <v>2892.24</v>
      </c>
      <c r="I1498" s="437"/>
      <c r="J1498" s="437">
        <v>12725.86</v>
      </c>
      <c r="K1498" s="437"/>
      <c r="O1498" s="163">
        <f>I1497</f>
        <v>2892.24</v>
      </c>
      <c r="P1498" s="163">
        <f>K1497</f>
        <v>12725.86</v>
      </c>
    </row>
    <row r="1500" spans="1:22" ht="28.5" x14ac:dyDescent="0.2">
      <c r="A1500" s="179" t="s">
        <v>2750</v>
      </c>
      <c r="B1500" s="178" t="s">
        <v>2673</v>
      </c>
      <c r="C1500" s="178" t="s">
        <v>1046</v>
      </c>
      <c r="D1500" s="177" t="s">
        <v>2674</v>
      </c>
      <c r="E1500" s="174">
        <v>1</v>
      </c>
      <c r="F1500" s="176"/>
      <c r="G1500" s="175"/>
      <c r="H1500" s="174"/>
      <c r="I1500" s="173"/>
      <c r="J1500" s="174"/>
      <c r="K1500" s="173"/>
      <c r="Q1500" s="160">
        <f>[8]Source!X645</f>
        <v>83.15</v>
      </c>
      <c r="R1500" s="160">
        <f>[8]Source!X646</f>
        <v>1553.23</v>
      </c>
      <c r="S1500" s="160">
        <f>[8]Source!Y645</f>
        <v>55.94</v>
      </c>
      <c r="T1500" s="160">
        <f>[8]Source!Y646</f>
        <v>723.66</v>
      </c>
      <c r="U1500" s="160">
        <f>ROUND((175/100)*ROUND([8]Source!R645, 2), 2)</f>
        <v>3.38</v>
      </c>
      <c r="V1500" s="160">
        <f>ROUND((157/100)*ROUND([8]Source!R646, 2), 2)</f>
        <v>70.760000000000005</v>
      </c>
    </row>
    <row r="1501" spans="1:22" ht="14.25" x14ac:dyDescent="0.2">
      <c r="A1501" s="179"/>
      <c r="B1501" s="178"/>
      <c r="C1501" s="178" t="s">
        <v>197</v>
      </c>
      <c r="D1501" s="177"/>
      <c r="E1501" s="174"/>
      <c r="F1501" s="176">
        <v>62.6</v>
      </c>
      <c r="G1501" s="175" t="s">
        <v>2668</v>
      </c>
      <c r="H1501" s="174">
        <v>1</v>
      </c>
      <c r="I1501" s="173">
        <v>75.59</v>
      </c>
      <c r="J1501" s="174">
        <v>23.35</v>
      </c>
      <c r="K1501" s="173">
        <v>1765.03</v>
      </c>
    </row>
    <row r="1502" spans="1:22" ht="14.25" x14ac:dyDescent="0.2">
      <c r="A1502" s="179"/>
      <c r="B1502" s="178"/>
      <c r="C1502" s="178" t="s">
        <v>184</v>
      </c>
      <c r="D1502" s="177"/>
      <c r="E1502" s="174"/>
      <c r="F1502" s="176">
        <v>8.82</v>
      </c>
      <c r="G1502" s="175" t="s">
        <v>2669</v>
      </c>
      <c r="H1502" s="174">
        <v>1</v>
      </c>
      <c r="I1502" s="173">
        <v>11.58</v>
      </c>
      <c r="J1502" s="174">
        <v>8.66</v>
      </c>
      <c r="K1502" s="173">
        <v>100.28</v>
      </c>
    </row>
    <row r="1503" spans="1:22" ht="14.25" x14ac:dyDescent="0.2">
      <c r="A1503" s="179"/>
      <c r="B1503" s="178"/>
      <c r="C1503" s="178" t="s">
        <v>189</v>
      </c>
      <c r="D1503" s="177"/>
      <c r="E1503" s="174"/>
      <c r="F1503" s="176">
        <v>1.47</v>
      </c>
      <c r="G1503" s="175" t="s">
        <v>2669</v>
      </c>
      <c r="H1503" s="174">
        <v>1</v>
      </c>
      <c r="I1503" s="180">
        <v>1.93</v>
      </c>
      <c r="J1503" s="174">
        <v>23.35</v>
      </c>
      <c r="K1503" s="180">
        <v>45.07</v>
      </c>
    </row>
    <row r="1504" spans="1:22" ht="14.25" x14ac:dyDescent="0.2">
      <c r="A1504" s="179"/>
      <c r="B1504" s="178"/>
      <c r="C1504" s="178" t="s">
        <v>205</v>
      </c>
      <c r="D1504" s="177"/>
      <c r="E1504" s="174"/>
      <c r="F1504" s="176">
        <v>2.62</v>
      </c>
      <c r="G1504" s="175" t="s">
        <v>195</v>
      </c>
      <c r="H1504" s="174">
        <v>1</v>
      </c>
      <c r="I1504" s="173">
        <v>2.62</v>
      </c>
      <c r="J1504" s="174">
        <v>2.5299999999999998</v>
      </c>
      <c r="K1504" s="173">
        <v>6.63</v>
      </c>
    </row>
    <row r="1505" spans="1:22" ht="14.25" x14ac:dyDescent="0.2">
      <c r="A1505" s="179"/>
      <c r="B1505" s="178"/>
      <c r="C1505" s="178" t="s">
        <v>194</v>
      </c>
      <c r="D1505" s="177" t="s">
        <v>187</v>
      </c>
      <c r="E1505" s="174">
        <v>110</v>
      </c>
      <c r="F1505" s="176"/>
      <c r="G1505" s="175"/>
      <c r="H1505" s="174"/>
      <c r="I1505" s="173">
        <v>83.15</v>
      </c>
      <c r="J1505" s="174">
        <v>88</v>
      </c>
      <c r="K1505" s="173">
        <v>1553.23</v>
      </c>
    </row>
    <row r="1506" spans="1:22" ht="14.25" x14ac:dyDescent="0.2">
      <c r="A1506" s="179"/>
      <c r="B1506" s="178"/>
      <c r="C1506" s="178" t="s">
        <v>193</v>
      </c>
      <c r="D1506" s="177" t="s">
        <v>187</v>
      </c>
      <c r="E1506" s="174">
        <v>74</v>
      </c>
      <c r="F1506" s="176"/>
      <c r="G1506" s="175"/>
      <c r="H1506" s="174"/>
      <c r="I1506" s="173">
        <v>55.94</v>
      </c>
      <c r="J1506" s="174">
        <v>41</v>
      </c>
      <c r="K1506" s="173">
        <v>723.66</v>
      </c>
    </row>
    <row r="1507" spans="1:22" ht="14.25" x14ac:dyDescent="0.2">
      <c r="A1507" s="179"/>
      <c r="B1507" s="178"/>
      <c r="C1507" s="178" t="s">
        <v>188</v>
      </c>
      <c r="D1507" s="177" t="s">
        <v>187</v>
      </c>
      <c r="E1507" s="174">
        <v>175</v>
      </c>
      <c r="F1507" s="176"/>
      <c r="G1507" s="175"/>
      <c r="H1507" s="174"/>
      <c r="I1507" s="173">
        <v>3.38</v>
      </c>
      <c r="J1507" s="174">
        <v>157</v>
      </c>
      <c r="K1507" s="173">
        <v>70.760000000000005</v>
      </c>
    </row>
    <row r="1508" spans="1:22" ht="14.25" x14ac:dyDescent="0.2">
      <c r="A1508" s="242"/>
      <c r="B1508" s="241"/>
      <c r="C1508" s="241" t="s">
        <v>192</v>
      </c>
      <c r="D1508" s="240" t="s">
        <v>191</v>
      </c>
      <c r="E1508" s="238">
        <v>4.96</v>
      </c>
      <c r="F1508" s="253"/>
      <c r="G1508" s="239" t="s">
        <v>2668</v>
      </c>
      <c r="H1508" s="238">
        <v>1</v>
      </c>
      <c r="I1508" s="237">
        <v>5.99</v>
      </c>
      <c r="J1508" s="238"/>
      <c r="K1508" s="237"/>
    </row>
    <row r="1509" spans="1:22" ht="15" x14ac:dyDescent="0.25">
      <c r="A1509" s="235"/>
      <c r="B1509" s="235"/>
      <c r="C1509" s="236" t="s">
        <v>183</v>
      </c>
      <c r="D1509" s="235"/>
      <c r="E1509" s="235"/>
      <c r="F1509" s="235"/>
      <c r="G1509" s="235"/>
      <c r="H1509" s="436">
        <v>232.26</v>
      </c>
      <c r="I1509" s="436"/>
      <c r="J1509" s="436">
        <v>4219.59</v>
      </c>
      <c r="K1509" s="436"/>
      <c r="O1509" s="163">
        <f>I1501+I1502+I1504+I1505+I1506+I1507</f>
        <v>232.26</v>
      </c>
      <c r="P1509" s="163">
        <f>K1501+K1502+K1504+K1505+K1506+K1507</f>
        <v>4219.59</v>
      </c>
    </row>
    <row r="1511" spans="1:22" ht="28.5" x14ac:dyDescent="0.2">
      <c r="A1511" s="179" t="s">
        <v>2751</v>
      </c>
      <c r="B1511" s="178" t="s">
        <v>2675</v>
      </c>
      <c r="C1511" s="178" t="s">
        <v>1026</v>
      </c>
      <c r="D1511" s="177" t="s">
        <v>2676</v>
      </c>
      <c r="E1511" s="174">
        <v>1</v>
      </c>
      <c r="F1511" s="176"/>
      <c r="G1511" s="175"/>
      <c r="H1511" s="174"/>
      <c r="I1511" s="173"/>
      <c r="J1511" s="174"/>
      <c r="K1511" s="173"/>
      <c r="Q1511" s="160">
        <f>[8]Source!X649</f>
        <v>15.88</v>
      </c>
      <c r="R1511" s="160">
        <f>[8]Source!X650</f>
        <v>296.70999999999998</v>
      </c>
      <c r="S1511" s="160">
        <f>[8]Source!Y649</f>
        <v>10.69</v>
      </c>
      <c r="T1511" s="160">
        <f>[8]Source!Y650</f>
        <v>138.24</v>
      </c>
      <c r="U1511" s="160">
        <f>ROUND((175/100)*ROUND([8]Source!R649, 2), 2)</f>
        <v>0.42</v>
      </c>
      <c r="V1511" s="160">
        <f>ROUND((157/100)*ROUND([8]Source!R650, 2), 2)</f>
        <v>8.7899999999999991</v>
      </c>
    </row>
    <row r="1512" spans="1:22" ht="14.25" x14ac:dyDescent="0.2">
      <c r="A1512" s="179"/>
      <c r="B1512" s="178"/>
      <c r="C1512" s="178" t="s">
        <v>197</v>
      </c>
      <c r="D1512" s="177"/>
      <c r="E1512" s="174"/>
      <c r="F1512" s="176">
        <v>11.96</v>
      </c>
      <c r="G1512" s="175" t="s">
        <v>2668</v>
      </c>
      <c r="H1512" s="174">
        <v>1</v>
      </c>
      <c r="I1512" s="173">
        <v>14.44</v>
      </c>
      <c r="J1512" s="174">
        <v>23.35</v>
      </c>
      <c r="K1512" s="173">
        <v>337.17</v>
      </c>
    </row>
    <row r="1513" spans="1:22" ht="14.25" x14ac:dyDescent="0.2">
      <c r="A1513" s="179"/>
      <c r="B1513" s="178"/>
      <c r="C1513" s="178" t="s">
        <v>184</v>
      </c>
      <c r="D1513" s="177"/>
      <c r="E1513" s="174"/>
      <c r="F1513" s="176">
        <v>0.74</v>
      </c>
      <c r="G1513" s="175" t="s">
        <v>2669</v>
      </c>
      <c r="H1513" s="174">
        <v>1</v>
      </c>
      <c r="I1513" s="173">
        <v>0.97</v>
      </c>
      <c r="J1513" s="174">
        <v>9.73</v>
      </c>
      <c r="K1513" s="173">
        <v>9.44</v>
      </c>
    </row>
    <row r="1514" spans="1:22" ht="14.25" x14ac:dyDescent="0.2">
      <c r="A1514" s="179"/>
      <c r="B1514" s="178"/>
      <c r="C1514" s="178" t="s">
        <v>189</v>
      </c>
      <c r="D1514" s="177"/>
      <c r="E1514" s="174"/>
      <c r="F1514" s="176">
        <v>0.18</v>
      </c>
      <c r="G1514" s="175" t="s">
        <v>2669</v>
      </c>
      <c r="H1514" s="174">
        <v>1</v>
      </c>
      <c r="I1514" s="180">
        <v>0.24</v>
      </c>
      <c r="J1514" s="174">
        <v>23.35</v>
      </c>
      <c r="K1514" s="180">
        <v>5.6</v>
      </c>
    </row>
    <row r="1515" spans="1:22" ht="14.25" x14ac:dyDescent="0.2">
      <c r="A1515" s="179"/>
      <c r="B1515" s="178"/>
      <c r="C1515" s="178" t="s">
        <v>205</v>
      </c>
      <c r="D1515" s="177"/>
      <c r="E1515" s="174"/>
      <c r="F1515" s="176">
        <v>4.41</v>
      </c>
      <c r="G1515" s="175" t="s">
        <v>195</v>
      </c>
      <c r="H1515" s="174">
        <v>1</v>
      </c>
      <c r="I1515" s="173">
        <v>4.41</v>
      </c>
      <c r="J1515" s="174">
        <v>5.42</v>
      </c>
      <c r="K1515" s="173">
        <v>23.9</v>
      </c>
    </row>
    <row r="1516" spans="1:22" ht="14.25" x14ac:dyDescent="0.2">
      <c r="A1516" s="179"/>
      <c r="B1516" s="178"/>
      <c r="C1516" s="178" t="s">
        <v>194</v>
      </c>
      <c r="D1516" s="177" t="s">
        <v>187</v>
      </c>
      <c r="E1516" s="174">
        <v>110</v>
      </c>
      <c r="F1516" s="176"/>
      <c r="G1516" s="175"/>
      <c r="H1516" s="174"/>
      <c r="I1516" s="173">
        <v>15.88</v>
      </c>
      <c r="J1516" s="174">
        <v>88</v>
      </c>
      <c r="K1516" s="173">
        <v>296.70999999999998</v>
      </c>
    </row>
    <row r="1517" spans="1:22" ht="14.25" x14ac:dyDescent="0.2">
      <c r="A1517" s="179"/>
      <c r="B1517" s="178"/>
      <c r="C1517" s="178" t="s">
        <v>193</v>
      </c>
      <c r="D1517" s="177" t="s">
        <v>187</v>
      </c>
      <c r="E1517" s="174">
        <v>74</v>
      </c>
      <c r="F1517" s="176"/>
      <c r="G1517" s="175"/>
      <c r="H1517" s="174"/>
      <c r="I1517" s="173">
        <v>10.69</v>
      </c>
      <c r="J1517" s="174">
        <v>41</v>
      </c>
      <c r="K1517" s="173">
        <v>138.24</v>
      </c>
    </row>
    <row r="1518" spans="1:22" ht="14.25" x14ac:dyDescent="0.2">
      <c r="A1518" s="179"/>
      <c r="B1518" s="178"/>
      <c r="C1518" s="178" t="s">
        <v>188</v>
      </c>
      <c r="D1518" s="177" t="s">
        <v>187</v>
      </c>
      <c r="E1518" s="174">
        <v>175</v>
      </c>
      <c r="F1518" s="176"/>
      <c r="G1518" s="175"/>
      <c r="H1518" s="174"/>
      <c r="I1518" s="173">
        <v>0.42</v>
      </c>
      <c r="J1518" s="174">
        <v>157</v>
      </c>
      <c r="K1518" s="173">
        <v>8.7899999999999991</v>
      </c>
    </row>
    <row r="1519" spans="1:22" ht="14.25" x14ac:dyDescent="0.2">
      <c r="A1519" s="242"/>
      <c r="B1519" s="241"/>
      <c r="C1519" s="241" t="s">
        <v>192</v>
      </c>
      <c r="D1519" s="240" t="s">
        <v>191</v>
      </c>
      <c r="E1519" s="238">
        <v>1.03</v>
      </c>
      <c r="F1519" s="253"/>
      <c r="G1519" s="239" t="s">
        <v>2668</v>
      </c>
      <c r="H1519" s="238">
        <v>1</v>
      </c>
      <c r="I1519" s="237">
        <v>1.24</v>
      </c>
      <c r="J1519" s="238"/>
      <c r="K1519" s="237"/>
    </row>
    <row r="1520" spans="1:22" ht="15" x14ac:dyDescent="0.25">
      <c r="A1520" s="235"/>
      <c r="B1520" s="235"/>
      <c r="C1520" s="236" t="s">
        <v>183</v>
      </c>
      <c r="D1520" s="235"/>
      <c r="E1520" s="235"/>
      <c r="F1520" s="235"/>
      <c r="G1520" s="235"/>
      <c r="H1520" s="436">
        <v>46.81</v>
      </c>
      <c r="I1520" s="436"/>
      <c r="J1520" s="436">
        <v>814.25</v>
      </c>
      <c r="K1520" s="436"/>
      <c r="O1520" s="163">
        <f>I1512+I1513+I1515+I1516+I1517+I1518</f>
        <v>46.81</v>
      </c>
      <c r="P1520" s="163">
        <f>K1512+K1513+K1515+K1516+K1517+K1518</f>
        <v>814.25</v>
      </c>
    </row>
    <row r="1522" spans="1:22" ht="28.5" x14ac:dyDescent="0.2">
      <c r="A1522" s="179" t="s">
        <v>2752</v>
      </c>
      <c r="B1522" s="178" t="s">
        <v>2677</v>
      </c>
      <c r="C1522" s="178" t="s">
        <v>1045</v>
      </c>
      <c r="D1522" s="177" t="s">
        <v>2678</v>
      </c>
      <c r="E1522" s="174">
        <v>0.15</v>
      </c>
      <c r="F1522" s="176"/>
      <c r="G1522" s="175"/>
      <c r="H1522" s="174"/>
      <c r="I1522" s="173"/>
      <c r="J1522" s="174"/>
      <c r="K1522" s="173"/>
      <c r="Q1522" s="160">
        <f>[8]Source!X651</f>
        <v>12.03</v>
      </c>
      <c r="R1522" s="160">
        <f>[8]Source!X652</f>
        <v>224.8</v>
      </c>
      <c r="S1522" s="160">
        <f>[8]Source!Y651</f>
        <v>8.1</v>
      </c>
      <c r="T1522" s="160">
        <f>[8]Source!Y652</f>
        <v>104.73</v>
      </c>
      <c r="U1522" s="160">
        <f>ROUND((175/100)*ROUND([8]Source!R651, 2), 2)</f>
        <v>1.4</v>
      </c>
      <c r="V1522" s="160">
        <f>ROUND((157/100)*ROUND([8]Source!R652, 2), 2)</f>
        <v>29.33</v>
      </c>
    </row>
    <row r="1523" spans="1:22" x14ac:dyDescent="0.2">
      <c r="C1523" s="181" t="s">
        <v>2679</v>
      </c>
    </row>
    <row r="1524" spans="1:22" ht="14.25" x14ac:dyDescent="0.2">
      <c r="A1524" s="179"/>
      <c r="B1524" s="178"/>
      <c r="C1524" s="178" t="s">
        <v>197</v>
      </c>
      <c r="D1524" s="177"/>
      <c r="E1524" s="174"/>
      <c r="F1524" s="176">
        <v>60.39</v>
      </c>
      <c r="G1524" s="175" t="s">
        <v>2668</v>
      </c>
      <c r="H1524" s="174">
        <v>1</v>
      </c>
      <c r="I1524" s="173">
        <v>10.94</v>
      </c>
      <c r="J1524" s="174">
        <v>23.35</v>
      </c>
      <c r="K1524" s="173">
        <v>255.45</v>
      </c>
    </row>
    <row r="1525" spans="1:22" ht="14.25" x14ac:dyDescent="0.2">
      <c r="A1525" s="179"/>
      <c r="B1525" s="178"/>
      <c r="C1525" s="178" t="s">
        <v>184</v>
      </c>
      <c r="D1525" s="177"/>
      <c r="E1525" s="174"/>
      <c r="F1525" s="176">
        <v>20.05</v>
      </c>
      <c r="G1525" s="175" t="s">
        <v>2669</v>
      </c>
      <c r="H1525" s="174">
        <v>1</v>
      </c>
      <c r="I1525" s="173">
        <v>3.95</v>
      </c>
      <c r="J1525" s="174">
        <v>8.98</v>
      </c>
      <c r="K1525" s="173">
        <v>35.47</v>
      </c>
    </row>
    <row r="1526" spans="1:22" ht="14.25" x14ac:dyDescent="0.2">
      <c r="A1526" s="179"/>
      <c r="B1526" s="178"/>
      <c r="C1526" s="178" t="s">
        <v>189</v>
      </c>
      <c r="D1526" s="177"/>
      <c r="E1526" s="174"/>
      <c r="F1526" s="176">
        <v>4.04</v>
      </c>
      <c r="G1526" s="175" t="s">
        <v>2669</v>
      </c>
      <c r="H1526" s="174">
        <v>1</v>
      </c>
      <c r="I1526" s="180">
        <v>0.8</v>
      </c>
      <c r="J1526" s="174">
        <v>23.35</v>
      </c>
      <c r="K1526" s="180">
        <v>18.68</v>
      </c>
    </row>
    <row r="1527" spans="1:22" ht="14.25" x14ac:dyDescent="0.2">
      <c r="A1527" s="179"/>
      <c r="B1527" s="178"/>
      <c r="C1527" s="178" t="s">
        <v>205</v>
      </c>
      <c r="D1527" s="177"/>
      <c r="E1527" s="174"/>
      <c r="F1527" s="176">
        <v>25.9</v>
      </c>
      <c r="G1527" s="175" t="s">
        <v>195</v>
      </c>
      <c r="H1527" s="174">
        <v>1</v>
      </c>
      <c r="I1527" s="173">
        <v>3.89</v>
      </c>
      <c r="J1527" s="174">
        <v>5.42</v>
      </c>
      <c r="K1527" s="173">
        <v>21.08</v>
      </c>
    </row>
    <row r="1528" spans="1:22" ht="14.25" x14ac:dyDescent="0.2">
      <c r="A1528" s="179"/>
      <c r="B1528" s="178"/>
      <c r="C1528" s="178" t="s">
        <v>194</v>
      </c>
      <c r="D1528" s="177" t="s">
        <v>187</v>
      </c>
      <c r="E1528" s="174">
        <v>110</v>
      </c>
      <c r="F1528" s="176"/>
      <c r="G1528" s="175"/>
      <c r="H1528" s="174"/>
      <c r="I1528" s="173">
        <v>12.03</v>
      </c>
      <c r="J1528" s="174">
        <v>88</v>
      </c>
      <c r="K1528" s="173">
        <v>224.8</v>
      </c>
    </row>
    <row r="1529" spans="1:22" ht="14.25" x14ac:dyDescent="0.2">
      <c r="A1529" s="179"/>
      <c r="B1529" s="178"/>
      <c r="C1529" s="178" t="s">
        <v>193</v>
      </c>
      <c r="D1529" s="177" t="s">
        <v>187</v>
      </c>
      <c r="E1529" s="174">
        <v>74</v>
      </c>
      <c r="F1529" s="176"/>
      <c r="G1529" s="175"/>
      <c r="H1529" s="174"/>
      <c r="I1529" s="173">
        <v>8.1</v>
      </c>
      <c r="J1529" s="174">
        <v>41</v>
      </c>
      <c r="K1529" s="173">
        <v>104.73</v>
      </c>
    </row>
    <row r="1530" spans="1:22" ht="14.25" x14ac:dyDescent="0.2">
      <c r="A1530" s="179"/>
      <c r="B1530" s="178"/>
      <c r="C1530" s="178" t="s">
        <v>188</v>
      </c>
      <c r="D1530" s="177" t="s">
        <v>187</v>
      </c>
      <c r="E1530" s="174">
        <v>175</v>
      </c>
      <c r="F1530" s="176"/>
      <c r="G1530" s="175"/>
      <c r="H1530" s="174"/>
      <c r="I1530" s="173">
        <v>1.4</v>
      </c>
      <c r="J1530" s="174">
        <v>157</v>
      </c>
      <c r="K1530" s="173">
        <v>29.33</v>
      </c>
    </row>
    <row r="1531" spans="1:22" ht="14.25" x14ac:dyDescent="0.2">
      <c r="A1531" s="242"/>
      <c r="B1531" s="241"/>
      <c r="C1531" s="241" t="s">
        <v>192</v>
      </c>
      <c r="D1531" s="240" t="s">
        <v>191</v>
      </c>
      <c r="E1531" s="238">
        <v>5.0199999999999996</v>
      </c>
      <c r="F1531" s="253"/>
      <c r="G1531" s="239" t="s">
        <v>2668</v>
      </c>
      <c r="H1531" s="238">
        <v>1</v>
      </c>
      <c r="I1531" s="237">
        <v>0.91</v>
      </c>
      <c r="J1531" s="238"/>
      <c r="K1531" s="237"/>
    </row>
    <row r="1532" spans="1:22" ht="15" x14ac:dyDescent="0.25">
      <c r="A1532" s="235"/>
      <c r="B1532" s="235"/>
      <c r="C1532" s="236" t="s">
        <v>183</v>
      </c>
      <c r="D1532" s="235"/>
      <c r="E1532" s="235"/>
      <c r="F1532" s="235"/>
      <c r="G1532" s="235"/>
      <c r="H1532" s="436">
        <v>40.31</v>
      </c>
      <c r="I1532" s="436"/>
      <c r="J1532" s="436">
        <v>670.86</v>
      </c>
      <c r="K1532" s="436"/>
      <c r="O1532" s="163">
        <f>I1524+I1525+I1527+I1528+I1529+I1530</f>
        <v>40.31</v>
      </c>
      <c r="P1532" s="163">
        <f>K1524+K1525+K1527+K1528+K1529+K1530</f>
        <v>670.86</v>
      </c>
    </row>
    <row r="1534" spans="1:22" ht="68.25" x14ac:dyDescent="0.2">
      <c r="A1534" s="250" t="s">
        <v>2753</v>
      </c>
      <c r="B1534" s="249" t="s">
        <v>2670</v>
      </c>
      <c r="C1534" s="249" t="s">
        <v>1049</v>
      </c>
      <c r="D1534" s="248" t="s">
        <v>1913</v>
      </c>
      <c r="E1534" s="246">
        <v>1</v>
      </c>
      <c r="F1534" s="254">
        <v>2892.24</v>
      </c>
      <c r="G1534" s="247" t="s">
        <v>195</v>
      </c>
      <c r="H1534" s="246">
        <v>1</v>
      </c>
      <c r="I1534" s="245">
        <v>2892.24</v>
      </c>
      <c r="J1534" s="246">
        <v>4.4000000000000004</v>
      </c>
      <c r="K1534" s="245">
        <v>12725.86</v>
      </c>
      <c r="Q1534" s="160">
        <f>[8]Source!X655</f>
        <v>0</v>
      </c>
      <c r="R1534" s="160">
        <f>[8]Source!X656</f>
        <v>0</v>
      </c>
      <c r="S1534" s="160">
        <f>[8]Source!Y655</f>
        <v>0</v>
      </c>
      <c r="T1534" s="160">
        <f>[8]Source!Y656</f>
        <v>0</v>
      </c>
      <c r="U1534" s="160">
        <f>ROUND((175/100)*ROUND([8]Source!R655, 2), 2)</f>
        <v>0</v>
      </c>
      <c r="V1534" s="160">
        <f>ROUND((157/100)*ROUND([8]Source!R656, 2), 2)</f>
        <v>0</v>
      </c>
    </row>
    <row r="1535" spans="1:22" ht="15" x14ac:dyDescent="0.25">
      <c r="A1535" s="243"/>
      <c r="B1535" s="243"/>
      <c r="C1535" s="244" t="s">
        <v>183</v>
      </c>
      <c r="D1535" s="243"/>
      <c r="E1535" s="243"/>
      <c r="F1535" s="243"/>
      <c r="G1535" s="243"/>
      <c r="H1535" s="437">
        <v>2892.24</v>
      </c>
      <c r="I1535" s="437"/>
      <c r="J1535" s="437">
        <v>12725.86</v>
      </c>
      <c r="K1535" s="437"/>
      <c r="O1535" s="163">
        <f>I1534</f>
        <v>2892.24</v>
      </c>
      <c r="P1535" s="163">
        <f>K1534</f>
        <v>12725.86</v>
      </c>
    </row>
    <row r="1537" spans="1:22" ht="28.5" x14ac:dyDescent="0.2">
      <c r="A1537" s="179" t="s">
        <v>2754</v>
      </c>
      <c r="B1537" s="178" t="s">
        <v>2673</v>
      </c>
      <c r="C1537" s="178" t="s">
        <v>1046</v>
      </c>
      <c r="D1537" s="177" t="s">
        <v>2674</v>
      </c>
      <c r="E1537" s="174">
        <v>1</v>
      </c>
      <c r="F1537" s="176"/>
      <c r="G1537" s="175"/>
      <c r="H1537" s="174"/>
      <c r="I1537" s="173"/>
      <c r="J1537" s="174"/>
      <c r="K1537" s="173"/>
      <c r="Q1537" s="160">
        <f>[8]Source!X658</f>
        <v>83.15</v>
      </c>
      <c r="R1537" s="160">
        <f>[8]Source!X659</f>
        <v>1553.23</v>
      </c>
      <c r="S1537" s="160">
        <f>[8]Source!Y658</f>
        <v>55.94</v>
      </c>
      <c r="T1537" s="160">
        <f>[8]Source!Y659</f>
        <v>723.66</v>
      </c>
      <c r="U1537" s="160">
        <f>ROUND((175/100)*ROUND([8]Source!R658, 2), 2)</f>
        <v>3.38</v>
      </c>
      <c r="V1537" s="160">
        <f>ROUND((157/100)*ROUND([8]Source!R659, 2), 2)</f>
        <v>70.760000000000005</v>
      </c>
    </row>
    <row r="1538" spans="1:22" ht="14.25" x14ac:dyDescent="0.2">
      <c r="A1538" s="179"/>
      <c r="B1538" s="178"/>
      <c r="C1538" s="178" t="s">
        <v>197</v>
      </c>
      <c r="D1538" s="177"/>
      <c r="E1538" s="174"/>
      <c r="F1538" s="176">
        <v>62.6</v>
      </c>
      <c r="G1538" s="175" t="s">
        <v>2668</v>
      </c>
      <c r="H1538" s="174">
        <v>1</v>
      </c>
      <c r="I1538" s="173">
        <v>75.59</v>
      </c>
      <c r="J1538" s="174">
        <v>23.35</v>
      </c>
      <c r="K1538" s="173">
        <v>1765.03</v>
      </c>
    </row>
    <row r="1539" spans="1:22" ht="14.25" x14ac:dyDescent="0.2">
      <c r="A1539" s="179"/>
      <c r="B1539" s="178"/>
      <c r="C1539" s="178" t="s">
        <v>184</v>
      </c>
      <c r="D1539" s="177"/>
      <c r="E1539" s="174"/>
      <c r="F1539" s="176">
        <v>8.82</v>
      </c>
      <c r="G1539" s="175" t="s">
        <v>2669</v>
      </c>
      <c r="H1539" s="174">
        <v>1</v>
      </c>
      <c r="I1539" s="173">
        <v>11.58</v>
      </c>
      <c r="J1539" s="174">
        <v>8.66</v>
      </c>
      <c r="K1539" s="173">
        <v>100.28</v>
      </c>
    </row>
    <row r="1540" spans="1:22" ht="14.25" x14ac:dyDescent="0.2">
      <c r="A1540" s="179"/>
      <c r="B1540" s="178"/>
      <c r="C1540" s="178" t="s">
        <v>189</v>
      </c>
      <c r="D1540" s="177"/>
      <c r="E1540" s="174"/>
      <c r="F1540" s="176">
        <v>1.47</v>
      </c>
      <c r="G1540" s="175" t="s">
        <v>2669</v>
      </c>
      <c r="H1540" s="174">
        <v>1</v>
      </c>
      <c r="I1540" s="180">
        <v>1.93</v>
      </c>
      <c r="J1540" s="174">
        <v>23.35</v>
      </c>
      <c r="K1540" s="180">
        <v>45.07</v>
      </c>
    </row>
    <row r="1541" spans="1:22" ht="14.25" x14ac:dyDescent="0.2">
      <c r="A1541" s="179"/>
      <c r="B1541" s="178"/>
      <c r="C1541" s="178" t="s">
        <v>205</v>
      </c>
      <c r="D1541" s="177"/>
      <c r="E1541" s="174"/>
      <c r="F1541" s="176">
        <v>2.62</v>
      </c>
      <c r="G1541" s="175" t="s">
        <v>195</v>
      </c>
      <c r="H1541" s="174">
        <v>1</v>
      </c>
      <c r="I1541" s="173">
        <v>2.62</v>
      </c>
      <c r="J1541" s="174">
        <v>2.5299999999999998</v>
      </c>
      <c r="K1541" s="173">
        <v>6.63</v>
      </c>
    </row>
    <row r="1542" spans="1:22" ht="14.25" x14ac:dyDescent="0.2">
      <c r="A1542" s="179"/>
      <c r="B1542" s="178"/>
      <c r="C1542" s="178" t="s">
        <v>194</v>
      </c>
      <c r="D1542" s="177" t="s">
        <v>187</v>
      </c>
      <c r="E1542" s="174">
        <v>110</v>
      </c>
      <c r="F1542" s="176"/>
      <c r="G1542" s="175"/>
      <c r="H1542" s="174"/>
      <c r="I1542" s="173">
        <v>83.15</v>
      </c>
      <c r="J1542" s="174">
        <v>88</v>
      </c>
      <c r="K1542" s="173">
        <v>1553.23</v>
      </c>
    </row>
    <row r="1543" spans="1:22" ht="14.25" x14ac:dyDescent="0.2">
      <c r="A1543" s="179"/>
      <c r="B1543" s="178"/>
      <c r="C1543" s="178" t="s">
        <v>193</v>
      </c>
      <c r="D1543" s="177" t="s">
        <v>187</v>
      </c>
      <c r="E1543" s="174">
        <v>74</v>
      </c>
      <c r="F1543" s="176"/>
      <c r="G1543" s="175"/>
      <c r="H1543" s="174"/>
      <c r="I1543" s="173">
        <v>55.94</v>
      </c>
      <c r="J1543" s="174">
        <v>41</v>
      </c>
      <c r="K1543" s="173">
        <v>723.66</v>
      </c>
    </row>
    <row r="1544" spans="1:22" ht="14.25" x14ac:dyDescent="0.2">
      <c r="A1544" s="179"/>
      <c r="B1544" s="178"/>
      <c r="C1544" s="178" t="s">
        <v>188</v>
      </c>
      <c r="D1544" s="177" t="s">
        <v>187</v>
      </c>
      <c r="E1544" s="174">
        <v>175</v>
      </c>
      <c r="F1544" s="176"/>
      <c r="G1544" s="175"/>
      <c r="H1544" s="174"/>
      <c r="I1544" s="173">
        <v>3.38</v>
      </c>
      <c r="J1544" s="174">
        <v>157</v>
      </c>
      <c r="K1544" s="173">
        <v>70.760000000000005</v>
      </c>
    </row>
    <row r="1545" spans="1:22" ht="14.25" x14ac:dyDescent="0.2">
      <c r="A1545" s="242"/>
      <c r="B1545" s="241"/>
      <c r="C1545" s="241" t="s">
        <v>192</v>
      </c>
      <c r="D1545" s="240" t="s">
        <v>191</v>
      </c>
      <c r="E1545" s="238">
        <v>4.96</v>
      </c>
      <c r="F1545" s="253"/>
      <c r="G1545" s="239" t="s">
        <v>2668</v>
      </c>
      <c r="H1545" s="238">
        <v>1</v>
      </c>
      <c r="I1545" s="237">
        <v>5.99</v>
      </c>
      <c r="J1545" s="238"/>
      <c r="K1545" s="237"/>
    </row>
    <row r="1546" spans="1:22" ht="15" x14ac:dyDescent="0.25">
      <c r="A1546" s="235"/>
      <c r="B1546" s="235"/>
      <c r="C1546" s="236" t="s">
        <v>183</v>
      </c>
      <c r="D1546" s="235"/>
      <c r="E1546" s="235"/>
      <c r="F1546" s="235"/>
      <c r="G1546" s="235"/>
      <c r="H1546" s="436">
        <v>232.26</v>
      </c>
      <c r="I1546" s="436"/>
      <c r="J1546" s="436">
        <v>4219.59</v>
      </c>
      <c r="K1546" s="436"/>
      <c r="O1546" s="163">
        <f>I1538+I1539+I1541+I1542+I1543+I1544</f>
        <v>232.26</v>
      </c>
      <c r="P1546" s="163">
        <f>K1538+K1539+K1541+K1542+K1543+K1544</f>
        <v>4219.59</v>
      </c>
    </row>
    <row r="1548" spans="1:22" ht="28.5" x14ac:dyDescent="0.2">
      <c r="A1548" s="179" t="s">
        <v>2755</v>
      </c>
      <c r="B1548" s="178" t="s">
        <v>2675</v>
      </c>
      <c r="C1548" s="178" t="s">
        <v>1026</v>
      </c>
      <c r="D1548" s="177" t="s">
        <v>2676</v>
      </c>
      <c r="E1548" s="174">
        <v>1</v>
      </c>
      <c r="F1548" s="176"/>
      <c r="G1548" s="175"/>
      <c r="H1548" s="174"/>
      <c r="I1548" s="173"/>
      <c r="J1548" s="174"/>
      <c r="K1548" s="173"/>
      <c r="Q1548" s="160">
        <f>[8]Source!X662</f>
        <v>15.88</v>
      </c>
      <c r="R1548" s="160">
        <f>[8]Source!X663</f>
        <v>296.70999999999998</v>
      </c>
      <c r="S1548" s="160">
        <f>[8]Source!Y662</f>
        <v>10.69</v>
      </c>
      <c r="T1548" s="160">
        <f>[8]Source!Y663</f>
        <v>138.24</v>
      </c>
      <c r="U1548" s="160">
        <f>ROUND((175/100)*ROUND([8]Source!R662, 2), 2)</f>
        <v>0.42</v>
      </c>
      <c r="V1548" s="160">
        <f>ROUND((157/100)*ROUND([8]Source!R663, 2), 2)</f>
        <v>8.7899999999999991</v>
      </c>
    </row>
    <row r="1549" spans="1:22" ht="14.25" x14ac:dyDescent="0.2">
      <c r="A1549" s="179"/>
      <c r="B1549" s="178"/>
      <c r="C1549" s="178" t="s">
        <v>197</v>
      </c>
      <c r="D1549" s="177"/>
      <c r="E1549" s="174"/>
      <c r="F1549" s="176">
        <v>11.96</v>
      </c>
      <c r="G1549" s="175" t="s">
        <v>2668</v>
      </c>
      <c r="H1549" s="174">
        <v>1</v>
      </c>
      <c r="I1549" s="173">
        <v>14.44</v>
      </c>
      <c r="J1549" s="174">
        <v>23.35</v>
      </c>
      <c r="K1549" s="173">
        <v>337.17</v>
      </c>
    </row>
    <row r="1550" spans="1:22" ht="14.25" x14ac:dyDescent="0.2">
      <c r="A1550" s="179"/>
      <c r="B1550" s="178"/>
      <c r="C1550" s="178" t="s">
        <v>184</v>
      </c>
      <c r="D1550" s="177"/>
      <c r="E1550" s="174"/>
      <c r="F1550" s="176">
        <v>0.74</v>
      </c>
      <c r="G1550" s="175" t="s">
        <v>2669</v>
      </c>
      <c r="H1550" s="174">
        <v>1</v>
      </c>
      <c r="I1550" s="173">
        <v>0.97</v>
      </c>
      <c r="J1550" s="174">
        <v>9.73</v>
      </c>
      <c r="K1550" s="173">
        <v>9.44</v>
      </c>
    </row>
    <row r="1551" spans="1:22" ht="14.25" x14ac:dyDescent="0.2">
      <c r="A1551" s="179"/>
      <c r="B1551" s="178"/>
      <c r="C1551" s="178" t="s">
        <v>189</v>
      </c>
      <c r="D1551" s="177"/>
      <c r="E1551" s="174"/>
      <c r="F1551" s="176">
        <v>0.18</v>
      </c>
      <c r="G1551" s="175" t="s">
        <v>2669</v>
      </c>
      <c r="H1551" s="174">
        <v>1</v>
      </c>
      <c r="I1551" s="180">
        <v>0.24</v>
      </c>
      <c r="J1551" s="174">
        <v>23.35</v>
      </c>
      <c r="K1551" s="180">
        <v>5.6</v>
      </c>
    </row>
    <row r="1552" spans="1:22" ht="14.25" x14ac:dyDescent="0.2">
      <c r="A1552" s="179"/>
      <c r="B1552" s="178"/>
      <c r="C1552" s="178" t="s">
        <v>205</v>
      </c>
      <c r="D1552" s="177"/>
      <c r="E1552" s="174"/>
      <c r="F1552" s="176">
        <v>4.41</v>
      </c>
      <c r="G1552" s="175" t="s">
        <v>195</v>
      </c>
      <c r="H1552" s="174">
        <v>1</v>
      </c>
      <c r="I1552" s="173">
        <v>4.41</v>
      </c>
      <c r="J1552" s="174">
        <v>5.42</v>
      </c>
      <c r="K1552" s="173">
        <v>23.9</v>
      </c>
    </row>
    <row r="1553" spans="1:22" ht="14.25" x14ac:dyDescent="0.2">
      <c r="A1553" s="179"/>
      <c r="B1553" s="178"/>
      <c r="C1553" s="178" t="s">
        <v>194</v>
      </c>
      <c r="D1553" s="177" t="s">
        <v>187</v>
      </c>
      <c r="E1553" s="174">
        <v>110</v>
      </c>
      <c r="F1553" s="176"/>
      <c r="G1553" s="175"/>
      <c r="H1553" s="174"/>
      <c r="I1553" s="173">
        <v>15.88</v>
      </c>
      <c r="J1553" s="174">
        <v>88</v>
      </c>
      <c r="K1553" s="173">
        <v>296.70999999999998</v>
      </c>
    </row>
    <row r="1554" spans="1:22" ht="14.25" x14ac:dyDescent="0.2">
      <c r="A1554" s="179"/>
      <c r="B1554" s="178"/>
      <c r="C1554" s="178" t="s">
        <v>193</v>
      </c>
      <c r="D1554" s="177" t="s">
        <v>187</v>
      </c>
      <c r="E1554" s="174">
        <v>74</v>
      </c>
      <c r="F1554" s="176"/>
      <c r="G1554" s="175"/>
      <c r="H1554" s="174"/>
      <c r="I1554" s="173">
        <v>10.69</v>
      </c>
      <c r="J1554" s="174">
        <v>41</v>
      </c>
      <c r="K1554" s="173">
        <v>138.24</v>
      </c>
    </row>
    <row r="1555" spans="1:22" ht="14.25" x14ac:dyDescent="0.2">
      <c r="A1555" s="179"/>
      <c r="B1555" s="178"/>
      <c r="C1555" s="178" t="s">
        <v>188</v>
      </c>
      <c r="D1555" s="177" t="s">
        <v>187</v>
      </c>
      <c r="E1555" s="174">
        <v>175</v>
      </c>
      <c r="F1555" s="176"/>
      <c r="G1555" s="175"/>
      <c r="H1555" s="174"/>
      <c r="I1555" s="173">
        <v>0.42</v>
      </c>
      <c r="J1555" s="174">
        <v>157</v>
      </c>
      <c r="K1555" s="173">
        <v>8.7899999999999991</v>
      </c>
    </row>
    <row r="1556" spans="1:22" ht="14.25" x14ac:dyDescent="0.2">
      <c r="A1556" s="242"/>
      <c r="B1556" s="241"/>
      <c r="C1556" s="241" t="s">
        <v>192</v>
      </c>
      <c r="D1556" s="240" t="s">
        <v>191</v>
      </c>
      <c r="E1556" s="238">
        <v>1.03</v>
      </c>
      <c r="F1556" s="253"/>
      <c r="G1556" s="239" t="s">
        <v>2668</v>
      </c>
      <c r="H1556" s="238">
        <v>1</v>
      </c>
      <c r="I1556" s="237">
        <v>1.24</v>
      </c>
      <c r="J1556" s="238"/>
      <c r="K1556" s="237"/>
    </row>
    <row r="1557" spans="1:22" ht="15" x14ac:dyDescent="0.25">
      <c r="A1557" s="235"/>
      <c r="B1557" s="235"/>
      <c r="C1557" s="236" t="s">
        <v>183</v>
      </c>
      <c r="D1557" s="235"/>
      <c r="E1557" s="235"/>
      <c r="F1557" s="235"/>
      <c r="G1557" s="235"/>
      <c r="H1557" s="436">
        <v>46.81</v>
      </c>
      <c r="I1557" s="436"/>
      <c r="J1557" s="436">
        <v>814.25</v>
      </c>
      <c r="K1557" s="436"/>
      <c r="O1557" s="163">
        <f>I1549+I1550+I1552+I1553+I1554+I1555</f>
        <v>46.81</v>
      </c>
      <c r="P1557" s="163">
        <f>K1549+K1550+K1552+K1553+K1554+K1555</f>
        <v>814.25</v>
      </c>
    </row>
    <row r="1559" spans="1:22" ht="28.5" x14ac:dyDescent="0.2">
      <c r="A1559" s="179" t="s">
        <v>2756</v>
      </c>
      <c r="B1559" s="178" t="s">
        <v>2677</v>
      </c>
      <c r="C1559" s="178" t="s">
        <v>1045</v>
      </c>
      <c r="D1559" s="177" t="s">
        <v>2678</v>
      </c>
      <c r="E1559" s="174">
        <v>0.15</v>
      </c>
      <c r="F1559" s="176"/>
      <c r="G1559" s="175"/>
      <c r="H1559" s="174"/>
      <c r="I1559" s="173"/>
      <c r="J1559" s="174"/>
      <c r="K1559" s="173"/>
      <c r="Q1559" s="160">
        <f>[8]Source!X664</f>
        <v>12.03</v>
      </c>
      <c r="R1559" s="160">
        <f>[8]Source!X665</f>
        <v>224.8</v>
      </c>
      <c r="S1559" s="160">
        <f>[8]Source!Y664</f>
        <v>8.1</v>
      </c>
      <c r="T1559" s="160">
        <f>[8]Source!Y665</f>
        <v>104.73</v>
      </c>
      <c r="U1559" s="160">
        <f>ROUND((175/100)*ROUND([8]Source!R664, 2), 2)</f>
        <v>1.4</v>
      </c>
      <c r="V1559" s="160">
        <f>ROUND((157/100)*ROUND([8]Source!R665, 2), 2)</f>
        <v>29.33</v>
      </c>
    </row>
    <row r="1560" spans="1:22" x14ac:dyDescent="0.2">
      <c r="C1560" s="181" t="s">
        <v>2679</v>
      </c>
    </row>
    <row r="1561" spans="1:22" ht="14.25" x14ac:dyDescent="0.2">
      <c r="A1561" s="179"/>
      <c r="B1561" s="178"/>
      <c r="C1561" s="178" t="s">
        <v>197</v>
      </c>
      <c r="D1561" s="177"/>
      <c r="E1561" s="174"/>
      <c r="F1561" s="176">
        <v>60.39</v>
      </c>
      <c r="G1561" s="175" t="s">
        <v>2668</v>
      </c>
      <c r="H1561" s="174">
        <v>1</v>
      </c>
      <c r="I1561" s="173">
        <v>10.94</v>
      </c>
      <c r="J1561" s="174">
        <v>23.35</v>
      </c>
      <c r="K1561" s="173">
        <v>255.45</v>
      </c>
    </row>
    <row r="1562" spans="1:22" ht="14.25" x14ac:dyDescent="0.2">
      <c r="A1562" s="179"/>
      <c r="B1562" s="178"/>
      <c r="C1562" s="178" t="s">
        <v>184</v>
      </c>
      <c r="D1562" s="177"/>
      <c r="E1562" s="174"/>
      <c r="F1562" s="176">
        <v>20.05</v>
      </c>
      <c r="G1562" s="175" t="s">
        <v>2669</v>
      </c>
      <c r="H1562" s="174">
        <v>1</v>
      </c>
      <c r="I1562" s="173">
        <v>3.95</v>
      </c>
      <c r="J1562" s="174">
        <v>8.98</v>
      </c>
      <c r="K1562" s="173">
        <v>35.47</v>
      </c>
    </row>
    <row r="1563" spans="1:22" ht="14.25" x14ac:dyDescent="0.2">
      <c r="A1563" s="179"/>
      <c r="B1563" s="178"/>
      <c r="C1563" s="178" t="s">
        <v>189</v>
      </c>
      <c r="D1563" s="177"/>
      <c r="E1563" s="174"/>
      <c r="F1563" s="176">
        <v>4.04</v>
      </c>
      <c r="G1563" s="175" t="s">
        <v>2669</v>
      </c>
      <c r="H1563" s="174">
        <v>1</v>
      </c>
      <c r="I1563" s="180">
        <v>0.8</v>
      </c>
      <c r="J1563" s="174">
        <v>23.35</v>
      </c>
      <c r="K1563" s="180">
        <v>18.68</v>
      </c>
    </row>
    <row r="1564" spans="1:22" ht="14.25" x14ac:dyDescent="0.2">
      <c r="A1564" s="179"/>
      <c r="B1564" s="178"/>
      <c r="C1564" s="178" t="s">
        <v>205</v>
      </c>
      <c r="D1564" s="177"/>
      <c r="E1564" s="174"/>
      <c r="F1564" s="176">
        <v>25.9</v>
      </c>
      <c r="G1564" s="175" t="s">
        <v>195</v>
      </c>
      <c r="H1564" s="174">
        <v>1</v>
      </c>
      <c r="I1564" s="173">
        <v>3.89</v>
      </c>
      <c r="J1564" s="174">
        <v>5.42</v>
      </c>
      <c r="K1564" s="173">
        <v>21.08</v>
      </c>
    </row>
    <row r="1565" spans="1:22" ht="14.25" x14ac:dyDescent="0.2">
      <c r="A1565" s="179"/>
      <c r="B1565" s="178"/>
      <c r="C1565" s="178" t="s">
        <v>194</v>
      </c>
      <c r="D1565" s="177" t="s">
        <v>187</v>
      </c>
      <c r="E1565" s="174">
        <v>110</v>
      </c>
      <c r="F1565" s="176"/>
      <c r="G1565" s="175"/>
      <c r="H1565" s="174"/>
      <c r="I1565" s="173">
        <v>12.03</v>
      </c>
      <c r="J1565" s="174">
        <v>88</v>
      </c>
      <c r="K1565" s="173">
        <v>224.8</v>
      </c>
    </row>
    <row r="1566" spans="1:22" ht="14.25" x14ac:dyDescent="0.2">
      <c r="A1566" s="179"/>
      <c r="B1566" s="178"/>
      <c r="C1566" s="178" t="s">
        <v>193</v>
      </c>
      <c r="D1566" s="177" t="s">
        <v>187</v>
      </c>
      <c r="E1566" s="174">
        <v>74</v>
      </c>
      <c r="F1566" s="176"/>
      <c r="G1566" s="175"/>
      <c r="H1566" s="174"/>
      <c r="I1566" s="173">
        <v>8.1</v>
      </c>
      <c r="J1566" s="174">
        <v>41</v>
      </c>
      <c r="K1566" s="173">
        <v>104.73</v>
      </c>
    </row>
    <row r="1567" spans="1:22" ht="14.25" x14ac:dyDescent="0.2">
      <c r="A1567" s="179"/>
      <c r="B1567" s="178"/>
      <c r="C1567" s="178" t="s">
        <v>188</v>
      </c>
      <c r="D1567" s="177" t="s">
        <v>187</v>
      </c>
      <c r="E1567" s="174">
        <v>175</v>
      </c>
      <c r="F1567" s="176"/>
      <c r="G1567" s="175"/>
      <c r="H1567" s="174"/>
      <c r="I1567" s="173">
        <v>1.4</v>
      </c>
      <c r="J1567" s="174">
        <v>157</v>
      </c>
      <c r="K1567" s="173">
        <v>29.33</v>
      </c>
    </row>
    <row r="1568" spans="1:22" ht="14.25" x14ac:dyDescent="0.2">
      <c r="A1568" s="242"/>
      <c r="B1568" s="241"/>
      <c r="C1568" s="241" t="s">
        <v>192</v>
      </c>
      <c r="D1568" s="240" t="s">
        <v>191</v>
      </c>
      <c r="E1568" s="238">
        <v>5.0199999999999996</v>
      </c>
      <c r="F1568" s="253"/>
      <c r="G1568" s="239" t="s">
        <v>2668</v>
      </c>
      <c r="H1568" s="238">
        <v>1</v>
      </c>
      <c r="I1568" s="237">
        <v>0.91</v>
      </c>
      <c r="J1568" s="238"/>
      <c r="K1568" s="237"/>
    </row>
    <row r="1569" spans="1:22" ht="15" x14ac:dyDescent="0.25">
      <c r="A1569" s="235"/>
      <c r="B1569" s="235"/>
      <c r="C1569" s="236" t="s">
        <v>183</v>
      </c>
      <c r="D1569" s="235"/>
      <c r="E1569" s="235"/>
      <c r="F1569" s="235"/>
      <c r="G1569" s="235"/>
      <c r="H1569" s="436">
        <v>40.31</v>
      </c>
      <c r="I1569" s="436"/>
      <c r="J1569" s="436">
        <v>670.86</v>
      </c>
      <c r="K1569" s="436"/>
      <c r="O1569" s="163">
        <f>I1561+I1562+I1564+I1565+I1566+I1567</f>
        <v>40.31</v>
      </c>
      <c r="P1569" s="163">
        <f>K1561+K1562+K1564+K1565+K1566+K1567</f>
        <v>670.86</v>
      </c>
    </row>
    <row r="1571" spans="1:22" ht="68.25" x14ac:dyDescent="0.2">
      <c r="A1571" s="250" t="s">
        <v>2757</v>
      </c>
      <c r="B1571" s="249" t="s">
        <v>2670</v>
      </c>
      <c r="C1571" s="249" t="s">
        <v>1048</v>
      </c>
      <c r="D1571" s="248" t="s">
        <v>1913</v>
      </c>
      <c r="E1571" s="246">
        <v>1</v>
      </c>
      <c r="F1571" s="254">
        <v>2892.24</v>
      </c>
      <c r="G1571" s="247" t="s">
        <v>195</v>
      </c>
      <c r="H1571" s="246">
        <v>1</v>
      </c>
      <c r="I1571" s="245">
        <v>2892.24</v>
      </c>
      <c r="J1571" s="246">
        <v>4.4000000000000004</v>
      </c>
      <c r="K1571" s="245">
        <v>12725.86</v>
      </c>
      <c r="Q1571" s="160">
        <f>[8]Source!X668</f>
        <v>0</v>
      </c>
      <c r="R1571" s="160">
        <f>[8]Source!X669</f>
        <v>0</v>
      </c>
      <c r="S1571" s="160">
        <f>[8]Source!Y668</f>
        <v>0</v>
      </c>
      <c r="T1571" s="160">
        <f>[8]Source!Y669</f>
        <v>0</v>
      </c>
      <c r="U1571" s="160">
        <f>ROUND((175/100)*ROUND([8]Source!R668, 2), 2)</f>
        <v>0</v>
      </c>
      <c r="V1571" s="160">
        <f>ROUND((157/100)*ROUND([8]Source!R669, 2), 2)</f>
        <v>0</v>
      </c>
    </row>
    <row r="1572" spans="1:22" ht="15" x14ac:dyDescent="0.25">
      <c r="A1572" s="243"/>
      <c r="B1572" s="243"/>
      <c r="C1572" s="244" t="s">
        <v>183</v>
      </c>
      <c r="D1572" s="243"/>
      <c r="E1572" s="243"/>
      <c r="F1572" s="243"/>
      <c r="G1572" s="243"/>
      <c r="H1572" s="437">
        <v>2892.24</v>
      </c>
      <c r="I1572" s="437"/>
      <c r="J1572" s="437">
        <v>12725.86</v>
      </c>
      <c r="K1572" s="437"/>
      <c r="O1572" s="163">
        <f>I1571</f>
        <v>2892.24</v>
      </c>
      <c r="P1572" s="163">
        <f>K1571</f>
        <v>12725.86</v>
      </c>
    </row>
    <row r="1574" spans="1:22" ht="28.5" x14ac:dyDescent="0.2">
      <c r="A1574" s="179" t="s">
        <v>2758</v>
      </c>
      <c r="B1574" s="178" t="s">
        <v>2673</v>
      </c>
      <c r="C1574" s="178" t="s">
        <v>1046</v>
      </c>
      <c r="D1574" s="177" t="s">
        <v>2674</v>
      </c>
      <c r="E1574" s="174">
        <v>1</v>
      </c>
      <c r="F1574" s="176"/>
      <c r="G1574" s="175"/>
      <c r="H1574" s="174"/>
      <c r="I1574" s="173"/>
      <c r="J1574" s="174"/>
      <c r="K1574" s="173"/>
      <c r="Q1574" s="160">
        <f>[8]Source!X671</f>
        <v>83.15</v>
      </c>
      <c r="R1574" s="160">
        <f>[8]Source!X672</f>
        <v>1553.23</v>
      </c>
      <c r="S1574" s="160">
        <f>[8]Source!Y671</f>
        <v>55.94</v>
      </c>
      <c r="T1574" s="160">
        <f>[8]Source!Y672</f>
        <v>723.66</v>
      </c>
      <c r="U1574" s="160">
        <f>ROUND((175/100)*ROUND([8]Source!R671, 2), 2)</f>
        <v>3.38</v>
      </c>
      <c r="V1574" s="160">
        <f>ROUND((157/100)*ROUND([8]Source!R672, 2), 2)</f>
        <v>70.760000000000005</v>
      </c>
    </row>
    <row r="1575" spans="1:22" ht="14.25" x14ac:dyDescent="0.2">
      <c r="A1575" s="179"/>
      <c r="B1575" s="178"/>
      <c r="C1575" s="178" t="s">
        <v>197</v>
      </c>
      <c r="D1575" s="177"/>
      <c r="E1575" s="174"/>
      <c r="F1575" s="176">
        <v>62.6</v>
      </c>
      <c r="G1575" s="175" t="s">
        <v>2668</v>
      </c>
      <c r="H1575" s="174">
        <v>1</v>
      </c>
      <c r="I1575" s="173">
        <v>75.59</v>
      </c>
      <c r="J1575" s="174">
        <v>23.35</v>
      </c>
      <c r="K1575" s="173">
        <v>1765.03</v>
      </c>
    </row>
    <row r="1576" spans="1:22" ht="14.25" x14ac:dyDescent="0.2">
      <c r="A1576" s="179"/>
      <c r="B1576" s="178"/>
      <c r="C1576" s="178" t="s">
        <v>184</v>
      </c>
      <c r="D1576" s="177"/>
      <c r="E1576" s="174"/>
      <c r="F1576" s="176">
        <v>8.82</v>
      </c>
      <c r="G1576" s="175" t="s">
        <v>2669</v>
      </c>
      <c r="H1576" s="174">
        <v>1</v>
      </c>
      <c r="I1576" s="173">
        <v>11.58</v>
      </c>
      <c r="J1576" s="174">
        <v>8.66</v>
      </c>
      <c r="K1576" s="173">
        <v>100.28</v>
      </c>
    </row>
    <row r="1577" spans="1:22" ht="14.25" x14ac:dyDescent="0.2">
      <c r="A1577" s="179"/>
      <c r="B1577" s="178"/>
      <c r="C1577" s="178" t="s">
        <v>189</v>
      </c>
      <c r="D1577" s="177"/>
      <c r="E1577" s="174"/>
      <c r="F1577" s="176">
        <v>1.47</v>
      </c>
      <c r="G1577" s="175" t="s">
        <v>2669</v>
      </c>
      <c r="H1577" s="174">
        <v>1</v>
      </c>
      <c r="I1577" s="180">
        <v>1.93</v>
      </c>
      <c r="J1577" s="174">
        <v>23.35</v>
      </c>
      <c r="K1577" s="180">
        <v>45.07</v>
      </c>
    </row>
    <row r="1578" spans="1:22" ht="14.25" x14ac:dyDescent="0.2">
      <c r="A1578" s="179"/>
      <c r="B1578" s="178"/>
      <c r="C1578" s="178" t="s">
        <v>205</v>
      </c>
      <c r="D1578" s="177"/>
      <c r="E1578" s="174"/>
      <c r="F1578" s="176">
        <v>2.62</v>
      </c>
      <c r="G1578" s="175" t="s">
        <v>195</v>
      </c>
      <c r="H1578" s="174">
        <v>1</v>
      </c>
      <c r="I1578" s="173">
        <v>2.62</v>
      </c>
      <c r="J1578" s="174">
        <v>2.5299999999999998</v>
      </c>
      <c r="K1578" s="173">
        <v>6.63</v>
      </c>
    </row>
    <row r="1579" spans="1:22" ht="14.25" x14ac:dyDescent="0.2">
      <c r="A1579" s="179"/>
      <c r="B1579" s="178"/>
      <c r="C1579" s="178" t="s">
        <v>194</v>
      </c>
      <c r="D1579" s="177" t="s">
        <v>187</v>
      </c>
      <c r="E1579" s="174">
        <v>110</v>
      </c>
      <c r="F1579" s="176"/>
      <c r="G1579" s="175"/>
      <c r="H1579" s="174"/>
      <c r="I1579" s="173">
        <v>83.15</v>
      </c>
      <c r="J1579" s="174">
        <v>88</v>
      </c>
      <c r="K1579" s="173">
        <v>1553.23</v>
      </c>
    </row>
    <row r="1580" spans="1:22" ht="14.25" x14ac:dyDescent="0.2">
      <c r="A1580" s="179"/>
      <c r="B1580" s="178"/>
      <c r="C1580" s="178" t="s">
        <v>193</v>
      </c>
      <c r="D1580" s="177" t="s">
        <v>187</v>
      </c>
      <c r="E1580" s="174">
        <v>74</v>
      </c>
      <c r="F1580" s="176"/>
      <c r="G1580" s="175"/>
      <c r="H1580" s="174"/>
      <c r="I1580" s="173">
        <v>55.94</v>
      </c>
      <c r="J1580" s="174">
        <v>41</v>
      </c>
      <c r="K1580" s="173">
        <v>723.66</v>
      </c>
    </row>
    <row r="1581" spans="1:22" ht="14.25" x14ac:dyDescent="0.2">
      <c r="A1581" s="179"/>
      <c r="B1581" s="178"/>
      <c r="C1581" s="178" t="s">
        <v>188</v>
      </c>
      <c r="D1581" s="177" t="s">
        <v>187</v>
      </c>
      <c r="E1581" s="174">
        <v>175</v>
      </c>
      <c r="F1581" s="176"/>
      <c r="G1581" s="175"/>
      <c r="H1581" s="174"/>
      <c r="I1581" s="173">
        <v>3.38</v>
      </c>
      <c r="J1581" s="174">
        <v>157</v>
      </c>
      <c r="K1581" s="173">
        <v>70.760000000000005</v>
      </c>
    </row>
    <row r="1582" spans="1:22" ht="14.25" x14ac:dyDescent="0.2">
      <c r="A1582" s="242"/>
      <c r="B1582" s="241"/>
      <c r="C1582" s="241" t="s">
        <v>192</v>
      </c>
      <c r="D1582" s="240" t="s">
        <v>191</v>
      </c>
      <c r="E1582" s="238">
        <v>4.96</v>
      </c>
      <c r="F1582" s="253"/>
      <c r="G1582" s="239" t="s">
        <v>2668</v>
      </c>
      <c r="H1582" s="238">
        <v>1</v>
      </c>
      <c r="I1582" s="237">
        <v>5.99</v>
      </c>
      <c r="J1582" s="238"/>
      <c r="K1582" s="237"/>
    </row>
    <row r="1583" spans="1:22" ht="15" x14ac:dyDescent="0.25">
      <c r="A1583" s="235"/>
      <c r="B1583" s="235"/>
      <c r="C1583" s="236" t="s">
        <v>183</v>
      </c>
      <c r="D1583" s="235"/>
      <c r="E1583" s="235"/>
      <c r="F1583" s="235"/>
      <c r="G1583" s="235"/>
      <c r="H1583" s="436">
        <v>232.26</v>
      </c>
      <c r="I1583" s="436"/>
      <c r="J1583" s="436">
        <v>4219.59</v>
      </c>
      <c r="K1583" s="436"/>
      <c r="O1583" s="163">
        <f>I1575+I1576+I1578+I1579+I1580+I1581</f>
        <v>232.26</v>
      </c>
      <c r="P1583" s="163">
        <f>K1575+K1576+K1578+K1579+K1580+K1581</f>
        <v>4219.59</v>
      </c>
    </row>
    <row r="1585" spans="1:22" ht="28.5" x14ac:dyDescent="0.2">
      <c r="A1585" s="179" t="s">
        <v>2759</v>
      </c>
      <c r="B1585" s="178" t="s">
        <v>2675</v>
      </c>
      <c r="C1585" s="178" t="s">
        <v>1026</v>
      </c>
      <c r="D1585" s="177" t="s">
        <v>2676</v>
      </c>
      <c r="E1585" s="174">
        <v>1</v>
      </c>
      <c r="F1585" s="176"/>
      <c r="G1585" s="175"/>
      <c r="H1585" s="174"/>
      <c r="I1585" s="173"/>
      <c r="J1585" s="174"/>
      <c r="K1585" s="173"/>
      <c r="Q1585" s="160">
        <f>[8]Source!X675</f>
        <v>15.88</v>
      </c>
      <c r="R1585" s="160">
        <f>[8]Source!X676</f>
        <v>296.70999999999998</v>
      </c>
      <c r="S1585" s="160">
        <f>[8]Source!Y675</f>
        <v>10.69</v>
      </c>
      <c r="T1585" s="160">
        <f>[8]Source!Y676</f>
        <v>138.24</v>
      </c>
      <c r="U1585" s="160">
        <f>ROUND((175/100)*ROUND([8]Source!R675, 2), 2)</f>
        <v>0.42</v>
      </c>
      <c r="V1585" s="160">
        <f>ROUND((157/100)*ROUND([8]Source!R676, 2), 2)</f>
        <v>8.7899999999999991</v>
      </c>
    </row>
    <row r="1586" spans="1:22" ht="14.25" x14ac:dyDescent="0.2">
      <c r="A1586" s="179"/>
      <c r="B1586" s="178"/>
      <c r="C1586" s="178" t="s">
        <v>197</v>
      </c>
      <c r="D1586" s="177"/>
      <c r="E1586" s="174"/>
      <c r="F1586" s="176">
        <v>11.96</v>
      </c>
      <c r="G1586" s="175" t="s">
        <v>2668</v>
      </c>
      <c r="H1586" s="174">
        <v>1</v>
      </c>
      <c r="I1586" s="173">
        <v>14.44</v>
      </c>
      <c r="J1586" s="174">
        <v>23.35</v>
      </c>
      <c r="K1586" s="173">
        <v>337.17</v>
      </c>
    </row>
    <row r="1587" spans="1:22" ht="14.25" x14ac:dyDescent="0.2">
      <c r="A1587" s="179"/>
      <c r="B1587" s="178"/>
      <c r="C1587" s="178" t="s">
        <v>184</v>
      </c>
      <c r="D1587" s="177"/>
      <c r="E1587" s="174"/>
      <c r="F1587" s="176">
        <v>0.74</v>
      </c>
      <c r="G1587" s="175" t="s">
        <v>2669</v>
      </c>
      <c r="H1587" s="174">
        <v>1</v>
      </c>
      <c r="I1587" s="173">
        <v>0.97</v>
      </c>
      <c r="J1587" s="174">
        <v>9.73</v>
      </c>
      <c r="K1587" s="173">
        <v>9.44</v>
      </c>
    </row>
    <row r="1588" spans="1:22" ht="14.25" x14ac:dyDescent="0.2">
      <c r="A1588" s="179"/>
      <c r="B1588" s="178"/>
      <c r="C1588" s="178" t="s">
        <v>189</v>
      </c>
      <c r="D1588" s="177"/>
      <c r="E1588" s="174"/>
      <c r="F1588" s="176">
        <v>0.18</v>
      </c>
      <c r="G1588" s="175" t="s">
        <v>2669</v>
      </c>
      <c r="H1588" s="174">
        <v>1</v>
      </c>
      <c r="I1588" s="180">
        <v>0.24</v>
      </c>
      <c r="J1588" s="174">
        <v>23.35</v>
      </c>
      <c r="K1588" s="180">
        <v>5.6</v>
      </c>
    </row>
    <row r="1589" spans="1:22" ht="14.25" x14ac:dyDescent="0.2">
      <c r="A1589" s="179"/>
      <c r="B1589" s="178"/>
      <c r="C1589" s="178" t="s">
        <v>205</v>
      </c>
      <c r="D1589" s="177"/>
      <c r="E1589" s="174"/>
      <c r="F1589" s="176">
        <v>4.41</v>
      </c>
      <c r="G1589" s="175" t="s">
        <v>195</v>
      </c>
      <c r="H1589" s="174">
        <v>1</v>
      </c>
      <c r="I1589" s="173">
        <v>4.41</v>
      </c>
      <c r="J1589" s="174">
        <v>5.42</v>
      </c>
      <c r="K1589" s="173">
        <v>23.9</v>
      </c>
    </row>
    <row r="1590" spans="1:22" ht="14.25" x14ac:dyDescent="0.2">
      <c r="A1590" s="179"/>
      <c r="B1590" s="178"/>
      <c r="C1590" s="178" t="s">
        <v>194</v>
      </c>
      <c r="D1590" s="177" t="s">
        <v>187</v>
      </c>
      <c r="E1590" s="174">
        <v>110</v>
      </c>
      <c r="F1590" s="176"/>
      <c r="G1590" s="175"/>
      <c r="H1590" s="174"/>
      <c r="I1590" s="173">
        <v>15.88</v>
      </c>
      <c r="J1590" s="174">
        <v>88</v>
      </c>
      <c r="K1590" s="173">
        <v>296.70999999999998</v>
      </c>
    </row>
    <row r="1591" spans="1:22" ht="14.25" x14ac:dyDescent="0.2">
      <c r="A1591" s="179"/>
      <c r="B1591" s="178"/>
      <c r="C1591" s="178" t="s">
        <v>193</v>
      </c>
      <c r="D1591" s="177" t="s">
        <v>187</v>
      </c>
      <c r="E1591" s="174">
        <v>74</v>
      </c>
      <c r="F1591" s="176"/>
      <c r="G1591" s="175"/>
      <c r="H1591" s="174"/>
      <c r="I1591" s="173">
        <v>10.69</v>
      </c>
      <c r="J1591" s="174">
        <v>41</v>
      </c>
      <c r="K1591" s="173">
        <v>138.24</v>
      </c>
    </row>
    <row r="1592" spans="1:22" ht="14.25" x14ac:dyDescent="0.2">
      <c r="A1592" s="179"/>
      <c r="B1592" s="178"/>
      <c r="C1592" s="178" t="s">
        <v>188</v>
      </c>
      <c r="D1592" s="177" t="s">
        <v>187</v>
      </c>
      <c r="E1592" s="174">
        <v>175</v>
      </c>
      <c r="F1592" s="176"/>
      <c r="G1592" s="175"/>
      <c r="H1592" s="174"/>
      <c r="I1592" s="173">
        <v>0.42</v>
      </c>
      <c r="J1592" s="174">
        <v>157</v>
      </c>
      <c r="K1592" s="173">
        <v>8.7899999999999991</v>
      </c>
    </row>
    <row r="1593" spans="1:22" ht="14.25" x14ac:dyDescent="0.2">
      <c r="A1593" s="242"/>
      <c r="B1593" s="241"/>
      <c r="C1593" s="241" t="s">
        <v>192</v>
      </c>
      <c r="D1593" s="240" t="s">
        <v>191</v>
      </c>
      <c r="E1593" s="238">
        <v>1.03</v>
      </c>
      <c r="F1593" s="253"/>
      <c r="G1593" s="239" t="s">
        <v>2668</v>
      </c>
      <c r="H1593" s="238">
        <v>1</v>
      </c>
      <c r="I1593" s="237">
        <v>1.24</v>
      </c>
      <c r="J1593" s="238"/>
      <c r="K1593" s="237"/>
    </row>
    <row r="1594" spans="1:22" ht="15" x14ac:dyDescent="0.25">
      <c r="A1594" s="235"/>
      <c r="B1594" s="235"/>
      <c r="C1594" s="236" t="s">
        <v>183</v>
      </c>
      <c r="D1594" s="235"/>
      <c r="E1594" s="235"/>
      <c r="F1594" s="235"/>
      <c r="G1594" s="235"/>
      <c r="H1594" s="436">
        <v>46.81</v>
      </c>
      <c r="I1594" s="436"/>
      <c r="J1594" s="436">
        <v>814.25</v>
      </c>
      <c r="K1594" s="436"/>
      <c r="O1594" s="163">
        <f>I1586+I1587+I1589+I1590+I1591+I1592</f>
        <v>46.81</v>
      </c>
      <c r="P1594" s="163">
        <f>K1586+K1587+K1589+K1590+K1591+K1592</f>
        <v>814.25</v>
      </c>
    </row>
    <row r="1596" spans="1:22" ht="28.5" x14ac:dyDescent="0.2">
      <c r="A1596" s="179" t="s">
        <v>2760</v>
      </c>
      <c r="B1596" s="178" t="s">
        <v>2677</v>
      </c>
      <c r="C1596" s="178" t="s">
        <v>1045</v>
      </c>
      <c r="D1596" s="177" t="s">
        <v>2678</v>
      </c>
      <c r="E1596" s="174">
        <v>0.15</v>
      </c>
      <c r="F1596" s="176"/>
      <c r="G1596" s="175"/>
      <c r="H1596" s="174"/>
      <c r="I1596" s="173"/>
      <c r="J1596" s="174"/>
      <c r="K1596" s="173"/>
      <c r="Q1596" s="160">
        <f>[8]Source!X677</f>
        <v>12.03</v>
      </c>
      <c r="R1596" s="160">
        <f>[8]Source!X678</f>
        <v>224.8</v>
      </c>
      <c r="S1596" s="160">
        <f>[8]Source!Y677</f>
        <v>8.1</v>
      </c>
      <c r="T1596" s="160">
        <f>[8]Source!Y678</f>
        <v>104.73</v>
      </c>
      <c r="U1596" s="160">
        <f>ROUND((175/100)*ROUND([8]Source!R677, 2), 2)</f>
        <v>1.4</v>
      </c>
      <c r="V1596" s="160">
        <f>ROUND((157/100)*ROUND([8]Source!R678, 2), 2)</f>
        <v>29.33</v>
      </c>
    </row>
    <row r="1597" spans="1:22" x14ac:dyDescent="0.2">
      <c r="C1597" s="181" t="s">
        <v>2679</v>
      </c>
    </row>
    <row r="1598" spans="1:22" ht="14.25" x14ac:dyDescent="0.2">
      <c r="A1598" s="179"/>
      <c r="B1598" s="178"/>
      <c r="C1598" s="178" t="s">
        <v>197</v>
      </c>
      <c r="D1598" s="177"/>
      <c r="E1598" s="174"/>
      <c r="F1598" s="176">
        <v>60.39</v>
      </c>
      <c r="G1598" s="175" t="s">
        <v>2668</v>
      </c>
      <c r="H1598" s="174">
        <v>1</v>
      </c>
      <c r="I1598" s="173">
        <v>10.94</v>
      </c>
      <c r="J1598" s="174">
        <v>23.35</v>
      </c>
      <c r="K1598" s="173">
        <v>255.45</v>
      </c>
    </row>
    <row r="1599" spans="1:22" ht="14.25" x14ac:dyDescent="0.2">
      <c r="A1599" s="179"/>
      <c r="B1599" s="178"/>
      <c r="C1599" s="178" t="s">
        <v>184</v>
      </c>
      <c r="D1599" s="177"/>
      <c r="E1599" s="174"/>
      <c r="F1599" s="176">
        <v>20.05</v>
      </c>
      <c r="G1599" s="175" t="s">
        <v>2669</v>
      </c>
      <c r="H1599" s="174">
        <v>1</v>
      </c>
      <c r="I1599" s="173">
        <v>3.95</v>
      </c>
      <c r="J1599" s="174">
        <v>8.98</v>
      </c>
      <c r="K1599" s="173">
        <v>35.47</v>
      </c>
    </row>
    <row r="1600" spans="1:22" ht="14.25" x14ac:dyDescent="0.2">
      <c r="A1600" s="179"/>
      <c r="B1600" s="178"/>
      <c r="C1600" s="178" t="s">
        <v>189</v>
      </c>
      <c r="D1600" s="177"/>
      <c r="E1600" s="174"/>
      <c r="F1600" s="176">
        <v>4.04</v>
      </c>
      <c r="G1600" s="175" t="s">
        <v>2669</v>
      </c>
      <c r="H1600" s="174">
        <v>1</v>
      </c>
      <c r="I1600" s="180">
        <v>0.8</v>
      </c>
      <c r="J1600" s="174">
        <v>23.35</v>
      </c>
      <c r="K1600" s="180">
        <v>18.68</v>
      </c>
    </row>
    <row r="1601" spans="1:22" ht="14.25" x14ac:dyDescent="0.2">
      <c r="A1601" s="179"/>
      <c r="B1601" s="178"/>
      <c r="C1601" s="178" t="s">
        <v>205</v>
      </c>
      <c r="D1601" s="177"/>
      <c r="E1601" s="174"/>
      <c r="F1601" s="176">
        <v>25.9</v>
      </c>
      <c r="G1601" s="175" t="s">
        <v>195</v>
      </c>
      <c r="H1601" s="174">
        <v>1</v>
      </c>
      <c r="I1601" s="173">
        <v>3.89</v>
      </c>
      <c r="J1601" s="174">
        <v>5.42</v>
      </c>
      <c r="K1601" s="173">
        <v>21.08</v>
      </c>
    </row>
    <row r="1602" spans="1:22" ht="14.25" x14ac:dyDescent="0.2">
      <c r="A1602" s="179"/>
      <c r="B1602" s="178"/>
      <c r="C1602" s="178" t="s">
        <v>194</v>
      </c>
      <c r="D1602" s="177" t="s">
        <v>187</v>
      </c>
      <c r="E1602" s="174">
        <v>110</v>
      </c>
      <c r="F1602" s="176"/>
      <c r="G1602" s="175"/>
      <c r="H1602" s="174"/>
      <c r="I1602" s="173">
        <v>12.03</v>
      </c>
      <c r="J1602" s="174">
        <v>88</v>
      </c>
      <c r="K1602" s="173">
        <v>224.8</v>
      </c>
    </row>
    <row r="1603" spans="1:22" ht="14.25" x14ac:dyDescent="0.2">
      <c r="A1603" s="179"/>
      <c r="B1603" s="178"/>
      <c r="C1603" s="178" t="s">
        <v>193</v>
      </c>
      <c r="D1603" s="177" t="s">
        <v>187</v>
      </c>
      <c r="E1603" s="174">
        <v>74</v>
      </c>
      <c r="F1603" s="176"/>
      <c r="G1603" s="175"/>
      <c r="H1603" s="174"/>
      <c r="I1603" s="173">
        <v>8.1</v>
      </c>
      <c r="J1603" s="174">
        <v>41</v>
      </c>
      <c r="K1603" s="173">
        <v>104.73</v>
      </c>
    </row>
    <row r="1604" spans="1:22" ht="14.25" x14ac:dyDescent="0.2">
      <c r="A1604" s="179"/>
      <c r="B1604" s="178"/>
      <c r="C1604" s="178" t="s">
        <v>188</v>
      </c>
      <c r="D1604" s="177" t="s">
        <v>187</v>
      </c>
      <c r="E1604" s="174">
        <v>175</v>
      </c>
      <c r="F1604" s="176"/>
      <c r="G1604" s="175"/>
      <c r="H1604" s="174"/>
      <c r="I1604" s="173">
        <v>1.4</v>
      </c>
      <c r="J1604" s="174">
        <v>157</v>
      </c>
      <c r="K1604" s="173">
        <v>29.33</v>
      </c>
    </row>
    <row r="1605" spans="1:22" ht="14.25" x14ac:dyDescent="0.2">
      <c r="A1605" s="242"/>
      <c r="B1605" s="241"/>
      <c r="C1605" s="241" t="s">
        <v>192</v>
      </c>
      <c r="D1605" s="240" t="s">
        <v>191</v>
      </c>
      <c r="E1605" s="238">
        <v>5.0199999999999996</v>
      </c>
      <c r="F1605" s="253"/>
      <c r="G1605" s="239" t="s">
        <v>2668</v>
      </c>
      <c r="H1605" s="238">
        <v>1</v>
      </c>
      <c r="I1605" s="237">
        <v>0.91</v>
      </c>
      <c r="J1605" s="238"/>
      <c r="K1605" s="237"/>
    </row>
    <row r="1606" spans="1:22" ht="15" x14ac:dyDescent="0.25">
      <c r="A1606" s="235"/>
      <c r="B1606" s="235"/>
      <c r="C1606" s="236" t="s">
        <v>183</v>
      </c>
      <c r="D1606" s="235"/>
      <c r="E1606" s="235"/>
      <c r="F1606" s="235"/>
      <c r="G1606" s="235"/>
      <c r="H1606" s="436">
        <v>40.31</v>
      </c>
      <c r="I1606" s="436"/>
      <c r="J1606" s="436">
        <v>670.86</v>
      </c>
      <c r="K1606" s="436"/>
      <c r="O1606" s="163">
        <f>I1598+I1599+I1601+I1602+I1603+I1604</f>
        <v>40.31</v>
      </c>
      <c r="P1606" s="163">
        <f>K1598+K1599+K1601+K1602+K1603+K1604</f>
        <v>670.86</v>
      </c>
    </row>
    <row r="1608" spans="1:22" ht="68.25" x14ac:dyDescent="0.2">
      <c r="A1608" s="250" t="s">
        <v>2761</v>
      </c>
      <c r="B1608" s="249" t="s">
        <v>2670</v>
      </c>
      <c r="C1608" s="249" t="s">
        <v>1047</v>
      </c>
      <c r="D1608" s="248" t="s">
        <v>1913</v>
      </c>
      <c r="E1608" s="246">
        <v>1</v>
      </c>
      <c r="F1608" s="254">
        <v>2892.24</v>
      </c>
      <c r="G1608" s="247" t="s">
        <v>195</v>
      </c>
      <c r="H1608" s="246">
        <v>1</v>
      </c>
      <c r="I1608" s="245">
        <v>2892.24</v>
      </c>
      <c r="J1608" s="246">
        <v>4.4000000000000004</v>
      </c>
      <c r="K1608" s="245">
        <v>12725.86</v>
      </c>
      <c r="Q1608" s="160">
        <f>[8]Source!X683</f>
        <v>0</v>
      </c>
      <c r="R1608" s="160">
        <f>[8]Source!X684</f>
        <v>0</v>
      </c>
      <c r="S1608" s="160">
        <f>[8]Source!Y683</f>
        <v>0</v>
      </c>
      <c r="T1608" s="160">
        <f>[8]Source!Y684</f>
        <v>0</v>
      </c>
      <c r="U1608" s="160">
        <f>ROUND((175/100)*ROUND([8]Source!R683, 2), 2)</f>
        <v>0</v>
      </c>
      <c r="V1608" s="160">
        <f>ROUND((157/100)*ROUND([8]Source!R684, 2), 2)</f>
        <v>0</v>
      </c>
    </row>
    <row r="1609" spans="1:22" ht="15" x14ac:dyDescent="0.25">
      <c r="A1609" s="243"/>
      <c r="B1609" s="243"/>
      <c r="C1609" s="244" t="s">
        <v>183</v>
      </c>
      <c r="D1609" s="243"/>
      <c r="E1609" s="243"/>
      <c r="F1609" s="243"/>
      <c r="G1609" s="243"/>
      <c r="H1609" s="437">
        <v>2892.24</v>
      </c>
      <c r="I1609" s="437"/>
      <c r="J1609" s="437">
        <v>12725.86</v>
      </c>
      <c r="K1609" s="437"/>
      <c r="O1609" s="163">
        <f>I1608</f>
        <v>2892.24</v>
      </c>
      <c r="P1609" s="163">
        <f>K1608</f>
        <v>12725.86</v>
      </c>
    </row>
    <row r="1611" spans="1:22" ht="28.5" x14ac:dyDescent="0.2">
      <c r="A1611" s="179" t="s">
        <v>2762</v>
      </c>
      <c r="B1611" s="178" t="s">
        <v>2673</v>
      </c>
      <c r="C1611" s="178" t="s">
        <v>1046</v>
      </c>
      <c r="D1611" s="177" t="s">
        <v>2674</v>
      </c>
      <c r="E1611" s="174">
        <v>1</v>
      </c>
      <c r="F1611" s="176"/>
      <c r="G1611" s="175"/>
      <c r="H1611" s="174"/>
      <c r="I1611" s="173"/>
      <c r="J1611" s="174"/>
      <c r="K1611" s="173"/>
      <c r="Q1611" s="160">
        <f>[8]Source!X686</f>
        <v>83.15</v>
      </c>
      <c r="R1611" s="160">
        <f>[8]Source!X687</f>
        <v>1553.23</v>
      </c>
      <c r="S1611" s="160">
        <f>[8]Source!Y686</f>
        <v>55.94</v>
      </c>
      <c r="T1611" s="160">
        <f>[8]Source!Y687</f>
        <v>723.66</v>
      </c>
      <c r="U1611" s="160">
        <f>ROUND((175/100)*ROUND([8]Source!R686, 2), 2)</f>
        <v>3.38</v>
      </c>
      <c r="V1611" s="160">
        <f>ROUND((157/100)*ROUND([8]Source!R687, 2), 2)</f>
        <v>70.760000000000005</v>
      </c>
    </row>
    <row r="1612" spans="1:22" ht="14.25" x14ac:dyDescent="0.2">
      <c r="A1612" s="179"/>
      <c r="B1612" s="178"/>
      <c r="C1612" s="178" t="s">
        <v>197</v>
      </c>
      <c r="D1612" s="177"/>
      <c r="E1612" s="174"/>
      <c r="F1612" s="176">
        <v>62.6</v>
      </c>
      <c r="G1612" s="175" t="s">
        <v>2668</v>
      </c>
      <c r="H1612" s="174">
        <v>1</v>
      </c>
      <c r="I1612" s="173">
        <v>75.59</v>
      </c>
      <c r="J1612" s="174">
        <v>23.35</v>
      </c>
      <c r="K1612" s="173">
        <v>1765.03</v>
      </c>
    </row>
    <row r="1613" spans="1:22" ht="14.25" x14ac:dyDescent="0.2">
      <c r="A1613" s="179"/>
      <c r="B1613" s="178"/>
      <c r="C1613" s="178" t="s">
        <v>184</v>
      </c>
      <c r="D1613" s="177"/>
      <c r="E1613" s="174"/>
      <c r="F1613" s="176">
        <v>8.82</v>
      </c>
      <c r="G1613" s="175" t="s">
        <v>2669</v>
      </c>
      <c r="H1613" s="174">
        <v>1</v>
      </c>
      <c r="I1613" s="173">
        <v>11.58</v>
      </c>
      <c r="J1613" s="174">
        <v>8.66</v>
      </c>
      <c r="K1613" s="173">
        <v>100.28</v>
      </c>
    </row>
    <row r="1614" spans="1:22" ht="14.25" x14ac:dyDescent="0.2">
      <c r="A1614" s="179"/>
      <c r="B1614" s="178"/>
      <c r="C1614" s="178" t="s">
        <v>189</v>
      </c>
      <c r="D1614" s="177"/>
      <c r="E1614" s="174"/>
      <c r="F1614" s="176">
        <v>1.47</v>
      </c>
      <c r="G1614" s="175" t="s">
        <v>2669</v>
      </c>
      <c r="H1614" s="174">
        <v>1</v>
      </c>
      <c r="I1614" s="180">
        <v>1.93</v>
      </c>
      <c r="J1614" s="174">
        <v>23.35</v>
      </c>
      <c r="K1614" s="180">
        <v>45.07</v>
      </c>
    </row>
    <row r="1615" spans="1:22" ht="14.25" x14ac:dyDescent="0.2">
      <c r="A1615" s="179"/>
      <c r="B1615" s="178"/>
      <c r="C1615" s="178" t="s">
        <v>205</v>
      </c>
      <c r="D1615" s="177"/>
      <c r="E1615" s="174"/>
      <c r="F1615" s="176">
        <v>2.62</v>
      </c>
      <c r="G1615" s="175" t="s">
        <v>195</v>
      </c>
      <c r="H1615" s="174">
        <v>1</v>
      </c>
      <c r="I1615" s="173">
        <v>2.62</v>
      </c>
      <c r="J1615" s="174">
        <v>2.5299999999999998</v>
      </c>
      <c r="K1615" s="173">
        <v>6.63</v>
      </c>
    </row>
    <row r="1616" spans="1:22" ht="14.25" x14ac:dyDescent="0.2">
      <c r="A1616" s="179"/>
      <c r="B1616" s="178"/>
      <c r="C1616" s="178" t="s">
        <v>194</v>
      </c>
      <c r="D1616" s="177" t="s">
        <v>187</v>
      </c>
      <c r="E1616" s="174">
        <v>110</v>
      </c>
      <c r="F1616" s="176"/>
      <c r="G1616" s="175"/>
      <c r="H1616" s="174"/>
      <c r="I1616" s="173">
        <v>83.15</v>
      </c>
      <c r="J1616" s="174">
        <v>88</v>
      </c>
      <c r="K1616" s="173">
        <v>1553.23</v>
      </c>
    </row>
    <row r="1617" spans="1:22" ht="14.25" x14ac:dyDescent="0.2">
      <c r="A1617" s="179"/>
      <c r="B1617" s="178"/>
      <c r="C1617" s="178" t="s">
        <v>193</v>
      </c>
      <c r="D1617" s="177" t="s">
        <v>187</v>
      </c>
      <c r="E1617" s="174">
        <v>74</v>
      </c>
      <c r="F1617" s="176"/>
      <c r="G1617" s="175"/>
      <c r="H1617" s="174"/>
      <c r="I1617" s="173">
        <v>55.94</v>
      </c>
      <c r="J1617" s="174">
        <v>41</v>
      </c>
      <c r="K1617" s="173">
        <v>723.66</v>
      </c>
    </row>
    <row r="1618" spans="1:22" ht="14.25" x14ac:dyDescent="0.2">
      <c r="A1618" s="179"/>
      <c r="B1618" s="178"/>
      <c r="C1618" s="178" t="s">
        <v>188</v>
      </c>
      <c r="D1618" s="177" t="s">
        <v>187</v>
      </c>
      <c r="E1618" s="174">
        <v>175</v>
      </c>
      <c r="F1618" s="176"/>
      <c r="G1618" s="175"/>
      <c r="H1618" s="174"/>
      <c r="I1618" s="173">
        <v>3.38</v>
      </c>
      <c r="J1618" s="174">
        <v>157</v>
      </c>
      <c r="K1618" s="173">
        <v>70.760000000000005</v>
      </c>
    </row>
    <row r="1619" spans="1:22" ht="14.25" x14ac:dyDescent="0.2">
      <c r="A1619" s="242"/>
      <c r="B1619" s="241"/>
      <c r="C1619" s="241" t="s">
        <v>192</v>
      </c>
      <c r="D1619" s="240" t="s">
        <v>191</v>
      </c>
      <c r="E1619" s="238">
        <v>4.96</v>
      </c>
      <c r="F1619" s="253"/>
      <c r="G1619" s="239" t="s">
        <v>2668</v>
      </c>
      <c r="H1619" s="238">
        <v>1</v>
      </c>
      <c r="I1619" s="237">
        <v>5.99</v>
      </c>
      <c r="J1619" s="238"/>
      <c r="K1619" s="237"/>
    </row>
    <row r="1620" spans="1:22" ht="15" x14ac:dyDescent="0.25">
      <c r="A1620" s="235"/>
      <c r="B1620" s="235"/>
      <c r="C1620" s="236" t="s">
        <v>183</v>
      </c>
      <c r="D1620" s="235"/>
      <c r="E1620" s="235"/>
      <c r="F1620" s="235"/>
      <c r="G1620" s="235"/>
      <c r="H1620" s="436">
        <v>232.26</v>
      </c>
      <c r="I1620" s="436"/>
      <c r="J1620" s="436">
        <v>4219.59</v>
      </c>
      <c r="K1620" s="436"/>
      <c r="O1620" s="163">
        <f>I1612+I1613+I1615+I1616+I1617+I1618</f>
        <v>232.26</v>
      </c>
      <c r="P1620" s="163">
        <f>K1612+K1613+K1615+K1616+K1617+K1618</f>
        <v>4219.59</v>
      </c>
    </row>
    <row r="1622" spans="1:22" ht="28.5" x14ac:dyDescent="0.2">
      <c r="A1622" s="179" t="s">
        <v>2763</v>
      </c>
      <c r="B1622" s="178" t="s">
        <v>2675</v>
      </c>
      <c r="C1622" s="178" t="s">
        <v>1026</v>
      </c>
      <c r="D1622" s="177" t="s">
        <v>2676</v>
      </c>
      <c r="E1622" s="174">
        <v>1</v>
      </c>
      <c r="F1622" s="176"/>
      <c r="G1622" s="175"/>
      <c r="H1622" s="174"/>
      <c r="I1622" s="173"/>
      <c r="J1622" s="174"/>
      <c r="K1622" s="173"/>
      <c r="Q1622" s="160">
        <f>[8]Source!X690</f>
        <v>15.88</v>
      </c>
      <c r="R1622" s="160">
        <f>[8]Source!X691</f>
        <v>296.70999999999998</v>
      </c>
      <c r="S1622" s="160">
        <f>[8]Source!Y690</f>
        <v>10.69</v>
      </c>
      <c r="T1622" s="160">
        <f>[8]Source!Y691</f>
        <v>138.24</v>
      </c>
      <c r="U1622" s="160">
        <f>ROUND((175/100)*ROUND([8]Source!R690, 2), 2)</f>
        <v>0.42</v>
      </c>
      <c r="V1622" s="160">
        <f>ROUND((157/100)*ROUND([8]Source!R691, 2), 2)</f>
        <v>8.7899999999999991</v>
      </c>
    </row>
    <row r="1623" spans="1:22" ht="14.25" x14ac:dyDescent="0.2">
      <c r="A1623" s="179"/>
      <c r="B1623" s="178"/>
      <c r="C1623" s="178" t="s">
        <v>197</v>
      </c>
      <c r="D1623" s="177"/>
      <c r="E1623" s="174"/>
      <c r="F1623" s="176">
        <v>11.96</v>
      </c>
      <c r="G1623" s="175" t="s">
        <v>2668</v>
      </c>
      <c r="H1623" s="174">
        <v>1</v>
      </c>
      <c r="I1623" s="173">
        <v>14.44</v>
      </c>
      <c r="J1623" s="174">
        <v>23.35</v>
      </c>
      <c r="K1623" s="173">
        <v>337.17</v>
      </c>
    </row>
    <row r="1624" spans="1:22" ht="14.25" x14ac:dyDescent="0.2">
      <c r="A1624" s="179"/>
      <c r="B1624" s="178"/>
      <c r="C1624" s="178" t="s">
        <v>184</v>
      </c>
      <c r="D1624" s="177"/>
      <c r="E1624" s="174"/>
      <c r="F1624" s="176">
        <v>0.74</v>
      </c>
      <c r="G1624" s="175" t="s">
        <v>2669</v>
      </c>
      <c r="H1624" s="174">
        <v>1</v>
      </c>
      <c r="I1624" s="173">
        <v>0.97</v>
      </c>
      <c r="J1624" s="174">
        <v>9.73</v>
      </c>
      <c r="K1624" s="173">
        <v>9.44</v>
      </c>
    </row>
    <row r="1625" spans="1:22" ht="14.25" x14ac:dyDescent="0.2">
      <c r="A1625" s="179"/>
      <c r="B1625" s="178"/>
      <c r="C1625" s="178" t="s">
        <v>189</v>
      </c>
      <c r="D1625" s="177"/>
      <c r="E1625" s="174"/>
      <c r="F1625" s="176">
        <v>0.18</v>
      </c>
      <c r="G1625" s="175" t="s">
        <v>2669</v>
      </c>
      <c r="H1625" s="174">
        <v>1</v>
      </c>
      <c r="I1625" s="180">
        <v>0.24</v>
      </c>
      <c r="J1625" s="174">
        <v>23.35</v>
      </c>
      <c r="K1625" s="180">
        <v>5.6</v>
      </c>
    </row>
    <row r="1626" spans="1:22" ht="14.25" x14ac:dyDescent="0.2">
      <c r="A1626" s="179"/>
      <c r="B1626" s="178"/>
      <c r="C1626" s="178" t="s">
        <v>205</v>
      </c>
      <c r="D1626" s="177"/>
      <c r="E1626" s="174"/>
      <c r="F1626" s="176">
        <v>4.41</v>
      </c>
      <c r="G1626" s="175" t="s">
        <v>195</v>
      </c>
      <c r="H1626" s="174">
        <v>1</v>
      </c>
      <c r="I1626" s="173">
        <v>4.41</v>
      </c>
      <c r="J1626" s="174">
        <v>5.42</v>
      </c>
      <c r="K1626" s="173">
        <v>23.9</v>
      </c>
    </row>
    <row r="1627" spans="1:22" ht="14.25" x14ac:dyDescent="0.2">
      <c r="A1627" s="179"/>
      <c r="B1627" s="178"/>
      <c r="C1627" s="178" t="s">
        <v>194</v>
      </c>
      <c r="D1627" s="177" t="s">
        <v>187</v>
      </c>
      <c r="E1627" s="174">
        <v>110</v>
      </c>
      <c r="F1627" s="176"/>
      <c r="G1627" s="175"/>
      <c r="H1627" s="174"/>
      <c r="I1627" s="173">
        <v>15.88</v>
      </c>
      <c r="J1627" s="174">
        <v>88</v>
      </c>
      <c r="K1627" s="173">
        <v>296.70999999999998</v>
      </c>
    </row>
    <row r="1628" spans="1:22" ht="14.25" x14ac:dyDescent="0.2">
      <c r="A1628" s="179"/>
      <c r="B1628" s="178"/>
      <c r="C1628" s="178" t="s">
        <v>193</v>
      </c>
      <c r="D1628" s="177" t="s">
        <v>187</v>
      </c>
      <c r="E1628" s="174">
        <v>74</v>
      </c>
      <c r="F1628" s="176"/>
      <c r="G1628" s="175"/>
      <c r="H1628" s="174"/>
      <c r="I1628" s="173">
        <v>10.69</v>
      </c>
      <c r="J1628" s="174">
        <v>41</v>
      </c>
      <c r="K1628" s="173">
        <v>138.24</v>
      </c>
    </row>
    <row r="1629" spans="1:22" ht="14.25" x14ac:dyDescent="0.2">
      <c r="A1629" s="179"/>
      <c r="B1629" s="178"/>
      <c r="C1629" s="178" t="s">
        <v>188</v>
      </c>
      <c r="D1629" s="177" t="s">
        <v>187</v>
      </c>
      <c r="E1629" s="174">
        <v>175</v>
      </c>
      <c r="F1629" s="176"/>
      <c r="G1629" s="175"/>
      <c r="H1629" s="174"/>
      <c r="I1629" s="173">
        <v>0.42</v>
      </c>
      <c r="J1629" s="174">
        <v>157</v>
      </c>
      <c r="K1629" s="173">
        <v>8.7899999999999991</v>
      </c>
    </row>
    <row r="1630" spans="1:22" ht="14.25" x14ac:dyDescent="0.2">
      <c r="A1630" s="242"/>
      <c r="B1630" s="241"/>
      <c r="C1630" s="241" t="s">
        <v>192</v>
      </c>
      <c r="D1630" s="240" t="s">
        <v>191</v>
      </c>
      <c r="E1630" s="238">
        <v>1.03</v>
      </c>
      <c r="F1630" s="253"/>
      <c r="G1630" s="239" t="s">
        <v>2668</v>
      </c>
      <c r="H1630" s="238">
        <v>1</v>
      </c>
      <c r="I1630" s="237">
        <v>1.24</v>
      </c>
      <c r="J1630" s="238"/>
      <c r="K1630" s="237"/>
    </row>
    <row r="1631" spans="1:22" ht="15" x14ac:dyDescent="0.25">
      <c r="A1631" s="235"/>
      <c r="B1631" s="235"/>
      <c r="C1631" s="236" t="s">
        <v>183</v>
      </c>
      <c r="D1631" s="235"/>
      <c r="E1631" s="235"/>
      <c r="F1631" s="235"/>
      <c r="G1631" s="235"/>
      <c r="H1631" s="436">
        <v>46.81</v>
      </c>
      <c r="I1631" s="436"/>
      <c r="J1631" s="436">
        <v>814.25</v>
      </c>
      <c r="K1631" s="436"/>
      <c r="O1631" s="163">
        <f>I1623+I1624+I1626+I1627+I1628+I1629</f>
        <v>46.81</v>
      </c>
      <c r="P1631" s="163">
        <f>K1623+K1624+K1626+K1627+K1628+K1629</f>
        <v>814.25</v>
      </c>
    </row>
    <row r="1633" spans="1:22" ht="28.5" x14ac:dyDescent="0.2">
      <c r="A1633" s="179" t="s">
        <v>2764</v>
      </c>
      <c r="B1633" s="178" t="s">
        <v>2677</v>
      </c>
      <c r="C1633" s="178" t="s">
        <v>1045</v>
      </c>
      <c r="D1633" s="177" t="s">
        <v>2678</v>
      </c>
      <c r="E1633" s="174">
        <v>0.15</v>
      </c>
      <c r="F1633" s="176"/>
      <c r="G1633" s="175"/>
      <c r="H1633" s="174"/>
      <c r="I1633" s="173"/>
      <c r="J1633" s="174"/>
      <c r="K1633" s="173"/>
      <c r="Q1633" s="160">
        <f>[8]Source!X692</f>
        <v>12.03</v>
      </c>
      <c r="R1633" s="160">
        <f>[8]Source!X693</f>
        <v>224.8</v>
      </c>
      <c r="S1633" s="160">
        <f>[8]Source!Y692</f>
        <v>8.1</v>
      </c>
      <c r="T1633" s="160">
        <f>[8]Source!Y693</f>
        <v>104.73</v>
      </c>
      <c r="U1633" s="160">
        <f>ROUND((175/100)*ROUND([8]Source!R692, 2), 2)</f>
        <v>1.4</v>
      </c>
      <c r="V1633" s="160">
        <f>ROUND((157/100)*ROUND([8]Source!R693, 2), 2)</f>
        <v>29.33</v>
      </c>
    </row>
    <row r="1634" spans="1:22" x14ac:dyDescent="0.2">
      <c r="C1634" s="181" t="s">
        <v>2679</v>
      </c>
    </row>
    <row r="1635" spans="1:22" ht="14.25" x14ac:dyDescent="0.2">
      <c r="A1635" s="179"/>
      <c r="B1635" s="178"/>
      <c r="C1635" s="178" t="s">
        <v>197</v>
      </c>
      <c r="D1635" s="177"/>
      <c r="E1635" s="174"/>
      <c r="F1635" s="176">
        <v>60.39</v>
      </c>
      <c r="G1635" s="175" t="s">
        <v>2668</v>
      </c>
      <c r="H1635" s="174">
        <v>1</v>
      </c>
      <c r="I1635" s="173">
        <v>10.94</v>
      </c>
      <c r="J1635" s="174">
        <v>23.35</v>
      </c>
      <c r="K1635" s="173">
        <v>255.45</v>
      </c>
    </row>
    <row r="1636" spans="1:22" ht="14.25" x14ac:dyDescent="0.2">
      <c r="A1636" s="179"/>
      <c r="B1636" s="178"/>
      <c r="C1636" s="178" t="s">
        <v>184</v>
      </c>
      <c r="D1636" s="177"/>
      <c r="E1636" s="174"/>
      <c r="F1636" s="176">
        <v>20.05</v>
      </c>
      <c r="G1636" s="175" t="s">
        <v>2669</v>
      </c>
      <c r="H1636" s="174">
        <v>1</v>
      </c>
      <c r="I1636" s="173">
        <v>3.95</v>
      </c>
      <c r="J1636" s="174">
        <v>8.98</v>
      </c>
      <c r="K1636" s="173">
        <v>35.47</v>
      </c>
    </row>
    <row r="1637" spans="1:22" ht="14.25" x14ac:dyDescent="0.2">
      <c r="A1637" s="179"/>
      <c r="B1637" s="178"/>
      <c r="C1637" s="178" t="s">
        <v>189</v>
      </c>
      <c r="D1637" s="177"/>
      <c r="E1637" s="174"/>
      <c r="F1637" s="176">
        <v>4.04</v>
      </c>
      <c r="G1637" s="175" t="s">
        <v>2669</v>
      </c>
      <c r="H1637" s="174">
        <v>1</v>
      </c>
      <c r="I1637" s="180">
        <v>0.8</v>
      </c>
      <c r="J1637" s="174">
        <v>23.35</v>
      </c>
      <c r="K1637" s="180">
        <v>18.68</v>
      </c>
    </row>
    <row r="1638" spans="1:22" ht="14.25" x14ac:dyDescent="0.2">
      <c r="A1638" s="179"/>
      <c r="B1638" s="178"/>
      <c r="C1638" s="178" t="s">
        <v>205</v>
      </c>
      <c r="D1638" s="177"/>
      <c r="E1638" s="174"/>
      <c r="F1638" s="176">
        <v>25.9</v>
      </c>
      <c r="G1638" s="175" t="s">
        <v>195</v>
      </c>
      <c r="H1638" s="174">
        <v>1</v>
      </c>
      <c r="I1638" s="173">
        <v>3.89</v>
      </c>
      <c r="J1638" s="174">
        <v>5.42</v>
      </c>
      <c r="K1638" s="173">
        <v>21.08</v>
      </c>
    </row>
    <row r="1639" spans="1:22" ht="14.25" x14ac:dyDescent="0.2">
      <c r="A1639" s="179"/>
      <c r="B1639" s="178"/>
      <c r="C1639" s="178" t="s">
        <v>194</v>
      </c>
      <c r="D1639" s="177" t="s">
        <v>187</v>
      </c>
      <c r="E1639" s="174">
        <v>110</v>
      </c>
      <c r="F1639" s="176"/>
      <c r="G1639" s="175"/>
      <c r="H1639" s="174"/>
      <c r="I1639" s="173">
        <v>12.03</v>
      </c>
      <c r="J1639" s="174">
        <v>88</v>
      </c>
      <c r="K1639" s="173">
        <v>224.8</v>
      </c>
    </row>
    <row r="1640" spans="1:22" ht="14.25" x14ac:dyDescent="0.2">
      <c r="A1640" s="179"/>
      <c r="B1640" s="178"/>
      <c r="C1640" s="178" t="s">
        <v>193</v>
      </c>
      <c r="D1640" s="177" t="s">
        <v>187</v>
      </c>
      <c r="E1640" s="174">
        <v>74</v>
      </c>
      <c r="F1640" s="176"/>
      <c r="G1640" s="175"/>
      <c r="H1640" s="174"/>
      <c r="I1640" s="173">
        <v>8.1</v>
      </c>
      <c r="J1640" s="174">
        <v>41</v>
      </c>
      <c r="K1640" s="173">
        <v>104.73</v>
      </c>
    </row>
    <row r="1641" spans="1:22" ht="14.25" x14ac:dyDescent="0.2">
      <c r="A1641" s="179"/>
      <c r="B1641" s="178"/>
      <c r="C1641" s="178" t="s">
        <v>188</v>
      </c>
      <c r="D1641" s="177" t="s">
        <v>187</v>
      </c>
      <c r="E1641" s="174">
        <v>175</v>
      </c>
      <c r="F1641" s="176"/>
      <c r="G1641" s="175"/>
      <c r="H1641" s="174"/>
      <c r="I1641" s="173">
        <v>1.4</v>
      </c>
      <c r="J1641" s="174">
        <v>157</v>
      </c>
      <c r="K1641" s="173">
        <v>29.33</v>
      </c>
    </row>
    <row r="1642" spans="1:22" ht="14.25" x14ac:dyDescent="0.2">
      <c r="A1642" s="242"/>
      <c r="B1642" s="241"/>
      <c r="C1642" s="241" t="s">
        <v>192</v>
      </c>
      <c r="D1642" s="240" t="s">
        <v>191</v>
      </c>
      <c r="E1642" s="238">
        <v>5.0199999999999996</v>
      </c>
      <c r="F1642" s="253"/>
      <c r="G1642" s="239" t="s">
        <v>2668</v>
      </c>
      <c r="H1642" s="238">
        <v>1</v>
      </c>
      <c r="I1642" s="237">
        <v>0.91</v>
      </c>
      <c r="J1642" s="238"/>
      <c r="K1642" s="237"/>
    </row>
    <row r="1643" spans="1:22" ht="15" x14ac:dyDescent="0.25">
      <c r="A1643" s="235"/>
      <c r="B1643" s="235"/>
      <c r="C1643" s="236" t="s">
        <v>183</v>
      </c>
      <c r="D1643" s="235"/>
      <c r="E1643" s="235"/>
      <c r="F1643" s="235"/>
      <c r="G1643" s="235"/>
      <c r="H1643" s="436">
        <v>40.31</v>
      </c>
      <c r="I1643" s="436"/>
      <c r="J1643" s="436">
        <v>670.86</v>
      </c>
      <c r="K1643" s="436"/>
      <c r="O1643" s="163">
        <f>I1635+I1636+I1638+I1639+I1640+I1641</f>
        <v>40.31</v>
      </c>
      <c r="P1643" s="163">
        <f>K1635+K1636+K1638+K1639+K1640+K1641</f>
        <v>670.86</v>
      </c>
    </row>
    <row r="1645" spans="1:22" ht="68.25" x14ac:dyDescent="0.2">
      <c r="A1645" s="250" t="s">
        <v>2765</v>
      </c>
      <c r="B1645" s="249" t="s">
        <v>2670</v>
      </c>
      <c r="C1645" s="249" t="s">
        <v>1044</v>
      </c>
      <c r="D1645" s="248" t="s">
        <v>1913</v>
      </c>
      <c r="E1645" s="246">
        <v>1</v>
      </c>
      <c r="F1645" s="254">
        <v>3870.69</v>
      </c>
      <c r="G1645" s="247" t="s">
        <v>195</v>
      </c>
      <c r="H1645" s="246">
        <v>1</v>
      </c>
      <c r="I1645" s="245">
        <v>3870.69</v>
      </c>
      <c r="J1645" s="246">
        <v>4.4000000000000004</v>
      </c>
      <c r="K1645" s="245">
        <v>17031.04</v>
      </c>
      <c r="Q1645" s="160">
        <f>[8]Source!X696</f>
        <v>0</v>
      </c>
      <c r="R1645" s="160">
        <f>[8]Source!X697</f>
        <v>0</v>
      </c>
      <c r="S1645" s="160">
        <f>[8]Source!Y696</f>
        <v>0</v>
      </c>
      <c r="T1645" s="160">
        <f>[8]Source!Y697</f>
        <v>0</v>
      </c>
      <c r="U1645" s="160">
        <f>ROUND((175/100)*ROUND([8]Source!R696, 2), 2)</f>
        <v>0</v>
      </c>
      <c r="V1645" s="160">
        <f>ROUND((157/100)*ROUND([8]Source!R697, 2), 2)</f>
        <v>0</v>
      </c>
    </row>
    <row r="1646" spans="1:22" ht="15" x14ac:dyDescent="0.25">
      <c r="A1646" s="243"/>
      <c r="B1646" s="243"/>
      <c r="C1646" s="244" t="s">
        <v>183</v>
      </c>
      <c r="D1646" s="243"/>
      <c r="E1646" s="243"/>
      <c r="F1646" s="243"/>
      <c r="G1646" s="243"/>
      <c r="H1646" s="437">
        <v>3870.69</v>
      </c>
      <c r="I1646" s="437"/>
      <c r="J1646" s="437">
        <v>17031.04</v>
      </c>
      <c r="K1646" s="437"/>
      <c r="O1646" s="163">
        <f>I1645</f>
        <v>3870.69</v>
      </c>
      <c r="P1646" s="163">
        <f>K1645</f>
        <v>17031.04</v>
      </c>
    </row>
    <row r="1648" spans="1:22" ht="57" x14ac:dyDescent="0.2">
      <c r="A1648" s="179" t="s">
        <v>2766</v>
      </c>
      <c r="B1648" s="178" t="s">
        <v>2666</v>
      </c>
      <c r="C1648" s="178" t="s">
        <v>1043</v>
      </c>
      <c r="D1648" s="177" t="s">
        <v>2667</v>
      </c>
      <c r="E1648" s="174">
        <v>1</v>
      </c>
      <c r="F1648" s="176"/>
      <c r="G1648" s="175"/>
      <c r="H1648" s="174"/>
      <c r="I1648" s="173"/>
      <c r="J1648" s="174"/>
      <c r="K1648" s="173"/>
      <c r="Q1648" s="160">
        <f>[8]Source!X699</f>
        <v>530.64</v>
      </c>
      <c r="R1648" s="160">
        <f>[8]Source!X700</f>
        <v>9912.36</v>
      </c>
      <c r="S1648" s="160">
        <f>[8]Source!Y699</f>
        <v>356.98</v>
      </c>
      <c r="T1648" s="160">
        <f>[8]Source!Y700</f>
        <v>4618.26</v>
      </c>
      <c r="U1648" s="160">
        <f>ROUND((175/100)*ROUND([8]Source!R699, 2), 2)</f>
        <v>14.63</v>
      </c>
      <c r="V1648" s="160">
        <f>ROUND((157/100)*ROUND([8]Source!R700, 2), 2)</f>
        <v>306.48</v>
      </c>
    </row>
    <row r="1649" spans="1:22" ht="14.25" x14ac:dyDescent="0.2">
      <c r="A1649" s="179"/>
      <c r="B1649" s="178"/>
      <c r="C1649" s="178" t="s">
        <v>197</v>
      </c>
      <c r="D1649" s="177"/>
      <c r="E1649" s="174"/>
      <c r="F1649" s="176">
        <v>482.4</v>
      </c>
      <c r="G1649" s="175" t="s">
        <v>195</v>
      </c>
      <c r="H1649" s="174">
        <v>1</v>
      </c>
      <c r="I1649" s="173">
        <v>482.4</v>
      </c>
      <c r="J1649" s="174">
        <v>23.35</v>
      </c>
      <c r="K1649" s="173">
        <v>11264.04</v>
      </c>
    </row>
    <row r="1650" spans="1:22" ht="14.25" x14ac:dyDescent="0.2">
      <c r="A1650" s="179"/>
      <c r="B1650" s="178"/>
      <c r="C1650" s="178" t="s">
        <v>184</v>
      </c>
      <c r="D1650" s="177"/>
      <c r="E1650" s="174"/>
      <c r="F1650" s="176">
        <v>70.25</v>
      </c>
      <c r="G1650" s="175" t="s">
        <v>195</v>
      </c>
      <c r="H1650" s="174">
        <v>1</v>
      </c>
      <c r="I1650" s="173">
        <v>70.25</v>
      </c>
      <c r="J1650" s="174">
        <v>8.66</v>
      </c>
      <c r="K1650" s="173">
        <v>608.37</v>
      </c>
    </row>
    <row r="1651" spans="1:22" ht="14.25" x14ac:dyDescent="0.2">
      <c r="A1651" s="179"/>
      <c r="B1651" s="178"/>
      <c r="C1651" s="178" t="s">
        <v>189</v>
      </c>
      <c r="D1651" s="177"/>
      <c r="E1651" s="174"/>
      <c r="F1651" s="176">
        <v>8.36</v>
      </c>
      <c r="G1651" s="175" t="s">
        <v>195</v>
      </c>
      <c r="H1651" s="174">
        <v>1</v>
      </c>
      <c r="I1651" s="180">
        <v>8.36</v>
      </c>
      <c r="J1651" s="174">
        <v>23.35</v>
      </c>
      <c r="K1651" s="180">
        <v>195.21</v>
      </c>
    </row>
    <row r="1652" spans="1:22" ht="14.25" x14ac:dyDescent="0.2">
      <c r="A1652" s="179"/>
      <c r="B1652" s="178"/>
      <c r="C1652" s="178" t="s">
        <v>205</v>
      </c>
      <c r="D1652" s="177"/>
      <c r="E1652" s="174"/>
      <c r="F1652" s="176">
        <v>223.58</v>
      </c>
      <c r="G1652" s="175" t="s">
        <v>195</v>
      </c>
      <c r="H1652" s="174">
        <v>1</v>
      </c>
      <c r="I1652" s="173">
        <v>223.58</v>
      </c>
      <c r="J1652" s="174">
        <v>2.5299999999999998</v>
      </c>
      <c r="K1652" s="173">
        <v>565.66</v>
      </c>
    </row>
    <row r="1653" spans="1:22" ht="14.25" x14ac:dyDescent="0.2">
      <c r="A1653" s="179"/>
      <c r="B1653" s="178"/>
      <c r="C1653" s="178" t="s">
        <v>194</v>
      </c>
      <c r="D1653" s="177" t="s">
        <v>187</v>
      </c>
      <c r="E1653" s="174">
        <v>110</v>
      </c>
      <c r="F1653" s="176"/>
      <c r="G1653" s="175"/>
      <c r="H1653" s="174"/>
      <c r="I1653" s="173">
        <v>530.64</v>
      </c>
      <c r="J1653" s="174">
        <v>88</v>
      </c>
      <c r="K1653" s="173">
        <v>9912.36</v>
      </c>
    </row>
    <row r="1654" spans="1:22" ht="14.25" x14ac:dyDescent="0.2">
      <c r="A1654" s="179"/>
      <c r="B1654" s="178"/>
      <c r="C1654" s="178" t="s">
        <v>193</v>
      </c>
      <c r="D1654" s="177" t="s">
        <v>187</v>
      </c>
      <c r="E1654" s="174">
        <v>74</v>
      </c>
      <c r="F1654" s="176"/>
      <c r="G1654" s="175"/>
      <c r="H1654" s="174"/>
      <c r="I1654" s="173">
        <v>356.98</v>
      </c>
      <c r="J1654" s="174">
        <v>41</v>
      </c>
      <c r="K1654" s="173">
        <v>4618.26</v>
      </c>
    </row>
    <row r="1655" spans="1:22" ht="14.25" x14ac:dyDescent="0.2">
      <c r="A1655" s="179"/>
      <c r="B1655" s="178"/>
      <c r="C1655" s="178" t="s">
        <v>188</v>
      </c>
      <c r="D1655" s="177" t="s">
        <v>187</v>
      </c>
      <c r="E1655" s="174">
        <v>175</v>
      </c>
      <c r="F1655" s="176"/>
      <c r="G1655" s="175"/>
      <c r="H1655" s="174"/>
      <c r="I1655" s="173">
        <v>14.63</v>
      </c>
      <c r="J1655" s="174">
        <v>157</v>
      </c>
      <c r="K1655" s="173">
        <v>306.48</v>
      </c>
    </row>
    <row r="1656" spans="1:22" ht="14.25" x14ac:dyDescent="0.2">
      <c r="A1656" s="242"/>
      <c r="B1656" s="241"/>
      <c r="C1656" s="241" t="s">
        <v>192</v>
      </c>
      <c r="D1656" s="240" t="s">
        <v>191</v>
      </c>
      <c r="E1656" s="238">
        <v>40.1</v>
      </c>
      <c r="F1656" s="253"/>
      <c r="G1656" s="239" t="s">
        <v>195</v>
      </c>
      <c r="H1656" s="238">
        <v>1</v>
      </c>
      <c r="I1656" s="237">
        <v>40.1</v>
      </c>
      <c r="J1656" s="238"/>
      <c r="K1656" s="237"/>
    </row>
    <row r="1657" spans="1:22" ht="15" x14ac:dyDescent="0.25">
      <c r="A1657" s="235"/>
      <c r="B1657" s="235"/>
      <c r="C1657" s="236" t="s">
        <v>183</v>
      </c>
      <c r="D1657" s="235"/>
      <c r="E1657" s="235"/>
      <c r="F1657" s="235"/>
      <c r="G1657" s="235"/>
      <c r="H1657" s="436">
        <v>1678.48</v>
      </c>
      <c r="I1657" s="436"/>
      <c r="J1657" s="436">
        <v>27275.17</v>
      </c>
      <c r="K1657" s="436"/>
      <c r="O1657" s="163">
        <f>I1649+I1650+I1652+I1653+I1654+I1655</f>
        <v>1678.48</v>
      </c>
      <c r="P1657" s="163">
        <f>K1649+K1650+K1652+K1653+K1654+K1655</f>
        <v>27275.17</v>
      </c>
    </row>
    <row r="1659" spans="1:22" ht="81" x14ac:dyDescent="0.2">
      <c r="A1659" s="250" t="s">
        <v>2767</v>
      </c>
      <c r="B1659" s="249" t="s">
        <v>2670</v>
      </c>
      <c r="C1659" s="249" t="s">
        <v>1042</v>
      </c>
      <c r="D1659" s="248" t="s">
        <v>1913</v>
      </c>
      <c r="E1659" s="246">
        <v>1</v>
      </c>
      <c r="F1659" s="254">
        <v>45966.49</v>
      </c>
      <c r="G1659" s="247" t="s">
        <v>195</v>
      </c>
      <c r="H1659" s="246">
        <v>1</v>
      </c>
      <c r="I1659" s="245">
        <v>45966.49</v>
      </c>
      <c r="J1659" s="246">
        <v>4.4000000000000004</v>
      </c>
      <c r="K1659" s="245">
        <v>202252.56</v>
      </c>
      <c r="Q1659" s="160">
        <f>[8]Source!X701</f>
        <v>0</v>
      </c>
      <c r="R1659" s="160">
        <f>[8]Source!X702</f>
        <v>0</v>
      </c>
      <c r="S1659" s="160">
        <f>[8]Source!Y701</f>
        <v>0</v>
      </c>
      <c r="T1659" s="160">
        <f>[8]Source!Y702</f>
        <v>0</v>
      </c>
      <c r="U1659" s="160">
        <f>ROUND((175/100)*ROUND([8]Source!R701, 2), 2)</f>
        <v>0</v>
      </c>
      <c r="V1659" s="160">
        <f>ROUND((157/100)*ROUND([8]Source!R702, 2), 2)</f>
        <v>0</v>
      </c>
    </row>
    <row r="1660" spans="1:22" ht="15" x14ac:dyDescent="0.25">
      <c r="A1660" s="243"/>
      <c r="B1660" s="243"/>
      <c r="C1660" s="244" t="s">
        <v>183</v>
      </c>
      <c r="D1660" s="243"/>
      <c r="E1660" s="243"/>
      <c r="F1660" s="243"/>
      <c r="G1660" s="243"/>
      <c r="H1660" s="437">
        <v>45966.49</v>
      </c>
      <c r="I1660" s="437"/>
      <c r="J1660" s="437">
        <v>202252.56</v>
      </c>
      <c r="K1660" s="437"/>
      <c r="O1660" s="163">
        <f>I1659</f>
        <v>45966.49</v>
      </c>
      <c r="P1660" s="163">
        <f>K1659</f>
        <v>202252.56</v>
      </c>
    </row>
    <row r="1663" spans="1:22" ht="15" x14ac:dyDescent="0.25">
      <c r="A1663" s="417" t="s">
        <v>2768</v>
      </c>
      <c r="B1663" s="417"/>
      <c r="C1663" s="417"/>
      <c r="D1663" s="417"/>
      <c r="E1663" s="417"/>
      <c r="F1663" s="417"/>
      <c r="G1663" s="417"/>
      <c r="H1663" s="415">
        <v>205918.22</v>
      </c>
      <c r="I1663" s="416"/>
      <c r="J1663" s="415">
        <v>1074507.53</v>
      </c>
      <c r="K1663" s="416"/>
    </row>
    <row r="1664" spans="1:22" hidden="1" x14ac:dyDescent="0.2">
      <c r="A1664" s="160" t="s">
        <v>182</v>
      </c>
      <c r="I1664" s="160">
        <v>0</v>
      </c>
      <c r="J1664" s="160">
        <v>0</v>
      </c>
    </row>
    <row r="1665" spans="1:22" hidden="1" x14ac:dyDescent="0.2">
      <c r="A1665" s="160" t="s">
        <v>181</v>
      </c>
      <c r="I1665" s="160">
        <v>0</v>
      </c>
      <c r="J1665" s="160">
        <v>0</v>
      </c>
    </row>
    <row r="1667" spans="1:22" ht="15" x14ac:dyDescent="0.25">
      <c r="A1667" s="417" t="s">
        <v>2769</v>
      </c>
      <c r="B1667" s="417"/>
      <c r="C1667" s="417"/>
      <c r="D1667" s="417"/>
      <c r="E1667" s="417"/>
      <c r="F1667" s="417"/>
      <c r="G1667" s="417"/>
      <c r="H1667" s="415">
        <v>834740.16</v>
      </c>
      <c r="I1667" s="416"/>
      <c r="J1667" s="415">
        <v>3989198.13</v>
      </c>
      <c r="K1667" s="416"/>
    </row>
    <row r="1668" spans="1:22" hidden="1" x14ac:dyDescent="0.2">
      <c r="A1668" s="160" t="s">
        <v>182</v>
      </c>
      <c r="I1668" s="160">
        <v>0</v>
      </c>
      <c r="J1668" s="160">
        <v>0</v>
      </c>
    </row>
    <row r="1669" spans="1:22" hidden="1" x14ac:dyDescent="0.2">
      <c r="A1669" s="160" t="s">
        <v>181</v>
      </c>
      <c r="I1669" s="160">
        <v>0</v>
      </c>
      <c r="J1669" s="160">
        <v>0</v>
      </c>
    </row>
    <row r="1671" spans="1:22" ht="16.5" x14ac:dyDescent="0.25">
      <c r="A1671" s="413" t="s">
        <v>2770</v>
      </c>
      <c r="B1671" s="413"/>
      <c r="C1671" s="413"/>
      <c r="D1671" s="413"/>
      <c r="E1671" s="413"/>
      <c r="F1671" s="413"/>
      <c r="G1671" s="413"/>
      <c r="H1671" s="413"/>
      <c r="I1671" s="413"/>
      <c r="J1671" s="413"/>
      <c r="K1671" s="413"/>
    </row>
    <row r="1672" spans="1:22" ht="42.75" x14ac:dyDescent="0.2">
      <c r="A1672" s="179" t="s">
        <v>2771</v>
      </c>
      <c r="B1672" s="178" t="s">
        <v>2772</v>
      </c>
      <c r="C1672" s="178" t="s">
        <v>1041</v>
      </c>
      <c r="D1672" s="177" t="s">
        <v>2773</v>
      </c>
      <c r="E1672" s="174">
        <v>3.4609000000000001</v>
      </c>
      <c r="F1672" s="176"/>
      <c r="G1672" s="175"/>
      <c r="H1672" s="174"/>
      <c r="I1672" s="173"/>
      <c r="J1672" s="174"/>
      <c r="K1672" s="173"/>
      <c r="Q1672" s="160">
        <f>[8]Source!X768</f>
        <v>8013.75</v>
      </c>
      <c r="R1672" s="160">
        <f>[8]Source!X769</f>
        <v>149696.91</v>
      </c>
      <c r="S1672" s="160">
        <f>[8]Source!Y768</f>
        <v>5391.07</v>
      </c>
      <c r="T1672" s="160">
        <f>[8]Source!Y769</f>
        <v>69745.149999999994</v>
      </c>
      <c r="U1672" s="160">
        <f>ROUND((175/100)*ROUND([8]Source!R768, 2), 2)</f>
        <v>155.65</v>
      </c>
      <c r="V1672" s="160">
        <f>ROUND((157/100)*ROUND([8]Source!R769, 2), 2)</f>
        <v>3260.5</v>
      </c>
    </row>
    <row r="1673" spans="1:22" ht="25.5" x14ac:dyDescent="0.2">
      <c r="C1673" s="181" t="s">
        <v>2774</v>
      </c>
    </row>
    <row r="1674" spans="1:22" ht="14.25" x14ac:dyDescent="0.2">
      <c r="A1674" s="179"/>
      <c r="B1674" s="178"/>
      <c r="C1674" s="178" t="s">
        <v>197</v>
      </c>
      <c r="D1674" s="177"/>
      <c r="E1674" s="174"/>
      <c r="F1674" s="176">
        <v>1743.28</v>
      </c>
      <c r="G1674" s="175" t="s">
        <v>2775</v>
      </c>
      <c r="H1674" s="174">
        <v>1</v>
      </c>
      <c r="I1674" s="173">
        <v>7285.23</v>
      </c>
      <c r="J1674" s="174">
        <v>23.35</v>
      </c>
      <c r="K1674" s="173">
        <v>170110.12</v>
      </c>
    </row>
    <row r="1675" spans="1:22" ht="14.25" x14ac:dyDescent="0.2">
      <c r="A1675" s="179"/>
      <c r="B1675" s="178"/>
      <c r="C1675" s="178" t="s">
        <v>184</v>
      </c>
      <c r="D1675" s="177"/>
      <c r="E1675" s="174"/>
      <c r="F1675" s="176">
        <v>158.18</v>
      </c>
      <c r="G1675" s="175" t="s">
        <v>2776</v>
      </c>
      <c r="H1675" s="174">
        <v>1</v>
      </c>
      <c r="I1675" s="173">
        <v>718.52</v>
      </c>
      <c r="J1675" s="174">
        <v>8.09</v>
      </c>
      <c r="K1675" s="173">
        <v>5812.83</v>
      </c>
    </row>
    <row r="1676" spans="1:22" ht="14.25" x14ac:dyDescent="0.2">
      <c r="A1676" s="179"/>
      <c r="B1676" s="178"/>
      <c r="C1676" s="178" t="s">
        <v>189</v>
      </c>
      <c r="D1676" s="177"/>
      <c r="E1676" s="174"/>
      <c r="F1676" s="176">
        <v>19.579999999999998</v>
      </c>
      <c r="G1676" s="175" t="s">
        <v>2776</v>
      </c>
      <c r="H1676" s="174">
        <v>1</v>
      </c>
      <c r="I1676" s="180">
        <v>88.94</v>
      </c>
      <c r="J1676" s="174">
        <v>23.35</v>
      </c>
      <c r="K1676" s="180">
        <v>2076.75</v>
      </c>
    </row>
    <row r="1677" spans="1:22" ht="14.25" x14ac:dyDescent="0.2">
      <c r="A1677" s="179"/>
      <c r="B1677" s="178"/>
      <c r="C1677" s="178" t="s">
        <v>205</v>
      </c>
      <c r="D1677" s="177"/>
      <c r="E1677" s="174"/>
      <c r="F1677" s="176">
        <v>499.52</v>
      </c>
      <c r="G1677" s="175" t="s">
        <v>195</v>
      </c>
      <c r="H1677" s="174">
        <v>1</v>
      </c>
      <c r="I1677" s="173">
        <v>1728.79</v>
      </c>
      <c r="J1677" s="174">
        <v>3.66</v>
      </c>
      <c r="K1677" s="173">
        <v>6327.37</v>
      </c>
    </row>
    <row r="1678" spans="1:22" ht="42.75" x14ac:dyDescent="0.2">
      <c r="A1678" s="179" t="s">
        <v>2777</v>
      </c>
      <c r="B1678" s="178" t="s">
        <v>2778</v>
      </c>
      <c r="C1678" s="178" t="s">
        <v>1040</v>
      </c>
      <c r="D1678" s="177" t="s">
        <v>1557</v>
      </c>
      <c r="E1678" s="174">
        <v>346.09</v>
      </c>
      <c r="F1678" s="176">
        <v>147.69999999999999</v>
      </c>
      <c r="G1678" s="182" t="s">
        <v>195</v>
      </c>
      <c r="H1678" s="174">
        <v>1</v>
      </c>
      <c r="I1678" s="173">
        <v>51117.49</v>
      </c>
      <c r="J1678" s="174">
        <v>2.11</v>
      </c>
      <c r="K1678" s="173">
        <v>107857.9</v>
      </c>
      <c r="Q1678" s="160">
        <f>[8]Source!X770</f>
        <v>0</v>
      </c>
      <c r="R1678" s="160">
        <f>[8]Source!X771</f>
        <v>0</v>
      </c>
      <c r="S1678" s="160">
        <f>[8]Source!Y770</f>
        <v>0</v>
      </c>
      <c r="T1678" s="160">
        <f>[8]Source!Y771</f>
        <v>0</v>
      </c>
      <c r="U1678" s="160">
        <f>ROUND((175/100)*ROUND([8]Source!R770, 2), 2)</f>
        <v>0</v>
      </c>
      <c r="V1678" s="160">
        <f>ROUND((157/100)*ROUND([8]Source!R771, 2), 2)</f>
        <v>0</v>
      </c>
    </row>
    <row r="1679" spans="1:22" ht="42.75" x14ac:dyDescent="0.2">
      <c r="A1679" s="179" t="s">
        <v>2779</v>
      </c>
      <c r="B1679" s="178" t="s">
        <v>2780</v>
      </c>
      <c r="C1679" s="178" t="s">
        <v>1027</v>
      </c>
      <c r="D1679" s="177" t="s">
        <v>1552</v>
      </c>
      <c r="E1679" s="174">
        <v>365.85</v>
      </c>
      <c r="F1679" s="176">
        <v>5.04</v>
      </c>
      <c r="G1679" s="182" t="s">
        <v>195</v>
      </c>
      <c r="H1679" s="174">
        <v>1</v>
      </c>
      <c r="I1679" s="173">
        <v>1843.88</v>
      </c>
      <c r="J1679" s="174">
        <v>2.42</v>
      </c>
      <c r="K1679" s="173">
        <v>4462.1899999999996</v>
      </c>
      <c r="Q1679" s="160">
        <f>[8]Source!X772</f>
        <v>0</v>
      </c>
      <c r="R1679" s="160">
        <f>[8]Source!X773</f>
        <v>0</v>
      </c>
      <c r="S1679" s="160">
        <f>[8]Source!Y772</f>
        <v>0</v>
      </c>
      <c r="T1679" s="160">
        <f>[8]Source!Y773</f>
        <v>0</v>
      </c>
      <c r="U1679" s="160">
        <f>ROUND((175/100)*ROUND([8]Source!R772, 2), 2)</f>
        <v>0</v>
      </c>
      <c r="V1679" s="160">
        <f>ROUND((157/100)*ROUND([8]Source!R773, 2), 2)</f>
        <v>0</v>
      </c>
    </row>
    <row r="1680" spans="1:22" ht="14.25" x14ac:dyDescent="0.2">
      <c r="A1680" s="179"/>
      <c r="B1680" s="178"/>
      <c r="C1680" s="178" t="s">
        <v>194</v>
      </c>
      <c r="D1680" s="177" t="s">
        <v>187</v>
      </c>
      <c r="E1680" s="174">
        <v>110</v>
      </c>
      <c r="F1680" s="176"/>
      <c r="G1680" s="175"/>
      <c r="H1680" s="174"/>
      <c r="I1680" s="173">
        <v>8013.75</v>
      </c>
      <c r="J1680" s="174">
        <v>88</v>
      </c>
      <c r="K1680" s="173">
        <v>149696.91</v>
      </c>
    </row>
    <row r="1681" spans="1:22" ht="14.25" x14ac:dyDescent="0.2">
      <c r="A1681" s="179"/>
      <c r="B1681" s="178"/>
      <c r="C1681" s="178" t="s">
        <v>193</v>
      </c>
      <c r="D1681" s="177" t="s">
        <v>187</v>
      </c>
      <c r="E1681" s="174">
        <v>74</v>
      </c>
      <c r="F1681" s="176"/>
      <c r="G1681" s="175"/>
      <c r="H1681" s="174"/>
      <c r="I1681" s="173">
        <v>5391.07</v>
      </c>
      <c r="J1681" s="174">
        <v>41</v>
      </c>
      <c r="K1681" s="173">
        <v>69745.149999999994</v>
      </c>
    </row>
    <row r="1682" spans="1:22" ht="14.25" x14ac:dyDescent="0.2">
      <c r="A1682" s="179"/>
      <c r="B1682" s="178"/>
      <c r="C1682" s="178" t="s">
        <v>188</v>
      </c>
      <c r="D1682" s="177" t="s">
        <v>187</v>
      </c>
      <c r="E1682" s="174">
        <v>175</v>
      </c>
      <c r="F1682" s="176"/>
      <c r="G1682" s="175"/>
      <c r="H1682" s="174"/>
      <c r="I1682" s="173">
        <v>155.65</v>
      </c>
      <c r="J1682" s="174">
        <v>157</v>
      </c>
      <c r="K1682" s="173">
        <v>3260.5</v>
      </c>
    </row>
    <row r="1683" spans="1:22" ht="14.25" x14ac:dyDescent="0.2">
      <c r="A1683" s="242"/>
      <c r="B1683" s="241"/>
      <c r="C1683" s="241" t="s">
        <v>192</v>
      </c>
      <c r="D1683" s="240" t="s">
        <v>191</v>
      </c>
      <c r="E1683" s="238">
        <v>154</v>
      </c>
      <c r="F1683" s="253"/>
      <c r="G1683" s="239" t="s">
        <v>2775</v>
      </c>
      <c r="H1683" s="238">
        <v>1</v>
      </c>
      <c r="I1683" s="237">
        <v>643.57000000000005</v>
      </c>
      <c r="J1683" s="238"/>
      <c r="K1683" s="237"/>
    </row>
    <row r="1684" spans="1:22" ht="15" x14ac:dyDescent="0.25">
      <c r="A1684" s="235"/>
      <c r="B1684" s="235"/>
      <c r="C1684" s="236" t="s">
        <v>183</v>
      </c>
      <c r="D1684" s="235"/>
      <c r="E1684" s="235"/>
      <c r="F1684" s="235"/>
      <c r="G1684" s="235"/>
      <c r="H1684" s="436">
        <v>76254.38</v>
      </c>
      <c r="I1684" s="436"/>
      <c r="J1684" s="436">
        <v>517272.97</v>
      </c>
      <c r="K1684" s="436"/>
      <c r="O1684" s="163">
        <f>I1674+I1675+I1677+I1680+I1681+I1682+SUM(I1678:I1679)</f>
        <v>76254.38</v>
      </c>
      <c r="P1684" s="163">
        <f>K1674+K1675+K1677+K1680+K1681+K1682+SUM(K1678:K1679)</f>
        <v>517272.97</v>
      </c>
    </row>
    <row r="1686" spans="1:22" ht="42.75" x14ac:dyDescent="0.2">
      <c r="A1686" s="179" t="s">
        <v>2781</v>
      </c>
      <c r="B1686" s="178" t="s">
        <v>2782</v>
      </c>
      <c r="C1686" s="178" t="s">
        <v>1039</v>
      </c>
      <c r="D1686" s="177" t="s">
        <v>2773</v>
      </c>
      <c r="E1686" s="174">
        <v>3.2593999999999999</v>
      </c>
      <c r="F1686" s="176"/>
      <c r="G1686" s="175"/>
      <c r="H1686" s="174"/>
      <c r="I1686" s="173"/>
      <c r="J1686" s="174"/>
      <c r="K1686" s="173"/>
      <c r="Q1686" s="160">
        <f>[8]Source!X774</f>
        <v>7547.18</v>
      </c>
      <c r="R1686" s="160">
        <f>[8]Source!X775</f>
        <v>140981.26</v>
      </c>
      <c r="S1686" s="160">
        <f>[8]Source!Y774</f>
        <v>5077.1899999999996</v>
      </c>
      <c r="T1686" s="160">
        <f>[8]Source!Y775</f>
        <v>65684.45</v>
      </c>
      <c r="U1686" s="160">
        <f>ROUND((175/100)*ROUND([8]Source!R774, 2), 2)</f>
        <v>147.69999999999999</v>
      </c>
      <c r="V1686" s="160">
        <f>ROUND((157/100)*ROUND([8]Source!R775, 2), 2)</f>
        <v>3094.06</v>
      </c>
    </row>
    <row r="1687" spans="1:22" x14ac:dyDescent="0.2">
      <c r="C1687" s="181" t="s">
        <v>2783</v>
      </c>
    </row>
    <row r="1688" spans="1:22" ht="14.25" x14ac:dyDescent="0.2">
      <c r="A1688" s="179"/>
      <c r="B1688" s="178"/>
      <c r="C1688" s="178" t="s">
        <v>197</v>
      </c>
      <c r="D1688" s="177"/>
      <c r="E1688" s="174"/>
      <c r="F1688" s="176">
        <v>1743.28</v>
      </c>
      <c r="G1688" s="175" t="s">
        <v>2775</v>
      </c>
      <c r="H1688" s="174">
        <v>1</v>
      </c>
      <c r="I1688" s="173">
        <v>6861.07</v>
      </c>
      <c r="J1688" s="174">
        <v>23.35</v>
      </c>
      <c r="K1688" s="173">
        <v>160205.98000000001</v>
      </c>
    </row>
    <row r="1689" spans="1:22" ht="14.25" x14ac:dyDescent="0.2">
      <c r="A1689" s="179"/>
      <c r="B1689" s="178"/>
      <c r="C1689" s="178" t="s">
        <v>184</v>
      </c>
      <c r="D1689" s="177"/>
      <c r="E1689" s="174"/>
      <c r="F1689" s="176">
        <v>158.94999999999999</v>
      </c>
      <c r="G1689" s="175" t="s">
        <v>2776</v>
      </c>
      <c r="H1689" s="174">
        <v>1</v>
      </c>
      <c r="I1689" s="173">
        <v>679.98</v>
      </c>
      <c r="J1689" s="174">
        <v>8.09</v>
      </c>
      <c r="K1689" s="173">
        <v>5501.04</v>
      </c>
    </row>
    <row r="1690" spans="1:22" ht="14.25" x14ac:dyDescent="0.2">
      <c r="A1690" s="179"/>
      <c r="B1690" s="178"/>
      <c r="C1690" s="178" t="s">
        <v>189</v>
      </c>
      <c r="D1690" s="177"/>
      <c r="E1690" s="174"/>
      <c r="F1690" s="176">
        <v>19.73</v>
      </c>
      <c r="G1690" s="175" t="s">
        <v>2776</v>
      </c>
      <c r="H1690" s="174">
        <v>1</v>
      </c>
      <c r="I1690" s="180">
        <v>84.4</v>
      </c>
      <c r="J1690" s="174">
        <v>23.35</v>
      </c>
      <c r="K1690" s="180">
        <v>1970.74</v>
      </c>
    </row>
    <row r="1691" spans="1:22" ht="14.25" x14ac:dyDescent="0.2">
      <c r="A1691" s="179"/>
      <c r="B1691" s="178"/>
      <c r="C1691" s="178" t="s">
        <v>205</v>
      </c>
      <c r="D1691" s="177"/>
      <c r="E1691" s="174"/>
      <c r="F1691" s="176">
        <v>499.52</v>
      </c>
      <c r="G1691" s="175" t="s">
        <v>195</v>
      </c>
      <c r="H1691" s="174">
        <v>1</v>
      </c>
      <c r="I1691" s="173">
        <v>1628.14</v>
      </c>
      <c r="J1691" s="174">
        <v>3.66</v>
      </c>
      <c r="K1691" s="173">
        <v>5958.99</v>
      </c>
    </row>
    <row r="1692" spans="1:22" ht="42.75" x14ac:dyDescent="0.2">
      <c r="A1692" s="179" t="s">
        <v>2784</v>
      </c>
      <c r="B1692" s="178" t="s">
        <v>2785</v>
      </c>
      <c r="C1692" s="178" t="s">
        <v>1036</v>
      </c>
      <c r="D1692" s="177" t="s">
        <v>1557</v>
      </c>
      <c r="E1692" s="174">
        <v>325.94</v>
      </c>
      <c r="F1692" s="176">
        <v>156.05000000000001</v>
      </c>
      <c r="G1692" s="182" t="s">
        <v>195</v>
      </c>
      <c r="H1692" s="174">
        <v>1</v>
      </c>
      <c r="I1692" s="173">
        <v>50862.94</v>
      </c>
      <c r="J1692" s="174">
        <v>2.48</v>
      </c>
      <c r="K1692" s="173">
        <v>126140.09</v>
      </c>
      <c r="Q1692" s="160">
        <f>[8]Source!X776</f>
        <v>0</v>
      </c>
      <c r="R1692" s="160">
        <f>[8]Source!X777</f>
        <v>0</v>
      </c>
      <c r="S1692" s="160">
        <f>[8]Source!Y776</f>
        <v>0</v>
      </c>
      <c r="T1692" s="160">
        <f>[8]Source!Y777</f>
        <v>0</v>
      </c>
      <c r="U1692" s="160">
        <f>ROUND((175/100)*ROUND([8]Source!R776, 2), 2)</f>
        <v>0</v>
      </c>
      <c r="V1692" s="160">
        <f>ROUND((157/100)*ROUND([8]Source!R777, 2), 2)</f>
        <v>0</v>
      </c>
    </row>
    <row r="1693" spans="1:22" ht="42.75" x14ac:dyDescent="0.2">
      <c r="A1693" s="179" t="s">
        <v>2786</v>
      </c>
      <c r="B1693" s="178" t="s">
        <v>2780</v>
      </c>
      <c r="C1693" s="178" t="s">
        <v>1027</v>
      </c>
      <c r="D1693" s="177" t="s">
        <v>1552</v>
      </c>
      <c r="E1693" s="174">
        <v>384</v>
      </c>
      <c r="F1693" s="176">
        <v>5.04</v>
      </c>
      <c r="G1693" s="182" t="s">
        <v>195</v>
      </c>
      <c r="H1693" s="174">
        <v>1</v>
      </c>
      <c r="I1693" s="173">
        <v>1935.36</v>
      </c>
      <c r="J1693" s="174">
        <v>2.42</v>
      </c>
      <c r="K1693" s="173">
        <v>4683.57</v>
      </c>
      <c r="Q1693" s="160">
        <f>[8]Source!X778</f>
        <v>0</v>
      </c>
      <c r="R1693" s="160">
        <f>[8]Source!X779</f>
        <v>0</v>
      </c>
      <c r="S1693" s="160">
        <f>[8]Source!Y778</f>
        <v>0</v>
      </c>
      <c r="T1693" s="160">
        <f>[8]Source!Y779</f>
        <v>0</v>
      </c>
      <c r="U1693" s="160">
        <f>ROUND((175/100)*ROUND([8]Source!R778, 2), 2)</f>
        <v>0</v>
      </c>
      <c r="V1693" s="160">
        <f>ROUND((157/100)*ROUND([8]Source!R779, 2), 2)</f>
        <v>0</v>
      </c>
    </row>
    <row r="1694" spans="1:22" ht="14.25" x14ac:dyDescent="0.2">
      <c r="A1694" s="179"/>
      <c r="B1694" s="178"/>
      <c r="C1694" s="178" t="s">
        <v>194</v>
      </c>
      <c r="D1694" s="177" t="s">
        <v>187</v>
      </c>
      <c r="E1694" s="174">
        <v>110</v>
      </c>
      <c r="F1694" s="176"/>
      <c r="G1694" s="175"/>
      <c r="H1694" s="174"/>
      <c r="I1694" s="173">
        <v>7547.18</v>
      </c>
      <c r="J1694" s="174">
        <v>88</v>
      </c>
      <c r="K1694" s="173">
        <v>140981.26</v>
      </c>
    </row>
    <row r="1695" spans="1:22" ht="14.25" x14ac:dyDescent="0.2">
      <c r="A1695" s="179"/>
      <c r="B1695" s="178"/>
      <c r="C1695" s="178" t="s">
        <v>193</v>
      </c>
      <c r="D1695" s="177" t="s">
        <v>187</v>
      </c>
      <c r="E1695" s="174">
        <v>74</v>
      </c>
      <c r="F1695" s="176"/>
      <c r="G1695" s="175"/>
      <c r="H1695" s="174"/>
      <c r="I1695" s="173">
        <v>5077.1899999999996</v>
      </c>
      <c r="J1695" s="174">
        <v>41</v>
      </c>
      <c r="K1695" s="173">
        <v>65684.45</v>
      </c>
    </row>
    <row r="1696" spans="1:22" ht="14.25" x14ac:dyDescent="0.2">
      <c r="A1696" s="179"/>
      <c r="B1696" s="178"/>
      <c r="C1696" s="178" t="s">
        <v>188</v>
      </c>
      <c r="D1696" s="177" t="s">
        <v>187</v>
      </c>
      <c r="E1696" s="174">
        <v>175</v>
      </c>
      <c r="F1696" s="176"/>
      <c r="G1696" s="175"/>
      <c r="H1696" s="174"/>
      <c r="I1696" s="173">
        <v>147.69999999999999</v>
      </c>
      <c r="J1696" s="174">
        <v>157</v>
      </c>
      <c r="K1696" s="173">
        <v>3094.06</v>
      </c>
    </row>
    <row r="1697" spans="1:22" ht="14.25" x14ac:dyDescent="0.2">
      <c r="A1697" s="242"/>
      <c r="B1697" s="241"/>
      <c r="C1697" s="241" t="s">
        <v>192</v>
      </c>
      <c r="D1697" s="240" t="s">
        <v>191</v>
      </c>
      <c r="E1697" s="238">
        <v>154</v>
      </c>
      <c r="F1697" s="253"/>
      <c r="G1697" s="239" t="s">
        <v>2775</v>
      </c>
      <c r="H1697" s="238">
        <v>1</v>
      </c>
      <c r="I1697" s="237">
        <v>606.1</v>
      </c>
      <c r="J1697" s="238"/>
      <c r="K1697" s="237"/>
    </row>
    <row r="1698" spans="1:22" ht="15" x14ac:dyDescent="0.25">
      <c r="A1698" s="235"/>
      <c r="B1698" s="235"/>
      <c r="C1698" s="236" t="s">
        <v>183</v>
      </c>
      <c r="D1698" s="235"/>
      <c r="E1698" s="235"/>
      <c r="F1698" s="235"/>
      <c r="G1698" s="235"/>
      <c r="H1698" s="436">
        <v>74739.56</v>
      </c>
      <c r="I1698" s="436"/>
      <c r="J1698" s="436">
        <v>512249.44</v>
      </c>
      <c r="K1698" s="436"/>
      <c r="O1698" s="163">
        <f>I1688+I1689+I1691+I1694+I1695+I1696+SUM(I1692:I1693)</f>
        <v>74739.56</v>
      </c>
      <c r="P1698" s="163">
        <f>K1688+K1689+K1691+K1694+K1695+K1696+SUM(K1692:K1693)</f>
        <v>512249.44</v>
      </c>
    </row>
    <row r="1700" spans="1:22" ht="42.75" x14ac:dyDescent="0.2">
      <c r="A1700" s="179" t="s">
        <v>2787</v>
      </c>
      <c r="B1700" s="178" t="s">
        <v>2788</v>
      </c>
      <c r="C1700" s="178" t="s">
        <v>1038</v>
      </c>
      <c r="D1700" s="177" t="s">
        <v>2773</v>
      </c>
      <c r="E1700" s="174">
        <v>1.6625000000000001</v>
      </c>
      <c r="F1700" s="176"/>
      <c r="G1700" s="175"/>
      <c r="H1700" s="174"/>
      <c r="I1700" s="173"/>
      <c r="J1700" s="174"/>
      <c r="K1700" s="173"/>
      <c r="Q1700" s="160">
        <f>[8]Source!X780</f>
        <v>3524.58</v>
      </c>
      <c r="R1700" s="160">
        <f>[8]Source!X781</f>
        <v>65839.08</v>
      </c>
      <c r="S1700" s="160">
        <f>[8]Source!Y780</f>
        <v>2371.08</v>
      </c>
      <c r="T1700" s="160">
        <f>[8]Source!Y781</f>
        <v>30675.03</v>
      </c>
      <c r="U1700" s="160">
        <f>ROUND((175/100)*ROUND([8]Source!R780, 2), 2)</f>
        <v>60.15</v>
      </c>
      <c r="V1700" s="160">
        <f>ROUND((157/100)*ROUND([8]Source!R781, 2), 2)</f>
        <v>1259.99</v>
      </c>
    </row>
    <row r="1701" spans="1:22" x14ac:dyDescent="0.2">
      <c r="C1701" s="181" t="s">
        <v>2789</v>
      </c>
    </row>
    <row r="1702" spans="1:22" ht="14.25" x14ac:dyDescent="0.2">
      <c r="A1702" s="179"/>
      <c r="B1702" s="178"/>
      <c r="C1702" s="178" t="s">
        <v>197</v>
      </c>
      <c r="D1702" s="177"/>
      <c r="E1702" s="174"/>
      <c r="F1702" s="176">
        <v>1596.12</v>
      </c>
      <c r="G1702" s="175" t="s">
        <v>2775</v>
      </c>
      <c r="H1702" s="174">
        <v>1</v>
      </c>
      <c r="I1702" s="173">
        <v>3204.16</v>
      </c>
      <c r="J1702" s="174">
        <v>23.35</v>
      </c>
      <c r="K1702" s="173">
        <v>74817.14</v>
      </c>
    </row>
    <row r="1703" spans="1:22" ht="14.25" x14ac:dyDescent="0.2">
      <c r="A1703" s="179"/>
      <c r="B1703" s="178"/>
      <c r="C1703" s="178" t="s">
        <v>184</v>
      </c>
      <c r="D1703" s="177"/>
      <c r="E1703" s="174"/>
      <c r="F1703" s="176">
        <v>128.62</v>
      </c>
      <c r="G1703" s="175" t="s">
        <v>2776</v>
      </c>
      <c r="H1703" s="174">
        <v>1</v>
      </c>
      <c r="I1703" s="173">
        <v>280.64999999999998</v>
      </c>
      <c r="J1703" s="174">
        <v>8.07</v>
      </c>
      <c r="K1703" s="173">
        <v>2264.85</v>
      </c>
    </row>
    <row r="1704" spans="1:22" ht="14.25" x14ac:dyDescent="0.2">
      <c r="A1704" s="179"/>
      <c r="B1704" s="178"/>
      <c r="C1704" s="178" t="s">
        <v>189</v>
      </c>
      <c r="D1704" s="177"/>
      <c r="E1704" s="174"/>
      <c r="F1704" s="176">
        <v>15.75</v>
      </c>
      <c r="G1704" s="175" t="s">
        <v>2776</v>
      </c>
      <c r="H1704" s="174">
        <v>1</v>
      </c>
      <c r="I1704" s="180">
        <v>34.369999999999997</v>
      </c>
      <c r="J1704" s="174">
        <v>23.35</v>
      </c>
      <c r="K1704" s="180">
        <v>802.54</v>
      </c>
    </row>
    <row r="1705" spans="1:22" ht="14.25" x14ac:dyDescent="0.2">
      <c r="A1705" s="179"/>
      <c r="B1705" s="178"/>
      <c r="C1705" s="178" t="s">
        <v>205</v>
      </c>
      <c r="D1705" s="177"/>
      <c r="E1705" s="174"/>
      <c r="F1705" s="176">
        <v>427.67</v>
      </c>
      <c r="G1705" s="175" t="s">
        <v>195</v>
      </c>
      <c r="H1705" s="174">
        <v>1</v>
      </c>
      <c r="I1705" s="173">
        <v>711</v>
      </c>
      <c r="J1705" s="174">
        <v>3.54</v>
      </c>
      <c r="K1705" s="173">
        <v>2516.94</v>
      </c>
    </row>
    <row r="1706" spans="1:22" ht="42.75" x14ac:dyDescent="0.2">
      <c r="A1706" s="179" t="s">
        <v>2790</v>
      </c>
      <c r="B1706" s="178" t="s">
        <v>2785</v>
      </c>
      <c r="C1706" s="178" t="s">
        <v>1036</v>
      </c>
      <c r="D1706" s="177" t="s">
        <v>1557</v>
      </c>
      <c r="E1706" s="174">
        <v>166.25</v>
      </c>
      <c r="F1706" s="176">
        <v>156.05000000000001</v>
      </c>
      <c r="G1706" s="182" t="s">
        <v>195</v>
      </c>
      <c r="H1706" s="174">
        <v>1</v>
      </c>
      <c r="I1706" s="173">
        <v>25943.31</v>
      </c>
      <c r="J1706" s="174">
        <v>2.48</v>
      </c>
      <c r="K1706" s="173">
        <v>64339.41</v>
      </c>
      <c r="Q1706" s="160">
        <f>[8]Source!X782</f>
        <v>0</v>
      </c>
      <c r="R1706" s="160">
        <f>[8]Source!X783</f>
        <v>0</v>
      </c>
      <c r="S1706" s="160">
        <f>[8]Source!Y782</f>
        <v>0</v>
      </c>
      <c r="T1706" s="160">
        <f>[8]Source!Y783</f>
        <v>0</v>
      </c>
      <c r="U1706" s="160">
        <f>ROUND((175/100)*ROUND([8]Source!R782, 2), 2)</f>
        <v>0</v>
      </c>
      <c r="V1706" s="160">
        <f>ROUND((157/100)*ROUND([8]Source!R783, 2), 2)</f>
        <v>0</v>
      </c>
    </row>
    <row r="1707" spans="1:22" ht="42.75" x14ac:dyDescent="0.2">
      <c r="A1707" s="179" t="s">
        <v>2791</v>
      </c>
      <c r="B1707" s="178" t="s">
        <v>2780</v>
      </c>
      <c r="C1707" s="178" t="s">
        <v>1027</v>
      </c>
      <c r="D1707" s="177" t="s">
        <v>1552</v>
      </c>
      <c r="E1707" s="174">
        <v>217</v>
      </c>
      <c r="F1707" s="176">
        <v>5.04</v>
      </c>
      <c r="G1707" s="182" t="s">
        <v>195</v>
      </c>
      <c r="H1707" s="174">
        <v>1</v>
      </c>
      <c r="I1707" s="173">
        <v>1093.68</v>
      </c>
      <c r="J1707" s="174">
        <v>2.42</v>
      </c>
      <c r="K1707" s="173">
        <v>2646.71</v>
      </c>
      <c r="Q1707" s="160">
        <f>[8]Source!X784</f>
        <v>0</v>
      </c>
      <c r="R1707" s="160">
        <f>[8]Source!X785</f>
        <v>0</v>
      </c>
      <c r="S1707" s="160">
        <f>[8]Source!Y784</f>
        <v>0</v>
      </c>
      <c r="T1707" s="160">
        <f>[8]Source!Y785</f>
        <v>0</v>
      </c>
      <c r="U1707" s="160">
        <f>ROUND((175/100)*ROUND([8]Source!R784, 2), 2)</f>
        <v>0</v>
      </c>
      <c r="V1707" s="160">
        <f>ROUND((157/100)*ROUND([8]Source!R785, 2), 2)</f>
        <v>0</v>
      </c>
    </row>
    <row r="1708" spans="1:22" ht="14.25" x14ac:dyDescent="0.2">
      <c r="A1708" s="179"/>
      <c r="B1708" s="178"/>
      <c r="C1708" s="178" t="s">
        <v>194</v>
      </c>
      <c r="D1708" s="177" t="s">
        <v>187</v>
      </c>
      <c r="E1708" s="174">
        <v>110</v>
      </c>
      <c r="F1708" s="176"/>
      <c r="G1708" s="175"/>
      <c r="H1708" s="174"/>
      <c r="I1708" s="173">
        <v>3524.58</v>
      </c>
      <c r="J1708" s="174">
        <v>88</v>
      </c>
      <c r="K1708" s="173">
        <v>65839.08</v>
      </c>
    </row>
    <row r="1709" spans="1:22" ht="14.25" x14ac:dyDescent="0.2">
      <c r="A1709" s="179"/>
      <c r="B1709" s="178"/>
      <c r="C1709" s="178" t="s">
        <v>193</v>
      </c>
      <c r="D1709" s="177" t="s">
        <v>187</v>
      </c>
      <c r="E1709" s="174">
        <v>74</v>
      </c>
      <c r="F1709" s="176"/>
      <c r="G1709" s="175"/>
      <c r="H1709" s="174"/>
      <c r="I1709" s="173">
        <v>2371.08</v>
      </c>
      <c r="J1709" s="174">
        <v>41</v>
      </c>
      <c r="K1709" s="173">
        <v>30675.03</v>
      </c>
    </row>
    <row r="1710" spans="1:22" ht="14.25" x14ac:dyDescent="0.2">
      <c r="A1710" s="179"/>
      <c r="B1710" s="178"/>
      <c r="C1710" s="178" t="s">
        <v>188</v>
      </c>
      <c r="D1710" s="177" t="s">
        <v>187</v>
      </c>
      <c r="E1710" s="174">
        <v>175</v>
      </c>
      <c r="F1710" s="176"/>
      <c r="G1710" s="175"/>
      <c r="H1710" s="174"/>
      <c r="I1710" s="173">
        <v>60.15</v>
      </c>
      <c r="J1710" s="174">
        <v>157</v>
      </c>
      <c r="K1710" s="173">
        <v>1259.99</v>
      </c>
    </row>
    <row r="1711" spans="1:22" ht="14.25" x14ac:dyDescent="0.2">
      <c r="A1711" s="242"/>
      <c r="B1711" s="241"/>
      <c r="C1711" s="241" t="s">
        <v>192</v>
      </c>
      <c r="D1711" s="240" t="s">
        <v>191</v>
      </c>
      <c r="E1711" s="238">
        <v>141</v>
      </c>
      <c r="F1711" s="253"/>
      <c r="G1711" s="239" t="s">
        <v>2775</v>
      </c>
      <c r="H1711" s="238">
        <v>1</v>
      </c>
      <c r="I1711" s="237">
        <v>283.05</v>
      </c>
      <c r="J1711" s="238"/>
      <c r="K1711" s="237"/>
    </row>
    <row r="1712" spans="1:22" ht="15" x14ac:dyDescent="0.25">
      <c r="A1712" s="235"/>
      <c r="B1712" s="235"/>
      <c r="C1712" s="236" t="s">
        <v>183</v>
      </c>
      <c r="D1712" s="235"/>
      <c r="E1712" s="235"/>
      <c r="F1712" s="235"/>
      <c r="G1712" s="235"/>
      <c r="H1712" s="436">
        <v>37188.61</v>
      </c>
      <c r="I1712" s="436"/>
      <c r="J1712" s="436">
        <v>244359.15</v>
      </c>
      <c r="K1712" s="436"/>
      <c r="O1712" s="163">
        <f>I1702+I1703+I1705+I1708+I1709+I1710+SUM(I1706:I1707)</f>
        <v>37188.61</v>
      </c>
      <c r="P1712" s="163">
        <f>K1702+K1703+K1705+K1708+K1709+K1710+SUM(K1706:K1707)</f>
        <v>244359.15</v>
      </c>
    </row>
    <row r="1714" spans="1:22" ht="42.75" x14ac:dyDescent="0.2">
      <c r="A1714" s="179" t="s">
        <v>2792</v>
      </c>
      <c r="B1714" s="178" t="s">
        <v>2793</v>
      </c>
      <c r="C1714" s="178" t="s">
        <v>1037</v>
      </c>
      <c r="D1714" s="177" t="s">
        <v>2773</v>
      </c>
      <c r="E1714" s="174">
        <v>0.27650000000000002</v>
      </c>
      <c r="F1714" s="176"/>
      <c r="G1714" s="175"/>
      <c r="H1714" s="174"/>
      <c r="I1714" s="173"/>
      <c r="J1714" s="174"/>
      <c r="K1714" s="173"/>
      <c r="Q1714" s="160">
        <f>[8]Source!X786</f>
        <v>507.2</v>
      </c>
      <c r="R1714" s="160">
        <f>[8]Source!X787</f>
        <v>9474.48</v>
      </c>
      <c r="S1714" s="160">
        <f>[8]Source!Y786</f>
        <v>341.21</v>
      </c>
      <c r="T1714" s="160">
        <f>[8]Source!Y787</f>
        <v>4414.24</v>
      </c>
      <c r="U1714" s="160">
        <f>ROUND((175/100)*ROUND([8]Source!R786, 2), 2)</f>
        <v>9.08</v>
      </c>
      <c r="V1714" s="160">
        <f>ROUND((157/100)*ROUND([8]Source!R787, 2), 2)</f>
        <v>190.27</v>
      </c>
    </row>
    <row r="1715" spans="1:22" x14ac:dyDescent="0.2">
      <c r="C1715" s="181" t="s">
        <v>2794</v>
      </c>
    </row>
    <row r="1716" spans="1:22" ht="14.25" x14ac:dyDescent="0.2">
      <c r="A1716" s="179"/>
      <c r="B1716" s="178"/>
      <c r="C1716" s="178" t="s">
        <v>197</v>
      </c>
      <c r="D1716" s="177"/>
      <c r="E1716" s="174"/>
      <c r="F1716" s="176">
        <v>1381.04</v>
      </c>
      <c r="G1716" s="175" t="s">
        <v>2775</v>
      </c>
      <c r="H1716" s="174">
        <v>1</v>
      </c>
      <c r="I1716" s="173">
        <v>461.09</v>
      </c>
      <c r="J1716" s="174">
        <v>23.35</v>
      </c>
      <c r="K1716" s="173">
        <v>10766.45</v>
      </c>
    </row>
    <row r="1717" spans="1:22" ht="14.25" x14ac:dyDescent="0.2">
      <c r="A1717" s="179"/>
      <c r="B1717" s="178"/>
      <c r="C1717" s="178" t="s">
        <v>184</v>
      </c>
      <c r="D1717" s="177"/>
      <c r="E1717" s="174"/>
      <c r="F1717" s="176">
        <v>116.7</v>
      </c>
      <c r="G1717" s="175" t="s">
        <v>2776</v>
      </c>
      <c r="H1717" s="174">
        <v>1</v>
      </c>
      <c r="I1717" s="173">
        <v>42.35</v>
      </c>
      <c r="J1717" s="174">
        <v>8.06</v>
      </c>
      <c r="K1717" s="173">
        <v>341.34</v>
      </c>
    </row>
    <row r="1718" spans="1:22" ht="14.25" x14ac:dyDescent="0.2">
      <c r="A1718" s="179"/>
      <c r="B1718" s="178"/>
      <c r="C1718" s="178" t="s">
        <v>189</v>
      </c>
      <c r="D1718" s="177"/>
      <c r="E1718" s="174"/>
      <c r="F1718" s="176">
        <v>14.29</v>
      </c>
      <c r="G1718" s="175" t="s">
        <v>2776</v>
      </c>
      <c r="H1718" s="174">
        <v>1</v>
      </c>
      <c r="I1718" s="180">
        <v>5.19</v>
      </c>
      <c r="J1718" s="174">
        <v>23.35</v>
      </c>
      <c r="K1718" s="180">
        <v>121.19</v>
      </c>
    </row>
    <row r="1719" spans="1:22" ht="14.25" x14ac:dyDescent="0.2">
      <c r="A1719" s="179"/>
      <c r="B1719" s="178"/>
      <c r="C1719" s="178" t="s">
        <v>205</v>
      </c>
      <c r="D1719" s="177"/>
      <c r="E1719" s="174"/>
      <c r="F1719" s="176">
        <v>417.44</v>
      </c>
      <c r="G1719" s="175" t="s">
        <v>195</v>
      </c>
      <c r="H1719" s="174">
        <v>1</v>
      </c>
      <c r="I1719" s="173">
        <v>115.42</v>
      </c>
      <c r="J1719" s="174">
        <v>3.57</v>
      </c>
      <c r="K1719" s="173">
        <v>412.05</v>
      </c>
    </row>
    <row r="1720" spans="1:22" ht="42.75" x14ac:dyDescent="0.2">
      <c r="A1720" s="179" t="s">
        <v>2795</v>
      </c>
      <c r="B1720" s="178" t="s">
        <v>2785</v>
      </c>
      <c r="C1720" s="178" t="s">
        <v>1036</v>
      </c>
      <c r="D1720" s="177" t="s">
        <v>1557</v>
      </c>
      <c r="E1720" s="174">
        <v>27.65</v>
      </c>
      <c r="F1720" s="176">
        <v>156.05000000000001</v>
      </c>
      <c r="G1720" s="182" t="s">
        <v>195</v>
      </c>
      <c r="H1720" s="174">
        <v>1</v>
      </c>
      <c r="I1720" s="173">
        <v>4314.78</v>
      </c>
      <c r="J1720" s="174">
        <v>2.48</v>
      </c>
      <c r="K1720" s="173">
        <v>10700.65</v>
      </c>
      <c r="Q1720" s="160">
        <f>[8]Source!X788</f>
        <v>0</v>
      </c>
      <c r="R1720" s="160">
        <f>[8]Source!X789</f>
        <v>0</v>
      </c>
      <c r="S1720" s="160">
        <f>[8]Source!Y788</f>
        <v>0</v>
      </c>
      <c r="T1720" s="160">
        <f>[8]Source!Y789</f>
        <v>0</v>
      </c>
      <c r="U1720" s="160">
        <f>ROUND((175/100)*ROUND([8]Source!R788, 2), 2)</f>
        <v>0</v>
      </c>
      <c r="V1720" s="160">
        <f>ROUND((157/100)*ROUND([8]Source!R789, 2), 2)</f>
        <v>0</v>
      </c>
    </row>
    <row r="1721" spans="1:22" ht="42.75" x14ac:dyDescent="0.2">
      <c r="A1721" s="179" t="s">
        <v>2796</v>
      </c>
      <c r="B1721" s="178" t="s">
        <v>2780</v>
      </c>
      <c r="C1721" s="178" t="s">
        <v>1027</v>
      </c>
      <c r="D1721" s="177" t="s">
        <v>1552</v>
      </c>
      <c r="E1721" s="174">
        <v>36.119999999999997</v>
      </c>
      <c r="F1721" s="176">
        <v>5.04</v>
      </c>
      <c r="G1721" s="182" t="s">
        <v>195</v>
      </c>
      <c r="H1721" s="174">
        <v>1</v>
      </c>
      <c r="I1721" s="173">
        <v>182.04</v>
      </c>
      <c r="J1721" s="174">
        <v>2.42</v>
      </c>
      <c r="K1721" s="173">
        <v>440.54</v>
      </c>
      <c r="Q1721" s="160">
        <f>[8]Source!X790</f>
        <v>0</v>
      </c>
      <c r="R1721" s="160">
        <f>[8]Source!X791</f>
        <v>0</v>
      </c>
      <c r="S1721" s="160">
        <f>[8]Source!Y790</f>
        <v>0</v>
      </c>
      <c r="T1721" s="160">
        <f>[8]Source!Y791</f>
        <v>0</v>
      </c>
      <c r="U1721" s="160">
        <f>ROUND((175/100)*ROUND([8]Source!R790, 2), 2)</f>
        <v>0</v>
      </c>
      <c r="V1721" s="160">
        <f>ROUND((157/100)*ROUND([8]Source!R791, 2), 2)</f>
        <v>0</v>
      </c>
    </row>
    <row r="1722" spans="1:22" ht="14.25" x14ac:dyDescent="0.2">
      <c r="A1722" s="179"/>
      <c r="B1722" s="178"/>
      <c r="C1722" s="178" t="s">
        <v>194</v>
      </c>
      <c r="D1722" s="177" t="s">
        <v>187</v>
      </c>
      <c r="E1722" s="174">
        <v>110</v>
      </c>
      <c r="F1722" s="176"/>
      <c r="G1722" s="175"/>
      <c r="H1722" s="174"/>
      <c r="I1722" s="173">
        <v>507.2</v>
      </c>
      <c r="J1722" s="174">
        <v>88</v>
      </c>
      <c r="K1722" s="173">
        <v>9474.48</v>
      </c>
    </row>
    <row r="1723" spans="1:22" ht="14.25" x14ac:dyDescent="0.2">
      <c r="A1723" s="179"/>
      <c r="B1723" s="178"/>
      <c r="C1723" s="178" t="s">
        <v>193</v>
      </c>
      <c r="D1723" s="177" t="s">
        <v>187</v>
      </c>
      <c r="E1723" s="174">
        <v>74</v>
      </c>
      <c r="F1723" s="176"/>
      <c r="G1723" s="175"/>
      <c r="H1723" s="174"/>
      <c r="I1723" s="173">
        <v>341.21</v>
      </c>
      <c r="J1723" s="174">
        <v>41</v>
      </c>
      <c r="K1723" s="173">
        <v>4414.24</v>
      </c>
    </row>
    <row r="1724" spans="1:22" ht="14.25" x14ac:dyDescent="0.2">
      <c r="A1724" s="179"/>
      <c r="B1724" s="178"/>
      <c r="C1724" s="178" t="s">
        <v>188</v>
      </c>
      <c r="D1724" s="177" t="s">
        <v>187</v>
      </c>
      <c r="E1724" s="174">
        <v>175</v>
      </c>
      <c r="F1724" s="176"/>
      <c r="G1724" s="175"/>
      <c r="H1724" s="174"/>
      <c r="I1724" s="173">
        <v>9.08</v>
      </c>
      <c r="J1724" s="174">
        <v>157</v>
      </c>
      <c r="K1724" s="173">
        <v>190.27</v>
      </c>
    </row>
    <row r="1725" spans="1:22" ht="14.25" x14ac:dyDescent="0.2">
      <c r="A1725" s="242"/>
      <c r="B1725" s="241"/>
      <c r="C1725" s="241" t="s">
        <v>192</v>
      </c>
      <c r="D1725" s="240" t="s">
        <v>191</v>
      </c>
      <c r="E1725" s="238">
        <v>122</v>
      </c>
      <c r="F1725" s="253"/>
      <c r="G1725" s="239" t="s">
        <v>2775</v>
      </c>
      <c r="H1725" s="238">
        <v>1</v>
      </c>
      <c r="I1725" s="237">
        <v>40.729999999999997</v>
      </c>
      <c r="J1725" s="238"/>
      <c r="K1725" s="237"/>
    </row>
    <row r="1726" spans="1:22" ht="15" x14ac:dyDescent="0.25">
      <c r="A1726" s="235"/>
      <c r="B1726" s="235"/>
      <c r="C1726" s="236" t="s">
        <v>183</v>
      </c>
      <c r="D1726" s="235"/>
      <c r="E1726" s="235"/>
      <c r="F1726" s="235"/>
      <c r="G1726" s="235"/>
      <c r="H1726" s="436">
        <v>5973.17</v>
      </c>
      <c r="I1726" s="436"/>
      <c r="J1726" s="436">
        <v>36740.019999999997</v>
      </c>
      <c r="K1726" s="436"/>
      <c r="O1726" s="163">
        <f>I1716+I1717+I1719+I1722+I1723+I1724+SUM(I1720:I1721)</f>
        <v>5973.17</v>
      </c>
      <c r="P1726" s="163">
        <f>K1716+K1717+K1719+K1722+K1723+K1724+SUM(K1720:K1721)</f>
        <v>36740.019999999997</v>
      </c>
    </row>
    <row r="1728" spans="1:22" ht="57" x14ac:dyDescent="0.2">
      <c r="A1728" s="179" t="s">
        <v>2797</v>
      </c>
      <c r="B1728" s="178" t="s">
        <v>2798</v>
      </c>
      <c r="C1728" s="178" t="s">
        <v>1035</v>
      </c>
      <c r="D1728" s="177" t="s">
        <v>2773</v>
      </c>
      <c r="E1728" s="174">
        <v>3.7210000000000001</v>
      </c>
      <c r="F1728" s="176"/>
      <c r="G1728" s="175"/>
      <c r="H1728" s="174"/>
      <c r="I1728" s="173"/>
      <c r="J1728" s="174"/>
      <c r="K1728" s="173"/>
      <c r="Q1728" s="160">
        <f>[8]Source!X792</f>
        <v>6825.68</v>
      </c>
      <c r="R1728" s="160">
        <f>[8]Source!X793</f>
        <v>127503.63</v>
      </c>
      <c r="S1728" s="160">
        <f>[8]Source!Y792</f>
        <v>4591.82</v>
      </c>
      <c r="T1728" s="160">
        <f>[8]Source!Y793</f>
        <v>59405.1</v>
      </c>
      <c r="U1728" s="160">
        <f>ROUND((175/100)*ROUND([8]Source!R792, 2), 2)</f>
        <v>122.13</v>
      </c>
      <c r="V1728" s="160">
        <f>ROUND((157/100)*ROUND([8]Source!R793, 2), 2)</f>
        <v>2558.4699999999998</v>
      </c>
    </row>
    <row r="1729" spans="1:22" x14ac:dyDescent="0.2">
      <c r="C1729" s="181" t="s">
        <v>2799</v>
      </c>
    </row>
    <row r="1730" spans="1:22" ht="14.25" x14ac:dyDescent="0.2">
      <c r="A1730" s="179"/>
      <c r="B1730" s="178"/>
      <c r="C1730" s="178" t="s">
        <v>197</v>
      </c>
      <c r="D1730" s="177"/>
      <c r="E1730" s="174"/>
      <c r="F1730" s="176">
        <v>1381.04</v>
      </c>
      <c r="G1730" s="175" t="s">
        <v>2775</v>
      </c>
      <c r="H1730" s="174">
        <v>1</v>
      </c>
      <c r="I1730" s="173">
        <v>6205.16</v>
      </c>
      <c r="J1730" s="174">
        <v>23.35</v>
      </c>
      <c r="K1730" s="173">
        <v>144890.49</v>
      </c>
    </row>
    <row r="1731" spans="1:22" ht="14.25" x14ac:dyDescent="0.2">
      <c r="A1731" s="179"/>
      <c r="B1731" s="178"/>
      <c r="C1731" s="178" t="s">
        <v>184</v>
      </c>
      <c r="D1731" s="177"/>
      <c r="E1731" s="174"/>
      <c r="F1731" s="176">
        <v>116.7</v>
      </c>
      <c r="G1731" s="175" t="s">
        <v>2776</v>
      </c>
      <c r="H1731" s="174">
        <v>1</v>
      </c>
      <c r="I1731" s="173">
        <v>569.94000000000005</v>
      </c>
      <c r="J1731" s="174">
        <v>8.06</v>
      </c>
      <c r="K1731" s="173">
        <v>4593.72</v>
      </c>
    </row>
    <row r="1732" spans="1:22" ht="14.25" x14ac:dyDescent="0.2">
      <c r="A1732" s="179"/>
      <c r="B1732" s="178"/>
      <c r="C1732" s="178" t="s">
        <v>189</v>
      </c>
      <c r="D1732" s="177"/>
      <c r="E1732" s="174"/>
      <c r="F1732" s="176">
        <v>14.29</v>
      </c>
      <c r="G1732" s="175" t="s">
        <v>2776</v>
      </c>
      <c r="H1732" s="174">
        <v>1</v>
      </c>
      <c r="I1732" s="180">
        <v>69.790000000000006</v>
      </c>
      <c r="J1732" s="174">
        <v>23.35</v>
      </c>
      <c r="K1732" s="180">
        <v>1629.6</v>
      </c>
    </row>
    <row r="1733" spans="1:22" ht="14.25" x14ac:dyDescent="0.2">
      <c r="A1733" s="179"/>
      <c r="B1733" s="178"/>
      <c r="C1733" s="178" t="s">
        <v>205</v>
      </c>
      <c r="D1733" s="177"/>
      <c r="E1733" s="174"/>
      <c r="F1733" s="176">
        <v>599.72</v>
      </c>
      <c r="G1733" s="175" t="s">
        <v>195</v>
      </c>
      <c r="H1733" s="174">
        <v>1</v>
      </c>
      <c r="I1733" s="173">
        <v>2231.56</v>
      </c>
      <c r="J1733" s="174">
        <v>4.13</v>
      </c>
      <c r="K1733" s="173">
        <v>9216.34</v>
      </c>
    </row>
    <row r="1734" spans="1:22" ht="42.75" x14ac:dyDescent="0.2">
      <c r="A1734" s="179" t="s">
        <v>2800</v>
      </c>
      <c r="B1734" s="178" t="s">
        <v>2801</v>
      </c>
      <c r="C1734" s="178" t="s">
        <v>1031</v>
      </c>
      <c r="D1734" s="177" t="s">
        <v>1557</v>
      </c>
      <c r="E1734" s="174">
        <v>372.1</v>
      </c>
      <c r="F1734" s="176">
        <v>157.54</v>
      </c>
      <c r="G1734" s="182" t="s">
        <v>195</v>
      </c>
      <c r="H1734" s="174">
        <v>1</v>
      </c>
      <c r="I1734" s="173">
        <v>58620.63</v>
      </c>
      <c r="J1734" s="174">
        <v>3.07</v>
      </c>
      <c r="K1734" s="173">
        <v>179965.33</v>
      </c>
      <c r="Q1734" s="160">
        <f>[8]Source!X794</f>
        <v>0</v>
      </c>
      <c r="R1734" s="160">
        <f>[8]Source!X795</f>
        <v>0</v>
      </c>
      <c r="S1734" s="160">
        <f>[8]Source!Y794</f>
        <v>0</v>
      </c>
      <c r="T1734" s="160">
        <f>[8]Source!Y795</f>
        <v>0</v>
      </c>
      <c r="U1734" s="160">
        <f>ROUND((175/100)*ROUND([8]Source!R794, 2), 2)</f>
        <v>0</v>
      </c>
      <c r="V1734" s="160">
        <f>ROUND((157/100)*ROUND([8]Source!R795, 2), 2)</f>
        <v>0</v>
      </c>
    </row>
    <row r="1735" spans="1:22" ht="57" x14ac:dyDescent="0.2">
      <c r="A1735" s="179" t="s">
        <v>2802</v>
      </c>
      <c r="B1735" s="178" t="s">
        <v>2803</v>
      </c>
      <c r="C1735" s="178" t="s">
        <v>1028</v>
      </c>
      <c r="D1735" s="177" t="s">
        <v>1557</v>
      </c>
      <c r="E1735" s="174">
        <v>111.63</v>
      </c>
      <c r="F1735" s="176">
        <v>473</v>
      </c>
      <c r="G1735" s="182" t="s">
        <v>195</v>
      </c>
      <c r="H1735" s="174">
        <v>1</v>
      </c>
      <c r="I1735" s="173">
        <v>52800.99</v>
      </c>
      <c r="J1735" s="174">
        <v>2.4500000000000002</v>
      </c>
      <c r="K1735" s="173">
        <v>129362.43</v>
      </c>
      <c r="Q1735" s="160">
        <f>[8]Source!X796</f>
        <v>0</v>
      </c>
      <c r="R1735" s="160">
        <f>[8]Source!X797</f>
        <v>0</v>
      </c>
      <c r="S1735" s="160">
        <f>[8]Source!Y796</f>
        <v>0</v>
      </c>
      <c r="T1735" s="160">
        <f>[8]Source!Y797</f>
        <v>0</v>
      </c>
      <c r="U1735" s="160">
        <f>ROUND((175/100)*ROUND([8]Source!R796, 2), 2)</f>
        <v>0</v>
      </c>
      <c r="V1735" s="160">
        <f>ROUND((157/100)*ROUND([8]Source!R797, 2), 2)</f>
        <v>0</v>
      </c>
    </row>
    <row r="1736" spans="1:22" ht="42.75" x14ac:dyDescent="0.2">
      <c r="A1736" s="179" t="s">
        <v>2804</v>
      </c>
      <c r="B1736" s="178" t="s">
        <v>2780</v>
      </c>
      <c r="C1736" s="178" t="s">
        <v>1027</v>
      </c>
      <c r="D1736" s="177" t="s">
        <v>1552</v>
      </c>
      <c r="E1736" s="174">
        <v>559</v>
      </c>
      <c r="F1736" s="176">
        <v>5.04</v>
      </c>
      <c r="G1736" s="182" t="s">
        <v>195</v>
      </c>
      <c r="H1736" s="174">
        <v>1</v>
      </c>
      <c r="I1736" s="173">
        <v>2817.36</v>
      </c>
      <c r="J1736" s="174">
        <v>2.42</v>
      </c>
      <c r="K1736" s="173">
        <v>6818.01</v>
      </c>
      <c r="Q1736" s="160">
        <f>[8]Source!X798</f>
        <v>0</v>
      </c>
      <c r="R1736" s="160">
        <f>[8]Source!X799</f>
        <v>0</v>
      </c>
      <c r="S1736" s="160">
        <f>[8]Source!Y798</f>
        <v>0</v>
      </c>
      <c r="T1736" s="160">
        <f>[8]Source!Y799</f>
        <v>0</v>
      </c>
      <c r="U1736" s="160">
        <f>ROUND((175/100)*ROUND([8]Source!R798, 2), 2)</f>
        <v>0</v>
      </c>
      <c r="V1736" s="160">
        <f>ROUND((157/100)*ROUND([8]Source!R799, 2), 2)</f>
        <v>0</v>
      </c>
    </row>
    <row r="1737" spans="1:22" ht="14.25" x14ac:dyDescent="0.2">
      <c r="A1737" s="179"/>
      <c r="B1737" s="178"/>
      <c r="C1737" s="178" t="s">
        <v>194</v>
      </c>
      <c r="D1737" s="177" t="s">
        <v>187</v>
      </c>
      <c r="E1737" s="174">
        <v>110</v>
      </c>
      <c r="F1737" s="176"/>
      <c r="G1737" s="175"/>
      <c r="H1737" s="174"/>
      <c r="I1737" s="173">
        <v>6825.68</v>
      </c>
      <c r="J1737" s="174">
        <v>88</v>
      </c>
      <c r="K1737" s="173">
        <v>127503.63</v>
      </c>
    </row>
    <row r="1738" spans="1:22" ht="14.25" x14ac:dyDescent="0.2">
      <c r="A1738" s="179"/>
      <c r="B1738" s="178"/>
      <c r="C1738" s="178" t="s">
        <v>193</v>
      </c>
      <c r="D1738" s="177" t="s">
        <v>187</v>
      </c>
      <c r="E1738" s="174">
        <v>74</v>
      </c>
      <c r="F1738" s="176"/>
      <c r="G1738" s="175"/>
      <c r="H1738" s="174"/>
      <c r="I1738" s="173">
        <v>4591.82</v>
      </c>
      <c r="J1738" s="174">
        <v>41</v>
      </c>
      <c r="K1738" s="173">
        <v>59405.1</v>
      </c>
    </row>
    <row r="1739" spans="1:22" ht="14.25" x14ac:dyDescent="0.2">
      <c r="A1739" s="179"/>
      <c r="B1739" s="178"/>
      <c r="C1739" s="178" t="s">
        <v>188</v>
      </c>
      <c r="D1739" s="177" t="s">
        <v>187</v>
      </c>
      <c r="E1739" s="174">
        <v>175</v>
      </c>
      <c r="F1739" s="176"/>
      <c r="G1739" s="175"/>
      <c r="H1739" s="174"/>
      <c r="I1739" s="173">
        <v>122.13</v>
      </c>
      <c r="J1739" s="174">
        <v>157</v>
      </c>
      <c r="K1739" s="173">
        <v>2558.4699999999998</v>
      </c>
    </row>
    <row r="1740" spans="1:22" ht="14.25" x14ac:dyDescent="0.2">
      <c r="A1740" s="242"/>
      <c r="B1740" s="241"/>
      <c r="C1740" s="241" t="s">
        <v>192</v>
      </c>
      <c r="D1740" s="240" t="s">
        <v>191</v>
      </c>
      <c r="E1740" s="238">
        <v>122</v>
      </c>
      <c r="F1740" s="253"/>
      <c r="G1740" s="239" t="s">
        <v>2775</v>
      </c>
      <c r="H1740" s="238">
        <v>1</v>
      </c>
      <c r="I1740" s="237">
        <v>548.16</v>
      </c>
      <c r="J1740" s="238"/>
      <c r="K1740" s="237"/>
    </row>
    <row r="1741" spans="1:22" ht="15" x14ac:dyDescent="0.25">
      <c r="A1741" s="235"/>
      <c r="B1741" s="235"/>
      <c r="C1741" s="236" t="s">
        <v>183</v>
      </c>
      <c r="D1741" s="235"/>
      <c r="E1741" s="235"/>
      <c r="F1741" s="235"/>
      <c r="G1741" s="235"/>
      <c r="H1741" s="436">
        <v>134785.26999999999</v>
      </c>
      <c r="I1741" s="436"/>
      <c r="J1741" s="436">
        <v>664313.52</v>
      </c>
      <c r="K1741" s="436"/>
      <c r="O1741" s="163">
        <f>I1730+I1731+I1733+I1737+I1738+I1739+SUM(I1734:I1736)</f>
        <v>134785.26999999999</v>
      </c>
      <c r="P1741" s="163">
        <f>K1730+K1731+K1733+K1737+K1738+K1739+SUM(K1734:K1736)</f>
        <v>664313.52</v>
      </c>
    </row>
    <row r="1743" spans="1:22" ht="57" x14ac:dyDescent="0.2">
      <c r="A1743" s="179" t="s">
        <v>2805</v>
      </c>
      <c r="B1743" s="178" t="s">
        <v>2806</v>
      </c>
      <c r="C1743" s="178" t="s">
        <v>1034</v>
      </c>
      <c r="D1743" s="177" t="s">
        <v>2773</v>
      </c>
      <c r="E1743" s="174">
        <v>5.56</v>
      </c>
      <c r="F1743" s="176"/>
      <c r="G1743" s="175"/>
      <c r="H1743" s="174"/>
      <c r="I1743" s="173"/>
      <c r="J1743" s="174"/>
      <c r="K1743" s="173"/>
      <c r="Q1743" s="160">
        <f>[8]Source!X800</f>
        <v>7674.41</v>
      </c>
      <c r="R1743" s="160">
        <f>[8]Source!X801</f>
        <v>143358.04999999999</v>
      </c>
      <c r="S1743" s="160">
        <f>[8]Source!Y800</f>
        <v>5162.79</v>
      </c>
      <c r="T1743" s="160">
        <f>[8]Source!Y801</f>
        <v>66791.820000000007</v>
      </c>
      <c r="U1743" s="160">
        <f>ROUND((175/100)*ROUND([8]Source!R800, 2), 2)</f>
        <v>136.52000000000001</v>
      </c>
      <c r="V1743" s="160">
        <f>ROUND((157/100)*ROUND([8]Source!R801, 2), 2)</f>
        <v>2859.8</v>
      </c>
    </row>
    <row r="1744" spans="1:22" ht="25.5" x14ac:dyDescent="0.2">
      <c r="C1744" s="181" t="s">
        <v>2807</v>
      </c>
    </row>
    <row r="1745" spans="1:22" ht="14.25" x14ac:dyDescent="0.2">
      <c r="A1745" s="179"/>
      <c r="B1745" s="178"/>
      <c r="C1745" s="178" t="s">
        <v>197</v>
      </c>
      <c r="D1745" s="177"/>
      <c r="E1745" s="174"/>
      <c r="F1745" s="176">
        <v>1039.18</v>
      </c>
      <c r="G1745" s="175" t="s">
        <v>2775</v>
      </c>
      <c r="H1745" s="174">
        <v>1</v>
      </c>
      <c r="I1745" s="173">
        <v>6976.74</v>
      </c>
      <c r="J1745" s="174">
        <v>23.35</v>
      </c>
      <c r="K1745" s="173">
        <v>162906.88</v>
      </c>
    </row>
    <row r="1746" spans="1:22" ht="14.25" x14ac:dyDescent="0.2">
      <c r="A1746" s="179"/>
      <c r="B1746" s="178"/>
      <c r="C1746" s="178" t="s">
        <v>184</v>
      </c>
      <c r="D1746" s="177"/>
      <c r="E1746" s="174"/>
      <c r="F1746" s="176">
        <v>87.46</v>
      </c>
      <c r="G1746" s="175" t="s">
        <v>2776</v>
      </c>
      <c r="H1746" s="174">
        <v>1</v>
      </c>
      <c r="I1746" s="173">
        <v>638.24</v>
      </c>
      <c r="J1746" s="174">
        <v>8.0500000000000007</v>
      </c>
      <c r="K1746" s="173">
        <v>5137.83</v>
      </c>
    </row>
    <row r="1747" spans="1:22" ht="14.25" x14ac:dyDescent="0.2">
      <c r="A1747" s="179"/>
      <c r="B1747" s="178"/>
      <c r="C1747" s="178" t="s">
        <v>189</v>
      </c>
      <c r="D1747" s="177"/>
      <c r="E1747" s="174"/>
      <c r="F1747" s="176">
        <v>10.69</v>
      </c>
      <c r="G1747" s="175" t="s">
        <v>2776</v>
      </c>
      <c r="H1747" s="174">
        <v>1</v>
      </c>
      <c r="I1747" s="180">
        <v>78.010000000000005</v>
      </c>
      <c r="J1747" s="174">
        <v>23.35</v>
      </c>
      <c r="K1747" s="180">
        <v>1821.53</v>
      </c>
    </row>
    <row r="1748" spans="1:22" ht="14.25" x14ac:dyDescent="0.2">
      <c r="A1748" s="179"/>
      <c r="B1748" s="178"/>
      <c r="C1748" s="178" t="s">
        <v>205</v>
      </c>
      <c r="D1748" s="177"/>
      <c r="E1748" s="174"/>
      <c r="F1748" s="176">
        <v>409.71</v>
      </c>
      <c r="G1748" s="175" t="s">
        <v>195</v>
      </c>
      <c r="H1748" s="174">
        <v>1</v>
      </c>
      <c r="I1748" s="173">
        <v>2277.9899999999998</v>
      </c>
      <c r="J1748" s="174">
        <v>3.28</v>
      </c>
      <c r="K1748" s="173">
        <v>7471.81</v>
      </c>
    </row>
    <row r="1749" spans="1:22" ht="42.75" x14ac:dyDescent="0.2">
      <c r="A1749" s="179" t="s">
        <v>2808</v>
      </c>
      <c r="B1749" s="178" t="s">
        <v>2801</v>
      </c>
      <c r="C1749" s="178" t="s">
        <v>1031</v>
      </c>
      <c r="D1749" s="177" t="s">
        <v>1557</v>
      </c>
      <c r="E1749" s="174">
        <v>556</v>
      </c>
      <c r="F1749" s="176">
        <v>157.54</v>
      </c>
      <c r="G1749" s="182" t="s">
        <v>195</v>
      </c>
      <c r="H1749" s="174">
        <v>1</v>
      </c>
      <c r="I1749" s="173">
        <v>87592.24</v>
      </c>
      <c r="J1749" s="174">
        <v>3.07</v>
      </c>
      <c r="K1749" s="173">
        <v>268908.18</v>
      </c>
      <c r="Q1749" s="160">
        <f>[8]Source!X802</f>
        <v>0</v>
      </c>
      <c r="R1749" s="160">
        <f>[8]Source!X803</f>
        <v>0</v>
      </c>
      <c r="S1749" s="160">
        <f>[8]Source!Y802</f>
        <v>0</v>
      </c>
      <c r="T1749" s="160">
        <f>[8]Source!Y803</f>
        <v>0</v>
      </c>
      <c r="U1749" s="160">
        <f>ROUND((175/100)*ROUND([8]Source!R802, 2), 2)</f>
        <v>0</v>
      </c>
      <c r="V1749" s="160">
        <f>ROUND((157/100)*ROUND([8]Source!R803, 2), 2)</f>
        <v>0</v>
      </c>
    </row>
    <row r="1750" spans="1:22" ht="57" x14ac:dyDescent="0.2">
      <c r="A1750" s="179" t="s">
        <v>2809</v>
      </c>
      <c r="B1750" s="178" t="s">
        <v>2803</v>
      </c>
      <c r="C1750" s="178" t="s">
        <v>1028</v>
      </c>
      <c r="D1750" s="177" t="s">
        <v>1557</v>
      </c>
      <c r="E1750" s="174">
        <v>166.8</v>
      </c>
      <c r="F1750" s="176">
        <v>473</v>
      </c>
      <c r="G1750" s="182" t="s">
        <v>195</v>
      </c>
      <c r="H1750" s="174">
        <v>1</v>
      </c>
      <c r="I1750" s="173">
        <v>78896.399999999994</v>
      </c>
      <c r="J1750" s="174">
        <v>2.4500000000000002</v>
      </c>
      <c r="K1750" s="173">
        <v>193296.18</v>
      </c>
      <c r="Q1750" s="160">
        <f>[8]Source!X804</f>
        <v>0</v>
      </c>
      <c r="R1750" s="160">
        <f>[8]Source!X805</f>
        <v>0</v>
      </c>
      <c r="S1750" s="160">
        <f>[8]Source!Y804</f>
        <v>0</v>
      </c>
      <c r="T1750" s="160">
        <f>[8]Source!Y805</f>
        <v>0</v>
      </c>
      <c r="U1750" s="160">
        <f>ROUND((175/100)*ROUND([8]Source!R804, 2), 2)</f>
        <v>0</v>
      </c>
      <c r="V1750" s="160">
        <f>ROUND((157/100)*ROUND([8]Source!R805, 2), 2)</f>
        <v>0</v>
      </c>
    </row>
    <row r="1751" spans="1:22" ht="42.75" x14ac:dyDescent="0.2">
      <c r="A1751" s="179" t="s">
        <v>2810</v>
      </c>
      <c r="B1751" s="178" t="s">
        <v>2780</v>
      </c>
      <c r="C1751" s="178" t="s">
        <v>1027</v>
      </c>
      <c r="D1751" s="177" t="s">
        <v>1552</v>
      </c>
      <c r="E1751" s="174">
        <v>833</v>
      </c>
      <c r="F1751" s="176">
        <v>5.04</v>
      </c>
      <c r="G1751" s="182" t="s">
        <v>195</v>
      </c>
      <c r="H1751" s="174">
        <v>1</v>
      </c>
      <c r="I1751" s="173">
        <v>4198.32</v>
      </c>
      <c r="J1751" s="174">
        <v>2.42</v>
      </c>
      <c r="K1751" s="173">
        <v>10159.93</v>
      </c>
      <c r="Q1751" s="160">
        <f>[8]Source!X806</f>
        <v>0</v>
      </c>
      <c r="R1751" s="160">
        <f>[8]Source!X807</f>
        <v>0</v>
      </c>
      <c r="S1751" s="160">
        <f>[8]Source!Y806</f>
        <v>0</v>
      </c>
      <c r="T1751" s="160">
        <f>[8]Source!Y807</f>
        <v>0</v>
      </c>
      <c r="U1751" s="160">
        <f>ROUND((175/100)*ROUND([8]Source!R806, 2), 2)</f>
        <v>0</v>
      </c>
      <c r="V1751" s="160">
        <f>ROUND((157/100)*ROUND([8]Source!R807, 2), 2)</f>
        <v>0</v>
      </c>
    </row>
    <row r="1752" spans="1:22" ht="14.25" x14ac:dyDescent="0.2">
      <c r="A1752" s="179"/>
      <c r="B1752" s="178"/>
      <c r="C1752" s="178" t="s">
        <v>194</v>
      </c>
      <c r="D1752" s="177" t="s">
        <v>187</v>
      </c>
      <c r="E1752" s="174">
        <v>110</v>
      </c>
      <c r="F1752" s="176"/>
      <c r="G1752" s="175"/>
      <c r="H1752" s="174"/>
      <c r="I1752" s="173">
        <v>7674.41</v>
      </c>
      <c r="J1752" s="174">
        <v>88</v>
      </c>
      <c r="K1752" s="173">
        <v>143358.04999999999</v>
      </c>
    </row>
    <row r="1753" spans="1:22" ht="14.25" x14ac:dyDescent="0.2">
      <c r="A1753" s="179"/>
      <c r="B1753" s="178"/>
      <c r="C1753" s="178" t="s">
        <v>193</v>
      </c>
      <c r="D1753" s="177" t="s">
        <v>187</v>
      </c>
      <c r="E1753" s="174">
        <v>74</v>
      </c>
      <c r="F1753" s="176"/>
      <c r="G1753" s="175"/>
      <c r="H1753" s="174"/>
      <c r="I1753" s="173">
        <v>5162.79</v>
      </c>
      <c r="J1753" s="174">
        <v>41</v>
      </c>
      <c r="K1753" s="173">
        <v>66791.820000000007</v>
      </c>
    </row>
    <row r="1754" spans="1:22" ht="14.25" x14ac:dyDescent="0.2">
      <c r="A1754" s="179"/>
      <c r="B1754" s="178"/>
      <c r="C1754" s="178" t="s">
        <v>188</v>
      </c>
      <c r="D1754" s="177" t="s">
        <v>187</v>
      </c>
      <c r="E1754" s="174">
        <v>175</v>
      </c>
      <c r="F1754" s="176"/>
      <c r="G1754" s="175"/>
      <c r="H1754" s="174"/>
      <c r="I1754" s="173">
        <v>136.52000000000001</v>
      </c>
      <c r="J1754" s="174">
        <v>157</v>
      </c>
      <c r="K1754" s="173">
        <v>2859.8</v>
      </c>
    </row>
    <row r="1755" spans="1:22" ht="14.25" x14ac:dyDescent="0.2">
      <c r="A1755" s="242"/>
      <c r="B1755" s="241"/>
      <c r="C1755" s="241" t="s">
        <v>192</v>
      </c>
      <c r="D1755" s="240" t="s">
        <v>191</v>
      </c>
      <c r="E1755" s="238">
        <v>91.8</v>
      </c>
      <c r="F1755" s="253"/>
      <c r="G1755" s="239" t="s">
        <v>2775</v>
      </c>
      <c r="H1755" s="238">
        <v>1</v>
      </c>
      <c r="I1755" s="237">
        <v>616.32000000000005</v>
      </c>
      <c r="J1755" s="238"/>
      <c r="K1755" s="237"/>
    </row>
    <row r="1756" spans="1:22" ht="15" x14ac:dyDescent="0.25">
      <c r="A1756" s="235"/>
      <c r="B1756" s="235"/>
      <c r="C1756" s="236" t="s">
        <v>183</v>
      </c>
      <c r="D1756" s="235"/>
      <c r="E1756" s="235"/>
      <c r="F1756" s="235"/>
      <c r="G1756" s="235"/>
      <c r="H1756" s="436">
        <v>193553.65</v>
      </c>
      <c r="I1756" s="436"/>
      <c r="J1756" s="436">
        <v>860890.48</v>
      </c>
      <c r="K1756" s="436"/>
      <c r="O1756" s="163">
        <f>I1745+I1746+I1748+I1752+I1753+I1754+SUM(I1749:I1751)</f>
        <v>193553.65</v>
      </c>
      <c r="P1756" s="163">
        <f>K1745+K1746+K1748+K1752+K1753+K1754+SUM(K1749:K1751)</f>
        <v>860890.48</v>
      </c>
    </row>
    <row r="1758" spans="1:22" ht="57" x14ac:dyDescent="0.2">
      <c r="A1758" s="179" t="s">
        <v>2811</v>
      </c>
      <c r="B1758" s="178" t="s">
        <v>2812</v>
      </c>
      <c r="C1758" s="178" t="s">
        <v>1033</v>
      </c>
      <c r="D1758" s="177" t="s">
        <v>2773</v>
      </c>
      <c r="E1758" s="174">
        <v>0.89800000000000002</v>
      </c>
      <c r="F1758" s="176"/>
      <c r="G1758" s="175"/>
      <c r="H1758" s="174"/>
      <c r="I1758" s="173"/>
      <c r="J1758" s="174"/>
      <c r="K1758" s="173"/>
      <c r="Q1758" s="160">
        <f>[8]Source!X808</f>
        <v>1001.86</v>
      </c>
      <c r="R1758" s="160">
        <f>[8]Source!X809</f>
        <v>18714.7</v>
      </c>
      <c r="S1758" s="160">
        <f>[8]Source!Y808</f>
        <v>673.98</v>
      </c>
      <c r="T1758" s="160">
        <f>[8]Source!Y809</f>
        <v>8719.35</v>
      </c>
      <c r="U1758" s="160">
        <f>ROUND((175/100)*ROUND([8]Source!R808, 2), 2)</f>
        <v>23.4</v>
      </c>
      <c r="V1758" s="160">
        <f>ROUND((157/100)*ROUND([8]Source!R809, 2), 2)</f>
        <v>490.14</v>
      </c>
    </row>
    <row r="1759" spans="1:22" x14ac:dyDescent="0.2">
      <c r="C1759" s="181" t="s">
        <v>2813</v>
      </c>
    </row>
    <row r="1760" spans="1:22" ht="14.25" x14ac:dyDescent="0.2">
      <c r="A1760" s="179"/>
      <c r="B1760" s="178"/>
      <c r="C1760" s="178" t="s">
        <v>197</v>
      </c>
      <c r="D1760" s="177"/>
      <c r="E1760" s="174"/>
      <c r="F1760" s="176">
        <v>839.94</v>
      </c>
      <c r="G1760" s="175" t="s">
        <v>2775</v>
      </c>
      <c r="H1760" s="174">
        <v>1</v>
      </c>
      <c r="I1760" s="173">
        <v>910.78</v>
      </c>
      <c r="J1760" s="174">
        <v>23.35</v>
      </c>
      <c r="K1760" s="173">
        <v>21266.71</v>
      </c>
    </row>
    <row r="1761" spans="1:22" ht="14.25" x14ac:dyDescent="0.2">
      <c r="A1761" s="179"/>
      <c r="B1761" s="178"/>
      <c r="C1761" s="178" t="s">
        <v>184</v>
      </c>
      <c r="D1761" s="177"/>
      <c r="E1761" s="174"/>
      <c r="F1761" s="176">
        <v>92.82</v>
      </c>
      <c r="G1761" s="175" t="s">
        <v>2776</v>
      </c>
      <c r="H1761" s="174">
        <v>1</v>
      </c>
      <c r="I1761" s="173">
        <v>109.4</v>
      </c>
      <c r="J1761" s="174">
        <v>8.06</v>
      </c>
      <c r="K1761" s="173">
        <v>881.76</v>
      </c>
    </row>
    <row r="1762" spans="1:22" ht="14.25" x14ac:dyDescent="0.2">
      <c r="A1762" s="179"/>
      <c r="B1762" s="178"/>
      <c r="C1762" s="178" t="s">
        <v>189</v>
      </c>
      <c r="D1762" s="177"/>
      <c r="E1762" s="174"/>
      <c r="F1762" s="176">
        <v>11.34</v>
      </c>
      <c r="G1762" s="175" t="s">
        <v>2776</v>
      </c>
      <c r="H1762" s="174">
        <v>1</v>
      </c>
      <c r="I1762" s="180">
        <v>13.37</v>
      </c>
      <c r="J1762" s="174">
        <v>23.35</v>
      </c>
      <c r="K1762" s="180">
        <v>312.19</v>
      </c>
    </row>
    <row r="1763" spans="1:22" ht="14.25" x14ac:dyDescent="0.2">
      <c r="A1763" s="179"/>
      <c r="B1763" s="178"/>
      <c r="C1763" s="178" t="s">
        <v>205</v>
      </c>
      <c r="D1763" s="177"/>
      <c r="E1763" s="174"/>
      <c r="F1763" s="176">
        <v>490.65</v>
      </c>
      <c r="G1763" s="175" t="s">
        <v>195</v>
      </c>
      <c r="H1763" s="174">
        <v>1</v>
      </c>
      <c r="I1763" s="173">
        <v>440.6</v>
      </c>
      <c r="J1763" s="174">
        <v>3.85</v>
      </c>
      <c r="K1763" s="173">
        <v>1696.31</v>
      </c>
    </row>
    <row r="1764" spans="1:22" ht="42.75" x14ac:dyDescent="0.2">
      <c r="A1764" s="179" t="s">
        <v>2814</v>
      </c>
      <c r="B1764" s="178" t="s">
        <v>2801</v>
      </c>
      <c r="C1764" s="178" t="s">
        <v>1031</v>
      </c>
      <c r="D1764" s="177" t="s">
        <v>1557</v>
      </c>
      <c r="E1764" s="174">
        <v>89.8</v>
      </c>
      <c r="F1764" s="176">
        <v>157.54</v>
      </c>
      <c r="G1764" s="182" t="s">
        <v>195</v>
      </c>
      <c r="H1764" s="174">
        <v>1</v>
      </c>
      <c r="I1764" s="173">
        <v>14147.09</v>
      </c>
      <c r="J1764" s="174">
        <v>3.07</v>
      </c>
      <c r="K1764" s="173">
        <v>43431.57</v>
      </c>
      <c r="Q1764" s="160">
        <f>[8]Source!X810</f>
        <v>0</v>
      </c>
      <c r="R1764" s="160">
        <f>[8]Source!X811</f>
        <v>0</v>
      </c>
      <c r="S1764" s="160">
        <f>[8]Source!Y810</f>
        <v>0</v>
      </c>
      <c r="T1764" s="160">
        <f>[8]Source!Y811</f>
        <v>0</v>
      </c>
      <c r="U1764" s="160">
        <f>ROUND((175/100)*ROUND([8]Source!R810, 2), 2)</f>
        <v>0</v>
      </c>
      <c r="V1764" s="160">
        <f>ROUND((157/100)*ROUND([8]Source!R811, 2), 2)</f>
        <v>0</v>
      </c>
    </row>
    <row r="1765" spans="1:22" ht="57" x14ac:dyDescent="0.2">
      <c r="A1765" s="179" t="s">
        <v>2815</v>
      </c>
      <c r="B1765" s="178" t="s">
        <v>2803</v>
      </c>
      <c r="C1765" s="178" t="s">
        <v>1028</v>
      </c>
      <c r="D1765" s="177" t="s">
        <v>1557</v>
      </c>
      <c r="E1765" s="174">
        <v>26.94</v>
      </c>
      <c r="F1765" s="176">
        <v>473</v>
      </c>
      <c r="G1765" s="182" t="s">
        <v>195</v>
      </c>
      <c r="H1765" s="174">
        <v>1</v>
      </c>
      <c r="I1765" s="173">
        <v>12742.62</v>
      </c>
      <c r="J1765" s="174">
        <v>2.4500000000000002</v>
      </c>
      <c r="K1765" s="173">
        <v>31219.42</v>
      </c>
      <c r="Q1765" s="160">
        <f>[8]Source!X812</f>
        <v>0</v>
      </c>
      <c r="R1765" s="160">
        <f>[8]Source!X813</f>
        <v>0</v>
      </c>
      <c r="S1765" s="160">
        <f>[8]Source!Y812</f>
        <v>0</v>
      </c>
      <c r="T1765" s="160">
        <f>[8]Source!Y813</f>
        <v>0</v>
      </c>
      <c r="U1765" s="160">
        <f>ROUND((175/100)*ROUND([8]Source!R812, 2), 2)</f>
        <v>0</v>
      </c>
      <c r="V1765" s="160">
        <f>ROUND((157/100)*ROUND([8]Source!R813, 2), 2)</f>
        <v>0</v>
      </c>
    </row>
    <row r="1766" spans="1:22" ht="42.75" x14ac:dyDescent="0.2">
      <c r="A1766" s="179" t="s">
        <v>2816</v>
      </c>
      <c r="B1766" s="178" t="s">
        <v>2780</v>
      </c>
      <c r="C1766" s="178" t="s">
        <v>1027</v>
      </c>
      <c r="D1766" s="177" t="s">
        <v>1552</v>
      </c>
      <c r="E1766" s="174">
        <v>134.26</v>
      </c>
      <c r="F1766" s="176">
        <v>5.04</v>
      </c>
      <c r="G1766" s="182" t="s">
        <v>195</v>
      </c>
      <c r="H1766" s="174">
        <v>1</v>
      </c>
      <c r="I1766" s="173">
        <v>676.67</v>
      </c>
      <c r="J1766" s="174">
        <v>2.42</v>
      </c>
      <c r="K1766" s="173">
        <v>1637.54</v>
      </c>
      <c r="Q1766" s="160">
        <f>[8]Source!X814</f>
        <v>0</v>
      </c>
      <c r="R1766" s="160">
        <f>[8]Source!X815</f>
        <v>0</v>
      </c>
      <c r="S1766" s="160">
        <f>[8]Source!Y814</f>
        <v>0</v>
      </c>
      <c r="T1766" s="160">
        <f>[8]Source!Y815</f>
        <v>0</v>
      </c>
      <c r="U1766" s="160">
        <f>ROUND((175/100)*ROUND([8]Source!R814, 2), 2)</f>
        <v>0</v>
      </c>
      <c r="V1766" s="160">
        <f>ROUND((157/100)*ROUND([8]Source!R815, 2), 2)</f>
        <v>0</v>
      </c>
    </row>
    <row r="1767" spans="1:22" ht="14.25" x14ac:dyDescent="0.2">
      <c r="A1767" s="179"/>
      <c r="B1767" s="178"/>
      <c r="C1767" s="178" t="s">
        <v>194</v>
      </c>
      <c r="D1767" s="177" t="s">
        <v>187</v>
      </c>
      <c r="E1767" s="174">
        <v>110</v>
      </c>
      <c r="F1767" s="176"/>
      <c r="G1767" s="175"/>
      <c r="H1767" s="174"/>
      <c r="I1767" s="173">
        <v>1001.86</v>
      </c>
      <c r="J1767" s="174">
        <v>88</v>
      </c>
      <c r="K1767" s="173">
        <v>18714.7</v>
      </c>
    </row>
    <row r="1768" spans="1:22" ht="14.25" x14ac:dyDescent="0.2">
      <c r="A1768" s="179"/>
      <c r="B1768" s="178"/>
      <c r="C1768" s="178" t="s">
        <v>193</v>
      </c>
      <c r="D1768" s="177" t="s">
        <v>187</v>
      </c>
      <c r="E1768" s="174">
        <v>74</v>
      </c>
      <c r="F1768" s="176"/>
      <c r="G1768" s="175"/>
      <c r="H1768" s="174"/>
      <c r="I1768" s="173">
        <v>673.98</v>
      </c>
      <c r="J1768" s="174">
        <v>41</v>
      </c>
      <c r="K1768" s="173">
        <v>8719.35</v>
      </c>
    </row>
    <row r="1769" spans="1:22" ht="14.25" x14ac:dyDescent="0.2">
      <c r="A1769" s="179"/>
      <c r="B1769" s="178"/>
      <c r="C1769" s="178" t="s">
        <v>188</v>
      </c>
      <c r="D1769" s="177" t="s">
        <v>187</v>
      </c>
      <c r="E1769" s="174">
        <v>175</v>
      </c>
      <c r="F1769" s="176"/>
      <c r="G1769" s="175"/>
      <c r="H1769" s="174"/>
      <c r="I1769" s="173">
        <v>23.4</v>
      </c>
      <c r="J1769" s="174">
        <v>157</v>
      </c>
      <c r="K1769" s="173">
        <v>490.14</v>
      </c>
    </row>
    <row r="1770" spans="1:22" ht="14.25" x14ac:dyDescent="0.2">
      <c r="A1770" s="242"/>
      <c r="B1770" s="241"/>
      <c r="C1770" s="241" t="s">
        <v>192</v>
      </c>
      <c r="D1770" s="240" t="s">
        <v>191</v>
      </c>
      <c r="E1770" s="238">
        <v>74.2</v>
      </c>
      <c r="F1770" s="253"/>
      <c r="G1770" s="239" t="s">
        <v>2775</v>
      </c>
      <c r="H1770" s="238">
        <v>1</v>
      </c>
      <c r="I1770" s="237">
        <v>80.459999999999994</v>
      </c>
      <c r="J1770" s="238"/>
      <c r="K1770" s="237"/>
    </row>
    <row r="1771" spans="1:22" ht="15" x14ac:dyDescent="0.25">
      <c r="A1771" s="235"/>
      <c r="B1771" s="235"/>
      <c r="C1771" s="236" t="s">
        <v>183</v>
      </c>
      <c r="D1771" s="235"/>
      <c r="E1771" s="235"/>
      <c r="F1771" s="235"/>
      <c r="G1771" s="235"/>
      <c r="H1771" s="436">
        <v>30726.400000000001</v>
      </c>
      <c r="I1771" s="436"/>
      <c r="J1771" s="436">
        <v>128057.5</v>
      </c>
      <c r="K1771" s="436"/>
      <c r="O1771" s="163">
        <f>I1760+I1761+I1763+I1767+I1768+I1769+SUM(I1764:I1766)</f>
        <v>30726.400000000001</v>
      </c>
      <c r="P1771" s="163">
        <f>K1760+K1761+K1763+K1767+K1768+K1769+SUM(K1764:K1766)</f>
        <v>128057.5</v>
      </c>
    </row>
    <row r="1773" spans="1:22" ht="57" x14ac:dyDescent="0.2">
      <c r="A1773" s="179" t="s">
        <v>2817</v>
      </c>
      <c r="B1773" s="178" t="s">
        <v>2818</v>
      </c>
      <c r="C1773" s="178" t="s">
        <v>1032</v>
      </c>
      <c r="D1773" s="177" t="s">
        <v>2773</v>
      </c>
      <c r="E1773" s="174">
        <v>1.1339999999999999</v>
      </c>
      <c r="F1773" s="176"/>
      <c r="G1773" s="175"/>
      <c r="H1773" s="174"/>
      <c r="I1773" s="173"/>
      <c r="J1773" s="174"/>
      <c r="K1773" s="173"/>
      <c r="Q1773" s="160">
        <f>[8]Source!X816</f>
        <v>1078.06</v>
      </c>
      <c r="R1773" s="160">
        <f>[8]Source!X817</f>
        <v>20138.07</v>
      </c>
      <c r="S1773" s="160">
        <f>[8]Source!Y816</f>
        <v>725.24</v>
      </c>
      <c r="T1773" s="160">
        <f>[8]Source!Y817</f>
        <v>9382.51</v>
      </c>
      <c r="U1773" s="160">
        <f>ROUND((175/100)*ROUND([8]Source!R816, 2), 2)</f>
        <v>28.75</v>
      </c>
      <c r="V1773" s="160">
        <f>ROUND((157/100)*ROUND([8]Source!R817, 2), 2)</f>
        <v>602.30999999999995</v>
      </c>
    </row>
    <row r="1774" spans="1:22" x14ac:dyDescent="0.2">
      <c r="C1774" s="181" t="s">
        <v>2819</v>
      </c>
    </row>
    <row r="1775" spans="1:22" ht="14.25" x14ac:dyDescent="0.2">
      <c r="A1775" s="179"/>
      <c r="B1775" s="178"/>
      <c r="C1775" s="178" t="s">
        <v>197</v>
      </c>
      <c r="D1775" s="177"/>
      <c r="E1775" s="174"/>
      <c r="F1775" s="176">
        <v>715.73</v>
      </c>
      <c r="G1775" s="175" t="s">
        <v>2775</v>
      </c>
      <c r="H1775" s="174">
        <v>1</v>
      </c>
      <c r="I1775" s="173">
        <v>980.05</v>
      </c>
      <c r="J1775" s="174">
        <v>23.35</v>
      </c>
      <c r="K1775" s="173">
        <v>22884.17</v>
      </c>
    </row>
    <row r="1776" spans="1:22" ht="14.25" x14ac:dyDescent="0.2">
      <c r="A1776" s="179"/>
      <c r="B1776" s="178"/>
      <c r="C1776" s="178" t="s">
        <v>184</v>
      </c>
      <c r="D1776" s="177"/>
      <c r="E1776" s="174"/>
      <c r="F1776" s="176">
        <v>92.5</v>
      </c>
      <c r="G1776" s="175" t="s">
        <v>2776</v>
      </c>
      <c r="H1776" s="174">
        <v>1</v>
      </c>
      <c r="I1776" s="173">
        <v>137.66999999999999</v>
      </c>
      <c r="J1776" s="174">
        <v>8.01</v>
      </c>
      <c r="K1776" s="173">
        <v>1102.74</v>
      </c>
    </row>
    <row r="1777" spans="1:22" ht="14.25" x14ac:dyDescent="0.2">
      <c r="A1777" s="179"/>
      <c r="B1777" s="178"/>
      <c r="C1777" s="178" t="s">
        <v>189</v>
      </c>
      <c r="D1777" s="177"/>
      <c r="E1777" s="174"/>
      <c r="F1777" s="176">
        <v>11.04</v>
      </c>
      <c r="G1777" s="175" t="s">
        <v>2776</v>
      </c>
      <c r="H1777" s="174">
        <v>1</v>
      </c>
      <c r="I1777" s="180">
        <v>16.43</v>
      </c>
      <c r="J1777" s="174">
        <v>23.35</v>
      </c>
      <c r="K1777" s="180">
        <v>383.64</v>
      </c>
    </row>
    <row r="1778" spans="1:22" ht="14.25" x14ac:dyDescent="0.2">
      <c r="A1778" s="179"/>
      <c r="B1778" s="178"/>
      <c r="C1778" s="178" t="s">
        <v>205</v>
      </c>
      <c r="D1778" s="177"/>
      <c r="E1778" s="174"/>
      <c r="F1778" s="176">
        <v>516.49</v>
      </c>
      <c r="G1778" s="175" t="s">
        <v>195</v>
      </c>
      <c r="H1778" s="174">
        <v>1</v>
      </c>
      <c r="I1778" s="173">
        <v>585.70000000000005</v>
      </c>
      <c r="J1778" s="174">
        <v>3.77</v>
      </c>
      <c r="K1778" s="173">
        <v>2208.09</v>
      </c>
    </row>
    <row r="1779" spans="1:22" ht="42.75" x14ac:dyDescent="0.2">
      <c r="A1779" s="179" t="s">
        <v>2820</v>
      </c>
      <c r="B1779" s="178" t="s">
        <v>2801</v>
      </c>
      <c r="C1779" s="178" t="s">
        <v>1031</v>
      </c>
      <c r="D1779" s="177" t="s">
        <v>1557</v>
      </c>
      <c r="E1779" s="174">
        <v>113.4</v>
      </c>
      <c r="F1779" s="176">
        <v>157.54</v>
      </c>
      <c r="G1779" s="182" t="s">
        <v>195</v>
      </c>
      <c r="H1779" s="174">
        <v>1</v>
      </c>
      <c r="I1779" s="173">
        <v>17865.04</v>
      </c>
      <c r="J1779" s="174">
        <v>3.07</v>
      </c>
      <c r="K1779" s="173">
        <v>54845.67</v>
      </c>
      <c r="Q1779" s="160">
        <f>[8]Source!X818</f>
        <v>0</v>
      </c>
      <c r="R1779" s="160">
        <f>[8]Source!X819</f>
        <v>0</v>
      </c>
      <c r="S1779" s="160">
        <f>[8]Source!Y818</f>
        <v>0</v>
      </c>
      <c r="T1779" s="160">
        <f>[8]Source!Y819</f>
        <v>0</v>
      </c>
      <c r="U1779" s="160">
        <f>ROUND((175/100)*ROUND([8]Source!R818, 2), 2)</f>
        <v>0</v>
      </c>
      <c r="V1779" s="160">
        <f>ROUND((157/100)*ROUND([8]Source!R819, 2), 2)</f>
        <v>0</v>
      </c>
    </row>
    <row r="1780" spans="1:22" ht="57" x14ac:dyDescent="0.2">
      <c r="A1780" s="179" t="s">
        <v>2821</v>
      </c>
      <c r="B1780" s="178" t="s">
        <v>2803</v>
      </c>
      <c r="C1780" s="178" t="s">
        <v>1028</v>
      </c>
      <c r="D1780" s="177" t="s">
        <v>1557</v>
      </c>
      <c r="E1780" s="174">
        <v>34.020000000000003</v>
      </c>
      <c r="F1780" s="176">
        <v>473</v>
      </c>
      <c r="G1780" s="182" t="s">
        <v>195</v>
      </c>
      <c r="H1780" s="174">
        <v>1</v>
      </c>
      <c r="I1780" s="173">
        <v>16091.46</v>
      </c>
      <c r="J1780" s="174">
        <v>2.4500000000000002</v>
      </c>
      <c r="K1780" s="173">
        <v>39424.080000000002</v>
      </c>
      <c r="Q1780" s="160">
        <f>[8]Source!X820</f>
        <v>0</v>
      </c>
      <c r="R1780" s="160">
        <f>[8]Source!X821</f>
        <v>0</v>
      </c>
      <c r="S1780" s="160">
        <f>[8]Source!Y820</f>
        <v>0</v>
      </c>
      <c r="T1780" s="160">
        <f>[8]Source!Y821</f>
        <v>0</v>
      </c>
      <c r="U1780" s="160">
        <f>ROUND((175/100)*ROUND([8]Source!R820, 2), 2)</f>
        <v>0</v>
      </c>
      <c r="V1780" s="160">
        <f>ROUND((157/100)*ROUND([8]Source!R821, 2), 2)</f>
        <v>0</v>
      </c>
    </row>
    <row r="1781" spans="1:22" ht="42.75" x14ac:dyDescent="0.2">
      <c r="A1781" s="179" t="s">
        <v>2822</v>
      </c>
      <c r="B1781" s="178" t="s">
        <v>2780</v>
      </c>
      <c r="C1781" s="178" t="s">
        <v>1027</v>
      </c>
      <c r="D1781" s="177" t="s">
        <v>1552</v>
      </c>
      <c r="E1781" s="174">
        <v>170</v>
      </c>
      <c r="F1781" s="176">
        <v>5.04</v>
      </c>
      <c r="G1781" s="182" t="s">
        <v>195</v>
      </c>
      <c r="H1781" s="174">
        <v>1</v>
      </c>
      <c r="I1781" s="173">
        <v>856.8</v>
      </c>
      <c r="J1781" s="174">
        <v>2.42</v>
      </c>
      <c r="K1781" s="173">
        <v>2073.46</v>
      </c>
      <c r="Q1781" s="160">
        <f>[8]Source!X822</f>
        <v>0</v>
      </c>
      <c r="R1781" s="160">
        <f>[8]Source!X823</f>
        <v>0</v>
      </c>
      <c r="S1781" s="160">
        <f>[8]Source!Y822</f>
        <v>0</v>
      </c>
      <c r="T1781" s="160">
        <f>[8]Source!Y823</f>
        <v>0</v>
      </c>
      <c r="U1781" s="160">
        <f>ROUND((175/100)*ROUND([8]Source!R822, 2), 2)</f>
        <v>0</v>
      </c>
      <c r="V1781" s="160">
        <f>ROUND((157/100)*ROUND([8]Source!R823, 2), 2)</f>
        <v>0</v>
      </c>
    </row>
    <row r="1782" spans="1:22" ht="14.25" x14ac:dyDescent="0.2">
      <c r="A1782" s="179"/>
      <c r="B1782" s="178"/>
      <c r="C1782" s="178" t="s">
        <v>194</v>
      </c>
      <c r="D1782" s="177" t="s">
        <v>187</v>
      </c>
      <c r="E1782" s="174">
        <v>110</v>
      </c>
      <c r="F1782" s="176"/>
      <c r="G1782" s="175"/>
      <c r="H1782" s="174"/>
      <c r="I1782" s="173">
        <v>1078.06</v>
      </c>
      <c r="J1782" s="174">
        <v>88</v>
      </c>
      <c r="K1782" s="173">
        <v>20138.07</v>
      </c>
    </row>
    <row r="1783" spans="1:22" ht="14.25" x14ac:dyDescent="0.2">
      <c r="A1783" s="179"/>
      <c r="B1783" s="178"/>
      <c r="C1783" s="178" t="s">
        <v>193</v>
      </c>
      <c r="D1783" s="177" t="s">
        <v>187</v>
      </c>
      <c r="E1783" s="174">
        <v>74</v>
      </c>
      <c r="F1783" s="176"/>
      <c r="G1783" s="175"/>
      <c r="H1783" s="174"/>
      <c r="I1783" s="173">
        <v>725.24</v>
      </c>
      <c r="J1783" s="174">
        <v>41</v>
      </c>
      <c r="K1783" s="173">
        <v>9382.51</v>
      </c>
    </row>
    <row r="1784" spans="1:22" ht="14.25" x14ac:dyDescent="0.2">
      <c r="A1784" s="179"/>
      <c r="B1784" s="178"/>
      <c r="C1784" s="178" t="s">
        <v>188</v>
      </c>
      <c r="D1784" s="177" t="s">
        <v>187</v>
      </c>
      <c r="E1784" s="174">
        <v>175</v>
      </c>
      <c r="F1784" s="176"/>
      <c r="G1784" s="175"/>
      <c r="H1784" s="174"/>
      <c r="I1784" s="173">
        <v>28.75</v>
      </c>
      <c r="J1784" s="174">
        <v>157</v>
      </c>
      <c r="K1784" s="173">
        <v>602.30999999999995</v>
      </c>
    </row>
    <row r="1785" spans="1:22" ht="14.25" x14ac:dyDescent="0.2">
      <c r="A1785" s="242"/>
      <c r="B1785" s="241"/>
      <c r="C1785" s="241" t="s">
        <v>192</v>
      </c>
      <c r="D1785" s="240" t="s">
        <v>191</v>
      </c>
      <c r="E1785" s="238">
        <v>62.4</v>
      </c>
      <c r="F1785" s="253"/>
      <c r="G1785" s="239" t="s">
        <v>2775</v>
      </c>
      <c r="H1785" s="238">
        <v>1</v>
      </c>
      <c r="I1785" s="237">
        <v>85.44</v>
      </c>
      <c r="J1785" s="238"/>
      <c r="K1785" s="237"/>
    </row>
    <row r="1786" spans="1:22" ht="15" x14ac:dyDescent="0.25">
      <c r="A1786" s="235"/>
      <c r="B1786" s="235"/>
      <c r="C1786" s="236" t="s">
        <v>183</v>
      </c>
      <c r="D1786" s="235"/>
      <c r="E1786" s="235"/>
      <c r="F1786" s="235"/>
      <c r="G1786" s="235"/>
      <c r="H1786" s="436">
        <v>38348.769999999997</v>
      </c>
      <c r="I1786" s="436"/>
      <c r="J1786" s="436">
        <v>152661.1</v>
      </c>
      <c r="K1786" s="436"/>
      <c r="O1786" s="163">
        <f>I1775+I1776+I1778+I1782+I1783+I1784+SUM(I1779:I1781)</f>
        <v>38348.769999999997</v>
      </c>
      <c r="P1786" s="163">
        <f>K1775+K1776+K1778+K1782+K1783+K1784+SUM(K1779:K1781)</f>
        <v>152661.1</v>
      </c>
    </row>
    <row r="1788" spans="1:22" ht="57" x14ac:dyDescent="0.2">
      <c r="A1788" s="179" t="s">
        <v>2823</v>
      </c>
      <c r="B1788" s="178" t="s">
        <v>2824</v>
      </c>
      <c r="C1788" s="178" t="s">
        <v>1030</v>
      </c>
      <c r="D1788" s="177" t="s">
        <v>2773</v>
      </c>
      <c r="E1788" s="174">
        <v>0.68400000000000005</v>
      </c>
      <c r="F1788" s="176"/>
      <c r="G1788" s="175"/>
      <c r="H1788" s="174"/>
      <c r="I1788" s="173"/>
      <c r="J1788" s="174"/>
      <c r="K1788" s="173"/>
      <c r="Q1788" s="160">
        <f>[8]Source!X824</f>
        <v>442.86</v>
      </c>
      <c r="R1788" s="160">
        <f>[8]Source!X825</f>
        <v>8272.6200000000008</v>
      </c>
      <c r="S1788" s="160">
        <f>[8]Source!Y824</f>
        <v>297.92</v>
      </c>
      <c r="T1788" s="160">
        <f>[8]Source!Y825</f>
        <v>3854.29</v>
      </c>
      <c r="U1788" s="160">
        <f>ROUND((175/100)*ROUND([8]Source!R824, 2), 2)</f>
        <v>19.579999999999998</v>
      </c>
      <c r="V1788" s="160">
        <f>ROUND((157/100)*ROUND([8]Source!R825, 2), 2)</f>
        <v>410.23</v>
      </c>
    </row>
    <row r="1789" spans="1:22" x14ac:dyDescent="0.2">
      <c r="C1789" s="181" t="s">
        <v>2825</v>
      </c>
    </row>
    <row r="1790" spans="1:22" ht="14.25" x14ac:dyDescent="0.2">
      <c r="A1790" s="179"/>
      <c r="B1790" s="178"/>
      <c r="C1790" s="178" t="s">
        <v>197</v>
      </c>
      <c r="D1790" s="177"/>
      <c r="E1790" s="174"/>
      <c r="F1790" s="176">
        <v>487.45</v>
      </c>
      <c r="G1790" s="175" t="s">
        <v>2775</v>
      </c>
      <c r="H1790" s="174">
        <v>1</v>
      </c>
      <c r="I1790" s="173">
        <v>402.6</v>
      </c>
      <c r="J1790" s="174">
        <v>23.35</v>
      </c>
      <c r="K1790" s="173">
        <v>9400.7099999999991</v>
      </c>
    </row>
    <row r="1791" spans="1:22" ht="14.25" x14ac:dyDescent="0.2">
      <c r="A1791" s="179"/>
      <c r="B1791" s="178"/>
      <c r="C1791" s="178" t="s">
        <v>184</v>
      </c>
      <c r="D1791" s="177"/>
      <c r="E1791" s="174"/>
      <c r="F1791" s="176">
        <v>99.68</v>
      </c>
      <c r="G1791" s="175" t="s">
        <v>2776</v>
      </c>
      <c r="H1791" s="174">
        <v>1</v>
      </c>
      <c r="I1791" s="173">
        <v>89.49</v>
      </c>
      <c r="J1791" s="174">
        <v>8.1199999999999992</v>
      </c>
      <c r="K1791" s="173">
        <v>726.66</v>
      </c>
    </row>
    <row r="1792" spans="1:22" ht="14.25" x14ac:dyDescent="0.2">
      <c r="A1792" s="179"/>
      <c r="B1792" s="178"/>
      <c r="C1792" s="178" t="s">
        <v>189</v>
      </c>
      <c r="D1792" s="177"/>
      <c r="E1792" s="174"/>
      <c r="F1792" s="176">
        <v>12.47</v>
      </c>
      <c r="G1792" s="175" t="s">
        <v>2776</v>
      </c>
      <c r="H1792" s="174">
        <v>1</v>
      </c>
      <c r="I1792" s="180">
        <v>11.19</v>
      </c>
      <c r="J1792" s="174">
        <v>23.35</v>
      </c>
      <c r="K1792" s="180">
        <v>261.29000000000002</v>
      </c>
    </row>
    <row r="1793" spans="1:22" ht="14.25" x14ac:dyDescent="0.2">
      <c r="A1793" s="179"/>
      <c r="B1793" s="178"/>
      <c r="C1793" s="178" t="s">
        <v>205</v>
      </c>
      <c r="D1793" s="177"/>
      <c r="E1793" s="174"/>
      <c r="F1793" s="176">
        <v>723.42</v>
      </c>
      <c r="G1793" s="175" t="s">
        <v>195</v>
      </c>
      <c r="H1793" s="174">
        <v>1</v>
      </c>
      <c r="I1793" s="173">
        <v>494.82</v>
      </c>
      <c r="J1793" s="174">
        <v>3.4</v>
      </c>
      <c r="K1793" s="173">
        <v>1682.39</v>
      </c>
    </row>
    <row r="1794" spans="1:22" ht="42.75" x14ac:dyDescent="0.2">
      <c r="A1794" s="179" t="s">
        <v>2826</v>
      </c>
      <c r="B1794" s="178" t="s">
        <v>2827</v>
      </c>
      <c r="C1794" s="178" t="s">
        <v>1029</v>
      </c>
      <c r="D1794" s="177" t="s">
        <v>1557</v>
      </c>
      <c r="E1794" s="174">
        <v>68.400000000000006</v>
      </c>
      <c r="F1794" s="176">
        <v>159.4</v>
      </c>
      <c r="G1794" s="182" t="s">
        <v>195</v>
      </c>
      <c r="H1794" s="174">
        <v>1</v>
      </c>
      <c r="I1794" s="173">
        <v>10902.96</v>
      </c>
      <c r="J1794" s="174">
        <v>3.03</v>
      </c>
      <c r="K1794" s="173">
        <v>33035.97</v>
      </c>
      <c r="Q1794" s="160">
        <f>[8]Source!X826</f>
        <v>0</v>
      </c>
      <c r="R1794" s="160">
        <f>[8]Source!X827</f>
        <v>0</v>
      </c>
      <c r="S1794" s="160">
        <f>[8]Source!Y826</f>
        <v>0</v>
      </c>
      <c r="T1794" s="160">
        <f>[8]Source!Y827</f>
        <v>0</v>
      </c>
      <c r="U1794" s="160">
        <f>ROUND((175/100)*ROUND([8]Source!R826, 2), 2)</f>
        <v>0</v>
      </c>
      <c r="V1794" s="160">
        <f>ROUND((157/100)*ROUND([8]Source!R827, 2), 2)</f>
        <v>0</v>
      </c>
    </row>
    <row r="1795" spans="1:22" ht="57" x14ac:dyDescent="0.2">
      <c r="A1795" s="179" t="s">
        <v>2828</v>
      </c>
      <c r="B1795" s="178" t="s">
        <v>2803</v>
      </c>
      <c r="C1795" s="178" t="s">
        <v>1028</v>
      </c>
      <c r="D1795" s="177" t="s">
        <v>1557</v>
      </c>
      <c r="E1795" s="174">
        <v>20.5</v>
      </c>
      <c r="F1795" s="176">
        <v>473</v>
      </c>
      <c r="G1795" s="182" t="s">
        <v>195</v>
      </c>
      <c r="H1795" s="174">
        <v>1</v>
      </c>
      <c r="I1795" s="173">
        <v>9696.5</v>
      </c>
      <c r="J1795" s="174">
        <v>2.4500000000000002</v>
      </c>
      <c r="K1795" s="173">
        <v>23756.43</v>
      </c>
      <c r="Q1795" s="160">
        <f>[8]Source!X828</f>
        <v>0</v>
      </c>
      <c r="R1795" s="160">
        <f>[8]Source!X829</f>
        <v>0</v>
      </c>
      <c r="S1795" s="160">
        <f>[8]Source!Y828</f>
        <v>0</v>
      </c>
      <c r="T1795" s="160">
        <f>[8]Source!Y829</f>
        <v>0</v>
      </c>
      <c r="U1795" s="160">
        <f>ROUND((175/100)*ROUND([8]Source!R828, 2), 2)</f>
        <v>0</v>
      </c>
      <c r="V1795" s="160">
        <f>ROUND((157/100)*ROUND([8]Source!R829, 2), 2)</f>
        <v>0</v>
      </c>
    </row>
    <row r="1796" spans="1:22" ht="42.75" x14ac:dyDescent="0.2">
      <c r="A1796" s="179" t="s">
        <v>2829</v>
      </c>
      <c r="B1796" s="178" t="s">
        <v>2780</v>
      </c>
      <c r="C1796" s="178" t="s">
        <v>1027</v>
      </c>
      <c r="D1796" s="177" t="s">
        <v>1552</v>
      </c>
      <c r="E1796" s="174">
        <v>102.6</v>
      </c>
      <c r="F1796" s="176">
        <v>5.04</v>
      </c>
      <c r="G1796" s="182" t="s">
        <v>195</v>
      </c>
      <c r="H1796" s="174">
        <v>1</v>
      </c>
      <c r="I1796" s="173">
        <v>517.1</v>
      </c>
      <c r="J1796" s="174">
        <v>2.42</v>
      </c>
      <c r="K1796" s="173">
        <v>1251.3800000000001</v>
      </c>
      <c r="Q1796" s="160">
        <f>[8]Source!X830</f>
        <v>0</v>
      </c>
      <c r="R1796" s="160">
        <f>[8]Source!X831</f>
        <v>0</v>
      </c>
      <c r="S1796" s="160">
        <f>[8]Source!Y830</f>
        <v>0</v>
      </c>
      <c r="T1796" s="160">
        <f>[8]Source!Y831</f>
        <v>0</v>
      </c>
      <c r="U1796" s="160">
        <f>ROUND((175/100)*ROUND([8]Source!R830, 2), 2)</f>
        <v>0</v>
      </c>
      <c r="V1796" s="160">
        <f>ROUND((157/100)*ROUND([8]Source!R831, 2), 2)</f>
        <v>0</v>
      </c>
    </row>
    <row r="1797" spans="1:22" ht="14.25" x14ac:dyDescent="0.2">
      <c r="A1797" s="179"/>
      <c r="B1797" s="178"/>
      <c r="C1797" s="178" t="s">
        <v>194</v>
      </c>
      <c r="D1797" s="177" t="s">
        <v>187</v>
      </c>
      <c r="E1797" s="174">
        <v>110</v>
      </c>
      <c r="F1797" s="176"/>
      <c r="G1797" s="175"/>
      <c r="H1797" s="174"/>
      <c r="I1797" s="173">
        <v>442.86</v>
      </c>
      <c r="J1797" s="174">
        <v>88</v>
      </c>
      <c r="K1797" s="173">
        <v>8272.6200000000008</v>
      </c>
    </row>
    <row r="1798" spans="1:22" ht="14.25" x14ac:dyDescent="0.2">
      <c r="A1798" s="179"/>
      <c r="B1798" s="178"/>
      <c r="C1798" s="178" t="s">
        <v>193</v>
      </c>
      <c r="D1798" s="177" t="s">
        <v>187</v>
      </c>
      <c r="E1798" s="174">
        <v>74</v>
      </c>
      <c r="F1798" s="176"/>
      <c r="G1798" s="175"/>
      <c r="H1798" s="174"/>
      <c r="I1798" s="173">
        <v>297.92</v>
      </c>
      <c r="J1798" s="174">
        <v>41</v>
      </c>
      <c r="K1798" s="173">
        <v>3854.29</v>
      </c>
    </row>
    <row r="1799" spans="1:22" ht="14.25" x14ac:dyDescent="0.2">
      <c r="A1799" s="179"/>
      <c r="B1799" s="178"/>
      <c r="C1799" s="178" t="s">
        <v>188</v>
      </c>
      <c r="D1799" s="177" t="s">
        <v>187</v>
      </c>
      <c r="E1799" s="174">
        <v>175</v>
      </c>
      <c r="F1799" s="176"/>
      <c r="G1799" s="175"/>
      <c r="H1799" s="174"/>
      <c r="I1799" s="173">
        <v>19.579999999999998</v>
      </c>
      <c r="J1799" s="174">
        <v>157</v>
      </c>
      <c r="K1799" s="173">
        <v>410.23</v>
      </c>
    </row>
    <row r="1800" spans="1:22" ht="14.25" x14ac:dyDescent="0.2">
      <c r="A1800" s="242"/>
      <c r="B1800" s="241"/>
      <c r="C1800" s="241" t="s">
        <v>192</v>
      </c>
      <c r="D1800" s="240" t="s">
        <v>191</v>
      </c>
      <c r="E1800" s="238">
        <v>43.6</v>
      </c>
      <c r="F1800" s="253"/>
      <c r="G1800" s="239" t="s">
        <v>2775</v>
      </c>
      <c r="H1800" s="238">
        <v>1</v>
      </c>
      <c r="I1800" s="237">
        <v>36.01</v>
      </c>
      <c r="J1800" s="238"/>
      <c r="K1800" s="237"/>
    </row>
    <row r="1801" spans="1:22" ht="15" x14ac:dyDescent="0.25">
      <c r="A1801" s="235"/>
      <c r="B1801" s="235"/>
      <c r="C1801" s="236" t="s">
        <v>183</v>
      </c>
      <c r="D1801" s="235"/>
      <c r="E1801" s="235"/>
      <c r="F1801" s="235"/>
      <c r="G1801" s="235"/>
      <c r="H1801" s="436">
        <v>22863.83</v>
      </c>
      <c r="I1801" s="436"/>
      <c r="J1801" s="436">
        <v>82390.679999999993</v>
      </c>
      <c r="K1801" s="436"/>
      <c r="O1801" s="163">
        <f>I1790+I1791+I1793+I1797+I1798+I1799+SUM(I1794:I1796)</f>
        <v>22863.83</v>
      </c>
      <c r="P1801" s="163">
        <f>K1790+K1791+K1793+K1797+K1798+K1799+SUM(K1794:K1796)</f>
        <v>82390.679999999993</v>
      </c>
    </row>
    <row r="1803" spans="1:22" ht="28.5" x14ac:dyDescent="0.2">
      <c r="A1803" s="179" t="s">
        <v>2830</v>
      </c>
      <c r="B1803" s="178" t="s">
        <v>2675</v>
      </c>
      <c r="C1803" s="178" t="s">
        <v>1026</v>
      </c>
      <c r="D1803" s="177" t="s">
        <v>2676</v>
      </c>
      <c r="E1803" s="174">
        <v>165</v>
      </c>
      <c r="F1803" s="176"/>
      <c r="G1803" s="175"/>
      <c r="H1803" s="174"/>
      <c r="I1803" s="173"/>
      <c r="J1803" s="174"/>
      <c r="K1803" s="173"/>
      <c r="Q1803" s="160">
        <f>[8]Source!X832</f>
        <v>2621.17</v>
      </c>
      <c r="R1803" s="160">
        <f>[8]Source!X833</f>
        <v>48963.42</v>
      </c>
      <c r="S1803" s="160">
        <f>[8]Source!Y832</f>
        <v>1763.33</v>
      </c>
      <c r="T1803" s="160">
        <f>[8]Source!Y833</f>
        <v>22812.5</v>
      </c>
      <c r="U1803" s="160">
        <f>ROUND((175/100)*ROUND([8]Source!R832, 2), 2)</f>
        <v>68.22</v>
      </c>
      <c r="V1803" s="160">
        <f>ROUND((157/100)*ROUND([8]Source!R833, 2), 2)</f>
        <v>1428.98</v>
      </c>
    </row>
    <row r="1804" spans="1:22" x14ac:dyDescent="0.2">
      <c r="C1804" s="181" t="s">
        <v>2831</v>
      </c>
    </row>
    <row r="1805" spans="1:22" ht="14.25" x14ac:dyDescent="0.2">
      <c r="A1805" s="179"/>
      <c r="B1805" s="178"/>
      <c r="C1805" s="178" t="s">
        <v>197</v>
      </c>
      <c r="D1805" s="177"/>
      <c r="E1805" s="174"/>
      <c r="F1805" s="176">
        <v>11.96</v>
      </c>
      <c r="G1805" s="175" t="s">
        <v>2668</v>
      </c>
      <c r="H1805" s="174">
        <v>1</v>
      </c>
      <c r="I1805" s="173">
        <v>2382.88</v>
      </c>
      <c r="J1805" s="174">
        <v>23.35</v>
      </c>
      <c r="K1805" s="173">
        <v>55640.25</v>
      </c>
    </row>
    <row r="1806" spans="1:22" ht="14.25" x14ac:dyDescent="0.2">
      <c r="A1806" s="179"/>
      <c r="B1806" s="178"/>
      <c r="C1806" s="178" t="s">
        <v>184</v>
      </c>
      <c r="D1806" s="177"/>
      <c r="E1806" s="174"/>
      <c r="F1806" s="176">
        <v>0.74</v>
      </c>
      <c r="G1806" s="175" t="s">
        <v>2669</v>
      </c>
      <c r="H1806" s="174">
        <v>1</v>
      </c>
      <c r="I1806" s="173">
        <v>160.26</v>
      </c>
      <c r="J1806" s="174">
        <v>9.73</v>
      </c>
      <c r="K1806" s="173">
        <v>1559.33</v>
      </c>
    </row>
    <row r="1807" spans="1:22" ht="14.25" x14ac:dyDescent="0.2">
      <c r="A1807" s="179"/>
      <c r="B1807" s="178"/>
      <c r="C1807" s="178" t="s">
        <v>189</v>
      </c>
      <c r="D1807" s="177"/>
      <c r="E1807" s="174"/>
      <c r="F1807" s="176">
        <v>0.18</v>
      </c>
      <c r="G1807" s="175" t="s">
        <v>2669</v>
      </c>
      <c r="H1807" s="174">
        <v>1</v>
      </c>
      <c r="I1807" s="180">
        <v>38.979999999999997</v>
      </c>
      <c r="J1807" s="174">
        <v>23.35</v>
      </c>
      <c r="K1807" s="180">
        <v>910.18</v>
      </c>
    </row>
    <row r="1808" spans="1:22" ht="14.25" x14ac:dyDescent="0.2">
      <c r="A1808" s="179"/>
      <c r="B1808" s="178"/>
      <c r="C1808" s="178" t="s">
        <v>205</v>
      </c>
      <c r="D1808" s="177"/>
      <c r="E1808" s="174"/>
      <c r="F1808" s="176">
        <v>4.41</v>
      </c>
      <c r="G1808" s="175" t="s">
        <v>195</v>
      </c>
      <c r="H1808" s="174">
        <v>1</v>
      </c>
      <c r="I1808" s="173">
        <v>727.65</v>
      </c>
      <c r="J1808" s="174">
        <v>5.42</v>
      </c>
      <c r="K1808" s="173">
        <v>3943.86</v>
      </c>
    </row>
    <row r="1809" spans="1:22" ht="14.25" x14ac:dyDescent="0.2">
      <c r="A1809" s="179"/>
      <c r="B1809" s="178"/>
      <c r="C1809" s="178" t="s">
        <v>194</v>
      </c>
      <c r="D1809" s="177" t="s">
        <v>187</v>
      </c>
      <c r="E1809" s="174">
        <v>110</v>
      </c>
      <c r="F1809" s="176"/>
      <c r="G1809" s="175"/>
      <c r="H1809" s="174"/>
      <c r="I1809" s="173">
        <v>2621.17</v>
      </c>
      <c r="J1809" s="174">
        <v>88</v>
      </c>
      <c r="K1809" s="173">
        <v>48963.42</v>
      </c>
    </row>
    <row r="1810" spans="1:22" ht="14.25" x14ac:dyDescent="0.2">
      <c r="A1810" s="179"/>
      <c r="B1810" s="178"/>
      <c r="C1810" s="178" t="s">
        <v>193</v>
      </c>
      <c r="D1810" s="177" t="s">
        <v>187</v>
      </c>
      <c r="E1810" s="174">
        <v>74</v>
      </c>
      <c r="F1810" s="176"/>
      <c r="G1810" s="175"/>
      <c r="H1810" s="174"/>
      <c r="I1810" s="173">
        <v>1763.33</v>
      </c>
      <c r="J1810" s="174">
        <v>41</v>
      </c>
      <c r="K1810" s="173">
        <v>22812.5</v>
      </c>
    </row>
    <row r="1811" spans="1:22" ht="14.25" x14ac:dyDescent="0.2">
      <c r="A1811" s="179"/>
      <c r="B1811" s="178"/>
      <c r="C1811" s="178" t="s">
        <v>188</v>
      </c>
      <c r="D1811" s="177" t="s">
        <v>187</v>
      </c>
      <c r="E1811" s="174">
        <v>175</v>
      </c>
      <c r="F1811" s="176"/>
      <c r="G1811" s="175"/>
      <c r="H1811" s="174"/>
      <c r="I1811" s="173">
        <v>68.22</v>
      </c>
      <c r="J1811" s="174">
        <v>157</v>
      </c>
      <c r="K1811" s="173">
        <v>1428.98</v>
      </c>
    </row>
    <row r="1812" spans="1:22" ht="14.25" x14ac:dyDescent="0.2">
      <c r="A1812" s="242"/>
      <c r="B1812" s="241"/>
      <c r="C1812" s="241" t="s">
        <v>192</v>
      </c>
      <c r="D1812" s="240" t="s">
        <v>191</v>
      </c>
      <c r="E1812" s="238">
        <v>1.03</v>
      </c>
      <c r="F1812" s="253"/>
      <c r="G1812" s="239" t="s">
        <v>2668</v>
      </c>
      <c r="H1812" s="238">
        <v>1</v>
      </c>
      <c r="I1812" s="237">
        <v>205.21</v>
      </c>
      <c r="J1812" s="238"/>
      <c r="K1812" s="237"/>
    </row>
    <row r="1813" spans="1:22" ht="15" x14ac:dyDescent="0.25">
      <c r="A1813" s="235"/>
      <c r="B1813" s="235"/>
      <c r="C1813" s="236" t="s">
        <v>183</v>
      </c>
      <c r="D1813" s="235"/>
      <c r="E1813" s="235"/>
      <c r="F1813" s="235"/>
      <c r="G1813" s="235"/>
      <c r="H1813" s="436">
        <v>7723.51</v>
      </c>
      <c r="I1813" s="436"/>
      <c r="J1813" s="436">
        <v>134348.34</v>
      </c>
      <c r="K1813" s="436"/>
      <c r="O1813" s="163">
        <f>I1805+I1806+I1808+I1809+I1810+I1811</f>
        <v>7723.51</v>
      </c>
      <c r="P1813" s="163">
        <f>K1805+K1806+K1808+K1809+K1810+K1811</f>
        <v>134348.34</v>
      </c>
    </row>
    <row r="1815" spans="1:22" ht="71.25" x14ac:dyDescent="0.2">
      <c r="A1815" s="242" t="s">
        <v>2832</v>
      </c>
      <c r="B1815" s="241" t="s">
        <v>2833</v>
      </c>
      <c r="C1815" s="241" t="s">
        <v>1025</v>
      </c>
      <c r="D1815" s="240" t="s">
        <v>1661</v>
      </c>
      <c r="E1815" s="238">
        <v>12</v>
      </c>
      <c r="F1815" s="253">
        <v>224.13</v>
      </c>
      <c r="G1815" s="239" t="s">
        <v>195</v>
      </c>
      <c r="H1815" s="238">
        <v>1</v>
      </c>
      <c r="I1815" s="237">
        <v>2689.56</v>
      </c>
      <c r="J1815" s="238">
        <v>3.25</v>
      </c>
      <c r="K1815" s="237">
        <v>8741.07</v>
      </c>
      <c r="Q1815" s="160">
        <f>[8]Source!X834</f>
        <v>0</v>
      </c>
      <c r="R1815" s="160">
        <f>[8]Source!X835</f>
        <v>0</v>
      </c>
      <c r="S1815" s="160">
        <f>[8]Source!Y834</f>
        <v>0</v>
      </c>
      <c r="T1815" s="160">
        <f>[8]Source!Y835</f>
        <v>0</v>
      </c>
      <c r="U1815" s="160">
        <f>ROUND((175/100)*ROUND([8]Source!R834, 2), 2)</f>
        <v>0</v>
      </c>
      <c r="V1815" s="160">
        <f>ROUND((157/100)*ROUND([8]Source!R835, 2), 2)</f>
        <v>0</v>
      </c>
    </row>
    <row r="1816" spans="1:22" ht="15" x14ac:dyDescent="0.25">
      <c r="A1816" s="235"/>
      <c r="B1816" s="235"/>
      <c r="C1816" s="236" t="s">
        <v>183</v>
      </c>
      <c r="D1816" s="235"/>
      <c r="E1816" s="235"/>
      <c r="F1816" s="235"/>
      <c r="G1816" s="235"/>
      <c r="H1816" s="436">
        <v>2689.56</v>
      </c>
      <c r="I1816" s="436"/>
      <c r="J1816" s="436">
        <v>8741.07</v>
      </c>
      <c r="K1816" s="436"/>
      <c r="O1816" s="163">
        <f>I1815</f>
        <v>2689.56</v>
      </c>
      <c r="P1816" s="163">
        <f>K1815</f>
        <v>8741.07</v>
      </c>
    </row>
    <row r="1818" spans="1:22" ht="71.25" x14ac:dyDescent="0.2">
      <c r="A1818" s="242" t="s">
        <v>2834</v>
      </c>
      <c r="B1818" s="241" t="s">
        <v>2835</v>
      </c>
      <c r="C1818" s="241" t="s">
        <v>1024</v>
      </c>
      <c r="D1818" s="240" t="s">
        <v>1661</v>
      </c>
      <c r="E1818" s="238">
        <v>50</v>
      </c>
      <c r="F1818" s="253">
        <v>247.54</v>
      </c>
      <c r="G1818" s="239" t="s">
        <v>195</v>
      </c>
      <c r="H1818" s="238">
        <v>1</v>
      </c>
      <c r="I1818" s="237">
        <v>12377</v>
      </c>
      <c r="J1818" s="238">
        <v>3.06</v>
      </c>
      <c r="K1818" s="237">
        <v>37873.620000000003</v>
      </c>
      <c r="Q1818" s="160">
        <f>[8]Source!X836</f>
        <v>0</v>
      </c>
      <c r="R1818" s="160">
        <f>[8]Source!X837</f>
        <v>0</v>
      </c>
      <c r="S1818" s="160">
        <f>[8]Source!Y836</f>
        <v>0</v>
      </c>
      <c r="T1818" s="160">
        <f>[8]Source!Y837</f>
        <v>0</v>
      </c>
      <c r="U1818" s="160">
        <f>ROUND((175/100)*ROUND([8]Source!R836, 2), 2)</f>
        <v>0</v>
      </c>
      <c r="V1818" s="160">
        <f>ROUND((157/100)*ROUND([8]Source!R837, 2), 2)</f>
        <v>0</v>
      </c>
    </row>
    <row r="1819" spans="1:22" ht="15" x14ac:dyDescent="0.25">
      <c r="A1819" s="235"/>
      <c r="B1819" s="235"/>
      <c r="C1819" s="236" t="s">
        <v>183</v>
      </c>
      <c r="D1819" s="235"/>
      <c r="E1819" s="235"/>
      <c r="F1819" s="235"/>
      <c r="G1819" s="235"/>
      <c r="H1819" s="436">
        <v>12377</v>
      </c>
      <c r="I1819" s="436"/>
      <c r="J1819" s="436">
        <v>37873.620000000003</v>
      </c>
      <c r="K1819" s="436"/>
      <c r="O1819" s="163">
        <f>I1818</f>
        <v>12377</v>
      </c>
      <c r="P1819" s="163">
        <f>K1818</f>
        <v>37873.620000000003</v>
      </c>
    </row>
    <row r="1821" spans="1:22" ht="71.25" x14ac:dyDescent="0.2">
      <c r="A1821" s="242" t="s">
        <v>2836</v>
      </c>
      <c r="B1821" s="241" t="s">
        <v>2837</v>
      </c>
      <c r="C1821" s="241" t="s">
        <v>1023</v>
      </c>
      <c r="D1821" s="240" t="s">
        <v>1661</v>
      </c>
      <c r="E1821" s="238">
        <v>14</v>
      </c>
      <c r="F1821" s="253">
        <v>287.01</v>
      </c>
      <c r="G1821" s="239" t="s">
        <v>195</v>
      </c>
      <c r="H1821" s="238">
        <v>1</v>
      </c>
      <c r="I1821" s="237">
        <v>4018.14</v>
      </c>
      <c r="J1821" s="238">
        <v>3.05</v>
      </c>
      <c r="K1821" s="237">
        <v>12255.33</v>
      </c>
      <c r="Q1821" s="160">
        <f>[8]Source!X838</f>
        <v>0</v>
      </c>
      <c r="R1821" s="160">
        <f>[8]Source!X839</f>
        <v>0</v>
      </c>
      <c r="S1821" s="160">
        <f>[8]Source!Y838</f>
        <v>0</v>
      </c>
      <c r="T1821" s="160">
        <f>[8]Source!Y839</f>
        <v>0</v>
      </c>
      <c r="U1821" s="160">
        <f>ROUND((175/100)*ROUND([8]Source!R838, 2), 2)</f>
        <v>0</v>
      </c>
      <c r="V1821" s="160">
        <f>ROUND((157/100)*ROUND([8]Source!R839, 2), 2)</f>
        <v>0</v>
      </c>
    </row>
    <row r="1822" spans="1:22" ht="15" x14ac:dyDescent="0.25">
      <c r="A1822" s="235"/>
      <c r="B1822" s="235"/>
      <c r="C1822" s="236" t="s">
        <v>183</v>
      </c>
      <c r="D1822" s="235"/>
      <c r="E1822" s="235"/>
      <c r="F1822" s="235"/>
      <c r="G1822" s="235"/>
      <c r="H1822" s="436">
        <v>4018.14</v>
      </c>
      <c r="I1822" s="436"/>
      <c r="J1822" s="436">
        <v>12255.33</v>
      </c>
      <c r="K1822" s="436"/>
      <c r="O1822" s="163">
        <f>I1821</f>
        <v>4018.14</v>
      </c>
      <c r="P1822" s="163">
        <f>K1821</f>
        <v>12255.33</v>
      </c>
    </row>
    <row r="1824" spans="1:22" ht="71.25" x14ac:dyDescent="0.2">
      <c r="A1824" s="242" t="s">
        <v>2838</v>
      </c>
      <c r="B1824" s="241" t="s">
        <v>2839</v>
      </c>
      <c r="C1824" s="241" t="s">
        <v>1022</v>
      </c>
      <c r="D1824" s="240" t="s">
        <v>1661</v>
      </c>
      <c r="E1824" s="238">
        <v>51</v>
      </c>
      <c r="F1824" s="253">
        <v>298.45999999999998</v>
      </c>
      <c r="G1824" s="239" t="s">
        <v>195</v>
      </c>
      <c r="H1824" s="238">
        <v>1</v>
      </c>
      <c r="I1824" s="237">
        <v>15221.46</v>
      </c>
      <c r="J1824" s="238">
        <v>3.33</v>
      </c>
      <c r="K1824" s="237">
        <v>50687.46</v>
      </c>
      <c r="Q1824" s="160">
        <f>[8]Source!X840</f>
        <v>0</v>
      </c>
      <c r="R1824" s="160">
        <f>[8]Source!X841</f>
        <v>0</v>
      </c>
      <c r="S1824" s="160">
        <f>[8]Source!Y840</f>
        <v>0</v>
      </c>
      <c r="T1824" s="160">
        <f>[8]Source!Y841</f>
        <v>0</v>
      </c>
      <c r="U1824" s="160">
        <f>ROUND((175/100)*ROUND([8]Source!R840, 2), 2)</f>
        <v>0</v>
      </c>
      <c r="V1824" s="160">
        <f>ROUND((157/100)*ROUND([8]Source!R841, 2), 2)</f>
        <v>0</v>
      </c>
    </row>
    <row r="1825" spans="1:22" ht="15" x14ac:dyDescent="0.25">
      <c r="A1825" s="235"/>
      <c r="B1825" s="235"/>
      <c r="C1825" s="236" t="s">
        <v>183</v>
      </c>
      <c r="D1825" s="235"/>
      <c r="E1825" s="235"/>
      <c r="F1825" s="235"/>
      <c r="G1825" s="235"/>
      <c r="H1825" s="436">
        <v>15221.46</v>
      </c>
      <c r="I1825" s="436"/>
      <c r="J1825" s="436">
        <v>50687.46</v>
      </c>
      <c r="K1825" s="436"/>
      <c r="O1825" s="163">
        <f>I1824</f>
        <v>15221.46</v>
      </c>
      <c r="P1825" s="163">
        <f>K1824</f>
        <v>50687.46</v>
      </c>
    </row>
    <row r="1827" spans="1:22" ht="71.25" x14ac:dyDescent="0.2">
      <c r="A1827" s="242" t="s">
        <v>2840</v>
      </c>
      <c r="B1827" s="241" t="s">
        <v>2841</v>
      </c>
      <c r="C1827" s="241" t="s">
        <v>1021</v>
      </c>
      <c r="D1827" s="240" t="s">
        <v>1661</v>
      </c>
      <c r="E1827" s="238">
        <v>36</v>
      </c>
      <c r="F1827" s="253">
        <v>321.33</v>
      </c>
      <c r="G1827" s="239" t="s">
        <v>195</v>
      </c>
      <c r="H1827" s="238">
        <v>1</v>
      </c>
      <c r="I1827" s="237">
        <v>11567.88</v>
      </c>
      <c r="J1827" s="238">
        <v>3.53</v>
      </c>
      <c r="K1827" s="237">
        <v>40834.620000000003</v>
      </c>
      <c r="Q1827" s="160">
        <f>[8]Source!X842</f>
        <v>0</v>
      </c>
      <c r="R1827" s="160">
        <f>[8]Source!X843</f>
        <v>0</v>
      </c>
      <c r="S1827" s="160">
        <f>[8]Source!Y842</f>
        <v>0</v>
      </c>
      <c r="T1827" s="160">
        <f>[8]Source!Y843</f>
        <v>0</v>
      </c>
      <c r="U1827" s="160">
        <f>ROUND((175/100)*ROUND([8]Source!R842, 2), 2)</f>
        <v>0</v>
      </c>
      <c r="V1827" s="160">
        <f>ROUND((157/100)*ROUND([8]Source!R843, 2), 2)</f>
        <v>0</v>
      </c>
    </row>
    <row r="1828" spans="1:22" ht="15" x14ac:dyDescent="0.25">
      <c r="A1828" s="235"/>
      <c r="B1828" s="235"/>
      <c r="C1828" s="236" t="s">
        <v>183</v>
      </c>
      <c r="D1828" s="235"/>
      <c r="E1828" s="235"/>
      <c r="F1828" s="235"/>
      <c r="G1828" s="235"/>
      <c r="H1828" s="436">
        <v>11567.88</v>
      </c>
      <c r="I1828" s="436"/>
      <c r="J1828" s="436">
        <v>40834.620000000003</v>
      </c>
      <c r="K1828" s="436"/>
      <c r="O1828" s="163">
        <f>I1827</f>
        <v>11567.88</v>
      </c>
      <c r="P1828" s="163">
        <f>K1827</f>
        <v>40834.620000000003</v>
      </c>
    </row>
    <row r="1830" spans="1:22" ht="71.25" x14ac:dyDescent="0.2">
      <c r="A1830" s="242" t="s">
        <v>2842</v>
      </c>
      <c r="B1830" s="241" t="s">
        <v>2843</v>
      </c>
      <c r="C1830" s="241" t="s">
        <v>1020</v>
      </c>
      <c r="D1830" s="240" t="s">
        <v>1661</v>
      </c>
      <c r="E1830" s="238">
        <v>2</v>
      </c>
      <c r="F1830" s="253">
        <v>298.73</v>
      </c>
      <c r="G1830" s="239" t="s">
        <v>195</v>
      </c>
      <c r="H1830" s="238">
        <v>1</v>
      </c>
      <c r="I1830" s="237">
        <v>597.46</v>
      </c>
      <c r="J1830" s="238">
        <v>4.05</v>
      </c>
      <c r="K1830" s="237">
        <v>2419.71</v>
      </c>
      <c r="Q1830" s="160">
        <f>[8]Source!X844</f>
        <v>0</v>
      </c>
      <c r="R1830" s="160">
        <f>[8]Source!X845</f>
        <v>0</v>
      </c>
      <c r="S1830" s="160">
        <f>[8]Source!Y844</f>
        <v>0</v>
      </c>
      <c r="T1830" s="160">
        <f>[8]Source!Y845</f>
        <v>0</v>
      </c>
      <c r="U1830" s="160">
        <f>ROUND((175/100)*ROUND([8]Source!R844, 2), 2)</f>
        <v>0</v>
      </c>
      <c r="V1830" s="160">
        <f>ROUND((157/100)*ROUND([8]Source!R845, 2), 2)</f>
        <v>0</v>
      </c>
    </row>
    <row r="1831" spans="1:22" ht="15" x14ac:dyDescent="0.25">
      <c r="A1831" s="235"/>
      <c r="B1831" s="235"/>
      <c r="C1831" s="236" t="s">
        <v>183</v>
      </c>
      <c r="D1831" s="235"/>
      <c r="E1831" s="235"/>
      <c r="F1831" s="235"/>
      <c r="G1831" s="235"/>
      <c r="H1831" s="436">
        <v>597.46</v>
      </c>
      <c r="I1831" s="436"/>
      <c r="J1831" s="436">
        <v>2419.71</v>
      </c>
      <c r="K1831" s="436"/>
      <c r="O1831" s="163">
        <f>I1830</f>
        <v>597.46</v>
      </c>
      <c r="P1831" s="163">
        <f>K1830</f>
        <v>2419.71</v>
      </c>
    </row>
    <row r="1833" spans="1:22" ht="28.5" x14ac:dyDescent="0.2">
      <c r="A1833" s="179" t="s">
        <v>2844</v>
      </c>
      <c r="B1833" s="178" t="s">
        <v>2845</v>
      </c>
      <c r="C1833" s="178" t="s">
        <v>1019</v>
      </c>
      <c r="D1833" s="177" t="s">
        <v>2676</v>
      </c>
      <c r="E1833" s="174">
        <v>11</v>
      </c>
      <c r="F1833" s="176"/>
      <c r="G1833" s="175"/>
      <c r="H1833" s="174"/>
      <c r="I1833" s="173"/>
      <c r="J1833" s="174"/>
      <c r="K1833" s="173"/>
      <c r="Q1833" s="160">
        <f>[8]Source!X846</f>
        <v>144.72</v>
      </c>
      <c r="R1833" s="160">
        <f>[8]Source!X847</f>
        <v>2703.3</v>
      </c>
      <c r="S1833" s="160">
        <f>[8]Source!Y846</f>
        <v>97.35</v>
      </c>
      <c r="T1833" s="160">
        <f>[8]Source!Y847</f>
        <v>1259.49</v>
      </c>
      <c r="U1833" s="160">
        <f>ROUND((175/100)*ROUND([8]Source!R846, 2), 2)</f>
        <v>3.47</v>
      </c>
      <c r="V1833" s="160">
        <f>ROUND((157/100)*ROUND([8]Source!R847, 2), 2)</f>
        <v>72.58</v>
      </c>
    </row>
    <row r="1834" spans="1:22" ht="14.25" x14ac:dyDescent="0.2">
      <c r="A1834" s="179"/>
      <c r="B1834" s="178"/>
      <c r="C1834" s="178" t="s">
        <v>197</v>
      </c>
      <c r="D1834" s="177"/>
      <c r="E1834" s="174"/>
      <c r="F1834" s="176">
        <v>11.96</v>
      </c>
      <c r="G1834" s="175" t="s">
        <v>195</v>
      </c>
      <c r="H1834" s="174">
        <v>1</v>
      </c>
      <c r="I1834" s="173">
        <v>131.56</v>
      </c>
      <c r="J1834" s="174">
        <v>23.35</v>
      </c>
      <c r="K1834" s="173">
        <v>3071.93</v>
      </c>
    </row>
    <row r="1835" spans="1:22" ht="14.25" x14ac:dyDescent="0.2">
      <c r="A1835" s="179"/>
      <c r="B1835" s="178"/>
      <c r="C1835" s="178" t="s">
        <v>184</v>
      </c>
      <c r="D1835" s="177"/>
      <c r="E1835" s="174"/>
      <c r="F1835" s="176">
        <v>0.74</v>
      </c>
      <c r="G1835" s="175" t="s">
        <v>195</v>
      </c>
      <c r="H1835" s="174">
        <v>1</v>
      </c>
      <c r="I1835" s="173">
        <v>8.14</v>
      </c>
      <c r="J1835" s="174">
        <v>9.73</v>
      </c>
      <c r="K1835" s="173">
        <v>79.2</v>
      </c>
    </row>
    <row r="1836" spans="1:22" ht="14.25" x14ac:dyDescent="0.2">
      <c r="A1836" s="179"/>
      <c r="B1836" s="178"/>
      <c r="C1836" s="178" t="s">
        <v>189</v>
      </c>
      <c r="D1836" s="177"/>
      <c r="E1836" s="174"/>
      <c r="F1836" s="176">
        <v>0.18</v>
      </c>
      <c r="G1836" s="175" t="s">
        <v>195</v>
      </c>
      <c r="H1836" s="174">
        <v>1</v>
      </c>
      <c r="I1836" s="180">
        <v>1.98</v>
      </c>
      <c r="J1836" s="174">
        <v>23.35</v>
      </c>
      <c r="K1836" s="180">
        <v>46.23</v>
      </c>
    </row>
    <row r="1837" spans="1:22" ht="14.25" x14ac:dyDescent="0.2">
      <c r="A1837" s="179"/>
      <c r="B1837" s="178"/>
      <c r="C1837" s="178" t="s">
        <v>205</v>
      </c>
      <c r="D1837" s="177"/>
      <c r="E1837" s="174"/>
      <c r="F1837" s="176">
        <v>4.41</v>
      </c>
      <c r="G1837" s="175" t="s">
        <v>195</v>
      </c>
      <c r="H1837" s="174">
        <v>1</v>
      </c>
      <c r="I1837" s="173">
        <v>48.51</v>
      </c>
      <c r="J1837" s="174">
        <v>5.42</v>
      </c>
      <c r="K1837" s="173">
        <v>262.92</v>
      </c>
    </row>
    <row r="1838" spans="1:22" ht="14.25" x14ac:dyDescent="0.2">
      <c r="A1838" s="179"/>
      <c r="B1838" s="178"/>
      <c r="C1838" s="178" t="s">
        <v>194</v>
      </c>
      <c r="D1838" s="177" t="s">
        <v>187</v>
      </c>
      <c r="E1838" s="174">
        <v>110</v>
      </c>
      <c r="F1838" s="176"/>
      <c r="G1838" s="175"/>
      <c r="H1838" s="174"/>
      <c r="I1838" s="173">
        <v>144.72</v>
      </c>
      <c r="J1838" s="174">
        <v>88</v>
      </c>
      <c r="K1838" s="173">
        <v>2703.3</v>
      </c>
    </row>
    <row r="1839" spans="1:22" ht="14.25" x14ac:dyDescent="0.2">
      <c r="A1839" s="179"/>
      <c r="B1839" s="178"/>
      <c r="C1839" s="178" t="s">
        <v>193</v>
      </c>
      <c r="D1839" s="177" t="s">
        <v>187</v>
      </c>
      <c r="E1839" s="174">
        <v>74</v>
      </c>
      <c r="F1839" s="176"/>
      <c r="G1839" s="175"/>
      <c r="H1839" s="174"/>
      <c r="I1839" s="173">
        <v>97.35</v>
      </c>
      <c r="J1839" s="174">
        <v>41</v>
      </c>
      <c r="K1839" s="173">
        <v>1259.49</v>
      </c>
    </row>
    <row r="1840" spans="1:22" ht="14.25" x14ac:dyDescent="0.2">
      <c r="A1840" s="179"/>
      <c r="B1840" s="178"/>
      <c r="C1840" s="178" t="s">
        <v>188</v>
      </c>
      <c r="D1840" s="177" t="s">
        <v>187</v>
      </c>
      <c r="E1840" s="174">
        <v>175</v>
      </c>
      <c r="F1840" s="176"/>
      <c r="G1840" s="175"/>
      <c r="H1840" s="174"/>
      <c r="I1840" s="173">
        <v>3.47</v>
      </c>
      <c r="J1840" s="174">
        <v>157</v>
      </c>
      <c r="K1840" s="173">
        <v>72.58</v>
      </c>
    </row>
    <row r="1841" spans="1:22" ht="14.25" x14ac:dyDescent="0.2">
      <c r="A1841" s="242"/>
      <c r="B1841" s="241"/>
      <c r="C1841" s="241" t="s">
        <v>192</v>
      </c>
      <c r="D1841" s="240" t="s">
        <v>191</v>
      </c>
      <c r="E1841" s="238">
        <v>1.03</v>
      </c>
      <c r="F1841" s="253"/>
      <c r="G1841" s="239" t="s">
        <v>195</v>
      </c>
      <c r="H1841" s="238">
        <v>1</v>
      </c>
      <c r="I1841" s="237">
        <v>11.33</v>
      </c>
      <c r="J1841" s="238"/>
      <c r="K1841" s="237"/>
    </row>
    <row r="1842" spans="1:22" ht="15" x14ac:dyDescent="0.25">
      <c r="A1842" s="235"/>
      <c r="B1842" s="235"/>
      <c r="C1842" s="236" t="s">
        <v>183</v>
      </c>
      <c r="D1842" s="235"/>
      <c r="E1842" s="235"/>
      <c r="F1842" s="235"/>
      <c r="G1842" s="235"/>
      <c r="H1842" s="436">
        <v>433.75</v>
      </c>
      <c r="I1842" s="436"/>
      <c r="J1842" s="436">
        <v>7449.42</v>
      </c>
      <c r="K1842" s="436"/>
      <c r="O1842" s="163">
        <f>I1834+I1835+I1837+I1838+I1839+I1840</f>
        <v>433.75</v>
      </c>
      <c r="P1842" s="163">
        <f>K1834+K1835+K1837+K1838+K1839+K1840</f>
        <v>7449.42</v>
      </c>
    </row>
    <row r="1844" spans="1:22" ht="42.75" x14ac:dyDescent="0.2">
      <c r="A1844" s="179" t="s">
        <v>2846</v>
      </c>
      <c r="B1844" s="178" t="s">
        <v>2847</v>
      </c>
      <c r="C1844" s="178" t="s">
        <v>1018</v>
      </c>
      <c r="D1844" s="177" t="s">
        <v>1661</v>
      </c>
      <c r="E1844" s="174">
        <v>7</v>
      </c>
      <c r="F1844" s="176">
        <v>1590.71</v>
      </c>
      <c r="G1844" s="175" t="s">
        <v>195</v>
      </c>
      <c r="H1844" s="174">
        <v>1</v>
      </c>
      <c r="I1844" s="173">
        <v>11134.97</v>
      </c>
      <c r="J1844" s="174">
        <v>1.46</v>
      </c>
      <c r="K1844" s="173">
        <v>16257.06</v>
      </c>
      <c r="Q1844" s="160">
        <f>[8]Source!X848</f>
        <v>0</v>
      </c>
      <c r="R1844" s="160">
        <f>[8]Source!X849</f>
        <v>0</v>
      </c>
      <c r="S1844" s="160">
        <f>[8]Source!Y848</f>
        <v>0</v>
      </c>
      <c r="T1844" s="160">
        <f>[8]Source!Y849</f>
        <v>0</v>
      </c>
      <c r="U1844" s="160">
        <f>ROUND((175/100)*ROUND([8]Source!R848, 2), 2)</f>
        <v>0</v>
      </c>
      <c r="V1844" s="160">
        <f>ROUND((157/100)*ROUND([8]Source!R849, 2), 2)</f>
        <v>0</v>
      </c>
    </row>
    <row r="1845" spans="1:22" x14ac:dyDescent="0.2">
      <c r="A1845" s="255"/>
      <c r="B1845" s="255"/>
      <c r="C1845" s="256" t="s">
        <v>2848</v>
      </c>
      <c r="D1845" s="255"/>
      <c r="E1845" s="255"/>
      <c r="F1845" s="255"/>
      <c r="G1845" s="255"/>
      <c r="H1845" s="255"/>
      <c r="I1845" s="255"/>
      <c r="J1845" s="255"/>
      <c r="K1845" s="255"/>
    </row>
    <row r="1846" spans="1:22" ht="15" x14ac:dyDescent="0.25">
      <c r="A1846" s="235"/>
      <c r="B1846" s="235"/>
      <c r="C1846" s="236" t="s">
        <v>183</v>
      </c>
      <c r="D1846" s="235"/>
      <c r="E1846" s="235"/>
      <c r="F1846" s="235"/>
      <c r="G1846" s="235"/>
      <c r="H1846" s="436">
        <v>11134.97</v>
      </c>
      <c r="I1846" s="436"/>
      <c r="J1846" s="436">
        <v>16257.06</v>
      </c>
      <c r="K1846" s="436"/>
      <c r="O1846" s="163">
        <f>I1844</f>
        <v>11134.97</v>
      </c>
      <c r="P1846" s="163">
        <f>K1844</f>
        <v>16257.06</v>
      </c>
    </row>
    <row r="1848" spans="1:22" ht="42.75" x14ac:dyDescent="0.2">
      <c r="A1848" s="179" t="s">
        <v>2849</v>
      </c>
      <c r="B1848" s="178" t="s">
        <v>2850</v>
      </c>
      <c r="C1848" s="178" t="s">
        <v>1017</v>
      </c>
      <c r="D1848" s="177" t="s">
        <v>1661</v>
      </c>
      <c r="E1848" s="174">
        <v>4</v>
      </c>
      <c r="F1848" s="176">
        <v>1885.42</v>
      </c>
      <c r="G1848" s="175" t="s">
        <v>195</v>
      </c>
      <c r="H1848" s="174">
        <v>1</v>
      </c>
      <c r="I1848" s="173">
        <v>7541.68</v>
      </c>
      <c r="J1848" s="174">
        <v>1.42</v>
      </c>
      <c r="K1848" s="173">
        <v>10709.19</v>
      </c>
      <c r="Q1848" s="160">
        <f>[8]Source!X850</f>
        <v>0</v>
      </c>
      <c r="R1848" s="160">
        <f>[8]Source!X851</f>
        <v>0</v>
      </c>
      <c r="S1848" s="160">
        <f>[8]Source!Y850</f>
        <v>0</v>
      </c>
      <c r="T1848" s="160">
        <f>[8]Source!Y851</f>
        <v>0</v>
      </c>
      <c r="U1848" s="160">
        <f>ROUND((175/100)*ROUND([8]Source!R850, 2), 2)</f>
        <v>0</v>
      </c>
      <c r="V1848" s="160">
        <f>ROUND((157/100)*ROUND([8]Source!R851, 2), 2)</f>
        <v>0</v>
      </c>
    </row>
    <row r="1849" spans="1:22" x14ac:dyDescent="0.2">
      <c r="A1849" s="255"/>
      <c r="B1849" s="255"/>
      <c r="C1849" s="256" t="s">
        <v>2851</v>
      </c>
      <c r="D1849" s="255"/>
      <c r="E1849" s="255"/>
      <c r="F1849" s="255"/>
      <c r="G1849" s="255"/>
      <c r="H1849" s="255"/>
      <c r="I1849" s="255"/>
      <c r="J1849" s="255"/>
      <c r="K1849" s="255"/>
    </row>
    <row r="1850" spans="1:22" ht="15" x14ac:dyDescent="0.25">
      <c r="A1850" s="235"/>
      <c r="B1850" s="235"/>
      <c r="C1850" s="236" t="s">
        <v>183</v>
      </c>
      <c r="D1850" s="235"/>
      <c r="E1850" s="235"/>
      <c r="F1850" s="235"/>
      <c r="G1850" s="235"/>
      <c r="H1850" s="436">
        <v>7541.68</v>
      </c>
      <c r="I1850" s="436"/>
      <c r="J1850" s="436">
        <v>10709.19</v>
      </c>
      <c r="K1850" s="436"/>
      <c r="O1850" s="163">
        <f>I1848</f>
        <v>7541.68</v>
      </c>
      <c r="P1850" s="163">
        <f>K1848</f>
        <v>10709.19</v>
      </c>
    </row>
    <row r="1852" spans="1:22" ht="28.5" x14ac:dyDescent="0.2">
      <c r="A1852" s="179" t="s">
        <v>2852</v>
      </c>
      <c r="B1852" s="178" t="s">
        <v>2853</v>
      </c>
      <c r="C1852" s="178" t="s">
        <v>1016</v>
      </c>
      <c r="D1852" s="177" t="s">
        <v>2676</v>
      </c>
      <c r="E1852" s="174">
        <v>3</v>
      </c>
      <c r="F1852" s="176"/>
      <c r="G1852" s="175"/>
      <c r="H1852" s="174"/>
      <c r="I1852" s="173"/>
      <c r="J1852" s="174"/>
      <c r="K1852" s="173"/>
      <c r="Q1852" s="160">
        <f>[8]Source!X852</f>
        <v>72.3</v>
      </c>
      <c r="R1852" s="160">
        <f>[8]Source!X853</f>
        <v>1350.62</v>
      </c>
      <c r="S1852" s="160">
        <f>[8]Source!Y852</f>
        <v>48.64</v>
      </c>
      <c r="T1852" s="160">
        <f>[8]Source!Y853</f>
        <v>629.27</v>
      </c>
      <c r="U1852" s="160">
        <f>ROUND((175/100)*ROUND([8]Source!R852, 2), 2)</f>
        <v>3.68</v>
      </c>
      <c r="V1852" s="160">
        <f>ROUND((157/100)*ROUND([8]Source!R853, 2), 2)</f>
        <v>76.989999999999995</v>
      </c>
    </row>
    <row r="1853" spans="1:22" ht="14.25" x14ac:dyDescent="0.2">
      <c r="A1853" s="179"/>
      <c r="B1853" s="178"/>
      <c r="C1853" s="178" t="s">
        <v>197</v>
      </c>
      <c r="D1853" s="177"/>
      <c r="E1853" s="174"/>
      <c r="F1853" s="176">
        <v>21.91</v>
      </c>
      <c r="G1853" s="175" t="s">
        <v>195</v>
      </c>
      <c r="H1853" s="174">
        <v>1</v>
      </c>
      <c r="I1853" s="173">
        <v>65.73</v>
      </c>
      <c r="J1853" s="174">
        <v>23.35</v>
      </c>
      <c r="K1853" s="173">
        <v>1534.8</v>
      </c>
    </row>
    <row r="1854" spans="1:22" ht="14.25" x14ac:dyDescent="0.2">
      <c r="A1854" s="179"/>
      <c r="B1854" s="178"/>
      <c r="C1854" s="178" t="s">
        <v>184</v>
      </c>
      <c r="D1854" s="177"/>
      <c r="E1854" s="174"/>
      <c r="F1854" s="176">
        <v>2.98</v>
      </c>
      <c r="G1854" s="175" t="s">
        <v>195</v>
      </c>
      <c r="H1854" s="174">
        <v>1</v>
      </c>
      <c r="I1854" s="173">
        <v>8.94</v>
      </c>
      <c r="J1854" s="174">
        <v>9.58</v>
      </c>
      <c r="K1854" s="173">
        <v>85.65</v>
      </c>
    </row>
    <row r="1855" spans="1:22" ht="14.25" x14ac:dyDescent="0.2">
      <c r="A1855" s="179"/>
      <c r="B1855" s="178"/>
      <c r="C1855" s="178" t="s">
        <v>189</v>
      </c>
      <c r="D1855" s="177"/>
      <c r="E1855" s="174"/>
      <c r="F1855" s="176">
        <v>0.7</v>
      </c>
      <c r="G1855" s="175" t="s">
        <v>195</v>
      </c>
      <c r="H1855" s="174">
        <v>1</v>
      </c>
      <c r="I1855" s="180">
        <v>2.1</v>
      </c>
      <c r="J1855" s="174">
        <v>23.35</v>
      </c>
      <c r="K1855" s="180">
        <v>49.04</v>
      </c>
    </row>
    <row r="1856" spans="1:22" ht="14.25" x14ac:dyDescent="0.2">
      <c r="A1856" s="179"/>
      <c r="B1856" s="178"/>
      <c r="C1856" s="178" t="s">
        <v>205</v>
      </c>
      <c r="D1856" s="177"/>
      <c r="E1856" s="174"/>
      <c r="F1856" s="176">
        <v>9.1</v>
      </c>
      <c r="G1856" s="175" t="s">
        <v>195</v>
      </c>
      <c r="H1856" s="174">
        <v>1</v>
      </c>
      <c r="I1856" s="173">
        <v>27.3</v>
      </c>
      <c r="J1856" s="174">
        <v>5.42</v>
      </c>
      <c r="K1856" s="173">
        <v>147.97</v>
      </c>
    </row>
    <row r="1857" spans="1:22" ht="14.25" x14ac:dyDescent="0.2">
      <c r="A1857" s="179"/>
      <c r="B1857" s="178"/>
      <c r="C1857" s="178" t="s">
        <v>194</v>
      </c>
      <c r="D1857" s="177" t="s">
        <v>187</v>
      </c>
      <c r="E1857" s="174">
        <v>110</v>
      </c>
      <c r="F1857" s="176"/>
      <c r="G1857" s="175"/>
      <c r="H1857" s="174"/>
      <c r="I1857" s="173">
        <v>72.3</v>
      </c>
      <c r="J1857" s="174">
        <v>88</v>
      </c>
      <c r="K1857" s="173">
        <v>1350.62</v>
      </c>
    </row>
    <row r="1858" spans="1:22" ht="14.25" x14ac:dyDescent="0.2">
      <c r="A1858" s="179"/>
      <c r="B1858" s="178"/>
      <c r="C1858" s="178" t="s">
        <v>193</v>
      </c>
      <c r="D1858" s="177" t="s">
        <v>187</v>
      </c>
      <c r="E1858" s="174">
        <v>74</v>
      </c>
      <c r="F1858" s="176"/>
      <c r="G1858" s="175"/>
      <c r="H1858" s="174"/>
      <c r="I1858" s="173">
        <v>48.64</v>
      </c>
      <c r="J1858" s="174">
        <v>41</v>
      </c>
      <c r="K1858" s="173">
        <v>629.27</v>
      </c>
    </row>
    <row r="1859" spans="1:22" ht="14.25" x14ac:dyDescent="0.2">
      <c r="A1859" s="179"/>
      <c r="B1859" s="178"/>
      <c r="C1859" s="178" t="s">
        <v>188</v>
      </c>
      <c r="D1859" s="177" t="s">
        <v>187</v>
      </c>
      <c r="E1859" s="174">
        <v>175</v>
      </c>
      <c r="F1859" s="176"/>
      <c r="G1859" s="175"/>
      <c r="H1859" s="174"/>
      <c r="I1859" s="173">
        <v>3.68</v>
      </c>
      <c r="J1859" s="174">
        <v>157</v>
      </c>
      <c r="K1859" s="173">
        <v>76.989999999999995</v>
      </c>
    </row>
    <row r="1860" spans="1:22" ht="14.25" x14ac:dyDescent="0.2">
      <c r="A1860" s="242"/>
      <c r="B1860" s="241"/>
      <c r="C1860" s="241" t="s">
        <v>192</v>
      </c>
      <c r="D1860" s="240" t="s">
        <v>191</v>
      </c>
      <c r="E1860" s="238">
        <v>1.91</v>
      </c>
      <c r="F1860" s="253"/>
      <c r="G1860" s="239" t="s">
        <v>195</v>
      </c>
      <c r="H1860" s="238">
        <v>1</v>
      </c>
      <c r="I1860" s="237">
        <v>5.73</v>
      </c>
      <c r="J1860" s="238"/>
      <c r="K1860" s="237"/>
    </row>
    <row r="1861" spans="1:22" ht="15" x14ac:dyDescent="0.25">
      <c r="A1861" s="235"/>
      <c r="B1861" s="235"/>
      <c r="C1861" s="236" t="s">
        <v>183</v>
      </c>
      <c r="D1861" s="235"/>
      <c r="E1861" s="235"/>
      <c r="F1861" s="235"/>
      <c r="G1861" s="235"/>
      <c r="H1861" s="436">
        <v>226.59</v>
      </c>
      <c r="I1861" s="436"/>
      <c r="J1861" s="436">
        <v>3825.3</v>
      </c>
      <c r="K1861" s="436"/>
      <c r="O1861" s="163">
        <f>I1853+I1854+I1856+I1857+I1858+I1859</f>
        <v>226.59</v>
      </c>
      <c r="P1861" s="163">
        <f>K1853+K1854+K1856+K1857+K1858+K1859</f>
        <v>3825.3</v>
      </c>
    </row>
    <row r="1863" spans="1:22" ht="42.75" x14ac:dyDescent="0.2">
      <c r="A1863" s="242" t="s">
        <v>2854</v>
      </c>
      <c r="B1863" s="241" t="s">
        <v>2855</v>
      </c>
      <c r="C1863" s="241" t="s">
        <v>1015</v>
      </c>
      <c r="D1863" s="240" t="s">
        <v>1661</v>
      </c>
      <c r="E1863" s="238">
        <v>3</v>
      </c>
      <c r="F1863" s="253">
        <v>2511.65</v>
      </c>
      <c r="G1863" s="239" t="s">
        <v>195</v>
      </c>
      <c r="H1863" s="238">
        <v>1</v>
      </c>
      <c r="I1863" s="237">
        <v>7534.95</v>
      </c>
      <c r="J1863" s="238">
        <v>1.47</v>
      </c>
      <c r="K1863" s="237">
        <v>11076.38</v>
      </c>
      <c r="Q1863" s="160">
        <f>[8]Source!X854</f>
        <v>0</v>
      </c>
      <c r="R1863" s="160">
        <f>[8]Source!X855</f>
        <v>0</v>
      </c>
      <c r="S1863" s="160">
        <f>[8]Source!Y854</f>
        <v>0</v>
      </c>
      <c r="T1863" s="160">
        <f>[8]Source!Y855</f>
        <v>0</v>
      </c>
      <c r="U1863" s="160">
        <f>ROUND((175/100)*ROUND([8]Source!R854, 2), 2)</f>
        <v>0</v>
      </c>
      <c r="V1863" s="160">
        <f>ROUND((157/100)*ROUND([8]Source!R855, 2), 2)</f>
        <v>0</v>
      </c>
    </row>
    <row r="1864" spans="1:22" ht="15" x14ac:dyDescent="0.25">
      <c r="A1864" s="235"/>
      <c r="B1864" s="235"/>
      <c r="C1864" s="236" t="s">
        <v>183</v>
      </c>
      <c r="D1864" s="235"/>
      <c r="E1864" s="235"/>
      <c r="F1864" s="235"/>
      <c r="G1864" s="235"/>
      <c r="H1864" s="436">
        <v>7534.95</v>
      </c>
      <c r="I1864" s="436"/>
      <c r="J1864" s="436">
        <v>11076.38</v>
      </c>
      <c r="K1864" s="436"/>
      <c r="O1864" s="163">
        <f>I1863</f>
        <v>7534.95</v>
      </c>
      <c r="P1864" s="163">
        <f>K1863</f>
        <v>11076.38</v>
      </c>
    </row>
    <row r="1866" spans="1:22" ht="42.75" x14ac:dyDescent="0.2">
      <c r="A1866" s="179" t="s">
        <v>2856</v>
      </c>
      <c r="B1866" s="178" t="s">
        <v>2857</v>
      </c>
      <c r="C1866" s="178" t="s">
        <v>1014</v>
      </c>
      <c r="D1866" s="177" t="s">
        <v>2858</v>
      </c>
      <c r="E1866" s="174">
        <v>168</v>
      </c>
      <c r="F1866" s="176"/>
      <c r="G1866" s="175"/>
      <c r="H1866" s="174"/>
      <c r="I1866" s="173"/>
      <c r="J1866" s="174"/>
      <c r="K1866" s="173"/>
      <c r="Q1866" s="160">
        <f>[8]Source!X856</f>
        <v>3445.38</v>
      </c>
      <c r="R1866" s="160">
        <f>[8]Source!X857</f>
        <v>64359.63</v>
      </c>
      <c r="S1866" s="160">
        <f>[8]Source!Y856</f>
        <v>2317.8000000000002</v>
      </c>
      <c r="T1866" s="160">
        <f>[8]Source!Y857</f>
        <v>29985.74</v>
      </c>
      <c r="U1866" s="160">
        <f>ROUND((175/100)*ROUND([8]Source!R856, 2), 2)</f>
        <v>1994.98</v>
      </c>
      <c r="V1866" s="160">
        <f>ROUND((157/100)*ROUND([8]Source!R857, 2), 2)</f>
        <v>41791.47</v>
      </c>
    </row>
    <row r="1867" spans="1:22" x14ac:dyDescent="0.2">
      <c r="C1867" s="181" t="s">
        <v>2859</v>
      </c>
    </row>
    <row r="1868" spans="1:22" ht="14.25" x14ac:dyDescent="0.2">
      <c r="A1868" s="179"/>
      <c r="B1868" s="178"/>
      <c r="C1868" s="178" t="s">
        <v>197</v>
      </c>
      <c r="D1868" s="177"/>
      <c r="E1868" s="174"/>
      <c r="F1868" s="176">
        <v>15.44</v>
      </c>
      <c r="G1868" s="175" t="s">
        <v>2775</v>
      </c>
      <c r="H1868" s="174">
        <v>1</v>
      </c>
      <c r="I1868" s="173">
        <v>3132.16</v>
      </c>
      <c r="J1868" s="174">
        <v>23.35</v>
      </c>
      <c r="K1868" s="173">
        <v>73135.94</v>
      </c>
    </row>
    <row r="1869" spans="1:22" ht="14.25" x14ac:dyDescent="0.2">
      <c r="A1869" s="179"/>
      <c r="B1869" s="178"/>
      <c r="C1869" s="178" t="s">
        <v>184</v>
      </c>
      <c r="D1869" s="177"/>
      <c r="E1869" s="174"/>
      <c r="F1869" s="176">
        <v>29.56</v>
      </c>
      <c r="G1869" s="175" t="s">
        <v>2776</v>
      </c>
      <c r="H1869" s="174">
        <v>1</v>
      </c>
      <c r="I1869" s="173">
        <v>6517.98</v>
      </c>
      <c r="J1869" s="174">
        <v>8.6999999999999993</v>
      </c>
      <c r="K1869" s="173">
        <v>56706.43</v>
      </c>
    </row>
    <row r="1870" spans="1:22" ht="14.25" x14ac:dyDescent="0.2">
      <c r="A1870" s="179"/>
      <c r="B1870" s="178"/>
      <c r="C1870" s="178" t="s">
        <v>189</v>
      </c>
      <c r="D1870" s="177"/>
      <c r="E1870" s="174"/>
      <c r="F1870" s="176">
        <v>5.17</v>
      </c>
      <c r="G1870" s="175" t="s">
        <v>2776</v>
      </c>
      <c r="H1870" s="174">
        <v>1</v>
      </c>
      <c r="I1870" s="180">
        <v>1139.99</v>
      </c>
      <c r="J1870" s="174">
        <v>23.35</v>
      </c>
      <c r="K1870" s="180">
        <v>26618.77</v>
      </c>
    </row>
    <row r="1871" spans="1:22" ht="14.25" x14ac:dyDescent="0.2">
      <c r="A1871" s="179"/>
      <c r="B1871" s="178"/>
      <c r="C1871" s="178" t="s">
        <v>205</v>
      </c>
      <c r="D1871" s="177"/>
      <c r="E1871" s="174"/>
      <c r="F1871" s="176">
        <v>4.8899999999999997</v>
      </c>
      <c r="G1871" s="175" t="s">
        <v>195</v>
      </c>
      <c r="H1871" s="174">
        <v>1</v>
      </c>
      <c r="I1871" s="173">
        <v>821.52</v>
      </c>
      <c r="J1871" s="174">
        <v>3.09</v>
      </c>
      <c r="K1871" s="173">
        <v>2538.5</v>
      </c>
    </row>
    <row r="1872" spans="1:22" ht="57" x14ac:dyDescent="0.2">
      <c r="A1872" s="179" t="s">
        <v>2860</v>
      </c>
      <c r="B1872" s="178" t="s">
        <v>2861</v>
      </c>
      <c r="C1872" s="178" t="s">
        <v>1013</v>
      </c>
      <c r="D1872" s="177" t="s">
        <v>1661</v>
      </c>
      <c r="E1872" s="174">
        <v>86</v>
      </c>
      <c r="F1872" s="176">
        <v>141.97999999999999</v>
      </c>
      <c r="G1872" s="182" t="s">
        <v>195</v>
      </c>
      <c r="H1872" s="174">
        <v>1</v>
      </c>
      <c r="I1872" s="173">
        <v>12210.28</v>
      </c>
      <c r="J1872" s="174">
        <v>2.46</v>
      </c>
      <c r="K1872" s="173">
        <v>30037.29</v>
      </c>
      <c r="Q1872" s="160">
        <f>[8]Source!X860</f>
        <v>0</v>
      </c>
      <c r="R1872" s="160">
        <f>[8]Source!X861</f>
        <v>0</v>
      </c>
      <c r="S1872" s="160">
        <f>[8]Source!Y860</f>
        <v>0</v>
      </c>
      <c r="T1872" s="160">
        <f>[8]Source!Y861</f>
        <v>0</v>
      </c>
      <c r="U1872" s="160">
        <f>ROUND((175/100)*ROUND([8]Source!R860, 2), 2)</f>
        <v>0</v>
      </c>
      <c r="V1872" s="160">
        <f>ROUND((157/100)*ROUND([8]Source!R861, 2), 2)</f>
        <v>0</v>
      </c>
    </row>
    <row r="1873" spans="1:22" ht="42.75" x14ac:dyDescent="0.2">
      <c r="A1873" s="179" t="s">
        <v>2862</v>
      </c>
      <c r="B1873" s="178" t="s">
        <v>2863</v>
      </c>
      <c r="C1873" s="178" t="s">
        <v>1012</v>
      </c>
      <c r="D1873" s="177" t="s">
        <v>1661</v>
      </c>
      <c r="E1873" s="174">
        <v>38</v>
      </c>
      <c r="F1873" s="176">
        <v>597.86</v>
      </c>
      <c r="G1873" s="182" t="s">
        <v>195</v>
      </c>
      <c r="H1873" s="174">
        <v>1</v>
      </c>
      <c r="I1873" s="173">
        <v>22718.68</v>
      </c>
      <c r="J1873" s="174">
        <v>1.74</v>
      </c>
      <c r="K1873" s="173">
        <v>39530.5</v>
      </c>
      <c r="Q1873" s="160">
        <f>[8]Source!X864</f>
        <v>0</v>
      </c>
      <c r="R1873" s="160">
        <f>[8]Source!X865</f>
        <v>0</v>
      </c>
      <c r="S1873" s="160">
        <f>[8]Source!Y864</f>
        <v>0</v>
      </c>
      <c r="T1873" s="160">
        <f>[8]Source!Y865</f>
        <v>0</v>
      </c>
      <c r="U1873" s="160">
        <f>ROUND((175/100)*ROUND([8]Source!R864, 2), 2)</f>
        <v>0</v>
      </c>
      <c r="V1873" s="160">
        <f>ROUND((157/100)*ROUND([8]Source!R865, 2), 2)</f>
        <v>0</v>
      </c>
    </row>
    <row r="1874" spans="1:22" ht="42.75" x14ac:dyDescent="0.2">
      <c r="A1874" s="179" t="s">
        <v>2864</v>
      </c>
      <c r="B1874" s="178" t="s">
        <v>2865</v>
      </c>
      <c r="C1874" s="178" t="s">
        <v>1011</v>
      </c>
      <c r="D1874" s="177" t="s">
        <v>1661</v>
      </c>
      <c r="E1874" s="174">
        <v>44</v>
      </c>
      <c r="F1874" s="176">
        <v>1362.73</v>
      </c>
      <c r="G1874" s="182" t="s">
        <v>195</v>
      </c>
      <c r="H1874" s="174">
        <v>1</v>
      </c>
      <c r="I1874" s="173">
        <v>59960.12</v>
      </c>
      <c r="J1874" s="174">
        <v>1.65</v>
      </c>
      <c r="K1874" s="173">
        <v>98934.2</v>
      </c>
      <c r="Q1874" s="160">
        <f>[8]Source!X866</f>
        <v>0</v>
      </c>
      <c r="R1874" s="160">
        <f>[8]Source!X867</f>
        <v>0</v>
      </c>
      <c r="S1874" s="160">
        <f>[8]Source!Y866</f>
        <v>0</v>
      </c>
      <c r="T1874" s="160">
        <f>[8]Source!Y867</f>
        <v>0</v>
      </c>
      <c r="U1874" s="160">
        <f>ROUND((175/100)*ROUND([8]Source!R866, 2), 2)</f>
        <v>0</v>
      </c>
      <c r="V1874" s="160">
        <f>ROUND((157/100)*ROUND([8]Source!R867, 2), 2)</f>
        <v>0</v>
      </c>
    </row>
    <row r="1875" spans="1:22" ht="14.25" x14ac:dyDescent="0.2">
      <c r="A1875" s="179"/>
      <c r="B1875" s="178"/>
      <c r="C1875" s="178" t="s">
        <v>194</v>
      </c>
      <c r="D1875" s="177" t="s">
        <v>187</v>
      </c>
      <c r="E1875" s="174">
        <v>110</v>
      </c>
      <c r="F1875" s="176"/>
      <c r="G1875" s="175"/>
      <c r="H1875" s="174"/>
      <c r="I1875" s="173">
        <v>3445.38</v>
      </c>
      <c r="J1875" s="174">
        <v>88</v>
      </c>
      <c r="K1875" s="173">
        <v>64359.63</v>
      </c>
    </row>
    <row r="1876" spans="1:22" ht="14.25" x14ac:dyDescent="0.2">
      <c r="A1876" s="179"/>
      <c r="B1876" s="178"/>
      <c r="C1876" s="178" t="s">
        <v>193</v>
      </c>
      <c r="D1876" s="177" t="s">
        <v>187</v>
      </c>
      <c r="E1876" s="174">
        <v>74</v>
      </c>
      <c r="F1876" s="176"/>
      <c r="G1876" s="175"/>
      <c r="H1876" s="174"/>
      <c r="I1876" s="173">
        <v>2317.8000000000002</v>
      </c>
      <c r="J1876" s="174">
        <v>41</v>
      </c>
      <c r="K1876" s="173">
        <v>29985.74</v>
      </c>
    </row>
    <row r="1877" spans="1:22" ht="14.25" x14ac:dyDescent="0.2">
      <c r="A1877" s="179"/>
      <c r="B1877" s="178"/>
      <c r="C1877" s="178" t="s">
        <v>188</v>
      </c>
      <c r="D1877" s="177" t="s">
        <v>187</v>
      </c>
      <c r="E1877" s="174">
        <v>175</v>
      </c>
      <c r="F1877" s="176"/>
      <c r="G1877" s="175"/>
      <c r="H1877" s="174"/>
      <c r="I1877" s="173">
        <v>1994.98</v>
      </c>
      <c r="J1877" s="174">
        <v>157</v>
      </c>
      <c r="K1877" s="173">
        <v>41791.47</v>
      </c>
    </row>
    <row r="1878" spans="1:22" ht="14.25" x14ac:dyDescent="0.2">
      <c r="A1878" s="242"/>
      <c r="B1878" s="241"/>
      <c r="C1878" s="241" t="s">
        <v>192</v>
      </c>
      <c r="D1878" s="240" t="s">
        <v>191</v>
      </c>
      <c r="E1878" s="238">
        <v>1.33</v>
      </c>
      <c r="F1878" s="253"/>
      <c r="G1878" s="239" t="s">
        <v>2775</v>
      </c>
      <c r="H1878" s="238">
        <v>1</v>
      </c>
      <c r="I1878" s="237">
        <v>269.8</v>
      </c>
      <c r="J1878" s="238"/>
      <c r="K1878" s="237"/>
    </row>
    <row r="1879" spans="1:22" ht="15" x14ac:dyDescent="0.25">
      <c r="A1879" s="235"/>
      <c r="B1879" s="235"/>
      <c r="C1879" s="236" t="s">
        <v>183</v>
      </c>
      <c r="D1879" s="235"/>
      <c r="E1879" s="235"/>
      <c r="F1879" s="235"/>
      <c r="G1879" s="235"/>
      <c r="H1879" s="436">
        <v>113118.9</v>
      </c>
      <c r="I1879" s="436"/>
      <c r="J1879" s="436">
        <v>437019.7</v>
      </c>
      <c r="K1879" s="436"/>
      <c r="O1879" s="163">
        <f>I1868+I1869+I1871+I1875+I1876+I1877+SUM(I1872:I1874)</f>
        <v>113118.9</v>
      </c>
      <c r="P1879" s="163">
        <f>K1868+K1869+K1871+K1875+K1876+K1877+SUM(K1872:K1874)</f>
        <v>437019.7</v>
      </c>
    </row>
    <row r="1881" spans="1:22" ht="28.5" x14ac:dyDescent="0.2">
      <c r="A1881" s="179" t="s">
        <v>2866</v>
      </c>
      <c r="B1881" s="178" t="s">
        <v>2867</v>
      </c>
      <c r="C1881" s="178" t="s">
        <v>1010</v>
      </c>
      <c r="D1881" s="177" t="s">
        <v>2868</v>
      </c>
      <c r="E1881" s="174">
        <v>18</v>
      </c>
      <c r="F1881" s="176"/>
      <c r="G1881" s="175"/>
      <c r="H1881" s="174"/>
      <c r="I1881" s="173"/>
      <c r="J1881" s="174"/>
      <c r="K1881" s="173"/>
      <c r="Q1881" s="160">
        <f>[8]Source!X868</f>
        <v>286.45</v>
      </c>
      <c r="R1881" s="160">
        <f>[8]Source!X869</f>
        <v>5350.9</v>
      </c>
      <c r="S1881" s="160">
        <f>[8]Source!Y868</f>
        <v>192.7</v>
      </c>
      <c r="T1881" s="160">
        <f>[8]Source!Y869</f>
        <v>2493.0300000000002</v>
      </c>
      <c r="U1881" s="160">
        <f>ROUND((175/100)*ROUND([8]Source!R868, 2), 2)</f>
        <v>7.88</v>
      </c>
      <c r="V1881" s="160">
        <f>ROUND((157/100)*ROUND([8]Source!R869, 2), 2)</f>
        <v>164.98</v>
      </c>
    </row>
    <row r="1882" spans="1:22" ht="14.25" x14ac:dyDescent="0.2">
      <c r="A1882" s="179"/>
      <c r="B1882" s="178"/>
      <c r="C1882" s="178" t="s">
        <v>197</v>
      </c>
      <c r="D1882" s="177"/>
      <c r="E1882" s="174"/>
      <c r="F1882" s="176">
        <v>12.58</v>
      </c>
      <c r="G1882" s="175" t="s">
        <v>2270</v>
      </c>
      <c r="H1882" s="174">
        <v>1</v>
      </c>
      <c r="I1882" s="173">
        <v>260.41000000000003</v>
      </c>
      <c r="J1882" s="174">
        <v>23.35</v>
      </c>
      <c r="K1882" s="173">
        <v>6080.57</v>
      </c>
    </row>
    <row r="1883" spans="1:22" ht="14.25" x14ac:dyDescent="0.2">
      <c r="A1883" s="179"/>
      <c r="B1883" s="178"/>
      <c r="C1883" s="178" t="s">
        <v>184</v>
      </c>
      <c r="D1883" s="177"/>
      <c r="E1883" s="174"/>
      <c r="F1883" s="176">
        <v>2.0299999999999998</v>
      </c>
      <c r="G1883" s="175" t="s">
        <v>2271</v>
      </c>
      <c r="H1883" s="174">
        <v>1</v>
      </c>
      <c r="I1883" s="173">
        <v>45.68</v>
      </c>
      <c r="J1883" s="174">
        <v>9.23</v>
      </c>
      <c r="K1883" s="173">
        <v>421.63</v>
      </c>
    </row>
    <row r="1884" spans="1:22" ht="14.25" x14ac:dyDescent="0.2">
      <c r="A1884" s="179"/>
      <c r="B1884" s="178"/>
      <c r="C1884" s="178" t="s">
        <v>189</v>
      </c>
      <c r="D1884" s="177"/>
      <c r="E1884" s="174"/>
      <c r="F1884" s="176">
        <v>0.2</v>
      </c>
      <c r="G1884" s="175" t="s">
        <v>2271</v>
      </c>
      <c r="H1884" s="174">
        <v>1</v>
      </c>
      <c r="I1884" s="180">
        <v>4.5</v>
      </c>
      <c r="J1884" s="174">
        <v>23.35</v>
      </c>
      <c r="K1884" s="180">
        <v>105.08</v>
      </c>
    </row>
    <row r="1885" spans="1:22" ht="14.25" x14ac:dyDescent="0.2">
      <c r="A1885" s="179"/>
      <c r="B1885" s="178"/>
      <c r="C1885" s="178" t="s">
        <v>205</v>
      </c>
      <c r="D1885" s="177"/>
      <c r="E1885" s="174"/>
      <c r="F1885" s="176">
        <v>3.04</v>
      </c>
      <c r="G1885" s="175" t="s">
        <v>195</v>
      </c>
      <c r="H1885" s="174">
        <v>1</v>
      </c>
      <c r="I1885" s="173">
        <v>54.72</v>
      </c>
      <c r="J1885" s="174">
        <v>7.43</v>
      </c>
      <c r="K1885" s="173">
        <v>406.57</v>
      </c>
    </row>
    <row r="1886" spans="1:22" ht="28.5" x14ac:dyDescent="0.2">
      <c r="A1886" s="179" t="s">
        <v>2869</v>
      </c>
      <c r="B1886" s="178" t="s">
        <v>2870</v>
      </c>
      <c r="C1886" s="178" t="s">
        <v>1009</v>
      </c>
      <c r="D1886" s="177" t="s">
        <v>1661</v>
      </c>
      <c r="E1886" s="174">
        <v>2</v>
      </c>
      <c r="F1886" s="176">
        <v>63.94</v>
      </c>
      <c r="G1886" s="182" t="s">
        <v>195</v>
      </c>
      <c r="H1886" s="174">
        <v>1</v>
      </c>
      <c r="I1886" s="173">
        <v>127.88</v>
      </c>
      <c r="J1886" s="174">
        <v>7.1</v>
      </c>
      <c r="K1886" s="173">
        <v>907.95</v>
      </c>
      <c r="Q1886" s="160">
        <f>[8]Source!X870</f>
        <v>0</v>
      </c>
      <c r="R1886" s="160">
        <f>[8]Source!X871</f>
        <v>0</v>
      </c>
      <c r="S1886" s="160">
        <f>[8]Source!Y870</f>
        <v>0</v>
      </c>
      <c r="T1886" s="160">
        <f>[8]Source!Y871</f>
        <v>0</v>
      </c>
      <c r="U1886" s="160">
        <f>ROUND((175/100)*ROUND([8]Source!R870, 2), 2)</f>
        <v>0</v>
      </c>
      <c r="V1886" s="160">
        <f>ROUND((157/100)*ROUND([8]Source!R871, 2), 2)</f>
        <v>0</v>
      </c>
    </row>
    <row r="1887" spans="1:22" ht="57" x14ac:dyDescent="0.2">
      <c r="A1887" s="179" t="s">
        <v>2871</v>
      </c>
      <c r="B1887" s="178" t="s">
        <v>2872</v>
      </c>
      <c r="C1887" s="178" t="s">
        <v>1008</v>
      </c>
      <c r="D1887" s="177" t="s">
        <v>1661</v>
      </c>
      <c r="E1887" s="174">
        <v>2</v>
      </c>
      <c r="F1887" s="176">
        <v>292.77</v>
      </c>
      <c r="G1887" s="182" t="s">
        <v>195</v>
      </c>
      <c r="H1887" s="174">
        <v>1</v>
      </c>
      <c r="I1887" s="173">
        <v>585.54</v>
      </c>
      <c r="J1887" s="174">
        <v>1.79</v>
      </c>
      <c r="K1887" s="173">
        <v>1048.1199999999999</v>
      </c>
      <c r="Q1887" s="160">
        <f>[8]Source!X872</f>
        <v>0</v>
      </c>
      <c r="R1887" s="160">
        <f>[8]Source!X873</f>
        <v>0</v>
      </c>
      <c r="S1887" s="160">
        <f>[8]Source!Y872</f>
        <v>0</v>
      </c>
      <c r="T1887" s="160">
        <f>[8]Source!Y873</f>
        <v>0</v>
      </c>
      <c r="U1887" s="160">
        <f>ROUND((175/100)*ROUND([8]Source!R872, 2), 2)</f>
        <v>0</v>
      </c>
      <c r="V1887" s="160">
        <f>ROUND((157/100)*ROUND([8]Source!R873, 2), 2)</f>
        <v>0</v>
      </c>
    </row>
    <row r="1888" spans="1:22" ht="57" x14ac:dyDescent="0.2">
      <c r="A1888" s="179" t="s">
        <v>2873</v>
      </c>
      <c r="B1888" s="178" t="s">
        <v>2874</v>
      </c>
      <c r="C1888" s="178" t="s">
        <v>1007</v>
      </c>
      <c r="D1888" s="177" t="s">
        <v>1661</v>
      </c>
      <c r="E1888" s="174">
        <v>2</v>
      </c>
      <c r="F1888" s="176">
        <v>342.74</v>
      </c>
      <c r="G1888" s="182" t="s">
        <v>195</v>
      </c>
      <c r="H1888" s="174">
        <v>1</v>
      </c>
      <c r="I1888" s="173">
        <v>685.48</v>
      </c>
      <c r="J1888" s="174">
        <v>1.78</v>
      </c>
      <c r="K1888" s="173">
        <v>1220.1500000000001</v>
      </c>
      <c r="Q1888" s="160">
        <f>[8]Source!X874</f>
        <v>0</v>
      </c>
      <c r="R1888" s="160">
        <f>[8]Source!X875</f>
        <v>0</v>
      </c>
      <c r="S1888" s="160">
        <f>[8]Source!Y874</f>
        <v>0</v>
      </c>
      <c r="T1888" s="160">
        <f>[8]Source!Y875</f>
        <v>0</v>
      </c>
      <c r="U1888" s="160">
        <f>ROUND((175/100)*ROUND([8]Source!R874, 2), 2)</f>
        <v>0</v>
      </c>
      <c r="V1888" s="160">
        <f>ROUND((157/100)*ROUND([8]Source!R875, 2), 2)</f>
        <v>0</v>
      </c>
    </row>
    <row r="1889" spans="1:22" ht="54" x14ac:dyDescent="0.2">
      <c r="A1889" s="179" t="s">
        <v>2875</v>
      </c>
      <c r="B1889" s="178" t="s">
        <v>2659</v>
      </c>
      <c r="C1889" s="178" t="s">
        <v>1006</v>
      </c>
      <c r="D1889" s="177" t="s">
        <v>2876</v>
      </c>
      <c r="E1889" s="174">
        <v>2</v>
      </c>
      <c r="F1889" s="176">
        <v>172.76</v>
      </c>
      <c r="G1889" s="182" t="s">
        <v>195</v>
      </c>
      <c r="H1889" s="174">
        <v>1</v>
      </c>
      <c r="I1889" s="173">
        <v>345.52</v>
      </c>
      <c r="J1889" s="174">
        <v>5.42</v>
      </c>
      <c r="K1889" s="173">
        <v>1872.72</v>
      </c>
      <c r="Q1889" s="160">
        <f>[8]Source!X876</f>
        <v>0</v>
      </c>
      <c r="R1889" s="160">
        <f>[8]Source!X877</f>
        <v>0</v>
      </c>
      <c r="S1889" s="160">
        <f>[8]Source!Y876</f>
        <v>0</v>
      </c>
      <c r="T1889" s="160">
        <f>[8]Source!Y877</f>
        <v>0</v>
      </c>
      <c r="U1889" s="160">
        <f>ROUND((175/100)*ROUND([8]Source!R876, 2), 2)</f>
        <v>0</v>
      </c>
      <c r="V1889" s="160">
        <f>ROUND((157/100)*ROUND([8]Source!R877, 2), 2)</f>
        <v>0</v>
      </c>
    </row>
    <row r="1890" spans="1:22" ht="54" x14ac:dyDescent="0.2">
      <c r="A1890" s="179" t="s">
        <v>2877</v>
      </c>
      <c r="B1890" s="178" t="s">
        <v>2659</v>
      </c>
      <c r="C1890" s="178" t="s">
        <v>1005</v>
      </c>
      <c r="D1890" s="177" t="s">
        <v>2876</v>
      </c>
      <c r="E1890" s="174">
        <v>5</v>
      </c>
      <c r="F1890" s="176">
        <v>166.39</v>
      </c>
      <c r="G1890" s="182" t="s">
        <v>195</v>
      </c>
      <c r="H1890" s="174">
        <v>1</v>
      </c>
      <c r="I1890" s="173">
        <v>831.95</v>
      </c>
      <c r="J1890" s="174">
        <v>5.42</v>
      </c>
      <c r="K1890" s="173">
        <v>4509.17</v>
      </c>
      <c r="Q1890" s="160">
        <f>[8]Source!X878</f>
        <v>0</v>
      </c>
      <c r="R1890" s="160">
        <f>[8]Source!X879</f>
        <v>0</v>
      </c>
      <c r="S1890" s="160">
        <f>[8]Source!Y878</f>
        <v>0</v>
      </c>
      <c r="T1890" s="160">
        <f>[8]Source!Y879</f>
        <v>0</v>
      </c>
      <c r="U1890" s="160">
        <f>ROUND((175/100)*ROUND([8]Source!R878, 2), 2)</f>
        <v>0</v>
      </c>
      <c r="V1890" s="160">
        <f>ROUND((157/100)*ROUND([8]Source!R879, 2), 2)</f>
        <v>0</v>
      </c>
    </row>
    <row r="1891" spans="1:22" ht="54" x14ac:dyDescent="0.2">
      <c r="A1891" s="179" t="s">
        <v>2878</v>
      </c>
      <c r="B1891" s="178" t="s">
        <v>2659</v>
      </c>
      <c r="C1891" s="178" t="s">
        <v>1004</v>
      </c>
      <c r="D1891" s="177" t="s">
        <v>2876</v>
      </c>
      <c r="E1891" s="174">
        <v>5</v>
      </c>
      <c r="F1891" s="176">
        <v>196.03</v>
      </c>
      <c r="G1891" s="182" t="s">
        <v>195</v>
      </c>
      <c r="H1891" s="174">
        <v>1</v>
      </c>
      <c r="I1891" s="173">
        <v>980.15</v>
      </c>
      <c r="J1891" s="174">
        <v>5.42</v>
      </c>
      <c r="K1891" s="173">
        <v>5312.41</v>
      </c>
      <c r="Q1891" s="160">
        <f>[8]Source!X880</f>
        <v>0</v>
      </c>
      <c r="R1891" s="160">
        <f>[8]Source!X881</f>
        <v>0</v>
      </c>
      <c r="S1891" s="160">
        <f>[8]Source!Y880</f>
        <v>0</v>
      </c>
      <c r="T1891" s="160">
        <f>[8]Source!Y881</f>
        <v>0</v>
      </c>
      <c r="U1891" s="160">
        <f>ROUND((175/100)*ROUND([8]Source!R880, 2), 2)</f>
        <v>0</v>
      </c>
      <c r="V1891" s="160">
        <f>ROUND((157/100)*ROUND([8]Source!R881, 2), 2)</f>
        <v>0</v>
      </c>
    </row>
    <row r="1892" spans="1:22" ht="14.25" x14ac:dyDescent="0.2">
      <c r="A1892" s="179"/>
      <c r="B1892" s="178"/>
      <c r="C1892" s="178" t="s">
        <v>194</v>
      </c>
      <c r="D1892" s="177" t="s">
        <v>187</v>
      </c>
      <c r="E1892" s="174">
        <v>110</v>
      </c>
      <c r="F1892" s="176"/>
      <c r="G1892" s="175"/>
      <c r="H1892" s="174"/>
      <c r="I1892" s="173">
        <v>286.45</v>
      </c>
      <c r="J1892" s="174">
        <v>88</v>
      </c>
      <c r="K1892" s="173">
        <v>5350.9</v>
      </c>
    </row>
    <row r="1893" spans="1:22" ht="14.25" x14ac:dyDescent="0.2">
      <c r="A1893" s="179"/>
      <c r="B1893" s="178"/>
      <c r="C1893" s="178" t="s">
        <v>193</v>
      </c>
      <c r="D1893" s="177" t="s">
        <v>187</v>
      </c>
      <c r="E1893" s="174">
        <v>74</v>
      </c>
      <c r="F1893" s="176"/>
      <c r="G1893" s="175"/>
      <c r="H1893" s="174"/>
      <c r="I1893" s="173">
        <v>192.7</v>
      </c>
      <c r="J1893" s="174">
        <v>41</v>
      </c>
      <c r="K1893" s="173">
        <v>2493.0300000000002</v>
      </c>
    </row>
    <row r="1894" spans="1:22" ht="14.25" x14ac:dyDescent="0.2">
      <c r="A1894" s="179"/>
      <c r="B1894" s="178"/>
      <c r="C1894" s="178" t="s">
        <v>188</v>
      </c>
      <c r="D1894" s="177" t="s">
        <v>187</v>
      </c>
      <c r="E1894" s="174">
        <v>175</v>
      </c>
      <c r="F1894" s="176"/>
      <c r="G1894" s="175"/>
      <c r="H1894" s="174"/>
      <c r="I1894" s="173">
        <v>7.88</v>
      </c>
      <c r="J1894" s="174">
        <v>157</v>
      </c>
      <c r="K1894" s="173">
        <v>164.98</v>
      </c>
    </row>
    <row r="1895" spans="1:22" ht="14.25" x14ac:dyDescent="0.2">
      <c r="A1895" s="242"/>
      <c r="B1895" s="241"/>
      <c r="C1895" s="241" t="s">
        <v>192</v>
      </c>
      <c r="D1895" s="240" t="s">
        <v>191</v>
      </c>
      <c r="E1895" s="238">
        <v>1.07</v>
      </c>
      <c r="F1895" s="253"/>
      <c r="G1895" s="239" t="s">
        <v>2270</v>
      </c>
      <c r="H1895" s="238">
        <v>1</v>
      </c>
      <c r="I1895" s="237">
        <v>22.15</v>
      </c>
      <c r="J1895" s="238"/>
      <c r="K1895" s="237"/>
    </row>
    <row r="1896" spans="1:22" ht="15" x14ac:dyDescent="0.25">
      <c r="A1896" s="235"/>
      <c r="B1896" s="235"/>
      <c r="C1896" s="236" t="s">
        <v>183</v>
      </c>
      <c r="D1896" s="235"/>
      <c r="E1896" s="235"/>
      <c r="F1896" s="235"/>
      <c r="G1896" s="235"/>
      <c r="H1896" s="436">
        <v>4404.3599999999997</v>
      </c>
      <c r="I1896" s="436"/>
      <c r="J1896" s="436">
        <v>29788.2</v>
      </c>
      <c r="K1896" s="436"/>
      <c r="O1896" s="163">
        <f>I1882+I1883+I1885+I1892+I1893+I1894+SUM(I1886:I1891)</f>
        <v>4404.3599999999997</v>
      </c>
      <c r="P1896" s="163">
        <f>K1882+K1883+K1885+K1892+K1893+K1894+SUM(K1886:K1891)</f>
        <v>29788.2</v>
      </c>
    </row>
    <row r="1898" spans="1:22" ht="42.75" x14ac:dyDescent="0.2">
      <c r="A1898" s="179" t="s">
        <v>2879</v>
      </c>
      <c r="B1898" s="178" t="s">
        <v>2880</v>
      </c>
      <c r="C1898" s="178" t="s">
        <v>1003</v>
      </c>
      <c r="D1898" s="177" t="s">
        <v>2858</v>
      </c>
      <c r="E1898" s="174">
        <v>12</v>
      </c>
      <c r="F1898" s="176"/>
      <c r="G1898" s="175"/>
      <c r="H1898" s="174"/>
      <c r="I1898" s="173"/>
      <c r="J1898" s="174"/>
      <c r="K1898" s="173"/>
      <c r="Q1898" s="160">
        <f>[8]Source!X886</f>
        <v>237.02</v>
      </c>
      <c r="R1898" s="160">
        <f>[8]Source!X887</f>
        <v>4427.47</v>
      </c>
      <c r="S1898" s="160">
        <f>[8]Source!Y886</f>
        <v>159.44999999999999</v>
      </c>
      <c r="T1898" s="160">
        <f>[8]Source!Y887</f>
        <v>2062.8000000000002</v>
      </c>
      <c r="U1898" s="160">
        <f>ROUND((175/100)*ROUND([8]Source!R886, 2), 2)</f>
        <v>5.79</v>
      </c>
      <c r="V1898" s="160">
        <f>ROUND((157/100)*ROUND([8]Source!R887, 2), 2)</f>
        <v>121.35</v>
      </c>
    </row>
    <row r="1899" spans="1:22" ht="14.25" x14ac:dyDescent="0.2">
      <c r="A1899" s="179"/>
      <c r="B1899" s="178"/>
      <c r="C1899" s="178" t="s">
        <v>197</v>
      </c>
      <c r="D1899" s="177"/>
      <c r="E1899" s="174"/>
      <c r="F1899" s="176">
        <v>14.87</v>
      </c>
      <c r="G1899" s="175" t="s">
        <v>2775</v>
      </c>
      <c r="H1899" s="174">
        <v>1</v>
      </c>
      <c r="I1899" s="173">
        <v>215.47</v>
      </c>
      <c r="J1899" s="174">
        <v>23.35</v>
      </c>
      <c r="K1899" s="173">
        <v>5031.22</v>
      </c>
    </row>
    <row r="1900" spans="1:22" ht="14.25" x14ac:dyDescent="0.2">
      <c r="A1900" s="179"/>
      <c r="B1900" s="178"/>
      <c r="C1900" s="178" t="s">
        <v>184</v>
      </c>
      <c r="D1900" s="177"/>
      <c r="E1900" s="174"/>
      <c r="F1900" s="176">
        <v>2.2000000000000002</v>
      </c>
      <c r="G1900" s="175" t="s">
        <v>2776</v>
      </c>
      <c r="H1900" s="174">
        <v>1</v>
      </c>
      <c r="I1900" s="173">
        <v>34.65</v>
      </c>
      <c r="J1900" s="174">
        <v>7.24</v>
      </c>
      <c r="K1900" s="173">
        <v>250.87</v>
      </c>
    </row>
    <row r="1901" spans="1:22" ht="14.25" x14ac:dyDescent="0.2">
      <c r="A1901" s="179"/>
      <c r="B1901" s="178"/>
      <c r="C1901" s="178" t="s">
        <v>189</v>
      </c>
      <c r="D1901" s="177"/>
      <c r="E1901" s="174"/>
      <c r="F1901" s="176">
        <v>0.21</v>
      </c>
      <c r="G1901" s="175" t="s">
        <v>2776</v>
      </c>
      <c r="H1901" s="174">
        <v>1</v>
      </c>
      <c r="I1901" s="180">
        <v>3.31</v>
      </c>
      <c r="J1901" s="174">
        <v>23.35</v>
      </c>
      <c r="K1901" s="180">
        <v>77.290000000000006</v>
      </c>
    </row>
    <row r="1902" spans="1:22" ht="14.25" x14ac:dyDescent="0.2">
      <c r="A1902" s="179"/>
      <c r="B1902" s="178"/>
      <c r="C1902" s="178" t="s">
        <v>205</v>
      </c>
      <c r="D1902" s="177"/>
      <c r="E1902" s="174"/>
      <c r="F1902" s="176">
        <v>7.92</v>
      </c>
      <c r="G1902" s="175" t="s">
        <v>195</v>
      </c>
      <c r="H1902" s="174">
        <v>1</v>
      </c>
      <c r="I1902" s="173">
        <v>95.04</v>
      </c>
      <c r="J1902" s="174">
        <v>3.95</v>
      </c>
      <c r="K1902" s="173">
        <v>375.41</v>
      </c>
    </row>
    <row r="1903" spans="1:22" ht="82.5" x14ac:dyDescent="0.2">
      <c r="A1903" s="228" t="s">
        <v>2881</v>
      </c>
      <c r="B1903" s="227" t="s">
        <v>2659</v>
      </c>
      <c r="C1903" s="227" t="s">
        <v>1002</v>
      </c>
      <c r="D1903" s="226" t="s">
        <v>1913</v>
      </c>
      <c r="E1903" s="223">
        <v>4</v>
      </c>
      <c r="F1903" s="225">
        <v>2145.2800000000002</v>
      </c>
      <c r="G1903" s="224" t="s">
        <v>195</v>
      </c>
      <c r="H1903" s="223">
        <v>1</v>
      </c>
      <c r="I1903" s="222">
        <v>8581.1200000000008</v>
      </c>
      <c r="J1903" s="223">
        <v>4.4000000000000004</v>
      </c>
      <c r="K1903" s="222">
        <v>37756.93</v>
      </c>
      <c r="Q1903" s="160">
        <f>[8]Source!X888</f>
        <v>0</v>
      </c>
      <c r="R1903" s="160">
        <f>[8]Source!X889</f>
        <v>0</v>
      </c>
      <c r="S1903" s="160">
        <f>[8]Source!Y888</f>
        <v>0</v>
      </c>
      <c r="T1903" s="160">
        <f>[8]Source!Y889</f>
        <v>0</v>
      </c>
      <c r="U1903" s="160">
        <f>ROUND((175/100)*ROUND([8]Source!R888, 2), 2)</f>
        <v>0</v>
      </c>
      <c r="V1903" s="160">
        <f>ROUND((157/100)*ROUND([8]Source!R889, 2), 2)</f>
        <v>0</v>
      </c>
    </row>
    <row r="1904" spans="1:22" ht="82.5" x14ac:dyDescent="0.2">
      <c r="A1904" s="228" t="s">
        <v>2882</v>
      </c>
      <c r="B1904" s="227" t="s">
        <v>2659</v>
      </c>
      <c r="C1904" s="227" t="s">
        <v>1001</v>
      </c>
      <c r="D1904" s="226" t="s">
        <v>1913</v>
      </c>
      <c r="E1904" s="223">
        <v>8</v>
      </c>
      <c r="F1904" s="225">
        <v>2478.71</v>
      </c>
      <c r="G1904" s="224" t="s">
        <v>195</v>
      </c>
      <c r="H1904" s="223">
        <v>1</v>
      </c>
      <c r="I1904" s="222">
        <v>19829.68</v>
      </c>
      <c r="J1904" s="223">
        <v>4.4000000000000004</v>
      </c>
      <c r="K1904" s="222">
        <v>87250.59</v>
      </c>
      <c r="Q1904" s="160">
        <f>[8]Source!X890</f>
        <v>0</v>
      </c>
      <c r="R1904" s="160">
        <f>[8]Source!X891</f>
        <v>0</v>
      </c>
      <c r="S1904" s="160">
        <f>[8]Source!Y890</f>
        <v>0</v>
      </c>
      <c r="T1904" s="160">
        <f>[8]Source!Y891</f>
        <v>0</v>
      </c>
      <c r="U1904" s="160">
        <f>ROUND((175/100)*ROUND([8]Source!R890, 2), 2)</f>
        <v>0</v>
      </c>
      <c r="V1904" s="160">
        <f>ROUND((157/100)*ROUND([8]Source!R891, 2), 2)</f>
        <v>0</v>
      </c>
    </row>
    <row r="1905" spans="1:22" ht="14.25" x14ac:dyDescent="0.2">
      <c r="A1905" s="179"/>
      <c r="B1905" s="178"/>
      <c r="C1905" s="178" t="s">
        <v>194</v>
      </c>
      <c r="D1905" s="177" t="s">
        <v>187</v>
      </c>
      <c r="E1905" s="174">
        <v>110</v>
      </c>
      <c r="F1905" s="176"/>
      <c r="G1905" s="175"/>
      <c r="H1905" s="174"/>
      <c r="I1905" s="173">
        <v>237.02</v>
      </c>
      <c r="J1905" s="174">
        <v>88</v>
      </c>
      <c r="K1905" s="173">
        <v>4427.47</v>
      </c>
    </row>
    <row r="1906" spans="1:22" ht="14.25" x14ac:dyDescent="0.2">
      <c r="A1906" s="179"/>
      <c r="B1906" s="178"/>
      <c r="C1906" s="178" t="s">
        <v>193</v>
      </c>
      <c r="D1906" s="177" t="s">
        <v>187</v>
      </c>
      <c r="E1906" s="174">
        <v>74</v>
      </c>
      <c r="F1906" s="176"/>
      <c r="G1906" s="175"/>
      <c r="H1906" s="174"/>
      <c r="I1906" s="173">
        <v>159.44999999999999</v>
      </c>
      <c r="J1906" s="174">
        <v>41</v>
      </c>
      <c r="K1906" s="173">
        <v>2062.8000000000002</v>
      </c>
    </row>
    <row r="1907" spans="1:22" ht="14.25" x14ac:dyDescent="0.2">
      <c r="A1907" s="179"/>
      <c r="B1907" s="178"/>
      <c r="C1907" s="178" t="s">
        <v>188</v>
      </c>
      <c r="D1907" s="177" t="s">
        <v>187</v>
      </c>
      <c r="E1907" s="174">
        <v>175</v>
      </c>
      <c r="F1907" s="176"/>
      <c r="G1907" s="175"/>
      <c r="H1907" s="174"/>
      <c r="I1907" s="173">
        <v>5.79</v>
      </c>
      <c r="J1907" s="174">
        <v>157</v>
      </c>
      <c r="K1907" s="173">
        <v>121.35</v>
      </c>
    </row>
    <row r="1908" spans="1:22" ht="14.25" x14ac:dyDescent="0.2">
      <c r="A1908" s="242"/>
      <c r="B1908" s="241"/>
      <c r="C1908" s="241" t="s">
        <v>192</v>
      </c>
      <c r="D1908" s="240" t="s">
        <v>191</v>
      </c>
      <c r="E1908" s="238">
        <v>1.22</v>
      </c>
      <c r="F1908" s="253"/>
      <c r="G1908" s="239" t="s">
        <v>2775</v>
      </c>
      <c r="H1908" s="238">
        <v>1</v>
      </c>
      <c r="I1908" s="237">
        <v>17.68</v>
      </c>
      <c r="J1908" s="238"/>
      <c r="K1908" s="237"/>
    </row>
    <row r="1909" spans="1:22" ht="15" x14ac:dyDescent="0.25">
      <c r="A1909" s="235"/>
      <c r="B1909" s="235"/>
      <c r="C1909" s="236" t="s">
        <v>183</v>
      </c>
      <c r="D1909" s="235"/>
      <c r="E1909" s="235"/>
      <c r="F1909" s="235"/>
      <c r="G1909" s="235"/>
      <c r="H1909" s="436">
        <v>29158.22</v>
      </c>
      <c r="I1909" s="436"/>
      <c r="J1909" s="436">
        <v>137276.64000000001</v>
      </c>
      <c r="K1909" s="436"/>
      <c r="O1909" s="163">
        <f>I1899+I1900+I1902+I1905+I1906+I1907+SUM(I1903:I1904)</f>
        <v>29158.22</v>
      </c>
      <c r="P1909" s="163">
        <f>K1899+K1900+K1902+K1905+K1906+K1907+SUM(K1903:K1904)</f>
        <v>137276.64000000001</v>
      </c>
    </row>
    <row r="1911" spans="1:22" ht="42.75" x14ac:dyDescent="0.2">
      <c r="A1911" s="179" t="s">
        <v>2883</v>
      </c>
      <c r="B1911" s="178" t="s">
        <v>2884</v>
      </c>
      <c r="C1911" s="178" t="s">
        <v>1000</v>
      </c>
      <c r="D1911" s="177" t="s">
        <v>1903</v>
      </c>
      <c r="E1911" s="174">
        <v>19</v>
      </c>
      <c r="F1911" s="176"/>
      <c r="G1911" s="175"/>
      <c r="H1911" s="174"/>
      <c r="I1911" s="173"/>
      <c r="J1911" s="174"/>
      <c r="K1911" s="173"/>
      <c r="Q1911" s="160">
        <f>[8]Source!X892</f>
        <v>314.7</v>
      </c>
      <c r="R1911" s="160">
        <f>[8]Source!X893</f>
        <v>5878.58</v>
      </c>
      <c r="S1911" s="160">
        <f>[8]Source!Y892</f>
        <v>211.71</v>
      </c>
      <c r="T1911" s="160">
        <f>[8]Source!Y893</f>
        <v>2738.88</v>
      </c>
      <c r="U1911" s="160">
        <f>ROUND((175/100)*ROUND([8]Source!R892, 2), 2)</f>
        <v>6.11</v>
      </c>
      <c r="V1911" s="160">
        <f>ROUND((157/100)*ROUND([8]Source!R893, 2), 2)</f>
        <v>127.94</v>
      </c>
    </row>
    <row r="1912" spans="1:22" x14ac:dyDescent="0.2">
      <c r="C1912" s="181" t="s">
        <v>2885</v>
      </c>
    </row>
    <row r="1913" spans="1:22" ht="14.25" x14ac:dyDescent="0.2">
      <c r="A1913" s="179"/>
      <c r="B1913" s="178"/>
      <c r="C1913" s="178" t="s">
        <v>197</v>
      </c>
      <c r="D1913" s="177"/>
      <c r="E1913" s="174"/>
      <c r="F1913" s="176">
        <v>12.47</v>
      </c>
      <c r="G1913" s="175" t="s">
        <v>2668</v>
      </c>
      <c r="H1913" s="174">
        <v>1</v>
      </c>
      <c r="I1913" s="173">
        <v>286.08999999999997</v>
      </c>
      <c r="J1913" s="174">
        <v>23.35</v>
      </c>
      <c r="K1913" s="173">
        <v>6680.2</v>
      </c>
    </row>
    <row r="1914" spans="1:22" ht="14.25" x14ac:dyDescent="0.2">
      <c r="A1914" s="179"/>
      <c r="B1914" s="178"/>
      <c r="C1914" s="178" t="s">
        <v>184</v>
      </c>
      <c r="D1914" s="177"/>
      <c r="E1914" s="174"/>
      <c r="F1914" s="176">
        <v>0.77</v>
      </c>
      <c r="G1914" s="175" t="s">
        <v>2669</v>
      </c>
      <c r="H1914" s="174">
        <v>1</v>
      </c>
      <c r="I1914" s="173">
        <v>19.2</v>
      </c>
      <c r="J1914" s="174">
        <v>8.8699999999999992</v>
      </c>
      <c r="K1914" s="173">
        <v>170.3</v>
      </c>
    </row>
    <row r="1915" spans="1:22" ht="14.25" x14ac:dyDescent="0.2">
      <c r="A1915" s="179"/>
      <c r="B1915" s="178"/>
      <c r="C1915" s="178" t="s">
        <v>189</v>
      </c>
      <c r="D1915" s="177"/>
      <c r="E1915" s="174"/>
      <c r="F1915" s="176">
        <v>0.14000000000000001</v>
      </c>
      <c r="G1915" s="175" t="s">
        <v>2669</v>
      </c>
      <c r="H1915" s="174">
        <v>1</v>
      </c>
      <c r="I1915" s="180">
        <v>3.49</v>
      </c>
      <c r="J1915" s="174">
        <v>23.35</v>
      </c>
      <c r="K1915" s="180">
        <v>81.489999999999995</v>
      </c>
    </row>
    <row r="1916" spans="1:22" ht="14.25" x14ac:dyDescent="0.2">
      <c r="A1916" s="179"/>
      <c r="B1916" s="178"/>
      <c r="C1916" s="178" t="s">
        <v>205</v>
      </c>
      <c r="D1916" s="177"/>
      <c r="E1916" s="174"/>
      <c r="F1916" s="176">
        <v>16.53</v>
      </c>
      <c r="G1916" s="175" t="s">
        <v>195</v>
      </c>
      <c r="H1916" s="174">
        <v>1</v>
      </c>
      <c r="I1916" s="173">
        <v>314.07</v>
      </c>
      <c r="J1916" s="174">
        <v>2.56</v>
      </c>
      <c r="K1916" s="173">
        <v>804.02</v>
      </c>
    </row>
    <row r="1917" spans="1:22" ht="39.75" x14ac:dyDescent="0.2">
      <c r="A1917" s="179" t="s">
        <v>2886</v>
      </c>
      <c r="B1917" s="178" t="s">
        <v>2659</v>
      </c>
      <c r="C1917" s="178" t="s">
        <v>999</v>
      </c>
      <c r="D1917" s="177" t="s">
        <v>1661</v>
      </c>
      <c r="E1917" s="174">
        <v>2</v>
      </c>
      <c r="F1917" s="176">
        <v>1404.39</v>
      </c>
      <c r="G1917" s="182" t="s">
        <v>195</v>
      </c>
      <c r="H1917" s="174">
        <v>1</v>
      </c>
      <c r="I1917" s="173">
        <v>2808.78</v>
      </c>
      <c r="J1917" s="174">
        <v>5.42</v>
      </c>
      <c r="K1917" s="173">
        <v>15223.59</v>
      </c>
      <c r="Q1917" s="160">
        <f>[8]Source!X894</f>
        <v>0</v>
      </c>
      <c r="R1917" s="160">
        <f>[8]Source!X895</f>
        <v>0</v>
      </c>
      <c r="S1917" s="160">
        <f>[8]Source!Y894</f>
        <v>0</v>
      </c>
      <c r="T1917" s="160">
        <f>[8]Source!Y895</f>
        <v>0</v>
      </c>
      <c r="U1917" s="160">
        <f>ROUND((175/100)*ROUND([8]Source!R894, 2), 2)</f>
        <v>0</v>
      </c>
      <c r="V1917" s="160">
        <f>ROUND((157/100)*ROUND([8]Source!R895, 2), 2)</f>
        <v>0</v>
      </c>
    </row>
    <row r="1918" spans="1:22" ht="39.75" x14ac:dyDescent="0.2">
      <c r="A1918" s="179" t="s">
        <v>2887</v>
      </c>
      <c r="B1918" s="178" t="s">
        <v>2659</v>
      </c>
      <c r="C1918" s="178" t="s">
        <v>998</v>
      </c>
      <c r="D1918" s="177" t="s">
        <v>1661</v>
      </c>
      <c r="E1918" s="174">
        <v>4</v>
      </c>
      <c r="F1918" s="176">
        <v>2258.3000000000002</v>
      </c>
      <c r="G1918" s="182" t="s">
        <v>195</v>
      </c>
      <c r="H1918" s="174">
        <v>1</v>
      </c>
      <c r="I1918" s="173">
        <v>9033.2000000000007</v>
      </c>
      <c r="J1918" s="174">
        <v>5.42</v>
      </c>
      <c r="K1918" s="173">
        <v>48959.94</v>
      </c>
      <c r="Q1918" s="160">
        <f>[8]Source!X896</f>
        <v>0</v>
      </c>
      <c r="R1918" s="160">
        <f>[8]Source!X897</f>
        <v>0</v>
      </c>
      <c r="S1918" s="160">
        <f>[8]Source!Y896</f>
        <v>0</v>
      </c>
      <c r="T1918" s="160">
        <f>[8]Source!Y897</f>
        <v>0</v>
      </c>
      <c r="U1918" s="160">
        <f>ROUND((175/100)*ROUND([8]Source!R896, 2), 2)</f>
        <v>0</v>
      </c>
      <c r="V1918" s="160">
        <f>ROUND((157/100)*ROUND([8]Source!R897, 2), 2)</f>
        <v>0</v>
      </c>
    </row>
    <row r="1919" spans="1:22" ht="39.75" x14ac:dyDescent="0.2">
      <c r="A1919" s="179" t="s">
        <v>2888</v>
      </c>
      <c r="B1919" s="178" t="s">
        <v>2659</v>
      </c>
      <c r="C1919" s="178" t="s">
        <v>997</v>
      </c>
      <c r="D1919" s="177" t="s">
        <v>1661</v>
      </c>
      <c r="E1919" s="174">
        <v>5</v>
      </c>
      <c r="F1919" s="176">
        <v>1430.25</v>
      </c>
      <c r="G1919" s="182" t="s">
        <v>195</v>
      </c>
      <c r="H1919" s="174">
        <v>1</v>
      </c>
      <c r="I1919" s="173">
        <v>7151.25</v>
      </c>
      <c r="J1919" s="174">
        <v>5.42</v>
      </c>
      <c r="K1919" s="173">
        <v>38759.78</v>
      </c>
      <c r="Q1919" s="160">
        <f>[8]Source!X898</f>
        <v>0</v>
      </c>
      <c r="R1919" s="160">
        <f>[8]Source!X899</f>
        <v>0</v>
      </c>
      <c r="S1919" s="160">
        <f>[8]Source!Y898</f>
        <v>0</v>
      </c>
      <c r="T1919" s="160">
        <f>[8]Source!Y899</f>
        <v>0</v>
      </c>
      <c r="U1919" s="160">
        <f>ROUND((175/100)*ROUND([8]Source!R898, 2), 2)</f>
        <v>0</v>
      </c>
      <c r="V1919" s="160">
        <f>ROUND((157/100)*ROUND([8]Source!R899, 2), 2)</f>
        <v>0</v>
      </c>
    </row>
    <row r="1920" spans="1:22" ht="39.75" x14ac:dyDescent="0.2">
      <c r="A1920" s="179" t="s">
        <v>2889</v>
      </c>
      <c r="B1920" s="178" t="s">
        <v>2659</v>
      </c>
      <c r="C1920" s="178" t="s">
        <v>996</v>
      </c>
      <c r="D1920" s="177" t="s">
        <v>1661</v>
      </c>
      <c r="E1920" s="174">
        <v>8</v>
      </c>
      <c r="F1920" s="176">
        <v>2771.13</v>
      </c>
      <c r="G1920" s="182" t="s">
        <v>195</v>
      </c>
      <c r="H1920" s="174">
        <v>1</v>
      </c>
      <c r="I1920" s="173">
        <v>22169.040000000001</v>
      </c>
      <c r="J1920" s="174">
        <v>5.42</v>
      </c>
      <c r="K1920" s="173">
        <v>120156.2</v>
      </c>
      <c r="Q1920" s="160">
        <f>[8]Source!X900</f>
        <v>0</v>
      </c>
      <c r="R1920" s="160">
        <f>[8]Source!X901</f>
        <v>0</v>
      </c>
      <c r="S1920" s="160">
        <f>[8]Source!Y900</f>
        <v>0</v>
      </c>
      <c r="T1920" s="160">
        <f>[8]Source!Y901</f>
        <v>0</v>
      </c>
      <c r="U1920" s="160">
        <f>ROUND((175/100)*ROUND([8]Source!R900, 2), 2)</f>
        <v>0</v>
      </c>
      <c r="V1920" s="160">
        <f>ROUND((157/100)*ROUND([8]Source!R901, 2), 2)</f>
        <v>0</v>
      </c>
    </row>
    <row r="1921" spans="1:22" ht="14.25" x14ac:dyDescent="0.2">
      <c r="A1921" s="179"/>
      <c r="B1921" s="178"/>
      <c r="C1921" s="178" t="s">
        <v>194</v>
      </c>
      <c r="D1921" s="177" t="s">
        <v>187</v>
      </c>
      <c r="E1921" s="174">
        <v>110</v>
      </c>
      <c r="F1921" s="176"/>
      <c r="G1921" s="175"/>
      <c r="H1921" s="174"/>
      <c r="I1921" s="173">
        <v>314.7</v>
      </c>
      <c r="J1921" s="174">
        <v>88</v>
      </c>
      <c r="K1921" s="173">
        <v>5878.58</v>
      </c>
    </row>
    <row r="1922" spans="1:22" ht="14.25" x14ac:dyDescent="0.2">
      <c r="A1922" s="179"/>
      <c r="B1922" s="178"/>
      <c r="C1922" s="178" t="s">
        <v>193</v>
      </c>
      <c r="D1922" s="177" t="s">
        <v>187</v>
      </c>
      <c r="E1922" s="174">
        <v>74</v>
      </c>
      <c r="F1922" s="176"/>
      <c r="G1922" s="175"/>
      <c r="H1922" s="174"/>
      <c r="I1922" s="173">
        <v>211.71</v>
      </c>
      <c r="J1922" s="174">
        <v>41</v>
      </c>
      <c r="K1922" s="173">
        <v>2738.88</v>
      </c>
    </row>
    <row r="1923" spans="1:22" ht="14.25" x14ac:dyDescent="0.2">
      <c r="A1923" s="179"/>
      <c r="B1923" s="178"/>
      <c r="C1923" s="178" t="s">
        <v>188</v>
      </c>
      <c r="D1923" s="177" t="s">
        <v>187</v>
      </c>
      <c r="E1923" s="174">
        <v>175</v>
      </c>
      <c r="F1923" s="176"/>
      <c r="G1923" s="175"/>
      <c r="H1923" s="174"/>
      <c r="I1923" s="173">
        <v>6.11</v>
      </c>
      <c r="J1923" s="174">
        <v>157</v>
      </c>
      <c r="K1923" s="173">
        <v>127.94</v>
      </c>
    </row>
    <row r="1924" spans="1:22" ht="14.25" x14ac:dyDescent="0.2">
      <c r="A1924" s="242"/>
      <c r="B1924" s="241"/>
      <c r="C1924" s="241" t="s">
        <v>192</v>
      </c>
      <c r="D1924" s="240" t="s">
        <v>191</v>
      </c>
      <c r="E1924" s="238">
        <v>1.06</v>
      </c>
      <c r="F1924" s="253"/>
      <c r="G1924" s="239" t="s">
        <v>2668</v>
      </c>
      <c r="H1924" s="238">
        <v>1</v>
      </c>
      <c r="I1924" s="237">
        <v>24.32</v>
      </c>
      <c r="J1924" s="238"/>
      <c r="K1924" s="237"/>
    </row>
    <row r="1925" spans="1:22" ht="15" x14ac:dyDescent="0.25">
      <c r="A1925" s="235"/>
      <c r="B1925" s="235"/>
      <c r="C1925" s="236" t="s">
        <v>183</v>
      </c>
      <c r="D1925" s="235"/>
      <c r="E1925" s="235"/>
      <c r="F1925" s="235"/>
      <c r="G1925" s="235"/>
      <c r="H1925" s="436">
        <v>42314.15</v>
      </c>
      <c r="I1925" s="436"/>
      <c r="J1925" s="436">
        <v>239499.43</v>
      </c>
      <c r="K1925" s="436"/>
      <c r="O1925" s="163">
        <f>I1913+I1914+I1916+I1921+I1922+I1923+SUM(I1917:I1920)</f>
        <v>42314.15</v>
      </c>
      <c r="P1925" s="163">
        <f>K1913+K1914+K1916+K1921+K1922+K1923+SUM(K1917:K1920)</f>
        <v>239499.43</v>
      </c>
    </row>
    <row r="1927" spans="1:22" ht="42.75" x14ac:dyDescent="0.2">
      <c r="A1927" s="179" t="s">
        <v>2890</v>
      </c>
      <c r="B1927" s="178" t="s">
        <v>2891</v>
      </c>
      <c r="C1927" s="178" t="s">
        <v>995</v>
      </c>
      <c r="D1927" s="177" t="s">
        <v>2676</v>
      </c>
      <c r="E1927" s="174">
        <v>8</v>
      </c>
      <c r="F1927" s="176"/>
      <c r="G1927" s="175"/>
      <c r="H1927" s="174"/>
      <c r="I1927" s="173"/>
      <c r="J1927" s="174"/>
      <c r="K1927" s="173"/>
      <c r="Q1927" s="160">
        <f>[8]Source!X902</f>
        <v>502.39</v>
      </c>
      <c r="R1927" s="160">
        <f>[8]Source!X903</f>
        <v>9384.68</v>
      </c>
      <c r="S1927" s="160">
        <f>[8]Source!Y902</f>
        <v>337.97</v>
      </c>
      <c r="T1927" s="160">
        <f>[8]Source!Y903</f>
        <v>4372.41</v>
      </c>
      <c r="U1927" s="160">
        <f>ROUND((175/100)*ROUND([8]Source!R902, 2), 2)</f>
        <v>6.44</v>
      </c>
      <c r="V1927" s="160">
        <f>ROUND((157/100)*ROUND([8]Source!R903, 2), 2)</f>
        <v>134.91</v>
      </c>
    </row>
    <row r="1928" spans="1:22" ht="14.25" x14ac:dyDescent="0.2">
      <c r="A1928" s="179"/>
      <c r="B1928" s="178"/>
      <c r="C1928" s="178" t="s">
        <v>197</v>
      </c>
      <c r="D1928" s="177"/>
      <c r="E1928" s="174"/>
      <c r="F1928" s="176">
        <v>47.28</v>
      </c>
      <c r="G1928" s="175" t="s">
        <v>2775</v>
      </c>
      <c r="H1928" s="174">
        <v>1</v>
      </c>
      <c r="I1928" s="173">
        <v>456.72</v>
      </c>
      <c r="J1928" s="174">
        <v>23.35</v>
      </c>
      <c r="K1928" s="173">
        <v>10664.41</v>
      </c>
    </row>
    <row r="1929" spans="1:22" ht="14.25" x14ac:dyDescent="0.2">
      <c r="A1929" s="179"/>
      <c r="B1929" s="178"/>
      <c r="C1929" s="178" t="s">
        <v>184</v>
      </c>
      <c r="D1929" s="177"/>
      <c r="E1929" s="174"/>
      <c r="F1929" s="176">
        <v>1.49</v>
      </c>
      <c r="G1929" s="175" t="s">
        <v>2776</v>
      </c>
      <c r="H1929" s="174">
        <v>1</v>
      </c>
      <c r="I1929" s="173">
        <v>15.65</v>
      </c>
      <c r="J1929" s="174">
        <v>9.58</v>
      </c>
      <c r="K1929" s="173">
        <v>149.93</v>
      </c>
    </row>
    <row r="1930" spans="1:22" ht="14.25" x14ac:dyDescent="0.2">
      <c r="A1930" s="179"/>
      <c r="B1930" s="178"/>
      <c r="C1930" s="178" t="s">
        <v>189</v>
      </c>
      <c r="D1930" s="177"/>
      <c r="E1930" s="174"/>
      <c r="F1930" s="176">
        <v>0.35</v>
      </c>
      <c r="G1930" s="175" t="s">
        <v>2776</v>
      </c>
      <c r="H1930" s="174">
        <v>1</v>
      </c>
      <c r="I1930" s="180">
        <v>3.68</v>
      </c>
      <c r="J1930" s="174">
        <v>23.35</v>
      </c>
      <c r="K1930" s="180">
        <v>85.93</v>
      </c>
    </row>
    <row r="1931" spans="1:22" ht="14.25" x14ac:dyDescent="0.2">
      <c r="A1931" s="179"/>
      <c r="B1931" s="178"/>
      <c r="C1931" s="178" t="s">
        <v>205</v>
      </c>
      <c r="D1931" s="177"/>
      <c r="E1931" s="174"/>
      <c r="F1931" s="176">
        <v>15.67</v>
      </c>
      <c r="G1931" s="175" t="s">
        <v>195</v>
      </c>
      <c r="H1931" s="174">
        <v>1</v>
      </c>
      <c r="I1931" s="173">
        <v>125.36</v>
      </c>
      <c r="J1931" s="174">
        <v>7.9</v>
      </c>
      <c r="K1931" s="173">
        <v>990.34</v>
      </c>
    </row>
    <row r="1932" spans="1:22" ht="39.75" x14ac:dyDescent="0.2">
      <c r="A1932" s="179" t="s">
        <v>2892</v>
      </c>
      <c r="B1932" s="178" t="s">
        <v>2659</v>
      </c>
      <c r="C1932" s="178" t="s">
        <v>994</v>
      </c>
      <c r="D1932" s="177" t="s">
        <v>1661</v>
      </c>
      <c r="E1932" s="174">
        <v>7</v>
      </c>
      <c r="F1932" s="176">
        <v>3207.54</v>
      </c>
      <c r="G1932" s="182" t="s">
        <v>195</v>
      </c>
      <c r="H1932" s="174">
        <v>1</v>
      </c>
      <c r="I1932" s="173">
        <v>22452.78</v>
      </c>
      <c r="J1932" s="174">
        <v>5.42</v>
      </c>
      <c r="K1932" s="173">
        <v>121694.07</v>
      </c>
      <c r="Q1932" s="160">
        <f>[8]Source!X904</f>
        <v>0</v>
      </c>
      <c r="R1932" s="160">
        <f>[8]Source!X905</f>
        <v>0</v>
      </c>
      <c r="S1932" s="160">
        <f>[8]Source!Y904</f>
        <v>0</v>
      </c>
      <c r="T1932" s="160">
        <f>[8]Source!Y905</f>
        <v>0</v>
      </c>
      <c r="U1932" s="160">
        <f>ROUND((175/100)*ROUND([8]Source!R904, 2), 2)</f>
        <v>0</v>
      </c>
      <c r="V1932" s="160">
        <f>ROUND((157/100)*ROUND([8]Source!R905, 2), 2)</f>
        <v>0</v>
      </c>
    </row>
    <row r="1933" spans="1:22" ht="39.75" x14ac:dyDescent="0.2">
      <c r="A1933" s="179" t="s">
        <v>2893</v>
      </c>
      <c r="B1933" s="178" t="s">
        <v>2659</v>
      </c>
      <c r="C1933" s="178" t="s">
        <v>993</v>
      </c>
      <c r="D1933" s="177" t="s">
        <v>1661</v>
      </c>
      <c r="E1933" s="174">
        <v>1</v>
      </c>
      <c r="F1933" s="176">
        <v>3109.68</v>
      </c>
      <c r="G1933" s="182" t="s">
        <v>195</v>
      </c>
      <c r="H1933" s="174">
        <v>1</v>
      </c>
      <c r="I1933" s="173">
        <v>3109.68</v>
      </c>
      <c r="J1933" s="174">
        <v>5.42</v>
      </c>
      <c r="K1933" s="173">
        <v>16854.47</v>
      </c>
      <c r="Q1933" s="160">
        <f>[8]Source!X906</f>
        <v>0</v>
      </c>
      <c r="R1933" s="160">
        <f>[8]Source!X907</f>
        <v>0</v>
      </c>
      <c r="S1933" s="160">
        <f>[8]Source!Y906</f>
        <v>0</v>
      </c>
      <c r="T1933" s="160">
        <f>[8]Source!Y907</f>
        <v>0</v>
      </c>
      <c r="U1933" s="160">
        <f>ROUND((175/100)*ROUND([8]Source!R906, 2), 2)</f>
        <v>0</v>
      </c>
      <c r="V1933" s="160">
        <f>ROUND((157/100)*ROUND([8]Source!R907, 2), 2)</f>
        <v>0</v>
      </c>
    </row>
    <row r="1934" spans="1:22" ht="14.25" x14ac:dyDescent="0.2">
      <c r="A1934" s="179"/>
      <c r="B1934" s="178"/>
      <c r="C1934" s="178" t="s">
        <v>194</v>
      </c>
      <c r="D1934" s="177" t="s">
        <v>187</v>
      </c>
      <c r="E1934" s="174">
        <v>110</v>
      </c>
      <c r="F1934" s="176"/>
      <c r="G1934" s="175"/>
      <c r="H1934" s="174"/>
      <c r="I1934" s="173">
        <v>502.39</v>
      </c>
      <c r="J1934" s="174">
        <v>88</v>
      </c>
      <c r="K1934" s="173">
        <v>9384.68</v>
      </c>
    </row>
    <row r="1935" spans="1:22" ht="14.25" x14ac:dyDescent="0.2">
      <c r="A1935" s="179"/>
      <c r="B1935" s="178"/>
      <c r="C1935" s="178" t="s">
        <v>193</v>
      </c>
      <c r="D1935" s="177" t="s">
        <v>187</v>
      </c>
      <c r="E1935" s="174">
        <v>74</v>
      </c>
      <c r="F1935" s="176"/>
      <c r="G1935" s="175"/>
      <c r="H1935" s="174"/>
      <c r="I1935" s="173">
        <v>337.97</v>
      </c>
      <c r="J1935" s="174">
        <v>41</v>
      </c>
      <c r="K1935" s="173">
        <v>4372.41</v>
      </c>
    </row>
    <row r="1936" spans="1:22" ht="14.25" x14ac:dyDescent="0.2">
      <c r="A1936" s="179"/>
      <c r="B1936" s="178"/>
      <c r="C1936" s="178" t="s">
        <v>188</v>
      </c>
      <c r="D1936" s="177" t="s">
        <v>187</v>
      </c>
      <c r="E1936" s="174">
        <v>175</v>
      </c>
      <c r="F1936" s="176"/>
      <c r="G1936" s="175"/>
      <c r="H1936" s="174"/>
      <c r="I1936" s="173">
        <v>6.44</v>
      </c>
      <c r="J1936" s="174">
        <v>157</v>
      </c>
      <c r="K1936" s="173">
        <v>134.91</v>
      </c>
    </row>
    <row r="1937" spans="1:22" ht="14.25" x14ac:dyDescent="0.2">
      <c r="A1937" s="242"/>
      <c r="B1937" s="241"/>
      <c r="C1937" s="241" t="s">
        <v>192</v>
      </c>
      <c r="D1937" s="240" t="s">
        <v>191</v>
      </c>
      <c r="E1937" s="238">
        <v>4.0199999999999996</v>
      </c>
      <c r="F1937" s="253"/>
      <c r="G1937" s="239" t="s">
        <v>2775</v>
      </c>
      <c r="H1937" s="238">
        <v>1</v>
      </c>
      <c r="I1937" s="237">
        <v>38.83</v>
      </c>
      <c r="J1937" s="238"/>
      <c r="K1937" s="237"/>
    </row>
    <row r="1938" spans="1:22" ht="15" x14ac:dyDescent="0.25">
      <c r="A1938" s="235"/>
      <c r="B1938" s="235"/>
      <c r="C1938" s="236" t="s">
        <v>183</v>
      </c>
      <c r="D1938" s="235"/>
      <c r="E1938" s="235"/>
      <c r="F1938" s="235"/>
      <c r="G1938" s="235"/>
      <c r="H1938" s="436">
        <v>27006.99</v>
      </c>
      <c r="I1938" s="436"/>
      <c r="J1938" s="436">
        <v>164245.22</v>
      </c>
      <c r="K1938" s="436"/>
      <c r="O1938" s="163">
        <f>I1928+I1929+I1931+I1934+I1935+I1936+SUM(I1932:I1933)</f>
        <v>27006.99</v>
      </c>
      <c r="P1938" s="163">
        <f>K1928+K1929+K1931+K1934+K1935+K1936+SUM(K1932:K1933)</f>
        <v>164245.22</v>
      </c>
    </row>
    <row r="1940" spans="1:22" ht="42.75" x14ac:dyDescent="0.2">
      <c r="A1940" s="179" t="s">
        <v>2894</v>
      </c>
      <c r="B1940" s="178" t="s">
        <v>2895</v>
      </c>
      <c r="C1940" s="178" t="s">
        <v>992</v>
      </c>
      <c r="D1940" s="177" t="s">
        <v>2676</v>
      </c>
      <c r="E1940" s="174">
        <v>10</v>
      </c>
      <c r="F1940" s="176"/>
      <c r="G1940" s="175"/>
      <c r="H1940" s="174"/>
      <c r="I1940" s="173"/>
      <c r="J1940" s="174"/>
      <c r="K1940" s="173"/>
      <c r="Q1940" s="160">
        <f>[8]Source!X908</f>
        <v>841.97</v>
      </c>
      <c r="R1940" s="160">
        <f>[8]Source!X909</f>
        <v>15728.06</v>
      </c>
      <c r="S1940" s="160">
        <f>[8]Source!Y908</f>
        <v>566.41999999999996</v>
      </c>
      <c r="T1940" s="160">
        <f>[8]Source!Y909</f>
        <v>7327.84</v>
      </c>
      <c r="U1940" s="160">
        <f>ROUND((175/100)*ROUND([8]Source!R908, 2), 2)</f>
        <v>40.43</v>
      </c>
      <c r="V1940" s="160">
        <f>ROUND((157/100)*ROUND([8]Source!R909, 2), 2)</f>
        <v>846.84</v>
      </c>
    </row>
    <row r="1941" spans="1:22" x14ac:dyDescent="0.2">
      <c r="C1941" s="181" t="s">
        <v>2896</v>
      </c>
    </row>
    <row r="1942" spans="1:22" ht="14.25" x14ac:dyDescent="0.2">
      <c r="A1942" s="179"/>
      <c r="B1942" s="178"/>
      <c r="C1942" s="178" t="s">
        <v>197</v>
      </c>
      <c r="D1942" s="177"/>
      <c r="E1942" s="174"/>
      <c r="F1942" s="176">
        <v>63.39</v>
      </c>
      <c r="G1942" s="175" t="s">
        <v>2775</v>
      </c>
      <c r="H1942" s="174">
        <v>1</v>
      </c>
      <c r="I1942" s="173">
        <v>765.43</v>
      </c>
      <c r="J1942" s="174">
        <v>23.35</v>
      </c>
      <c r="K1942" s="173">
        <v>17872.79</v>
      </c>
    </row>
    <row r="1943" spans="1:22" ht="14.25" x14ac:dyDescent="0.2">
      <c r="A1943" s="179"/>
      <c r="B1943" s="178"/>
      <c r="C1943" s="178" t="s">
        <v>184</v>
      </c>
      <c r="D1943" s="177"/>
      <c r="E1943" s="174"/>
      <c r="F1943" s="176">
        <v>7.44</v>
      </c>
      <c r="G1943" s="175" t="s">
        <v>2776</v>
      </c>
      <c r="H1943" s="174">
        <v>1</v>
      </c>
      <c r="I1943" s="173">
        <v>97.65</v>
      </c>
      <c r="J1943" s="174">
        <v>9.61</v>
      </c>
      <c r="K1943" s="173">
        <v>938.42</v>
      </c>
    </row>
    <row r="1944" spans="1:22" ht="14.25" x14ac:dyDescent="0.2">
      <c r="A1944" s="179"/>
      <c r="B1944" s="178"/>
      <c r="C1944" s="178" t="s">
        <v>189</v>
      </c>
      <c r="D1944" s="177"/>
      <c r="E1944" s="174"/>
      <c r="F1944" s="176">
        <v>1.76</v>
      </c>
      <c r="G1944" s="175" t="s">
        <v>2776</v>
      </c>
      <c r="H1944" s="174">
        <v>1</v>
      </c>
      <c r="I1944" s="180">
        <v>23.1</v>
      </c>
      <c r="J1944" s="174">
        <v>23.35</v>
      </c>
      <c r="K1944" s="180">
        <v>539.39</v>
      </c>
    </row>
    <row r="1945" spans="1:22" ht="14.25" x14ac:dyDescent="0.2">
      <c r="A1945" s="179"/>
      <c r="B1945" s="178"/>
      <c r="C1945" s="178" t="s">
        <v>205</v>
      </c>
      <c r="D1945" s="177"/>
      <c r="E1945" s="174"/>
      <c r="F1945" s="176">
        <v>24.35</v>
      </c>
      <c r="G1945" s="175" t="s">
        <v>195</v>
      </c>
      <c r="H1945" s="174">
        <v>1</v>
      </c>
      <c r="I1945" s="173">
        <v>243.5</v>
      </c>
      <c r="J1945" s="174">
        <v>7.02</v>
      </c>
      <c r="K1945" s="173">
        <v>1709.37</v>
      </c>
    </row>
    <row r="1946" spans="1:22" ht="39.75" x14ac:dyDescent="0.2">
      <c r="A1946" s="179" t="s">
        <v>2897</v>
      </c>
      <c r="B1946" s="178" t="s">
        <v>2659</v>
      </c>
      <c r="C1946" s="178" t="s">
        <v>991</v>
      </c>
      <c r="D1946" s="177" t="s">
        <v>1661</v>
      </c>
      <c r="E1946" s="174">
        <v>5</v>
      </c>
      <c r="F1946" s="176">
        <v>2879.34</v>
      </c>
      <c r="G1946" s="182" t="s">
        <v>195</v>
      </c>
      <c r="H1946" s="174">
        <v>1</v>
      </c>
      <c r="I1946" s="173">
        <v>14396.7</v>
      </c>
      <c r="J1946" s="174">
        <v>5.42</v>
      </c>
      <c r="K1946" s="173">
        <v>78030.11</v>
      </c>
      <c r="Q1946" s="160">
        <f>[8]Source!X910</f>
        <v>0</v>
      </c>
      <c r="R1946" s="160">
        <f>[8]Source!X911</f>
        <v>0</v>
      </c>
      <c r="S1946" s="160">
        <f>[8]Source!Y910</f>
        <v>0</v>
      </c>
      <c r="T1946" s="160">
        <f>[8]Source!Y911</f>
        <v>0</v>
      </c>
      <c r="U1946" s="160">
        <f>ROUND((175/100)*ROUND([8]Source!R910, 2), 2)</f>
        <v>0</v>
      </c>
      <c r="V1946" s="160">
        <f>ROUND((157/100)*ROUND([8]Source!R911, 2), 2)</f>
        <v>0</v>
      </c>
    </row>
    <row r="1947" spans="1:22" ht="39.75" x14ac:dyDescent="0.2">
      <c r="A1947" s="179" t="s">
        <v>2898</v>
      </c>
      <c r="B1947" s="178" t="s">
        <v>2659</v>
      </c>
      <c r="C1947" s="178" t="s">
        <v>990</v>
      </c>
      <c r="D1947" s="177" t="s">
        <v>1661</v>
      </c>
      <c r="E1947" s="174">
        <v>1</v>
      </c>
      <c r="F1947" s="176">
        <v>4112</v>
      </c>
      <c r="G1947" s="182" t="s">
        <v>195</v>
      </c>
      <c r="H1947" s="174">
        <v>1</v>
      </c>
      <c r="I1947" s="173">
        <v>4112</v>
      </c>
      <c r="J1947" s="174">
        <v>5.42</v>
      </c>
      <c r="K1947" s="173">
        <v>22287.040000000001</v>
      </c>
      <c r="Q1947" s="160">
        <f>[8]Source!X912</f>
        <v>0</v>
      </c>
      <c r="R1947" s="160">
        <f>[8]Source!X913</f>
        <v>0</v>
      </c>
      <c r="S1947" s="160">
        <f>[8]Source!Y912</f>
        <v>0</v>
      </c>
      <c r="T1947" s="160">
        <f>[8]Source!Y913</f>
        <v>0</v>
      </c>
      <c r="U1947" s="160">
        <f>ROUND((175/100)*ROUND([8]Source!R912, 2), 2)</f>
        <v>0</v>
      </c>
      <c r="V1947" s="160">
        <f>ROUND((157/100)*ROUND([8]Source!R913, 2), 2)</f>
        <v>0</v>
      </c>
    </row>
    <row r="1948" spans="1:22" ht="39.75" x14ac:dyDescent="0.2">
      <c r="A1948" s="179" t="s">
        <v>2899</v>
      </c>
      <c r="B1948" s="178" t="s">
        <v>2659</v>
      </c>
      <c r="C1948" s="178" t="s">
        <v>989</v>
      </c>
      <c r="D1948" s="177" t="s">
        <v>1661</v>
      </c>
      <c r="E1948" s="174">
        <v>3</v>
      </c>
      <c r="F1948" s="176">
        <v>3516.05</v>
      </c>
      <c r="G1948" s="182" t="s">
        <v>195</v>
      </c>
      <c r="H1948" s="174">
        <v>1</v>
      </c>
      <c r="I1948" s="173">
        <v>10548.15</v>
      </c>
      <c r="J1948" s="174">
        <v>5.42</v>
      </c>
      <c r="K1948" s="173">
        <v>57170.97</v>
      </c>
      <c r="Q1948" s="160">
        <f>[8]Source!X914</f>
        <v>0</v>
      </c>
      <c r="R1948" s="160">
        <f>[8]Source!X915</f>
        <v>0</v>
      </c>
      <c r="S1948" s="160">
        <f>[8]Source!Y914</f>
        <v>0</v>
      </c>
      <c r="T1948" s="160">
        <f>[8]Source!Y915</f>
        <v>0</v>
      </c>
      <c r="U1948" s="160">
        <f>ROUND((175/100)*ROUND([8]Source!R914, 2), 2)</f>
        <v>0</v>
      </c>
      <c r="V1948" s="160">
        <f>ROUND((157/100)*ROUND([8]Source!R915, 2), 2)</f>
        <v>0</v>
      </c>
    </row>
    <row r="1949" spans="1:22" ht="39.75" x14ac:dyDescent="0.2">
      <c r="A1949" s="179" t="s">
        <v>2900</v>
      </c>
      <c r="B1949" s="178" t="s">
        <v>2659</v>
      </c>
      <c r="C1949" s="178" t="s">
        <v>988</v>
      </c>
      <c r="D1949" s="177" t="s">
        <v>1661</v>
      </c>
      <c r="E1949" s="174">
        <v>3</v>
      </c>
      <c r="F1949" s="176">
        <v>4678.1400000000003</v>
      </c>
      <c r="G1949" s="182" t="s">
        <v>195</v>
      </c>
      <c r="H1949" s="174">
        <v>1</v>
      </c>
      <c r="I1949" s="173">
        <v>14034.42</v>
      </c>
      <c r="J1949" s="174">
        <v>5.42</v>
      </c>
      <c r="K1949" s="173">
        <v>76066.559999999998</v>
      </c>
      <c r="Q1949" s="160">
        <f>[8]Source!X916</f>
        <v>0</v>
      </c>
      <c r="R1949" s="160">
        <f>[8]Source!X917</f>
        <v>0</v>
      </c>
      <c r="S1949" s="160">
        <f>[8]Source!Y916</f>
        <v>0</v>
      </c>
      <c r="T1949" s="160">
        <f>[8]Source!Y917</f>
        <v>0</v>
      </c>
      <c r="U1949" s="160">
        <f>ROUND((175/100)*ROUND([8]Source!R916, 2), 2)</f>
        <v>0</v>
      </c>
      <c r="V1949" s="160">
        <f>ROUND((157/100)*ROUND([8]Source!R917, 2), 2)</f>
        <v>0</v>
      </c>
    </row>
    <row r="1950" spans="1:22" ht="14.25" x14ac:dyDescent="0.2">
      <c r="A1950" s="179"/>
      <c r="B1950" s="178"/>
      <c r="C1950" s="178" t="s">
        <v>194</v>
      </c>
      <c r="D1950" s="177" t="s">
        <v>187</v>
      </c>
      <c r="E1950" s="174">
        <v>110</v>
      </c>
      <c r="F1950" s="176"/>
      <c r="G1950" s="175"/>
      <c r="H1950" s="174"/>
      <c r="I1950" s="173">
        <v>841.97</v>
      </c>
      <c r="J1950" s="174">
        <v>88</v>
      </c>
      <c r="K1950" s="173">
        <v>15728.06</v>
      </c>
    </row>
    <row r="1951" spans="1:22" ht="14.25" x14ac:dyDescent="0.2">
      <c r="A1951" s="179"/>
      <c r="B1951" s="178"/>
      <c r="C1951" s="178" t="s">
        <v>193</v>
      </c>
      <c r="D1951" s="177" t="s">
        <v>187</v>
      </c>
      <c r="E1951" s="174">
        <v>74</v>
      </c>
      <c r="F1951" s="176"/>
      <c r="G1951" s="175"/>
      <c r="H1951" s="174"/>
      <c r="I1951" s="173">
        <v>566.41999999999996</v>
      </c>
      <c r="J1951" s="174">
        <v>41</v>
      </c>
      <c r="K1951" s="173">
        <v>7327.84</v>
      </c>
    </row>
    <row r="1952" spans="1:22" ht="14.25" x14ac:dyDescent="0.2">
      <c r="A1952" s="179"/>
      <c r="B1952" s="178"/>
      <c r="C1952" s="178" t="s">
        <v>188</v>
      </c>
      <c r="D1952" s="177" t="s">
        <v>187</v>
      </c>
      <c r="E1952" s="174">
        <v>175</v>
      </c>
      <c r="F1952" s="176"/>
      <c r="G1952" s="175"/>
      <c r="H1952" s="174"/>
      <c r="I1952" s="173">
        <v>40.43</v>
      </c>
      <c r="J1952" s="174">
        <v>157</v>
      </c>
      <c r="K1952" s="173">
        <v>846.84</v>
      </c>
    </row>
    <row r="1953" spans="1:22" ht="14.25" x14ac:dyDescent="0.2">
      <c r="A1953" s="242"/>
      <c r="B1953" s="241"/>
      <c r="C1953" s="241" t="s">
        <v>192</v>
      </c>
      <c r="D1953" s="240" t="s">
        <v>191</v>
      </c>
      <c r="E1953" s="238">
        <v>5.46</v>
      </c>
      <c r="F1953" s="253"/>
      <c r="G1953" s="239" t="s">
        <v>2775</v>
      </c>
      <c r="H1953" s="238">
        <v>1</v>
      </c>
      <c r="I1953" s="237">
        <v>65.930000000000007</v>
      </c>
      <c r="J1953" s="238"/>
      <c r="K1953" s="237"/>
    </row>
    <row r="1954" spans="1:22" ht="15" x14ac:dyDescent="0.25">
      <c r="A1954" s="235"/>
      <c r="B1954" s="235"/>
      <c r="C1954" s="236" t="s">
        <v>183</v>
      </c>
      <c r="D1954" s="235"/>
      <c r="E1954" s="235"/>
      <c r="F1954" s="235"/>
      <c r="G1954" s="235"/>
      <c r="H1954" s="436">
        <v>45646.67</v>
      </c>
      <c r="I1954" s="436"/>
      <c r="J1954" s="436">
        <v>277978</v>
      </c>
      <c r="K1954" s="436"/>
      <c r="O1954" s="163">
        <f>I1942+I1943+I1945+I1950+I1951+I1952+SUM(I1946:I1949)</f>
        <v>45646.67</v>
      </c>
      <c r="P1954" s="163">
        <f>K1942+K1943+K1945+K1950+K1951+K1952+SUM(K1946:K1949)</f>
        <v>277978</v>
      </c>
    </row>
    <row r="1956" spans="1:22" ht="42.75" x14ac:dyDescent="0.2">
      <c r="A1956" s="179" t="s">
        <v>2901</v>
      </c>
      <c r="B1956" s="178" t="s">
        <v>2902</v>
      </c>
      <c r="C1956" s="178" t="s">
        <v>987</v>
      </c>
      <c r="D1956" s="177" t="s">
        <v>2676</v>
      </c>
      <c r="E1956" s="174">
        <v>2</v>
      </c>
      <c r="F1956" s="176"/>
      <c r="G1956" s="175"/>
      <c r="H1956" s="174"/>
      <c r="I1956" s="173"/>
      <c r="J1956" s="174"/>
      <c r="K1956" s="173"/>
      <c r="Q1956" s="160">
        <f>[8]Source!X918</f>
        <v>215.31</v>
      </c>
      <c r="R1956" s="160">
        <f>[8]Source!X919</f>
        <v>4022.07</v>
      </c>
      <c r="S1956" s="160">
        <f>[8]Source!Y918</f>
        <v>144.85</v>
      </c>
      <c r="T1956" s="160">
        <f>[8]Source!Y919</f>
        <v>1873.92</v>
      </c>
      <c r="U1956" s="160">
        <f>ROUND((175/100)*ROUND([8]Source!R918, 2), 2)</f>
        <v>14.56</v>
      </c>
      <c r="V1956" s="160">
        <f>ROUND((157/100)*ROUND([8]Source!R919, 2), 2)</f>
        <v>305</v>
      </c>
    </row>
    <row r="1957" spans="1:22" ht="14.25" x14ac:dyDescent="0.2">
      <c r="A1957" s="179"/>
      <c r="B1957" s="178"/>
      <c r="C1957" s="178" t="s">
        <v>197</v>
      </c>
      <c r="D1957" s="177"/>
      <c r="E1957" s="174"/>
      <c r="F1957" s="176">
        <v>81.05</v>
      </c>
      <c r="G1957" s="175" t="s">
        <v>2775</v>
      </c>
      <c r="H1957" s="174">
        <v>1</v>
      </c>
      <c r="I1957" s="173">
        <v>195.74</v>
      </c>
      <c r="J1957" s="174">
        <v>23.35</v>
      </c>
      <c r="K1957" s="173">
        <v>4570.53</v>
      </c>
    </row>
    <row r="1958" spans="1:22" ht="14.25" x14ac:dyDescent="0.2">
      <c r="A1958" s="179"/>
      <c r="B1958" s="178"/>
      <c r="C1958" s="178" t="s">
        <v>184</v>
      </c>
      <c r="D1958" s="177"/>
      <c r="E1958" s="174"/>
      <c r="F1958" s="176">
        <v>13.4</v>
      </c>
      <c r="G1958" s="175" t="s">
        <v>2776</v>
      </c>
      <c r="H1958" s="174">
        <v>1</v>
      </c>
      <c r="I1958" s="173">
        <v>35.18</v>
      </c>
      <c r="J1958" s="174">
        <v>9.61</v>
      </c>
      <c r="K1958" s="173">
        <v>338.08</v>
      </c>
    </row>
    <row r="1959" spans="1:22" ht="14.25" x14ac:dyDescent="0.2">
      <c r="A1959" s="179"/>
      <c r="B1959" s="178"/>
      <c r="C1959" s="178" t="s">
        <v>189</v>
      </c>
      <c r="D1959" s="177"/>
      <c r="E1959" s="174"/>
      <c r="F1959" s="176">
        <v>3.17</v>
      </c>
      <c r="G1959" s="175" t="s">
        <v>2776</v>
      </c>
      <c r="H1959" s="174">
        <v>1</v>
      </c>
      <c r="I1959" s="180">
        <v>8.32</v>
      </c>
      <c r="J1959" s="174">
        <v>23.35</v>
      </c>
      <c r="K1959" s="180">
        <v>194.27</v>
      </c>
    </row>
    <row r="1960" spans="1:22" ht="14.25" x14ac:dyDescent="0.2">
      <c r="A1960" s="179"/>
      <c r="B1960" s="178"/>
      <c r="C1960" s="178" t="s">
        <v>205</v>
      </c>
      <c r="D1960" s="177"/>
      <c r="E1960" s="174"/>
      <c r="F1960" s="176">
        <v>37.159999999999997</v>
      </c>
      <c r="G1960" s="175" t="s">
        <v>195</v>
      </c>
      <c r="H1960" s="174">
        <v>1</v>
      </c>
      <c r="I1960" s="173">
        <v>74.319999999999993</v>
      </c>
      <c r="J1960" s="174">
        <v>6.47</v>
      </c>
      <c r="K1960" s="173">
        <v>480.85</v>
      </c>
    </row>
    <row r="1961" spans="1:22" ht="39.75" x14ac:dyDescent="0.2">
      <c r="A1961" s="179" t="s">
        <v>2903</v>
      </c>
      <c r="B1961" s="178" t="s">
        <v>2659</v>
      </c>
      <c r="C1961" s="178" t="s">
        <v>986</v>
      </c>
      <c r="D1961" s="177" t="s">
        <v>1661</v>
      </c>
      <c r="E1961" s="174">
        <v>1</v>
      </c>
      <c r="F1961" s="176">
        <v>6316.97</v>
      </c>
      <c r="G1961" s="182" t="s">
        <v>195</v>
      </c>
      <c r="H1961" s="174">
        <v>1</v>
      </c>
      <c r="I1961" s="173">
        <v>6316.97</v>
      </c>
      <c r="J1961" s="174">
        <v>5.42</v>
      </c>
      <c r="K1961" s="173">
        <v>34237.980000000003</v>
      </c>
      <c r="Q1961" s="160">
        <f>[8]Source!X920</f>
        <v>0</v>
      </c>
      <c r="R1961" s="160">
        <f>[8]Source!X921</f>
        <v>0</v>
      </c>
      <c r="S1961" s="160">
        <f>[8]Source!Y920</f>
        <v>0</v>
      </c>
      <c r="T1961" s="160">
        <f>[8]Source!Y921</f>
        <v>0</v>
      </c>
      <c r="U1961" s="160">
        <f>ROUND((175/100)*ROUND([8]Source!R920, 2), 2)</f>
        <v>0</v>
      </c>
      <c r="V1961" s="160">
        <f>ROUND((157/100)*ROUND([8]Source!R921, 2), 2)</f>
        <v>0</v>
      </c>
    </row>
    <row r="1962" spans="1:22" ht="39.75" x14ac:dyDescent="0.2">
      <c r="A1962" s="179" t="s">
        <v>2904</v>
      </c>
      <c r="B1962" s="178" t="s">
        <v>2659</v>
      </c>
      <c r="C1962" s="178" t="s">
        <v>985</v>
      </c>
      <c r="D1962" s="177" t="s">
        <v>1661</v>
      </c>
      <c r="E1962" s="174">
        <v>1</v>
      </c>
      <c r="F1962" s="176">
        <v>7210.89</v>
      </c>
      <c r="G1962" s="182" t="s">
        <v>195</v>
      </c>
      <c r="H1962" s="174">
        <v>1</v>
      </c>
      <c r="I1962" s="173">
        <v>7210.89</v>
      </c>
      <c r="J1962" s="174">
        <v>5.42</v>
      </c>
      <c r="K1962" s="173">
        <v>39083.019999999997</v>
      </c>
      <c r="Q1962" s="160">
        <f>[8]Source!X922</f>
        <v>0</v>
      </c>
      <c r="R1962" s="160">
        <f>[8]Source!X923</f>
        <v>0</v>
      </c>
      <c r="S1962" s="160">
        <f>[8]Source!Y922</f>
        <v>0</v>
      </c>
      <c r="T1962" s="160">
        <f>[8]Source!Y923</f>
        <v>0</v>
      </c>
      <c r="U1962" s="160">
        <f>ROUND((175/100)*ROUND([8]Source!R922, 2), 2)</f>
        <v>0</v>
      </c>
      <c r="V1962" s="160">
        <f>ROUND((157/100)*ROUND([8]Source!R923, 2), 2)</f>
        <v>0</v>
      </c>
    </row>
    <row r="1963" spans="1:22" ht="14.25" x14ac:dyDescent="0.2">
      <c r="A1963" s="179"/>
      <c r="B1963" s="178"/>
      <c r="C1963" s="178" t="s">
        <v>194</v>
      </c>
      <c r="D1963" s="177" t="s">
        <v>187</v>
      </c>
      <c r="E1963" s="174">
        <v>110</v>
      </c>
      <c r="F1963" s="176"/>
      <c r="G1963" s="175"/>
      <c r="H1963" s="174"/>
      <c r="I1963" s="173">
        <v>215.31</v>
      </c>
      <c r="J1963" s="174">
        <v>88</v>
      </c>
      <c r="K1963" s="173">
        <v>4022.07</v>
      </c>
    </row>
    <row r="1964" spans="1:22" ht="14.25" x14ac:dyDescent="0.2">
      <c r="A1964" s="179"/>
      <c r="B1964" s="178"/>
      <c r="C1964" s="178" t="s">
        <v>193</v>
      </c>
      <c r="D1964" s="177" t="s">
        <v>187</v>
      </c>
      <c r="E1964" s="174">
        <v>74</v>
      </c>
      <c r="F1964" s="176"/>
      <c r="G1964" s="175"/>
      <c r="H1964" s="174"/>
      <c r="I1964" s="173">
        <v>144.85</v>
      </c>
      <c r="J1964" s="174">
        <v>41</v>
      </c>
      <c r="K1964" s="173">
        <v>1873.92</v>
      </c>
    </row>
    <row r="1965" spans="1:22" ht="14.25" x14ac:dyDescent="0.2">
      <c r="A1965" s="179"/>
      <c r="B1965" s="178"/>
      <c r="C1965" s="178" t="s">
        <v>188</v>
      </c>
      <c r="D1965" s="177" t="s">
        <v>187</v>
      </c>
      <c r="E1965" s="174">
        <v>175</v>
      </c>
      <c r="F1965" s="176"/>
      <c r="G1965" s="175"/>
      <c r="H1965" s="174"/>
      <c r="I1965" s="173">
        <v>14.56</v>
      </c>
      <c r="J1965" s="174">
        <v>157</v>
      </c>
      <c r="K1965" s="173">
        <v>305</v>
      </c>
    </row>
    <row r="1966" spans="1:22" ht="14.25" x14ac:dyDescent="0.2">
      <c r="A1966" s="242"/>
      <c r="B1966" s="241"/>
      <c r="C1966" s="241" t="s">
        <v>192</v>
      </c>
      <c r="D1966" s="240" t="s">
        <v>191</v>
      </c>
      <c r="E1966" s="238">
        <v>7.16</v>
      </c>
      <c r="F1966" s="253"/>
      <c r="G1966" s="239" t="s">
        <v>2775</v>
      </c>
      <c r="H1966" s="238">
        <v>1</v>
      </c>
      <c r="I1966" s="237">
        <v>17.29</v>
      </c>
      <c r="J1966" s="238"/>
      <c r="K1966" s="237"/>
    </row>
    <row r="1967" spans="1:22" ht="15" x14ac:dyDescent="0.25">
      <c r="A1967" s="235"/>
      <c r="B1967" s="235"/>
      <c r="C1967" s="236" t="s">
        <v>183</v>
      </c>
      <c r="D1967" s="235"/>
      <c r="E1967" s="235"/>
      <c r="F1967" s="235"/>
      <c r="G1967" s="235"/>
      <c r="H1967" s="436">
        <v>14207.82</v>
      </c>
      <c r="I1967" s="436"/>
      <c r="J1967" s="436">
        <v>84911.45</v>
      </c>
      <c r="K1967" s="436"/>
      <c r="O1967" s="163">
        <f>I1957+I1958+I1960+I1963+I1964+I1965+SUM(I1961:I1962)</f>
        <v>14207.82</v>
      </c>
      <c r="P1967" s="163">
        <f>K1957+K1958+K1960+K1963+K1964+K1965+SUM(K1961:K1962)</f>
        <v>84911.45</v>
      </c>
    </row>
    <row r="1969" spans="1:22" ht="57" x14ac:dyDescent="0.2">
      <c r="A1969" s="179" t="s">
        <v>2905</v>
      </c>
      <c r="B1969" s="178" t="s">
        <v>2906</v>
      </c>
      <c r="C1969" s="178" t="s">
        <v>984</v>
      </c>
      <c r="D1969" s="177" t="s">
        <v>2907</v>
      </c>
      <c r="E1969" s="174">
        <v>310</v>
      </c>
      <c r="F1969" s="176"/>
      <c r="G1969" s="175"/>
      <c r="H1969" s="174"/>
      <c r="I1969" s="173"/>
      <c r="J1969" s="174"/>
      <c r="K1969" s="173"/>
      <c r="Q1969" s="160">
        <f>[8]Source!X924</f>
        <v>2108.6999999999998</v>
      </c>
      <c r="R1969" s="160">
        <f>[8]Source!X925</f>
        <v>39498.69</v>
      </c>
      <c r="S1969" s="160">
        <f>[8]Source!Y924</f>
        <v>1622.08</v>
      </c>
      <c r="T1969" s="160">
        <f>[8]Source!Y925</f>
        <v>22184.19</v>
      </c>
      <c r="U1969" s="160">
        <f>ROUND((175/100)*ROUND([8]Source!R924, 2), 2)</f>
        <v>474.69</v>
      </c>
      <c r="V1969" s="160">
        <f>ROUND((157/100)*ROUND([8]Source!R925, 2), 2)</f>
        <v>9943.89</v>
      </c>
    </row>
    <row r="1970" spans="1:22" ht="14.25" x14ac:dyDescent="0.2">
      <c r="A1970" s="179"/>
      <c r="B1970" s="178"/>
      <c r="C1970" s="178" t="s">
        <v>197</v>
      </c>
      <c r="D1970" s="177"/>
      <c r="E1970" s="174"/>
      <c r="F1970" s="176">
        <v>6.5</v>
      </c>
      <c r="G1970" s="175" t="s">
        <v>2270</v>
      </c>
      <c r="H1970" s="174">
        <v>1</v>
      </c>
      <c r="I1970" s="173">
        <v>2317.25</v>
      </c>
      <c r="J1970" s="174">
        <v>23.35</v>
      </c>
      <c r="K1970" s="173">
        <v>54107.79</v>
      </c>
    </row>
    <row r="1971" spans="1:22" ht="14.25" x14ac:dyDescent="0.2">
      <c r="A1971" s="179"/>
      <c r="B1971" s="178"/>
      <c r="C1971" s="178" t="s">
        <v>184</v>
      </c>
      <c r="D1971" s="177"/>
      <c r="E1971" s="174"/>
      <c r="F1971" s="176">
        <v>3.54</v>
      </c>
      <c r="G1971" s="175" t="s">
        <v>2271</v>
      </c>
      <c r="H1971" s="174">
        <v>1</v>
      </c>
      <c r="I1971" s="173">
        <v>1371.75</v>
      </c>
      <c r="J1971" s="174">
        <v>8.91</v>
      </c>
      <c r="K1971" s="173">
        <v>12222.29</v>
      </c>
    </row>
    <row r="1972" spans="1:22" ht="14.25" x14ac:dyDescent="0.2">
      <c r="A1972" s="179"/>
      <c r="B1972" s="178"/>
      <c r="C1972" s="178" t="s">
        <v>189</v>
      </c>
      <c r="D1972" s="177"/>
      <c r="E1972" s="174"/>
      <c r="F1972" s="176">
        <v>0.7</v>
      </c>
      <c r="G1972" s="175" t="s">
        <v>2271</v>
      </c>
      <c r="H1972" s="174">
        <v>1</v>
      </c>
      <c r="I1972" s="180">
        <v>271.25</v>
      </c>
      <c r="J1972" s="174">
        <v>23.35</v>
      </c>
      <c r="K1972" s="180">
        <v>6333.69</v>
      </c>
    </row>
    <row r="1973" spans="1:22" ht="14.25" x14ac:dyDescent="0.2">
      <c r="A1973" s="179"/>
      <c r="B1973" s="178"/>
      <c r="C1973" s="178" t="s">
        <v>205</v>
      </c>
      <c r="D1973" s="177"/>
      <c r="E1973" s="174"/>
      <c r="F1973" s="176">
        <v>12.19</v>
      </c>
      <c r="G1973" s="175" t="s">
        <v>195</v>
      </c>
      <c r="H1973" s="174">
        <v>1</v>
      </c>
      <c r="I1973" s="173">
        <v>3778.9</v>
      </c>
      <c r="J1973" s="174">
        <v>25.98</v>
      </c>
      <c r="K1973" s="173">
        <v>98175.82</v>
      </c>
    </row>
    <row r="1974" spans="1:22" ht="71.25" x14ac:dyDescent="0.2">
      <c r="A1974" s="179" t="s">
        <v>2908</v>
      </c>
      <c r="B1974" s="178" t="s">
        <v>2636</v>
      </c>
      <c r="C1974" s="178" t="s">
        <v>908</v>
      </c>
      <c r="D1974" s="177" t="s">
        <v>1552</v>
      </c>
      <c r="E1974" s="174">
        <v>310</v>
      </c>
      <c r="F1974" s="176">
        <v>6.29</v>
      </c>
      <c r="G1974" s="182" t="s">
        <v>195</v>
      </c>
      <c r="H1974" s="174">
        <v>1</v>
      </c>
      <c r="I1974" s="173">
        <v>1949.9</v>
      </c>
      <c r="J1974" s="174">
        <v>5.68</v>
      </c>
      <c r="K1974" s="173">
        <v>11075.43</v>
      </c>
      <c r="Q1974" s="160">
        <f>[8]Source!X926</f>
        <v>0</v>
      </c>
      <c r="R1974" s="160">
        <f>[8]Source!X927</f>
        <v>0</v>
      </c>
      <c r="S1974" s="160">
        <f>[8]Source!Y926</f>
        <v>0</v>
      </c>
      <c r="T1974" s="160">
        <f>[8]Source!Y927</f>
        <v>0</v>
      </c>
      <c r="U1974" s="160">
        <f>ROUND((175/100)*ROUND([8]Source!R926, 2), 2)</f>
        <v>0</v>
      </c>
      <c r="V1974" s="160">
        <f>ROUND((157/100)*ROUND([8]Source!R927, 2), 2)</f>
        <v>0</v>
      </c>
    </row>
    <row r="1975" spans="1:22" ht="57" x14ac:dyDescent="0.2">
      <c r="A1975" s="179" t="s">
        <v>2909</v>
      </c>
      <c r="B1975" s="178" t="s">
        <v>2910</v>
      </c>
      <c r="C1975" s="178" t="s">
        <v>983</v>
      </c>
      <c r="D1975" s="177" t="s">
        <v>1594</v>
      </c>
      <c r="E1975" s="174">
        <v>2</v>
      </c>
      <c r="F1975" s="176">
        <v>1056.72</v>
      </c>
      <c r="G1975" s="182" t="s">
        <v>195</v>
      </c>
      <c r="H1975" s="174">
        <v>1</v>
      </c>
      <c r="I1975" s="173">
        <v>2113.44</v>
      </c>
      <c r="J1975" s="174">
        <v>4.71</v>
      </c>
      <c r="K1975" s="173">
        <v>9954.2999999999993</v>
      </c>
      <c r="Q1975" s="160">
        <f>[8]Source!X928</f>
        <v>0</v>
      </c>
      <c r="R1975" s="160">
        <f>[8]Source!X929</f>
        <v>0</v>
      </c>
      <c r="S1975" s="160">
        <f>[8]Source!Y928</f>
        <v>0</v>
      </c>
      <c r="T1975" s="160">
        <f>[8]Source!Y929</f>
        <v>0</v>
      </c>
      <c r="U1975" s="160">
        <f>ROUND((175/100)*ROUND([8]Source!R928, 2), 2)</f>
        <v>0</v>
      </c>
      <c r="V1975" s="160">
        <f>ROUND((157/100)*ROUND([8]Source!R929, 2), 2)</f>
        <v>0</v>
      </c>
    </row>
    <row r="1976" spans="1:22" ht="71.25" x14ac:dyDescent="0.2">
      <c r="A1976" s="179" t="s">
        <v>2911</v>
      </c>
      <c r="B1976" s="178" t="s">
        <v>2912</v>
      </c>
      <c r="C1976" s="178" t="s">
        <v>982</v>
      </c>
      <c r="D1976" s="177" t="s">
        <v>1557</v>
      </c>
      <c r="E1976" s="174">
        <v>200</v>
      </c>
      <c r="F1976" s="176">
        <v>5.5</v>
      </c>
      <c r="G1976" s="182" t="s">
        <v>195</v>
      </c>
      <c r="H1976" s="174">
        <v>1</v>
      </c>
      <c r="I1976" s="173">
        <v>1100</v>
      </c>
      <c r="J1976" s="174">
        <v>5.41</v>
      </c>
      <c r="K1976" s="173">
        <v>5951</v>
      </c>
      <c r="Q1976" s="160">
        <f>[8]Source!X930</f>
        <v>0</v>
      </c>
      <c r="R1976" s="160">
        <f>[8]Source!X931</f>
        <v>0</v>
      </c>
      <c r="S1976" s="160">
        <f>[8]Source!Y930</f>
        <v>0</v>
      </c>
      <c r="T1976" s="160">
        <f>[8]Source!Y931</f>
        <v>0</v>
      </c>
      <c r="U1976" s="160">
        <f>ROUND((175/100)*ROUND([8]Source!R930, 2), 2)</f>
        <v>0</v>
      </c>
      <c r="V1976" s="160">
        <f>ROUND((157/100)*ROUND([8]Source!R931, 2), 2)</f>
        <v>0</v>
      </c>
    </row>
    <row r="1977" spans="1:22" ht="142.5" x14ac:dyDescent="0.2">
      <c r="A1977" s="179" t="s">
        <v>2913</v>
      </c>
      <c r="B1977" s="178" t="s">
        <v>2914</v>
      </c>
      <c r="C1977" s="178" t="s">
        <v>981</v>
      </c>
      <c r="D1977" s="177" t="s">
        <v>1557</v>
      </c>
      <c r="E1977" s="174">
        <v>70</v>
      </c>
      <c r="F1977" s="176">
        <v>29.42</v>
      </c>
      <c r="G1977" s="182" t="s">
        <v>195</v>
      </c>
      <c r="H1977" s="174">
        <v>1</v>
      </c>
      <c r="I1977" s="173">
        <v>2059.4</v>
      </c>
      <c r="J1977" s="174">
        <v>5.41</v>
      </c>
      <c r="K1977" s="173">
        <v>11141.35</v>
      </c>
      <c r="Q1977" s="160">
        <f>[8]Source!X932</f>
        <v>0</v>
      </c>
      <c r="R1977" s="160">
        <f>[8]Source!X933</f>
        <v>0</v>
      </c>
      <c r="S1977" s="160">
        <f>[8]Source!Y932</f>
        <v>0</v>
      </c>
      <c r="T1977" s="160">
        <f>[8]Source!Y933</f>
        <v>0</v>
      </c>
      <c r="U1977" s="160">
        <f>ROUND((175/100)*ROUND([8]Source!R932, 2), 2)</f>
        <v>0</v>
      </c>
      <c r="V1977" s="160">
        <f>ROUND((157/100)*ROUND([8]Source!R933, 2), 2)</f>
        <v>0</v>
      </c>
    </row>
    <row r="1978" spans="1:22" ht="14.25" x14ac:dyDescent="0.2">
      <c r="A1978" s="179" t="s">
        <v>2915</v>
      </c>
      <c r="B1978" s="178" t="s">
        <v>2916</v>
      </c>
      <c r="C1978" s="178" t="s">
        <v>980</v>
      </c>
      <c r="D1978" s="177" t="s">
        <v>2639</v>
      </c>
      <c r="E1978" s="174">
        <v>77.5</v>
      </c>
      <c r="F1978" s="176">
        <v>144.94</v>
      </c>
      <c r="G1978" s="182" t="s">
        <v>195</v>
      </c>
      <c r="H1978" s="174">
        <v>1</v>
      </c>
      <c r="I1978" s="173">
        <v>11232.85</v>
      </c>
      <c r="J1978" s="174">
        <v>6.64</v>
      </c>
      <c r="K1978" s="173">
        <v>74586.12</v>
      </c>
      <c r="Q1978" s="160">
        <f>[8]Source!X936</f>
        <v>0</v>
      </c>
      <c r="R1978" s="160">
        <f>[8]Source!X937</f>
        <v>0</v>
      </c>
      <c r="S1978" s="160">
        <f>[8]Source!Y936</f>
        <v>0</v>
      </c>
      <c r="T1978" s="160">
        <f>[8]Source!Y937</f>
        <v>0</v>
      </c>
      <c r="U1978" s="160">
        <f>ROUND((175/100)*ROUND([8]Source!R936, 2), 2)</f>
        <v>0</v>
      </c>
      <c r="V1978" s="160">
        <f>ROUND((157/100)*ROUND([8]Source!R937, 2), 2)</f>
        <v>0</v>
      </c>
    </row>
    <row r="1979" spans="1:22" ht="14.25" x14ac:dyDescent="0.2">
      <c r="A1979" s="179"/>
      <c r="B1979" s="178"/>
      <c r="C1979" s="178" t="s">
        <v>194</v>
      </c>
      <c r="D1979" s="177" t="s">
        <v>187</v>
      </c>
      <c r="E1979" s="174">
        <v>91</v>
      </c>
      <c r="F1979" s="176"/>
      <c r="G1979" s="175"/>
      <c r="H1979" s="174"/>
      <c r="I1979" s="173">
        <v>2108.6999999999998</v>
      </c>
      <c r="J1979" s="174">
        <v>73</v>
      </c>
      <c r="K1979" s="173">
        <v>39498.69</v>
      </c>
    </row>
    <row r="1980" spans="1:22" ht="14.25" x14ac:dyDescent="0.2">
      <c r="A1980" s="179"/>
      <c r="B1980" s="178"/>
      <c r="C1980" s="178" t="s">
        <v>193</v>
      </c>
      <c r="D1980" s="177" t="s">
        <v>187</v>
      </c>
      <c r="E1980" s="174">
        <v>70</v>
      </c>
      <c r="F1980" s="176"/>
      <c r="G1980" s="175"/>
      <c r="H1980" s="174"/>
      <c r="I1980" s="173">
        <v>1622.08</v>
      </c>
      <c r="J1980" s="174">
        <v>41</v>
      </c>
      <c r="K1980" s="173">
        <v>22184.19</v>
      </c>
    </row>
    <row r="1981" spans="1:22" ht="14.25" x14ac:dyDescent="0.2">
      <c r="A1981" s="179"/>
      <c r="B1981" s="178"/>
      <c r="C1981" s="178" t="s">
        <v>188</v>
      </c>
      <c r="D1981" s="177" t="s">
        <v>187</v>
      </c>
      <c r="E1981" s="174">
        <v>175</v>
      </c>
      <c r="F1981" s="176"/>
      <c r="G1981" s="175"/>
      <c r="H1981" s="174"/>
      <c r="I1981" s="173">
        <v>474.69</v>
      </c>
      <c r="J1981" s="174">
        <v>157</v>
      </c>
      <c r="K1981" s="173">
        <v>9943.89</v>
      </c>
    </row>
    <row r="1982" spans="1:22" ht="14.25" x14ac:dyDescent="0.2">
      <c r="A1982" s="242"/>
      <c r="B1982" s="241"/>
      <c r="C1982" s="241" t="s">
        <v>192</v>
      </c>
      <c r="D1982" s="240" t="s">
        <v>191</v>
      </c>
      <c r="E1982" s="238">
        <v>0.5</v>
      </c>
      <c r="F1982" s="253"/>
      <c r="G1982" s="239" t="s">
        <v>2270</v>
      </c>
      <c r="H1982" s="238">
        <v>1</v>
      </c>
      <c r="I1982" s="237">
        <v>178.25</v>
      </c>
      <c r="J1982" s="238"/>
      <c r="K1982" s="237"/>
    </row>
    <row r="1983" spans="1:22" ht="15" x14ac:dyDescent="0.25">
      <c r="A1983" s="235"/>
      <c r="B1983" s="235"/>
      <c r="C1983" s="236" t="s">
        <v>183</v>
      </c>
      <c r="D1983" s="235"/>
      <c r="E1983" s="235"/>
      <c r="F1983" s="235"/>
      <c r="G1983" s="235"/>
      <c r="H1983" s="436">
        <v>30128.959999999999</v>
      </c>
      <c r="I1983" s="436"/>
      <c r="J1983" s="436">
        <v>348840.87</v>
      </c>
      <c r="K1983" s="436"/>
      <c r="O1983" s="163">
        <f>I1970+I1971+I1973+I1979+I1980+I1981+SUM(I1974:I1978)</f>
        <v>30128.959999999999</v>
      </c>
      <c r="P1983" s="163">
        <f>K1970+K1971+K1973+K1979+K1980+K1981+SUM(K1974:K1978)</f>
        <v>348840.87</v>
      </c>
    </row>
    <row r="1986" spans="1:22" ht="15" x14ac:dyDescent="0.25">
      <c r="A1986" s="417" t="s">
        <v>2917</v>
      </c>
      <c r="B1986" s="417"/>
      <c r="C1986" s="417"/>
      <c r="D1986" s="417"/>
      <c r="E1986" s="417"/>
      <c r="F1986" s="417"/>
      <c r="G1986" s="417"/>
      <c r="H1986" s="415">
        <v>1001486.66</v>
      </c>
      <c r="I1986" s="416"/>
      <c r="J1986" s="415">
        <v>5254971.87</v>
      </c>
      <c r="K1986" s="416"/>
    </row>
    <row r="1987" spans="1:22" hidden="1" x14ac:dyDescent="0.2">
      <c r="A1987" s="160" t="s">
        <v>182</v>
      </c>
      <c r="I1987" s="160">
        <v>0</v>
      </c>
      <c r="J1987" s="160">
        <v>0</v>
      </c>
    </row>
    <row r="1988" spans="1:22" hidden="1" x14ac:dyDescent="0.2">
      <c r="A1988" s="160" t="s">
        <v>181</v>
      </c>
      <c r="I1988" s="160">
        <v>0</v>
      </c>
      <c r="J1988" s="160">
        <v>0</v>
      </c>
    </row>
    <row r="1990" spans="1:22" ht="16.5" x14ac:dyDescent="0.25">
      <c r="A1990" s="413" t="s">
        <v>2918</v>
      </c>
      <c r="B1990" s="413"/>
      <c r="C1990" s="413"/>
      <c r="D1990" s="413"/>
      <c r="E1990" s="413"/>
      <c r="F1990" s="413"/>
      <c r="G1990" s="413"/>
      <c r="H1990" s="413"/>
      <c r="I1990" s="413"/>
      <c r="J1990" s="413"/>
      <c r="K1990" s="413"/>
    </row>
    <row r="1991" spans="1:22" ht="57" x14ac:dyDescent="0.2">
      <c r="A1991" s="179" t="s">
        <v>2919</v>
      </c>
      <c r="B1991" s="178" t="s">
        <v>2920</v>
      </c>
      <c r="C1991" s="178" t="s">
        <v>979</v>
      </c>
      <c r="D1991" s="177" t="s">
        <v>2921</v>
      </c>
      <c r="E1991" s="174">
        <v>23</v>
      </c>
      <c r="F1991" s="176"/>
      <c r="G1991" s="175"/>
      <c r="H1991" s="174"/>
      <c r="I1991" s="173"/>
      <c r="J1991" s="174"/>
      <c r="K1991" s="173"/>
      <c r="Q1991" s="160">
        <f>[8]Source!X973</f>
        <v>1491.92</v>
      </c>
      <c r="R1991" s="160">
        <f>[8]Source!X974</f>
        <v>31584.84</v>
      </c>
      <c r="S1991" s="160">
        <f>[8]Source!Y973</f>
        <v>1392.45</v>
      </c>
      <c r="T1991" s="160">
        <f>[8]Source!Y974</f>
        <v>19043.8</v>
      </c>
      <c r="U1991" s="160">
        <f>ROUND((175/100)*ROUND([8]Source!R973, 2), 2)</f>
        <v>0</v>
      </c>
      <c r="V1991" s="160">
        <f>ROUND((157/100)*ROUND([8]Source!R974, 2), 2)</f>
        <v>0</v>
      </c>
    </row>
    <row r="1992" spans="1:22" ht="14.25" x14ac:dyDescent="0.2">
      <c r="A1992" s="179"/>
      <c r="B1992" s="178"/>
      <c r="C1992" s="178" t="s">
        <v>197</v>
      </c>
      <c r="D1992" s="177"/>
      <c r="E1992" s="174"/>
      <c r="F1992" s="176">
        <v>108.11</v>
      </c>
      <c r="G1992" s="175" t="s">
        <v>2922</v>
      </c>
      <c r="H1992" s="174">
        <v>1</v>
      </c>
      <c r="I1992" s="173">
        <v>1989.22</v>
      </c>
      <c r="J1992" s="174">
        <v>23.35</v>
      </c>
      <c r="K1992" s="173">
        <v>46448.29</v>
      </c>
    </row>
    <row r="1993" spans="1:22" ht="14.25" x14ac:dyDescent="0.2">
      <c r="A1993" s="179"/>
      <c r="B1993" s="178"/>
      <c r="C1993" s="178" t="s">
        <v>194</v>
      </c>
      <c r="D1993" s="177" t="s">
        <v>187</v>
      </c>
      <c r="E1993" s="174">
        <v>75</v>
      </c>
      <c r="F1993" s="176"/>
      <c r="G1993" s="175"/>
      <c r="H1993" s="174"/>
      <c r="I1993" s="173">
        <v>1491.92</v>
      </c>
      <c r="J1993" s="174">
        <v>68</v>
      </c>
      <c r="K1993" s="173">
        <v>31584.84</v>
      </c>
    </row>
    <row r="1994" spans="1:22" ht="14.25" x14ac:dyDescent="0.2">
      <c r="A1994" s="179"/>
      <c r="B1994" s="178"/>
      <c r="C1994" s="178" t="s">
        <v>193</v>
      </c>
      <c r="D1994" s="177" t="s">
        <v>187</v>
      </c>
      <c r="E1994" s="174">
        <v>70</v>
      </c>
      <c r="F1994" s="176"/>
      <c r="G1994" s="175"/>
      <c r="H1994" s="174"/>
      <c r="I1994" s="173">
        <v>1392.45</v>
      </c>
      <c r="J1994" s="174">
        <v>41</v>
      </c>
      <c r="K1994" s="173">
        <v>19043.8</v>
      </c>
    </row>
    <row r="1995" spans="1:22" ht="14.25" x14ac:dyDescent="0.2">
      <c r="A1995" s="242"/>
      <c r="B1995" s="241"/>
      <c r="C1995" s="241" t="s">
        <v>192</v>
      </c>
      <c r="D1995" s="240" t="s">
        <v>191</v>
      </c>
      <c r="E1995" s="238">
        <v>6.3</v>
      </c>
      <c r="F1995" s="253"/>
      <c r="G1995" s="239" t="s">
        <v>2922</v>
      </c>
      <c r="H1995" s="238">
        <v>1</v>
      </c>
      <c r="I1995" s="237">
        <v>115.92</v>
      </c>
      <c r="J1995" s="238"/>
      <c r="K1995" s="237"/>
    </row>
    <row r="1996" spans="1:22" ht="15" x14ac:dyDescent="0.25">
      <c r="A1996" s="235"/>
      <c r="B1996" s="235"/>
      <c r="C1996" s="236" t="s">
        <v>183</v>
      </c>
      <c r="D1996" s="235"/>
      <c r="E1996" s="235"/>
      <c r="F1996" s="235"/>
      <c r="G1996" s="235"/>
      <c r="H1996" s="436">
        <v>4873.59</v>
      </c>
      <c r="I1996" s="436"/>
      <c r="J1996" s="436">
        <v>97076.93</v>
      </c>
      <c r="K1996" s="436"/>
      <c r="O1996" s="163">
        <f>I1992+I1993+I1994</f>
        <v>4873.59</v>
      </c>
      <c r="P1996" s="163">
        <f>K1992+K1993+K1994</f>
        <v>97076.93</v>
      </c>
    </row>
    <row r="1998" spans="1:22" ht="42.75" x14ac:dyDescent="0.2">
      <c r="A1998" s="179" t="s">
        <v>2923</v>
      </c>
      <c r="B1998" s="178" t="s">
        <v>2924</v>
      </c>
      <c r="C1998" s="178" t="s">
        <v>978</v>
      </c>
      <c r="D1998" s="177" t="s">
        <v>2925</v>
      </c>
      <c r="E1998" s="174">
        <v>6</v>
      </c>
      <c r="F1998" s="176"/>
      <c r="G1998" s="175"/>
      <c r="H1998" s="174"/>
      <c r="I1998" s="173"/>
      <c r="J1998" s="174"/>
      <c r="K1998" s="173"/>
      <c r="Q1998" s="160">
        <f>[8]Source!X975</f>
        <v>933.77</v>
      </c>
      <c r="R1998" s="160">
        <f>[8]Source!X976</f>
        <v>19768.43</v>
      </c>
      <c r="S1998" s="160">
        <f>[8]Source!Y975</f>
        <v>871.51</v>
      </c>
      <c r="T1998" s="160">
        <f>[8]Source!Y976</f>
        <v>11919.2</v>
      </c>
      <c r="U1998" s="160">
        <f>ROUND((175/100)*ROUND([8]Source!R975, 2), 2)</f>
        <v>0</v>
      </c>
      <c r="V1998" s="160">
        <f>ROUND((157/100)*ROUND([8]Source!R976, 2), 2)</f>
        <v>0</v>
      </c>
    </row>
    <row r="1999" spans="1:22" ht="14.25" x14ac:dyDescent="0.2">
      <c r="A1999" s="179"/>
      <c r="B1999" s="178"/>
      <c r="C1999" s="178" t="s">
        <v>197</v>
      </c>
      <c r="D1999" s="177"/>
      <c r="E1999" s="174"/>
      <c r="F1999" s="176">
        <v>259.38</v>
      </c>
      <c r="G1999" s="175" t="s">
        <v>2922</v>
      </c>
      <c r="H1999" s="174">
        <v>1</v>
      </c>
      <c r="I1999" s="173">
        <v>1245.02</v>
      </c>
      <c r="J1999" s="174">
        <v>23.35</v>
      </c>
      <c r="K1999" s="173">
        <v>29071.22</v>
      </c>
    </row>
    <row r="2000" spans="1:22" ht="14.25" x14ac:dyDescent="0.2">
      <c r="A2000" s="179"/>
      <c r="B2000" s="178"/>
      <c r="C2000" s="178" t="s">
        <v>194</v>
      </c>
      <c r="D2000" s="177" t="s">
        <v>187</v>
      </c>
      <c r="E2000" s="174">
        <v>75</v>
      </c>
      <c r="F2000" s="176"/>
      <c r="G2000" s="175"/>
      <c r="H2000" s="174"/>
      <c r="I2000" s="173">
        <v>933.77</v>
      </c>
      <c r="J2000" s="174">
        <v>68</v>
      </c>
      <c r="K2000" s="173">
        <v>19768.43</v>
      </c>
    </row>
    <row r="2001" spans="1:22" ht="14.25" x14ac:dyDescent="0.2">
      <c r="A2001" s="179"/>
      <c r="B2001" s="178"/>
      <c r="C2001" s="178" t="s">
        <v>193</v>
      </c>
      <c r="D2001" s="177" t="s">
        <v>187</v>
      </c>
      <c r="E2001" s="174">
        <v>70</v>
      </c>
      <c r="F2001" s="176"/>
      <c r="G2001" s="175"/>
      <c r="H2001" s="174"/>
      <c r="I2001" s="173">
        <v>871.51</v>
      </c>
      <c r="J2001" s="174">
        <v>41</v>
      </c>
      <c r="K2001" s="173">
        <v>11919.2</v>
      </c>
    </row>
    <row r="2002" spans="1:22" ht="14.25" x14ac:dyDescent="0.2">
      <c r="A2002" s="242"/>
      <c r="B2002" s="241"/>
      <c r="C2002" s="241" t="s">
        <v>192</v>
      </c>
      <c r="D2002" s="240" t="s">
        <v>191</v>
      </c>
      <c r="E2002" s="238">
        <v>15</v>
      </c>
      <c r="F2002" s="253"/>
      <c r="G2002" s="239" t="s">
        <v>2922</v>
      </c>
      <c r="H2002" s="238">
        <v>1</v>
      </c>
      <c r="I2002" s="237">
        <v>72</v>
      </c>
      <c r="J2002" s="238"/>
      <c r="K2002" s="237"/>
    </row>
    <row r="2003" spans="1:22" ht="15" x14ac:dyDescent="0.25">
      <c r="A2003" s="235"/>
      <c r="B2003" s="235"/>
      <c r="C2003" s="236" t="s">
        <v>183</v>
      </c>
      <c r="D2003" s="235"/>
      <c r="E2003" s="235"/>
      <c r="F2003" s="235"/>
      <c r="G2003" s="235"/>
      <c r="H2003" s="436">
        <v>3050.3</v>
      </c>
      <c r="I2003" s="436"/>
      <c r="J2003" s="436">
        <v>60758.85</v>
      </c>
      <c r="K2003" s="436"/>
      <c r="O2003" s="163">
        <f>I1999+I2000+I2001</f>
        <v>3050.3</v>
      </c>
      <c r="P2003" s="163">
        <f>K1999+K2000+K2001</f>
        <v>60758.85</v>
      </c>
    </row>
    <row r="2005" spans="1:22" ht="28.5" x14ac:dyDescent="0.2">
      <c r="A2005" s="179" t="s">
        <v>2926</v>
      </c>
      <c r="B2005" s="178" t="s">
        <v>2927</v>
      </c>
      <c r="C2005" s="178" t="s">
        <v>977</v>
      </c>
      <c r="D2005" s="177" t="s">
        <v>2921</v>
      </c>
      <c r="E2005" s="174">
        <v>39</v>
      </c>
      <c r="F2005" s="176"/>
      <c r="G2005" s="175"/>
      <c r="H2005" s="174"/>
      <c r="I2005" s="173"/>
      <c r="J2005" s="174"/>
      <c r="K2005" s="173"/>
      <c r="Q2005" s="160">
        <f>[8]Source!X979</f>
        <v>1614.14</v>
      </c>
      <c r="R2005" s="160">
        <f>[8]Source!X980</f>
        <v>34172.31</v>
      </c>
      <c r="S2005" s="160">
        <f>[8]Source!Y979</f>
        <v>1506.53</v>
      </c>
      <c r="T2005" s="160">
        <f>[8]Source!Y980</f>
        <v>20603.89</v>
      </c>
      <c r="U2005" s="160">
        <f>ROUND((175/100)*ROUND([8]Source!R979, 2), 2)</f>
        <v>0</v>
      </c>
      <c r="V2005" s="160">
        <f>ROUND((157/100)*ROUND([8]Source!R980, 2), 2)</f>
        <v>0</v>
      </c>
    </row>
    <row r="2006" spans="1:22" x14ac:dyDescent="0.2">
      <c r="C2006" s="181" t="s">
        <v>2928</v>
      </c>
    </row>
    <row r="2007" spans="1:22" ht="14.25" x14ac:dyDescent="0.2">
      <c r="A2007" s="179"/>
      <c r="B2007" s="178"/>
      <c r="C2007" s="178" t="s">
        <v>197</v>
      </c>
      <c r="D2007" s="177"/>
      <c r="E2007" s="174"/>
      <c r="F2007" s="176">
        <v>68.98</v>
      </c>
      <c r="G2007" s="175" t="s">
        <v>2922</v>
      </c>
      <c r="H2007" s="174">
        <v>1</v>
      </c>
      <c r="I2007" s="173">
        <v>2152.1799999999998</v>
      </c>
      <c r="J2007" s="174">
        <v>23.35</v>
      </c>
      <c r="K2007" s="173">
        <v>50253.4</v>
      </c>
    </row>
    <row r="2008" spans="1:22" ht="14.25" x14ac:dyDescent="0.2">
      <c r="A2008" s="179"/>
      <c r="B2008" s="178"/>
      <c r="C2008" s="178" t="s">
        <v>194</v>
      </c>
      <c r="D2008" s="177" t="s">
        <v>187</v>
      </c>
      <c r="E2008" s="174">
        <v>75</v>
      </c>
      <c r="F2008" s="176"/>
      <c r="G2008" s="175"/>
      <c r="H2008" s="174"/>
      <c r="I2008" s="173">
        <v>1614.14</v>
      </c>
      <c r="J2008" s="174">
        <v>68</v>
      </c>
      <c r="K2008" s="173">
        <v>34172.31</v>
      </c>
    </row>
    <row r="2009" spans="1:22" ht="14.25" x14ac:dyDescent="0.2">
      <c r="A2009" s="179"/>
      <c r="B2009" s="178"/>
      <c r="C2009" s="178" t="s">
        <v>193</v>
      </c>
      <c r="D2009" s="177" t="s">
        <v>187</v>
      </c>
      <c r="E2009" s="174">
        <v>70</v>
      </c>
      <c r="F2009" s="176"/>
      <c r="G2009" s="175"/>
      <c r="H2009" s="174"/>
      <c r="I2009" s="173">
        <v>1506.53</v>
      </c>
      <c r="J2009" s="174">
        <v>41</v>
      </c>
      <c r="K2009" s="173">
        <v>20603.89</v>
      </c>
    </row>
    <row r="2010" spans="1:22" ht="14.25" x14ac:dyDescent="0.2">
      <c r="A2010" s="242"/>
      <c r="B2010" s="241"/>
      <c r="C2010" s="241" t="s">
        <v>192</v>
      </c>
      <c r="D2010" s="240" t="s">
        <v>191</v>
      </c>
      <c r="E2010" s="238">
        <v>3.9</v>
      </c>
      <c r="F2010" s="253"/>
      <c r="G2010" s="239" t="s">
        <v>2922</v>
      </c>
      <c r="H2010" s="238">
        <v>1</v>
      </c>
      <c r="I2010" s="237">
        <v>121.68</v>
      </c>
      <c r="J2010" s="238"/>
      <c r="K2010" s="237"/>
    </row>
    <row r="2011" spans="1:22" ht="15" x14ac:dyDescent="0.25">
      <c r="A2011" s="235"/>
      <c r="B2011" s="235"/>
      <c r="C2011" s="236" t="s">
        <v>183</v>
      </c>
      <c r="D2011" s="235"/>
      <c r="E2011" s="235"/>
      <c r="F2011" s="235"/>
      <c r="G2011" s="235"/>
      <c r="H2011" s="436">
        <v>5272.85</v>
      </c>
      <c r="I2011" s="436"/>
      <c r="J2011" s="436">
        <v>105029.6</v>
      </c>
      <c r="K2011" s="436"/>
      <c r="O2011" s="163">
        <f>I2007+I2008+I2009</f>
        <v>5272.85</v>
      </c>
      <c r="P2011" s="163">
        <f>K2007+K2008+K2009</f>
        <v>105029.6</v>
      </c>
    </row>
    <row r="2014" spans="1:22" ht="15" x14ac:dyDescent="0.25">
      <c r="A2014" s="417" t="s">
        <v>2929</v>
      </c>
      <c r="B2014" s="417"/>
      <c r="C2014" s="417"/>
      <c r="D2014" s="417"/>
      <c r="E2014" s="417"/>
      <c r="F2014" s="417"/>
      <c r="G2014" s="417"/>
      <c r="H2014" s="415">
        <v>13196.74</v>
      </c>
      <c r="I2014" s="416"/>
      <c r="J2014" s="415">
        <v>262865.38</v>
      </c>
      <c r="K2014" s="416"/>
    </row>
    <row r="2015" spans="1:22" hidden="1" x14ac:dyDescent="0.2">
      <c r="A2015" s="160" t="s">
        <v>182</v>
      </c>
      <c r="I2015" s="160">
        <v>0</v>
      </c>
      <c r="J2015" s="160">
        <v>0</v>
      </c>
    </row>
    <row r="2016" spans="1:22" hidden="1" x14ac:dyDescent="0.2">
      <c r="A2016" s="160" t="s">
        <v>181</v>
      </c>
      <c r="I2016" s="160">
        <v>0</v>
      </c>
      <c r="J2016" s="160">
        <v>0</v>
      </c>
    </row>
    <row r="2018" spans="1:22" ht="16.5" x14ac:dyDescent="0.25">
      <c r="A2018" s="413" t="s">
        <v>2930</v>
      </c>
      <c r="B2018" s="413"/>
      <c r="C2018" s="413"/>
      <c r="D2018" s="413"/>
      <c r="E2018" s="413"/>
      <c r="F2018" s="413"/>
      <c r="G2018" s="413"/>
      <c r="H2018" s="413"/>
      <c r="I2018" s="413"/>
      <c r="J2018" s="413"/>
      <c r="K2018" s="413"/>
    </row>
    <row r="2019" spans="1:22" ht="57" x14ac:dyDescent="0.2">
      <c r="A2019" s="179" t="s">
        <v>2931</v>
      </c>
      <c r="B2019" s="178" t="s">
        <v>2609</v>
      </c>
      <c r="C2019" s="178" t="s">
        <v>920</v>
      </c>
      <c r="D2019" s="177" t="s">
        <v>2599</v>
      </c>
      <c r="E2019" s="174">
        <v>0.65</v>
      </c>
      <c r="F2019" s="176"/>
      <c r="G2019" s="175"/>
      <c r="H2019" s="174"/>
      <c r="I2019" s="173"/>
      <c r="J2019" s="174"/>
      <c r="K2019" s="173"/>
      <c r="Q2019" s="160">
        <f>[8]Source!X1016</f>
        <v>305.02</v>
      </c>
      <c r="R2019" s="160">
        <f>[8]Source!X1017</f>
        <v>5697.75</v>
      </c>
      <c r="S2019" s="160">
        <f>[8]Source!Y1016</f>
        <v>205.19</v>
      </c>
      <c r="T2019" s="160">
        <f>[8]Source!Y1017</f>
        <v>2654.64</v>
      </c>
      <c r="U2019" s="160">
        <f>ROUND((175/100)*ROUND([8]Source!R1016, 2), 2)</f>
        <v>12.22</v>
      </c>
      <c r="V2019" s="160">
        <f>ROUND((157/100)*ROUND([8]Source!R1017, 2), 2)</f>
        <v>255.88</v>
      </c>
    </row>
    <row r="2020" spans="1:22" x14ac:dyDescent="0.2">
      <c r="C2020" s="181" t="s">
        <v>2932</v>
      </c>
    </row>
    <row r="2021" spans="1:22" ht="14.25" x14ac:dyDescent="0.2">
      <c r="A2021" s="179"/>
      <c r="B2021" s="178"/>
      <c r="C2021" s="178" t="s">
        <v>197</v>
      </c>
      <c r="D2021" s="177"/>
      <c r="E2021" s="174"/>
      <c r="F2021" s="176">
        <v>370.95</v>
      </c>
      <c r="G2021" s="175" t="s">
        <v>2270</v>
      </c>
      <c r="H2021" s="174">
        <v>1</v>
      </c>
      <c r="I2021" s="173">
        <v>277.29000000000002</v>
      </c>
      <c r="J2021" s="174">
        <v>23.35</v>
      </c>
      <c r="K2021" s="173">
        <v>6474.72</v>
      </c>
    </row>
    <row r="2022" spans="1:22" ht="14.25" x14ac:dyDescent="0.2">
      <c r="A2022" s="179"/>
      <c r="B2022" s="178"/>
      <c r="C2022" s="178" t="s">
        <v>184</v>
      </c>
      <c r="D2022" s="177"/>
      <c r="E2022" s="174"/>
      <c r="F2022" s="176">
        <v>43.16</v>
      </c>
      <c r="G2022" s="175" t="s">
        <v>2271</v>
      </c>
      <c r="H2022" s="174">
        <v>1</v>
      </c>
      <c r="I2022" s="173">
        <v>35.07</v>
      </c>
      <c r="J2022" s="174">
        <v>8.93</v>
      </c>
      <c r="K2022" s="173">
        <v>313.18</v>
      </c>
    </row>
    <row r="2023" spans="1:22" ht="14.25" x14ac:dyDescent="0.2">
      <c r="A2023" s="179"/>
      <c r="B2023" s="178"/>
      <c r="C2023" s="178" t="s">
        <v>189</v>
      </c>
      <c r="D2023" s="177"/>
      <c r="E2023" s="174"/>
      <c r="F2023" s="176">
        <v>8.59</v>
      </c>
      <c r="G2023" s="175" t="s">
        <v>2271</v>
      </c>
      <c r="H2023" s="174">
        <v>1</v>
      </c>
      <c r="I2023" s="180">
        <v>6.98</v>
      </c>
      <c r="J2023" s="174">
        <v>23.35</v>
      </c>
      <c r="K2023" s="180">
        <v>162.97999999999999</v>
      </c>
    </row>
    <row r="2024" spans="1:22" ht="14.25" x14ac:dyDescent="0.2">
      <c r="A2024" s="179"/>
      <c r="B2024" s="178"/>
      <c r="C2024" s="178" t="s">
        <v>205</v>
      </c>
      <c r="D2024" s="177"/>
      <c r="E2024" s="174"/>
      <c r="F2024" s="176">
        <v>18.13</v>
      </c>
      <c r="G2024" s="175" t="s">
        <v>195</v>
      </c>
      <c r="H2024" s="174">
        <v>1</v>
      </c>
      <c r="I2024" s="173">
        <v>11.78</v>
      </c>
      <c r="J2024" s="174">
        <v>5.42</v>
      </c>
      <c r="K2024" s="173">
        <v>63.85</v>
      </c>
    </row>
    <row r="2025" spans="1:22" ht="57" x14ac:dyDescent="0.2">
      <c r="A2025" s="179" t="s">
        <v>2933</v>
      </c>
      <c r="B2025" s="178" t="s">
        <v>2611</v>
      </c>
      <c r="C2025" s="178" t="s">
        <v>735</v>
      </c>
      <c r="D2025" s="177" t="s">
        <v>1661</v>
      </c>
      <c r="E2025" s="174">
        <v>4</v>
      </c>
      <c r="F2025" s="176">
        <v>74.37</v>
      </c>
      <c r="G2025" s="182" t="s">
        <v>195</v>
      </c>
      <c r="H2025" s="174">
        <v>1</v>
      </c>
      <c r="I2025" s="173">
        <v>297.48</v>
      </c>
      <c r="J2025" s="174">
        <v>11.27</v>
      </c>
      <c r="K2025" s="173">
        <v>3352.6</v>
      </c>
      <c r="Q2025" s="160">
        <f>[8]Source!X1018</f>
        <v>0</v>
      </c>
      <c r="R2025" s="160">
        <f>[8]Source!X1019</f>
        <v>0</v>
      </c>
      <c r="S2025" s="160">
        <f>[8]Source!Y1018</f>
        <v>0</v>
      </c>
      <c r="T2025" s="160">
        <f>[8]Source!Y1019</f>
        <v>0</v>
      </c>
      <c r="U2025" s="160">
        <f>ROUND((175/100)*ROUND([8]Source!R1018, 2), 2)</f>
        <v>0</v>
      </c>
      <c r="V2025" s="160">
        <f>ROUND((157/100)*ROUND([8]Source!R1019, 2), 2)</f>
        <v>0</v>
      </c>
    </row>
    <row r="2026" spans="1:22" ht="57" x14ac:dyDescent="0.2">
      <c r="A2026" s="179" t="s">
        <v>2934</v>
      </c>
      <c r="B2026" s="178" t="s">
        <v>2613</v>
      </c>
      <c r="C2026" s="178" t="s">
        <v>919</v>
      </c>
      <c r="D2026" s="177" t="s">
        <v>1552</v>
      </c>
      <c r="E2026" s="174">
        <v>65</v>
      </c>
      <c r="F2026" s="176">
        <v>31.75</v>
      </c>
      <c r="G2026" s="182" t="s">
        <v>195</v>
      </c>
      <c r="H2026" s="174">
        <v>1</v>
      </c>
      <c r="I2026" s="173">
        <v>2063.75</v>
      </c>
      <c r="J2026" s="174">
        <v>8.52</v>
      </c>
      <c r="K2026" s="173">
        <v>17583.150000000001</v>
      </c>
      <c r="Q2026" s="160">
        <f>[8]Source!X1020</f>
        <v>0</v>
      </c>
      <c r="R2026" s="160">
        <f>[8]Source!X1021</f>
        <v>0</v>
      </c>
      <c r="S2026" s="160">
        <f>[8]Source!Y1020</f>
        <v>0</v>
      </c>
      <c r="T2026" s="160">
        <f>[8]Source!Y1021</f>
        <v>0</v>
      </c>
      <c r="U2026" s="160">
        <f>ROUND((175/100)*ROUND([8]Source!R1020, 2), 2)</f>
        <v>0</v>
      </c>
      <c r="V2026" s="160">
        <f>ROUND((157/100)*ROUND([8]Source!R1021, 2), 2)</f>
        <v>0</v>
      </c>
    </row>
    <row r="2027" spans="1:22" ht="14.25" x14ac:dyDescent="0.2">
      <c r="A2027" s="179"/>
      <c r="B2027" s="178"/>
      <c r="C2027" s="178" t="s">
        <v>194</v>
      </c>
      <c r="D2027" s="177" t="s">
        <v>187</v>
      </c>
      <c r="E2027" s="174">
        <v>110</v>
      </c>
      <c r="F2027" s="176"/>
      <c r="G2027" s="175"/>
      <c r="H2027" s="174"/>
      <c r="I2027" s="173">
        <v>305.02</v>
      </c>
      <c r="J2027" s="174">
        <v>88</v>
      </c>
      <c r="K2027" s="173">
        <v>5697.75</v>
      </c>
    </row>
    <row r="2028" spans="1:22" ht="14.25" x14ac:dyDescent="0.2">
      <c r="A2028" s="179"/>
      <c r="B2028" s="178"/>
      <c r="C2028" s="178" t="s">
        <v>193</v>
      </c>
      <c r="D2028" s="177" t="s">
        <v>187</v>
      </c>
      <c r="E2028" s="174">
        <v>74</v>
      </c>
      <c r="F2028" s="176"/>
      <c r="G2028" s="175"/>
      <c r="H2028" s="174"/>
      <c r="I2028" s="173">
        <v>205.19</v>
      </c>
      <c r="J2028" s="174">
        <v>41</v>
      </c>
      <c r="K2028" s="173">
        <v>2654.64</v>
      </c>
    </row>
    <row r="2029" spans="1:22" ht="14.25" x14ac:dyDescent="0.2">
      <c r="A2029" s="179"/>
      <c r="B2029" s="178"/>
      <c r="C2029" s="178" t="s">
        <v>188</v>
      </c>
      <c r="D2029" s="177" t="s">
        <v>187</v>
      </c>
      <c r="E2029" s="174">
        <v>175</v>
      </c>
      <c r="F2029" s="176"/>
      <c r="G2029" s="175"/>
      <c r="H2029" s="174"/>
      <c r="I2029" s="173">
        <v>12.22</v>
      </c>
      <c r="J2029" s="174">
        <v>157</v>
      </c>
      <c r="K2029" s="173">
        <v>255.88</v>
      </c>
    </row>
    <row r="2030" spans="1:22" ht="14.25" x14ac:dyDescent="0.2">
      <c r="A2030" s="242"/>
      <c r="B2030" s="241"/>
      <c r="C2030" s="241" t="s">
        <v>192</v>
      </c>
      <c r="D2030" s="240" t="s">
        <v>191</v>
      </c>
      <c r="E2030" s="238">
        <v>29.7</v>
      </c>
      <c r="F2030" s="253"/>
      <c r="G2030" s="239" t="s">
        <v>2270</v>
      </c>
      <c r="H2030" s="238">
        <v>1</v>
      </c>
      <c r="I2030" s="237">
        <v>22.2</v>
      </c>
      <c r="J2030" s="238"/>
      <c r="K2030" s="237"/>
    </row>
    <row r="2031" spans="1:22" ht="15" x14ac:dyDescent="0.25">
      <c r="A2031" s="235"/>
      <c r="B2031" s="235"/>
      <c r="C2031" s="236" t="s">
        <v>183</v>
      </c>
      <c r="D2031" s="235"/>
      <c r="E2031" s="235"/>
      <c r="F2031" s="235"/>
      <c r="G2031" s="235"/>
      <c r="H2031" s="436">
        <v>3207.8</v>
      </c>
      <c r="I2031" s="436"/>
      <c r="J2031" s="436">
        <v>36395.769999999997</v>
      </c>
      <c r="K2031" s="436"/>
      <c r="O2031" s="163">
        <f>I2021+I2022+I2024+I2027+I2028+I2029+SUM(I2025:I2026)</f>
        <v>3207.8</v>
      </c>
      <c r="P2031" s="163">
        <f>K2021+K2022+K2024+K2027+K2028+K2029+SUM(K2025:K2026)</f>
        <v>36395.769999999997</v>
      </c>
    </row>
    <row r="2033" spans="1:22" ht="57" x14ac:dyDescent="0.2">
      <c r="A2033" s="179" t="s">
        <v>2935</v>
      </c>
      <c r="B2033" s="178" t="s">
        <v>2614</v>
      </c>
      <c r="C2033" s="178" t="s">
        <v>918</v>
      </c>
      <c r="D2033" s="177" t="s">
        <v>2599</v>
      </c>
      <c r="E2033" s="174">
        <v>0.17</v>
      </c>
      <c r="F2033" s="176"/>
      <c r="G2033" s="175"/>
      <c r="H2033" s="174"/>
      <c r="I2033" s="173"/>
      <c r="J2033" s="174"/>
      <c r="K2033" s="173"/>
      <c r="Q2033" s="160">
        <f>[8]Source!X1022</f>
        <v>79.77</v>
      </c>
      <c r="R2033" s="160">
        <f>[8]Source!X1023</f>
        <v>1490.14</v>
      </c>
      <c r="S2033" s="160">
        <f>[8]Source!Y1022</f>
        <v>53.66</v>
      </c>
      <c r="T2033" s="160">
        <f>[8]Source!Y1023</f>
        <v>694.27</v>
      </c>
      <c r="U2033" s="160">
        <f>ROUND((175/100)*ROUND([8]Source!R1022, 2), 2)</f>
        <v>3.2</v>
      </c>
      <c r="V2033" s="160">
        <f>ROUND((157/100)*ROUND([8]Source!R1023, 2), 2)</f>
        <v>67.09</v>
      </c>
    </row>
    <row r="2034" spans="1:22" x14ac:dyDescent="0.2">
      <c r="C2034" s="181" t="s">
        <v>2936</v>
      </c>
    </row>
    <row r="2035" spans="1:22" ht="14.25" x14ac:dyDescent="0.2">
      <c r="A2035" s="179"/>
      <c r="B2035" s="178"/>
      <c r="C2035" s="178" t="s">
        <v>197</v>
      </c>
      <c r="D2035" s="177"/>
      <c r="E2035" s="174"/>
      <c r="F2035" s="176">
        <v>370.95</v>
      </c>
      <c r="G2035" s="175" t="s">
        <v>2270</v>
      </c>
      <c r="H2035" s="174">
        <v>1</v>
      </c>
      <c r="I2035" s="173">
        <v>72.52</v>
      </c>
      <c r="J2035" s="174">
        <v>23.35</v>
      </c>
      <c r="K2035" s="173">
        <v>1693.34</v>
      </c>
    </row>
    <row r="2036" spans="1:22" ht="14.25" x14ac:dyDescent="0.2">
      <c r="A2036" s="179"/>
      <c r="B2036" s="178"/>
      <c r="C2036" s="178" t="s">
        <v>184</v>
      </c>
      <c r="D2036" s="177"/>
      <c r="E2036" s="174"/>
      <c r="F2036" s="176">
        <v>43.16</v>
      </c>
      <c r="G2036" s="175" t="s">
        <v>2271</v>
      </c>
      <c r="H2036" s="174">
        <v>1</v>
      </c>
      <c r="I2036" s="173">
        <v>9.17</v>
      </c>
      <c r="J2036" s="174">
        <v>8.93</v>
      </c>
      <c r="K2036" s="173">
        <v>81.89</v>
      </c>
    </row>
    <row r="2037" spans="1:22" ht="14.25" x14ac:dyDescent="0.2">
      <c r="A2037" s="179"/>
      <c r="B2037" s="178"/>
      <c r="C2037" s="178" t="s">
        <v>189</v>
      </c>
      <c r="D2037" s="177"/>
      <c r="E2037" s="174"/>
      <c r="F2037" s="176">
        <v>8.59</v>
      </c>
      <c r="G2037" s="175" t="s">
        <v>2271</v>
      </c>
      <c r="H2037" s="174">
        <v>1</v>
      </c>
      <c r="I2037" s="180">
        <v>1.83</v>
      </c>
      <c r="J2037" s="174">
        <v>23.35</v>
      </c>
      <c r="K2037" s="180">
        <v>42.73</v>
      </c>
    </row>
    <row r="2038" spans="1:22" ht="14.25" x14ac:dyDescent="0.2">
      <c r="A2038" s="179"/>
      <c r="B2038" s="178"/>
      <c r="C2038" s="178" t="s">
        <v>205</v>
      </c>
      <c r="D2038" s="177"/>
      <c r="E2038" s="174"/>
      <c r="F2038" s="176">
        <v>18.13</v>
      </c>
      <c r="G2038" s="175" t="s">
        <v>195</v>
      </c>
      <c r="H2038" s="174">
        <v>1</v>
      </c>
      <c r="I2038" s="173">
        <v>3.08</v>
      </c>
      <c r="J2038" s="174">
        <v>5.42</v>
      </c>
      <c r="K2038" s="173">
        <v>16.690000000000001</v>
      </c>
    </row>
    <row r="2039" spans="1:22" ht="57" x14ac:dyDescent="0.2">
      <c r="A2039" s="179" t="s">
        <v>2937</v>
      </c>
      <c r="B2039" s="178" t="s">
        <v>2938</v>
      </c>
      <c r="C2039" s="178" t="s">
        <v>767</v>
      </c>
      <c r="D2039" s="177" t="s">
        <v>1661</v>
      </c>
      <c r="E2039" s="174">
        <v>2</v>
      </c>
      <c r="F2039" s="176">
        <v>113.32</v>
      </c>
      <c r="G2039" s="182" t="s">
        <v>195</v>
      </c>
      <c r="H2039" s="174">
        <v>1</v>
      </c>
      <c r="I2039" s="173">
        <v>226.64</v>
      </c>
      <c r="J2039" s="174">
        <v>11.93</v>
      </c>
      <c r="K2039" s="173">
        <v>2703.82</v>
      </c>
      <c r="Q2039" s="160">
        <f>[8]Source!X1024</f>
        <v>0</v>
      </c>
      <c r="R2039" s="160">
        <f>[8]Source!X1025</f>
        <v>0</v>
      </c>
      <c r="S2039" s="160">
        <f>[8]Source!Y1024</f>
        <v>0</v>
      </c>
      <c r="T2039" s="160">
        <f>[8]Source!Y1025</f>
        <v>0</v>
      </c>
      <c r="U2039" s="160">
        <f>ROUND((175/100)*ROUND([8]Source!R1024, 2), 2)</f>
        <v>0</v>
      </c>
      <c r="V2039" s="160">
        <f>ROUND((157/100)*ROUND([8]Source!R1025, 2), 2)</f>
        <v>0</v>
      </c>
    </row>
    <row r="2040" spans="1:22" ht="57" x14ac:dyDescent="0.2">
      <c r="A2040" s="179" t="s">
        <v>2939</v>
      </c>
      <c r="B2040" s="178" t="s">
        <v>2617</v>
      </c>
      <c r="C2040" s="178" t="s">
        <v>917</v>
      </c>
      <c r="D2040" s="177" t="s">
        <v>1552</v>
      </c>
      <c r="E2040" s="174">
        <v>17</v>
      </c>
      <c r="F2040" s="176">
        <v>33.31</v>
      </c>
      <c r="G2040" s="182" t="s">
        <v>195</v>
      </c>
      <c r="H2040" s="174">
        <v>1</v>
      </c>
      <c r="I2040" s="173">
        <v>566.27</v>
      </c>
      <c r="J2040" s="174">
        <v>10.32</v>
      </c>
      <c r="K2040" s="173">
        <v>5843.91</v>
      </c>
      <c r="Q2040" s="160">
        <f>[8]Source!X1026</f>
        <v>0</v>
      </c>
      <c r="R2040" s="160">
        <f>[8]Source!X1027</f>
        <v>0</v>
      </c>
      <c r="S2040" s="160">
        <f>[8]Source!Y1026</f>
        <v>0</v>
      </c>
      <c r="T2040" s="160">
        <f>[8]Source!Y1027</f>
        <v>0</v>
      </c>
      <c r="U2040" s="160">
        <f>ROUND((175/100)*ROUND([8]Source!R1026, 2), 2)</f>
        <v>0</v>
      </c>
      <c r="V2040" s="160">
        <f>ROUND((157/100)*ROUND([8]Source!R1027, 2), 2)</f>
        <v>0</v>
      </c>
    </row>
    <row r="2041" spans="1:22" ht="14.25" x14ac:dyDescent="0.2">
      <c r="A2041" s="179"/>
      <c r="B2041" s="178"/>
      <c r="C2041" s="178" t="s">
        <v>194</v>
      </c>
      <c r="D2041" s="177" t="s">
        <v>187</v>
      </c>
      <c r="E2041" s="174">
        <v>110</v>
      </c>
      <c r="F2041" s="176"/>
      <c r="G2041" s="175"/>
      <c r="H2041" s="174"/>
      <c r="I2041" s="173">
        <v>79.77</v>
      </c>
      <c r="J2041" s="174">
        <v>88</v>
      </c>
      <c r="K2041" s="173">
        <v>1490.14</v>
      </c>
    </row>
    <row r="2042" spans="1:22" ht="14.25" x14ac:dyDescent="0.2">
      <c r="A2042" s="179"/>
      <c r="B2042" s="178"/>
      <c r="C2042" s="178" t="s">
        <v>193</v>
      </c>
      <c r="D2042" s="177" t="s">
        <v>187</v>
      </c>
      <c r="E2042" s="174">
        <v>74</v>
      </c>
      <c r="F2042" s="176"/>
      <c r="G2042" s="175"/>
      <c r="H2042" s="174"/>
      <c r="I2042" s="173">
        <v>53.66</v>
      </c>
      <c r="J2042" s="174">
        <v>41</v>
      </c>
      <c r="K2042" s="173">
        <v>694.27</v>
      </c>
    </row>
    <row r="2043" spans="1:22" ht="14.25" x14ac:dyDescent="0.2">
      <c r="A2043" s="179"/>
      <c r="B2043" s="178"/>
      <c r="C2043" s="178" t="s">
        <v>188</v>
      </c>
      <c r="D2043" s="177" t="s">
        <v>187</v>
      </c>
      <c r="E2043" s="174">
        <v>175</v>
      </c>
      <c r="F2043" s="176"/>
      <c r="G2043" s="175"/>
      <c r="H2043" s="174"/>
      <c r="I2043" s="173">
        <v>3.2</v>
      </c>
      <c r="J2043" s="174">
        <v>157</v>
      </c>
      <c r="K2043" s="173">
        <v>67.09</v>
      </c>
    </row>
    <row r="2044" spans="1:22" ht="14.25" x14ac:dyDescent="0.2">
      <c r="A2044" s="242"/>
      <c r="B2044" s="241"/>
      <c r="C2044" s="241" t="s">
        <v>192</v>
      </c>
      <c r="D2044" s="240" t="s">
        <v>191</v>
      </c>
      <c r="E2044" s="238">
        <v>29.7</v>
      </c>
      <c r="F2044" s="253"/>
      <c r="G2044" s="239" t="s">
        <v>2270</v>
      </c>
      <c r="H2044" s="238">
        <v>1</v>
      </c>
      <c r="I2044" s="237">
        <v>5.81</v>
      </c>
      <c r="J2044" s="238"/>
      <c r="K2044" s="237"/>
    </row>
    <row r="2045" spans="1:22" ht="15" x14ac:dyDescent="0.25">
      <c r="A2045" s="235"/>
      <c r="B2045" s="235"/>
      <c r="C2045" s="236" t="s">
        <v>183</v>
      </c>
      <c r="D2045" s="235"/>
      <c r="E2045" s="235"/>
      <c r="F2045" s="235"/>
      <c r="G2045" s="235"/>
      <c r="H2045" s="436">
        <v>1014.31</v>
      </c>
      <c r="I2045" s="436"/>
      <c r="J2045" s="436">
        <v>12591.15</v>
      </c>
      <c r="K2045" s="436"/>
      <c r="O2045" s="163">
        <f>I2035+I2036+I2038+I2041+I2042+I2043+SUM(I2039:I2040)</f>
        <v>1014.31</v>
      </c>
      <c r="P2045" s="163">
        <f>K2035+K2036+K2038+K2041+K2042+K2043+SUM(K2039:K2040)</f>
        <v>12591.15</v>
      </c>
    </row>
    <row r="2047" spans="1:22" ht="57" x14ac:dyDescent="0.2">
      <c r="A2047" s="179" t="s">
        <v>2940</v>
      </c>
      <c r="B2047" s="178" t="s">
        <v>2621</v>
      </c>
      <c r="C2047" s="178" t="s">
        <v>916</v>
      </c>
      <c r="D2047" s="177" t="s">
        <v>2599</v>
      </c>
      <c r="E2047" s="174">
        <v>1.1100000000000001</v>
      </c>
      <c r="F2047" s="176"/>
      <c r="G2047" s="175"/>
      <c r="H2047" s="174"/>
      <c r="I2047" s="173"/>
      <c r="J2047" s="174"/>
      <c r="K2047" s="173"/>
      <c r="Q2047" s="160">
        <f>[8]Source!X1028</f>
        <v>652.41</v>
      </c>
      <c r="R2047" s="160">
        <f>[8]Source!X1029</f>
        <v>12187.02</v>
      </c>
      <c r="S2047" s="160">
        <f>[8]Source!Y1028</f>
        <v>438.89</v>
      </c>
      <c r="T2047" s="160">
        <f>[8]Source!Y1029</f>
        <v>5678.04</v>
      </c>
      <c r="U2047" s="160">
        <f>ROUND((175/100)*ROUND([8]Source!R1028, 2), 2)</f>
        <v>30.4</v>
      </c>
      <c r="V2047" s="160">
        <f>ROUND((157/100)*ROUND([8]Source!R1029, 2), 2)</f>
        <v>636.78</v>
      </c>
    </row>
    <row r="2048" spans="1:22" x14ac:dyDescent="0.2">
      <c r="C2048" s="181" t="s">
        <v>2941</v>
      </c>
    </row>
    <row r="2049" spans="1:22" ht="14.25" x14ac:dyDescent="0.2">
      <c r="A2049" s="179"/>
      <c r="B2049" s="178"/>
      <c r="C2049" s="178" t="s">
        <v>197</v>
      </c>
      <c r="D2049" s="177"/>
      <c r="E2049" s="174"/>
      <c r="F2049" s="176">
        <v>464.63</v>
      </c>
      <c r="G2049" s="175" t="s">
        <v>2270</v>
      </c>
      <c r="H2049" s="174">
        <v>1</v>
      </c>
      <c r="I2049" s="173">
        <v>593.1</v>
      </c>
      <c r="J2049" s="174">
        <v>23.35</v>
      </c>
      <c r="K2049" s="173">
        <v>13848.89</v>
      </c>
    </row>
    <row r="2050" spans="1:22" ht="14.25" x14ac:dyDescent="0.2">
      <c r="A2050" s="179"/>
      <c r="B2050" s="178"/>
      <c r="C2050" s="178" t="s">
        <v>184</v>
      </c>
      <c r="D2050" s="177"/>
      <c r="E2050" s="174"/>
      <c r="F2050" s="176">
        <v>79</v>
      </c>
      <c r="G2050" s="175" t="s">
        <v>2271</v>
      </c>
      <c r="H2050" s="174">
        <v>1</v>
      </c>
      <c r="I2050" s="173">
        <v>109.61</v>
      </c>
      <c r="J2050" s="174">
        <v>8.1999999999999993</v>
      </c>
      <c r="K2050" s="173">
        <v>898.8</v>
      </c>
    </row>
    <row r="2051" spans="1:22" ht="14.25" x14ac:dyDescent="0.2">
      <c r="A2051" s="179"/>
      <c r="B2051" s="178"/>
      <c r="C2051" s="178" t="s">
        <v>189</v>
      </c>
      <c r="D2051" s="177"/>
      <c r="E2051" s="174"/>
      <c r="F2051" s="176">
        <v>12.52</v>
      </c>
      <c r="G2051" s="175" t="s">
        <v>2271</v>
      </c>
      <c r="H2051" s="174">
        <v>1</v>
      </c>
      <c r="I2051" s="180">
        <v>17.37</v>
      </c>
      <c r="J2051" s="174">
        <v>23.35</v>
      </c>
      <c r="K2051" s="180">
        <v>405.59</v>
      </c>
    </row>
    <row r="2052" spans="1:22" ht="14.25" x14ac:dyDescent="0.2">
      <c r="A2052" s="179"/>
      <c r="B2052" s="178"/>
      <c r="C2052" s="178" t="s">
        <v>205</v>
      </c>
      <c r="D2052" s="177"/>
      <c r="E2052" s="174"/>
      <c r="F2052" s="176">
        <v>21.21</v>
      </c>
      <c r="G2052" s="175" t="s">
        <v>195</v>
      </c>
      <c r="H2052" s="174">
        <v>1</v>
      </c>
      <c r="I2052" s="173">
        <v>23.54</v>
      </c>
      <c r="J2052" s="174">
        <v>5.42</v>
      </c>
      <c r="K2052" s="173">
        <v>127.59</v>
      </c>
    </row>
    <row r="2053" spans="1:22" ht="57" x14ac:dyDescent="0.2">
      <c r="A2053" s="179" t="s">
        <v>2942</v>
      </c>
      <c r="B2053" s="178" t="s">
        <v>2943</v>
      </c>
      <c r="C2053" s="178" t="s">
        <v>762</v>
      </c>
      <c r="D2053" s="177" t="s">
        <v>1661</v>
      </c>
      <c r="E2053" s="174">
        <v>2</v>
      </c>
      <c r="F2053" s="176">
        <v>169.99</v>
      </c>
      <c r="G2053" s="182" t="s">
        <v>195</v>
      </c>
      <c r="H2053" s="174">
        <v>1</v>
      </c>
      <c r="I2053" s="173">
        <v>339.98</v>
      </c>
      <c r="J2053" s="174">
        <v>11.27</v>
      </c>
      <c r="K2053" s="173">
        <v>3831.57</v>
      </c>
      <c r="Q2053" s="160">
        <f>[8]Source!X1030</f>
        <v>0</v>
      </c>
      <c r="R2053" s="160">
        <f>[8]Source!X1031</f>
        <v>0</v>
      </c>
      <c r="S2053" s="160">
        <f>[8]Source!Y1030</f>
        <v>0</v>
      </c>
      <c r="T2053" s="160">
        <f>[8]Source!Y1031</f>
        <v>0</v>
      </c>
      <c r="U2053" s="160">
        <f>ROUND((175/100)*ROUND([8]Source!R1030, 2), 2)</f>
        <v>0</v>
      </c>
      <c r="V2053" s="160">
        <f>ROUND((157/100)*ROUND([8]Source!R1031, 2), 2)</f>
        <v>0</v>
      </c>
    </row>
    <row r="2054" spans="1:22" ht="57" x14ac:dyDescent="0.2">
      <c r="A2054" s="179" t="s">
        <v>2944</v>
      </c>
      <c r="B2054" s="178" t="s">
        <v>2626</v>
      </c>
      <c r="C2054" s="178" t="s">
        <v>915</v>
      </c>
      <c r="D2054" s="177" t="s">
        <v>1552</v>
      </c>
      <c r="E2054" s="174">
        <v>111</v>
      </c>
      <c r="F2054" s="176">
        <v>44.54</v>
      </c>
      <c r="G2054" s="182" t="s">
        <v>195</v>
      </c>
      <c r="H2054" s="174">
        <v>1</v>
      </c>
      <c r="I2054" s="173">
        <v>4943.9399999999996</v>
      </c>
      <c r="J2054" s="174">
        <v>10.79</v>
      </c>
      <c r="K2054" s="173">
        <v>53345.11</v>
      </c>
      <c r="Q2054" s="160">
        <f>[8]Source!X1032</f>
        <v>0</v>
      </c>
      <c r="R2054" s="160">
        <f>[8]Source!X1033</f>
        <v>0</v>
      </c>
      <c r="S2054" s="160">
        <f>[8]Source!Y1032</f>
        <v>0</v>
      </c>
      <c r="T2054" s="160">
        <f>[8]Source!Y1033</f>
        <v>0</v>
      </c>
      <c r="U2054" s="160">
        <f>ROUND((175/100)*ROUND([8]Source!R1032, 2), 2)</f>
        <v>0</v>
      </c>
      <c r="V2054" s="160">
        <f>ROUND((157/100)*ROUND([8]Source!R1033, 2), 2)</f>
        <v>0</v>
      </c>
    </row>
    <row r="2055" spans="1:22" ht="14.25" x14ac:dyDescent="0.2">
      <c r="A2055" s="179"/>
      <c r="B2055" s="178"/>
      <c r="C2055" s="178" t="s">
        <v>194</v>
      </c>
      <c r="D2055" s="177" t="s">
        <v>187</v>
      </c>
      <c r="E2055" s="174">
        <v>110</v>
      </c>
      <c r="F2055" s="176"/>
      <c r="G2055" s="175"/>
      <c r="H2055" s="174"/>
      <c r="I2055" s="173">
        <v>652.41</v>
      </c>
      <c r="J2055" s="174">
        <v>88</v>
      </c>
      <c r="K2055" s="173">
        <v>12187.02</v>
      </c>
    </row>
    <row r="2056" spans="1:22" ht="14.25" x14ac:dyDescent="0.2">
      <c r="A2056" s="179"/>
      <c r="B2056" s="178"/>
      <c r="C2056" s="178" t="s">
        <v>193</v>
      </c>
      <c r="D2056" s="177" t="s">
        <v>187</v>
      </c>
      <c r="E2056" s="174">
        <v>74</v>
      </c>
      <c r="F2056" s="176"/>
      <c r="G2056" s="175"/>
      <c r="H2056" s="174"/>
      <c r="I2056" s="173">
        <v>438.89</v>
      </c>
      <c r="J2056" s="174">
        <v>41</v>
      </c>
      <c r="K2056" s="173">
        <v>5678.04</v>
      </c>
    </row>
    <row r="2057" spans="1:22" ht="14.25" x14ac:dyDescent="0.2">
      <c r="A2057" s="179"/>
      <c r="B2057" s="178"/>
      <c r="C2057" s="178" t="s">
        <v>188</v>
      </c>
      <c r="D2057" s="177" t="s">
        <v>187</v>
      </c>
      <c r="E2057" s="174">
        <v>175</v>
      </c>
      <c r="F2057" s="176"/>
      <c r="G2057" s="175"/>
      <c r="H2057" s="174"/>
      <c r="I2057" s="173">
        <v>30.4</v>
      </c>
      <c r="J2057" s="174">
        <v>157</v>
      </c>
      <c r="K2057" s="173">
        <v>636.78</v>
      </c>
    </row>
    <row r="2058" spans="1:22" ht="14.25" x14ac:dyDescent="0.2">
      <c r="A2058" s="242"/>
      <c r="B2058" s="241"/>
      <c r="C2058" s="241" t="s">
        <v>192</v>
      </c>
      <c r="D2058" s="240" t="s">
        <v>191</v>
      </c>
      <c r="E2058" s="238">
        <v>37.200000000000003</v>
      </c>
      <c r="F2058" s="253"/>
      <c r="G2058" s="239" t="s">
        <v>2270</v>
      </c>
      <c r="H2058" s="238">
        <v>1</v>
      </c>
      <c r="I2058" s="237">
        <v>47.49</v>
      </c>
      <c r="J2058" s="238"/>
      <c r="K2058" s="237"/>
    </row>
    <row r="2059" spans="1:22" ht="15" x14ac:dyDescent="0.25">
      <c r="A2059" s="235"/>
      <c r="B2059" s="235"/>
      <c r="C2059" s="236" t="s">
        <v>183</v>
      </c>
      <c r="D2059" s="235"/>
      <c r="E2059" s="235"/>
      <c r="F2059" s="235"/>
      <c r="G2059" s="235"/>
      <c r="H2059" s="436">
        <v>7131.87</v>
      </c>
      <c r="I2059" s="436"/>
      <c r="J2059" s="436">
        <v>90553.8</v>
      </c>
      <c r="K2059" s="436"/>
      <c r="O2059" s="163">
        <f>I2049+I2050+I2052+I2055+I2056+I2057+SUM(I2053:I2054)</f>
        <v>7131.87</v>
      </c>
      <c r="P2059" s="163">
        <f>K2049+K2050+K2052+K2055+K2056+K2057+SUM(K2053:K2054)</f>
        <v>90553.8</v>
      </c>
    </row>
    <row r="2061" spans="1:22" ht="57" x14ac:dyDescent="0.2">
      <c r="A2061" s="179" t="s">
        <v>2945</v>
      </c>
      <c r="B2061" s="178" t="s">
        <v>2946</v>
      </c>
      <c r="C2061" s="178" t="s">
        <v>755</v>
      </c>
      <c r="D2061" s="177" t="s">
        <v>2599</v>
      </c>
      <c r="E2061" s="174">
        <v>0.38</v>
      </c>
      <c r="F2061" s="176"/>
      <c r="G2061" s="175"/>
      <c r="H2061" s="174"/>
      <c r="I2061" s="173"/>
      <c r="J2061" s="174"/>
      <c r="K2061" s="173"/>
      <c r="Q2061" s="160">
        <f>[8]Source!X1034</f>
        <v>320.95</v>
      </c>
      <c r="R2061" s="160">
        <f>[8]Source!X1035</f>
        <v>5995.29</v>
      </c>
      <c r="S2061" s="160">
        <f>[8]Source!Y1034</f>
        <v>215.91</v>
      </c>
      <c r="T2061" s="160">
        <f>[8]Source!Y1035</f>
        <v>2793.26</v>
      </c>
      <c r="U2061" s="160">
        <f>ROUND((175/100)*ROUND([8]Source!R1034, 2), 2)</f>
        <v>14.67</v>
      </c>
      <c r="V2061" s="160">
        <f>ROUND((157/100)*ROUND([8]Source!R1035, 2), 2)</f>
        <v>307.2</v>
      </c>
    </row>
    <row r="2062" spans="1:22" x14ac:dyDescent="0.2">
      <c r="C2062" s="181" t="s">
        <v>2947</v>
      </c>
    </row>
    <row r="2063" spans="1:22" ht="14.25" x14ac:dyDescent="0.2">
      <c r="A2063" s="179"/>
      <c r="B2063" s="178"/>
      <c r="C2063" s="178" t="s">
        <v>197</v>
      </c>
      <c r="D2063" s="177"/>
      <c r="E2063" s="174"/>
      <c r="F2063" s="176">
        <v>667.66</v>
      </c>
      <c r="G2063" s="175" t="s">
        <v>2270</v>
      </c>
      <c r="H2063" s="174">
        <v>1</v>
      </c>
      <c r="I2063" s="173">
        <v>291.77</v>
      </c>
      <c r="J2063" s="174">
        <v>23.35</v>
      </c>
      <c r="K2063" s="173">
        <v>6812.83</v>
      </c>
    </row>
    <row r="2064" spans="1:22" ht="14.25" x14ac:dyDescent="0.2">
      <c r="A2064" s="179"/>
      <c r="B2064" s="178"/>
      <c r="C2064" s="178" t="s">
        <v>184</v>
      </c>
      <c r="D2064" s="177"/>
      <c r="E2064" s="174"/>
      <c r="F2064" s="176">
        <v>121.61</v>
      </c>
      <c r="G2064" s="175" t="s">
        <v>2271</v>
      </c>
      <c r="H2064" s="174">
        <v>1</v>
      </c>
      <c r="I2064" s="173">
        <v>57.76</v>
      </c>
      <c r="J2064" s="174">
        <v>9.14</v>
      </c>
      <c r="K2064" s="173">
        <v>527.92999999999995</v>
      </c>
    </row>
    <row r="2065" spans="1:22" ht="14.25" x14ac:dyDescent="0.2">
      <c r="A2065" s="179"/>
      <c r="B2065" s="178"/>
      <c r="C2065" s="178" t="s">
        <v>189</v>
      </c>
      <c r="D2065" s="177"/>
      <c r="E2065" s="174"/>
      <c r="F2065" s="176">
        <v>17.649999999999999</v>
      </c>
      <c r="G2065" s="175" t="s">
        <v>2271</v>
      </c>
      <c r="H2065" s="174">
        <v>1</v>
      </c>
      <c r="I2065" s="180">
        <v>8.3800000000000008</v>
      </c>
      <c r="J2065" s="174">
        <v>23.35</v>
      </c>
      <c r="K2065" s="180">
        <v>195.67</v>
      </c>
    </row>
    <row r="2066" spans="1:22" ht="14.25" x14ac:dyDescent="0.2">
      <c r="A2066" s="179"/>
      <c r="B2066" s="178"/>
      <c r="C2066" s="178" t="s">
        <v>205</v>
      </c>
      <c r="D2066" s="177"/>
      <c r="E2066" s="174"/>
      <c r="F2066" s="176">
        <v>144.03</v>
      </c>
      <c r="G2066" s="175" t="s">
        <v>195</v>
      </c>
      <c r="H2066" s="174">
        <v>1</v>
      </c>
      <c r="I2066" s="173">
        <v>54.73</v>
      </c>
      <c r="J2066" s="174">
        <v>5.52</v>
      </c>
      <c r="K2066" s="173">
        <v>302.11</v>
      </c>
    </row>
    <row r="2067" spans="1:22" ht="57" x14ac:dyDescent="0.2">
      <c r="A2067" s="179" t="s">
        <v>2948</v>
      </c>
      <c r="B2067" s="178" t="s">
        <v>2623</v>
      </c>
      <c r="C2067" s="178" t="s">
        <v>758</v>
      </c>
      <c r="D2067" s="177" t="s">
        <v>1661</v>
      </c>
      <c r="E2067" s="174">
        <v>2</v>
      </c>
      <c r="F2067" s="176">
        <v>255</v>
      </c>
      <c r="G2067" s="182" t="s">
        <v>195</v>
      </c>
      <c r="H2067" s="174">
        <v>1</v>
      </c>
      <c r="I2067" s="173">
        <v>510</v>
      </c>
      <c r="J2067" s="174">
        <v>11.85</v>
      </c>
      <c r="K2067" s="173">
        <v>6043.5</v>
      </c>
      <c r="Q2067" s="160">
        <f>[8]Source!X1036</f>
        <v>0</v>
      </c>
      <c r="R2067" s="160">
        <f>[8]Source!X1037</f>
        <v>0</v>
      </c>
      <c r="S2067" s="160">
        <f>[8]Source!Y1036</f>
        <v>0</v>
      </c>
      <c r="T2067" s="160">
        <f>[8]Source!Y1037</f>
        <v>0</v>
      </c>
      <c r="U2067" s="160">
        <f>ROUND((175/100)*ROUND([8]Source!R1036, 2), 2)</f>
        <v>0</v>
      </c>
      <c r="V2067" s="160">
        <f>ROUND((157/100)*ROUND([8]Source!R1037, 2), 2)</f>
        <v>0</v>
      </c>
    </row>
    <row r="2068" spans="1:22" ht="57" x14ac:dyDescent="0.2">
      <c r="A2068" s="179" t="s">
        <v>2949</v>
      </c>
      <c r="B2068" s="178" t="s">
        <v>2950</v>
      </c>
      <c r="C2068" s="178" t="s">
        <v>753</v>
      </c>
      <c r="D2068" s="177" t="s">
        <v>1552</v>
      </c>
      <c r="E2068" s="174">
        <v>38</v>
      </c>
      <c r="F2068" s="176">
        <v>99.45</v>
      </c>
      <c r="G2068" s="182" t="s">
        <v>195</v>
      </c>
      <c r="H2068" s="174">
        <v>1</v>
      </c>
      <c r="I2068" s="173">
        <v>3779.1</v>
      </c>
      <c r="J2068" s="174">
        <v>9.59</v>
      </c>
      <c r="K2068" s="173">
        <v>36241.57</v>
      </c>
      <c r="Q2068" s="160">
        <f>[8]Source!X1038</f>
        <v>0</v>
      </c>
      <c r="R2068" s="160">
        <f>[8]Source!X1039</f>
        <v>0</v>
      </c>
      <c r="S2068" s="160">
        <f>[8]Source!Y1038</f>
        <v>0</v>
      </c>
      <c r="T2068" s="160">
        <f>[8]Source!Y1039</f>
        <v>0</v>
      </c>
      <c r="U2068" s="160">
        <f>ROUND((175/100)*ROUND([8]Source!R1038, 2), 2)</f>
        <v>0</v>
      </c>
      <c r="V2068" s="160">
        <f>ROUND((157/100)*ROUND([8]Source!R1039, 2), 2)</f>
        <v>0</v>
      </c>
    </row>
    <row r="2069" spans="1:22" ht="14.25" x14ac:dyDescent="0.2">
      <c r="A2069" s="179"/>
      <c r="B2069" s="178"/>
      <c r="C2069" s="178" t="s">
        <v>194</v>
      </c>
      <c r="D2069" s="177" t="s">
        <v>187</v>
      </c>
      <c r="E2069" s="174">
        <v>110</v>
      </c>
      <c r="F2069" s="176"/>
      <c r="G2069" s="175"/>
      <c r="H2069" s="174"/>
      <c r="I2069" s="173">
        <v>320.95</v>
      </c>
      <c r="J2069" s="174">
        <v>88</v>
      </c>
      <c r="K2069" s="173">
        <v>5995.29</v>
      </c>
    </row>
    <row r="2070" spans="1:22" ht="14.25" x14ac:dyDescent="0.2">
      <c r="A2070" s="179"/>
      <c r="B2070" s="178"/>
      <c r="C2070" s="178" t="s">
        <v>193</v>
      </c>
      <c r="D2070" s="177" t="s">
        <v>187</v>
      </c>
      <c r="E2070" s="174">
        <v>74</v>
      </c>
      <c r="F2070" s="176"/>
      <c r="G2070" s="175"/>
      <c r="H2070" s="174"/>
      <c r="I2070" s="173">
        <v>215.91</v>
      </c>
      <c r="J2070" s="174">
        <v>41</v>
      </c>
      <c r="K2070" s="173">
        <v>2793.26</v>
      </c>
    </row>
    <row r="2071" spans="1:22" ht="14.25" x14ac:dyDescent="0.2">
      <c r="A2071" s="179"/>
      <c r="B2071" s="178"/>
      <c r="C2071" s="178" t="s">
        <v>188</v>
      </c>
      <c r="D2071" s="177" t="s">
        <v>187</v>
      </c>
      <c r="E2071" s="174">
        <v>175</v>
      </c>
      <c r="F2071" s="176"/>
      <c r="G2071" s="175"/>
      <c r="H2071" s="174"/>
      <c r="I2071" s="173">
        <v>14.67</v>
      </c>
      <c r="J2071" s="174">
        <v>157</v>
      </c>
      <c r="K2071" s="173">
        <v>307.2</v>
      </c>
    </row>
    <row r="2072" spans="1:22" ht="14.25" x14ac:dyDescent="0.2">
      <c r="A2072" s="242"/>
      <c r="B2072" s="241"/>
      <c r="C2072" s="241" t="s">
        <v>192</v>
      </c>
      <c r="D2072" s="240" t="s">
        <v>191</v>
      </c>
      <c r="E2072" s="238">
        <v>55.5</v>
      </c>
      <c r="F2072" s="253"/>
      <c r="G2072" s="239" t="s">
        <v>2270</v>
      </c>
      <c r="H2072" s="238">
        <v>1</v>
      </c>
      <c r="I2072" s="237">
        <v>24.25</v>
      </c>
      <c r="J2072" s="238"/>
      <c r="K2072" s="237"/>
    </row>
    <row r="2073" spans="1:22" ht="15" x14ac:dyDescent="0.25">
      <c r="A2073" s="235"/>
      <c r="B2073" s="235"/>
      <c r="C2073" s="236" t="s">
        <v>183</v>
      </c>
      <c r="D2073" s="235"/>
      <c r="E2073" s="235"/>
      <c r="F2073" s="235"/>
      <c r="G2073" s="235"/>
      <c r="H2073" s="436">
        <v>5244.89</v>
      </c>
      <c r="I2073" s="436"/>
      <c r="J2073" s="436">
        <v>59023.69</v>
      </c>
      <c r="K2073" s="436"/>
      <c r="O2073" s="163">
        <f>I2063+I2064+I2066+I2069+I2070+I2071+SUM(I2067:I2068)</f>
        <v>5244.89</v>
      </c>
      <c r="P2073" s="163">
        <f>K2063+K2064+K2066+K2069+K2070+K2071+SUM(K2067:K2068)</f>
        <v>59023.69</v>
      </c>
    </row>
    <row r="2075" spans="1:22" ht="57" x14ac:dyDescent="0.2">
      <c r="A2075" s="179" t="s">
        <v>2951</v>
      </c>
      <c r="B2075" s="178" t="s">
        <v>2627</v>
      </c>
      <c r="C2075" s="178" t="s">
        <v>913</v>
      </c>
      <c r="D2075" s="177" t="s">
        <v>2599</v>
      </c>
      <c r="E2075" s="174">
        <v>0.36</v>
      </c>
      <c r="F2075" s="176"/>
      <c r="G2075" s="175"/>
      <c r="H2075" s="174"/>
      <c r="I2075" s="173"/>
      <c r="J2075" s="174"/>
      <c r="K2075" s="173"/>
      <c r="Q2075" s="160">
        <f>[8]Source!X1040</f>
        <v>304.05</v>
      </c>
      <c r="R2075" s="160">
        <f>[8]Source!X1041</f>
        <v>5679.67</v>
      </c>
      <c r="S2075" s="160">
        <f>[8]Source!Y1040</f>
        <v>204.54</v>
      </c>
      <c r="T2075" s="160">
        <f>[8]Source!Y1041</f>
        <v>2646.21</v>
      </c>
      <c r="U2075" s="160">
        <f>ROUND((175/100)*ROUND([8]Source!R1040, 2), 2)</f>
        <v>13.9</v>
      </c>
      <c r="V2075" s="160">
        <f>ROUND((157/100)*ROUND([8]Source!R1041, 2), 2)</f>
        <v>291.08</v>
      </c>
    </row>
    <row r="2076" spans="1:22" x14ac:dyDescent="0.2">
      <c r="C2076" s="181" t="s">
        <v>2952</v>
      </c>
    </row>
    <row r="2077" spans="1:22" ht="14.25" x14ac:dyDescent="0.2">
      <c r="A2077" s="179"/>
      <c r="B2077" s="178"/>
      <c r="C2077" s="178" t="s">
        <v>197</v>
      </c>
      <c r="D2077" s="177"/>
      <c r="E2077" s="174"/>
      <c r="F2077" s="176">
        <v>667.66</v>
      </c>
      <c r="G2077" s="175" t="s">
        <v>2270</v>
      </c>
      <c r="H2077" s="174">
        <v>1</v>
      </c>
      <c r="I2077" s="173">
        <v>276.41000000000003</v>
      </c>
      <c r="J2077" s="174">
        <v>23.35</v>
      </c>
      <c r="K2077" s="173">
        <v>6454.17</v>
      </c>
    </row>
    <row r="2078" spans="1:22" ht="14.25" x14ac:dyDescent="0.2">
      <c r="A2078" s="179"/>
      <c r="B2078" s="178"/>
      <c r="C2078" s="178" t="s">
        <v>184</v>
      </c>
      <c r="D2078" s="177"/>
      <c r="E2078" s="174"/>
      <c r="F2078" s="176">
        <v>121.61</v>
      </c>
      <c r="G2078" s="175" t="s">
        <v>2271</v>
      </c>
      <c r="H2078" s="174">
        <v>1</v>
      </c>
      <c r="I2078" s="173">
        <v>54.72</v>
      </c>
      <c r="J2078" s="174">
        <v>9.14</v>
      </c>
      <c r="K2078" s="173">
        <v>500.14</v>
      </c>
    </row>
    <row r="2079" spans="1:22" ht="14.25" x14ac:dyDescent="0.2">
      <c r="A2079" s="179"/>
      <c r="B2079" s="178"/>
      <c r="C2079" s="178" t="s">
        <v>189</v>
      </c>
      <c r="D2079" s="177"/>
      <c r="E2079" s="174"/>
      <c r="F2079" s="176">
        <v>17.649999999999999</v>
      </c>
      <c r="G2079" s="175" t="s">
        <v>2271</v>
      </c>
      <c r="H2079" s="174">
        <v>1</v>
      </c>
      <c r="I2079" s="180">
        <v>7.94</v>
      </c>
      <c r="J2079" s="174">
        <v>23.35</v>
      </c>
      <c r="K2079" s="180">
        <v>185.4</v>
      </c>
    </row>
    <row r="2080" spans="1:22" ht="14.25" x14ac:dyDescent="0.2">
      <c r="A2080" s="179"/>
      <c r="B2080" s="178"/>
      <c r="C2080" s="178" t="s">
        <v>205</v>
      </c>
      <c r="D2080" s="177"/>
      <c r="E2080" s="174"/>
      <c r="F2080" s="176">
        <v>146.32</v>
      </c>
      <c r="G2080" s="175" t="s">
        <v>195</v>
      </c>
      <c r="H2080" s="174">
        <v>1</v>
      </c>
      <c r="I2080" s="173">
        <v>52.68</v>
      </c>
      <c r="J2080" s="174">
        <v>5.51</v>
      </c>
      <c r="K2080" s="173">
        <v>290.27</v>
      </c>
    </row>
    <row r="2081" spans="1:22" ht="57" x14ac:dyDescent="0.2">
      <c r="A2081" s="179" t="s">
        <v>2953</v>
      </c>
      <c r="B2081" s="178" t="s">
        <v>2954</v>
      </c>
      <c r="C2081" s="178" t="s">
        <v>912</v>
      </c>
      <c r="D2081" s="177" t="s">
        <v>1661</v>
      </c>
      <c r="E2081" s="174">
        <v>2</v>
      </c>
      <c r="F2081" s="176">
        <v>926.1</v>
      </c>
      <c r="G2081" s="182" t="s">
        <v>195</v>
      </c>
      <c r="H2081" s="174">
        <v>1</v>
      </c>
      <c r="I2081" s="173">
        <v>1852.2</v>
      </c>
      <c r="J2081" s="174">
        <v>11.76</v>
      </c>
      <c r="K2081" s="173">
        <v>21781.87</v>
      </c>
      <c r="Q2081" s="160">
        <f>[8]Source!X1042</f>
        <v>0</v>
      </c>
      <c r="R2081" s="160">
        <f>[8]Source!X1043</f>
        <v>0</v>
      </c>
      <c r="S2081" s="160">
        <f>[8]Source!Y1042</f>
        <v>0</v>
      </c>
      <c r="T2081" s="160">
        <f>[8]Source!Y1043</f>
        <v>0</v>
      </c>
      <c r="U2081" s="160">
        <f>ROUND((175/100)*ROUND([8]Source!R1042, 2), 2)</f>
        <v>0</v>
      </c>
      <c r="V2081" s="160">
        <f>ROUND((157/100)*ROUND([8]Source!R1043, 2), 2)</f>
        <v>0</v>
      </c>
    </row>
    <row r="2082" spans="1:22" ht="57" x14ac:dyDescent="0.2">
      <c r="A2082" s="179" t="s">
        <v>2955</v>
      </c>
      <c r="B2082" s="178" t="s">
        <v>2628</v>
      </c>
      <c r="C2082" s="178" t="s">
        <v>911</v>
      </c>
      <c r="D2082" s="177" t="s">
        <v>1552</v>
      </c>
      <c r="E2082" s="174">
        <v>36</v>
      </c>
      <c r="F2082" s="176">
        <v>111.92</v>
      </c>
      <c r="G2082" s="182" t="s">
        <v>195</v>
      </c>
      <c r="H2082" s="174">
        <v>1</v>
      </c>
      <c r="I2082" s="173">
        <v>4029.12</v>
      </c>
      <c r="J2082" s="174">
        <v>10.01</v>
      </c>
      <c r="K2082" s="173">
        <v>40331.49</v>
      </c>
      <c r="Q2082" s="160">
        <f>[8]Source!X1044</f>
        <v>0</v>
      </c>
      <c r="R2082" s="160">
        <f>[8]Source!X1045</f>
        <v>0</v>
      </c>
      <c r="S2082" s="160">
        <f>[8]Source!Y1044</f>
        <v>0</v>
      </c>
      <c r="T2082" s="160">
        <f>[8]Source!Y1045</f>
        <v>0</v>
      </c>
      <c r="U2082" s="160">
        <f>ROUND((175/100)*ROUND([8]Source!R1044, 2), 2)</f>
        <v>0</v>
      </c>
      <c r="V2082" s="160">
        <f>ROUND((157/100)*ROUND([8]Source!R1045, 2), 2)</f>
        <v>0</v>
      </c>
    </row>
    <row r="2083" spans="1:22" ht="14.25" x14ac:dyDescent="0.2">
      <c r="A2083" s="179"/>
      <c r="B2083" s="178"/>
      <c r="C2083" s="178" t="s">
        <v>194</v>
      </c>
      <c r="D2083" s="177" t="s">
        <v>187</v>
      </c>
      <c r="E2083" s="174">
        <v>110</v>
      </c>
      <c r="F2083" s="176"/>
      <c r="G2083" s="175"/>
      <c r="H2083" s="174"/>
      <c r="I2083" s="173">
        <v>304.05</v>
      </c>
      <c r="J2083" s="174">
        <v>88</v>
      </c>
      <c r="K2083" s="173">
        <v>5679.67</v>
      </c>
    </row>
    <row r="2084" spans="1:22" ht="14.25" x14ac:dyDescent="0.2">
      <c r="A2084" s="179"/>
      <c r="B2084" s="178"/>
      <c r="C2084" s="178" t="s">
        <v>193</v>
      </c>
      <c r="D2084" s="177" t="s">
        <v>187</v>
      </c>
      <c r="E2084" s="174">
        <v>74</v>
      </c>
      <c r="F2084" s="176"/>
      <c r="G2084" s="175"/>
      <c r="H2084" s="174"/>
      <c r="I2084" s="173">
        <v>204.54</v>
      </c>
      <c r="J2084" s="174">
        <v>41</v>
      </c>
      <c r="K2084" s="173">
        <v>2646.21</v>
      </c>
    </row>
    <row r="2085" spans="1:22" ht="14.25" x14ac:dyDescent="0.2">
      <c r="A2085" s="179"/>
      <c r="B2085" s="178"/>
      <c r="C2085" s="178" t="s">
        <v>188</v>
      </c>
      <c r="D2085" s="177" t="s">
        <v>187</v>
      </c>
      <c r="E2085" s="174">
        <v>175</v>
      </c>
      <c r="F2085" s="176"/>
      <c r="G2085" s="175"/>
      <c r="H2085" s="174"/>
      <c r="I2085" s="173">
        <v>13.9</v>
      </c>
      <c r="J2085" s="174">
        <v>157</v>
      </c>
      <c r="K2085" s="173">
        <v>291.08</v>
      </c>
    </row>
    <row r="2086" spans="1:22" ht="14.25" x14ac:dyDescent="0.2">
      <c r="A2086" s="242"/>
      <c r="B2086" s="241"/>
      <c r="C2086" s="241" t="s">
        <v>192</v>
      </c>
      <c r="D2086" s="240" t="s">
        <v>191</v>
      </c>
      <c r="E2086" s="238">
        <v>55.5</v>
      </c>
      <c r="F2086" s="253"/>
      <c r="G2086" s="239" t="s">
        <v>2270</v>
      </c>
      <c r="H2086" s="238">
        <v>1</v>
      </c>
      <c r="I2086" s="237">
        <v>22.98</v>
      </c>
      <c r="J2086" s="238"/>
      <c r="K2086" s="237"/>
    </row>
    <row r="2087" spans="1:22" ht="15" x14ac:dyDescent="0.25">
      <c r="A2087" s="235"/>
      <c r="B2087" s="235"/>
      <c r="C2087" s="236" t="s">
        <v>183</v>
      </c>
      <c r="D2087" s="235"/>
      <c r="E2087" s="235"/>
      <c r="F2087" s="235"/>
      <c r="G2087" s="235"/>
      <c r="H2087" s="436">
        <v>6787.62</v>
      </c>
      <c r="I2087" s="436"/>
      <c r="J2087" s="436">
        <v>77974.899999999994</v>
      </c>
      <c r="K2087" s="436"/>
      <c r="O2087" s="163">
        <f>I2077+I2078+I2080+I2083+I2084+I2085+SUM(I2081:I2082)</f>
        <v>6787.62</v>
      </c>
      <c r="P2087" s="163">
        <f>K2077+K2078+K2080+K2083+K2084+K2085+SUM(K2081:K2082)</f>
        <v>77974.899999999994</v>
      </c>
    </row>
    <row r="2089" spans="1:22" ht="57" x14ac:dyDescent="0.2">
      <c r="A2089" s="179" t="s">
        <v>2956</v>
      </c>
      <c r="B2089" s="178" t="s">
        <v>2629</v>
      </c>
      <c r="C2089" s="178" t="s">
        <v>910</v>
      </c>
      <c r="D2089" s="177" t="s">
        <v>1561</v>
      </c>
      <c r="E2089" s="174">
        <v>1</v>
      </c>
      <c r="F2089" s="176"/>
      <c r="G2089" s="175"/>
      <c r="H2089" s="174"/>
      <c r="I2089" s="173"/>
      <c r="J2089" s="174"/>
      <c r="K2089" s="173"/>
      <c r="Q2089" s="160">
        <f>[8]Source!X1052</f>
        <v>873.66</v>
      </c>
      <c r="R2089" s="160">
        <f>[8]Source!X1053</f>
        <v>16523.97</v>
      </c>
      <c r="S2089" s="160">
        <f>[8]Source!Y1052</f>
        <v>559.14</v>
      </c>
      <c r="T2089" s="160">
        <f>[8]Source!Y1053</f>
        <v>8363.98</v>
      </c>
      <c r="U2089" s="160">
        <f>ROUND((175/100)*ROUND([8]Source!R1052, 2), 2)</f>
        <v>0.4</v>
      </c>
      <c r="V2089" s="160">
        <f>ROUND((157/100)*ROUND([8]Source!R1053, 2), 2)</f>
        <v>8.43</v>
      </c>
    </row>
    <row r="2090" spans="1:22" x14ac:dyDescent="0.2">
      <c r="C2090" s="181" t="s">
        <v>2957</v>
      </c>
    </row>
    <row r="2091" spans="1:22" ht="14.25" x14ac:dyDescent="0.2">
      <c r="A2091" s="179"/>
      <c r="B2091" s="178"/>
      <c r="C2091" s="178" t="s">
        <v>197</v>
      </c>
      <c r="D2091" s="177"/>
      <c r="E2091" s="174"/>
      <c r="F2091" s="176">
        <v>759.7</v>
      </c>
      <c r="G2091" s="175" t="s">
        <v>2270</v>
      </c>
      <c r="H2091" s="174">
        <v>1</v>
      </c>
      <c r="I2091" s="173">
        <v>873.66</v>
      </c>
      <c r="J2091" s="174">
        <v>23.35</v>
      </c>
      <c r="K2091" s="173">
        <v>20399.96</v>
      </c>
    </row>
    <row r="2092" spans="1:22" ht="14.25" x14ac:dyDescent="0.2">
      <c r="A2092" s="179"/>
      <c r="B2092" s="178"/>
      <c r="C2092" s="178" t="s">
        <v>184</v>
      </c>
      <c r="D2092" s="177"/>
      <c r="E2092" s="174"/>
      <c r="F2092" s="176">
        <v>0.74</v>
      </c>
      <c r="G2092" s="175" t="s">
        <v>2271</v>
      </c>
      <c r="H2092" s="174">
        <v>1</v>
      </c>
      <c r="I2092" s="173">
        <v>0.93</v>
      </c>
      <c r="J2092" s="174">
        <v>9.73</v>
      </c>
      <c r="K2092" s="173">
        <v>9.0500000000000007</v>
      </c>
    </row>
    <row r="2093" spans="1:22" ht="14.25" x14ac:dyDescent="0.2">
      <c r="A2093" s="179"/>
      <c r="B2093" s="178"/>
      <c r="C2093" s="178" t="s">
        <v>189</v>
      </c>
      <c r="D2093" s="177"/>
      <c r="E2093" s="174"/>
      <c r="F2093" s="176">
        <v>0.18</v>
      </c>
      <c r="G2093" s="175" t="s">
        <v>2271</v>
      </c>
      <c r="H2093" s="174">
        <v>1</v>
      </c>
      <c r="I2093" s="180">
        <v>0.23</v>
      </c>
      <c r="J2093" s="174">
        <v>23.35</v>
      </c>
      <c r="K2093" s="180">
        <v>5.37</v>
      </c>
    </row>
    <row r="2094" spans="1:22" ht="14.25" x14ac:dyDescent="0.2">
      <c r="A2094" s="179"/>
      <c r="B2094" s="178"/>
      <c r="C2094" s="178" t="s">
        <v>205</v>
      </c>
      <c r="D2094" s="177"/>
      <c r="E2094" s="174"/>
      <c r="F2094" s="176">
        <v>1.68</v>
      </c>
      <c r="G2094" s="175" t="s">
        <v>195</v>
      </c>
      <c r="H2094" s="174">
        <v>1</v>
      </c>
      <c r="I2094" s="173">
        <v>1.68</v>
      </c>
      <c r="J2094" s="174">
        <v>5.42</v>
      </c>
      <c r="K2094" s="173">
        <v>9.11</v>
      </c>
    </row>
    <row r="2095" spans="1:22" ht="42.75" x14ac:dyDescent="0.2">
      <c r="A2095" s="179" t="s">
        <v>2958</v>
      </c>
      <c r="B2095" s="178" t="s">
        <v>2105</v>
      </c>
      <c r="C2095" s="178" t="s">
        <v>401</v>
      </c>
      <c r="D2095" s="177" t="s">
        <v>1533</v>
      </c>
      <c r="E2095" s="174">
        <v>2.46E-2</v>
      </c>
      <c r="F2095" s="176">
        <v>42508.19</v>
      </c>
      <c r="G2095" s="182" t="s">
        <v>195</v>
      </c>
      <c r="H2095" s="174">
        <v>1</v>
      </c>
      <c r="I2095" s="173">
        <v>1045.7</v>
      </c>
      <c r="J2095" s="174">
        <v>1.31</v>
      </c>
      <c r="K2095" s="173">
        <v>1369.87</v>
      </c>
      <c r="Q2095" s="160">
        <f>[8]Source!X1054</f>
        <v>0</v>
      </c>
      <c r="R2095" s="160">
        <f>[8]Source!X1055</f>
        <v>0</v>
      </c>
      <c r="S2095" s="160">
        <f>[8]Source!Y1054</f>
        <v>0</v>
      </c>
      <c r="T2095" s="160">
        <f>[8]Source!Y1055</f>
        <v>0</v>
      </c>
      <c r="U2095" s="160">
        <f>ROUND((175/100)*ROUND([8]Source!R1054, 2), 2)</f>
        <v>0</v>
      </c>
      <c r="V2095" s="160">
        <f>ROUND((157/100)*ROUND([8]Source!R1055, 2), 2)</f>
        <v>0</v>
      </c>
    </row>
    <row r="2096" spans="1:22" ht="28.5" x14ac:dyDescent="0.2">
      <c r="A2096" s="179" t="s">
        <v>2959</v>
      </c>
      <c r="B2096" s="178" t="s">
        <v>2632</v>
      </c>
      <c r="C2096" s="178" t="s">
        <v>909</v>
      </c>
      <c r="D2096" s="177" t="s">
        <v>1584</v>
      </c>
      <c r="E2096" s="174">
        <v>2.7</v>
      </c>
      <c r="F2096" s="176">
        <v>20.190000000000001</v>
      </c>
      <c r="G2096" s="182" t="s">
        <v>195</v>
      </c>
      <c r="H2096" s="174">
        <v>1</v>
      </c>
      <c r="I2096" s="173">
        <v>54.51</v>
      </c>
      <c r="J2096" s="174">
        <v>2.56</v>
      </c>
      <c r="K2096" s="173">
        <v>139.55000000000001</v>
      </c>
      <c r="Q2096" s="160">
        <f>[8]Source!X1056</f>
        <v>0</v>
      </c>
      <c r="R2096" s="160">
        <f>[8]Source!X1057</f>
        <v>0</v>
      </c>
      <c r="S2096" s="160">
        <f>[8]Source!Y1056</f>
        <v>0</v>
      </c>
      <c r="T2096" s="160">
        <f>[8]Source!Y1057</f>
        <v>0</v>
      </c>
      <c r="U2096" s="160">
        <f>ROUND((175/100)*ROUND([8]Source!R1056, 2), 2)</f>
        <v>0</v>
      </c>
      <c r="V2096" s="160">
        <f>ROUND((157/100)*ROUND([8]Source!R1057, 2), 2)</f>
        <v>0</v>
      </c>
    </row>
    <row r="2097" spans="1:22" ht="14.25" x14ac:dyDescent="0.2">
      <c r="A2097" s="179"/>
      <c r="B2097" s="178"/>
      <c r="C2097" s="178" t="s">
        <v>194</v>
      </c>
      <c r="D2097" s="177" t="s">
        <v>187</v>
      </c>
      <c r="E2097" s="174">
        <v>100</v>
      </c>
      <c r="F2097" s="176"/>
      <c r="G2097" s="175"/>
      <c r="H2097" s="174"/>
      <c r="I2097" s="173">
        <v>873.66</v>
      </c>
      <c r="J2097" s="174">
        <v>81</v>
      </c>
      <c r="K2097" s="173">
        <v>16523.97</v>
      </c>
    </row>
    <row r="2098" spans="1:22" ht="14.25" x14ac:dyDescent="0.2">
      <c r="A2098" s="179"/>
      <c r="B2098" s="178"/>
      <c r="C2098" s="178" t="s">
        <v>193</v>
      </c>
      <c r="D2098" s="177" t="s">
        <v>187</v>
      </c>
      <c r="E2098" s="174">
        <v>64</v>
      </c>
      <c r="F2098" s="176"/>
      <c r="G2098" s="175"/>
      <c r="H2098" s="174"/>
      <c r="I2098" s="173">
        <v>559.14</v>
      </c>
      <c r="J2098" s="174">
        <v>41</v>
      </c>
      <c r="K2098" s="173">
        <v>8363.98</v>
      </c>
    </row>
    <row r="2099" spans="1:22" ht="14.25" x14ac:dyDescent="0.2">
      <c r="A2099" s="179"/>
      <c r="B2099" s="178"/>
      <c r="C2099" s="178" t="s">
        <v>188</v>
      </c>
      <c r="D2099" s="177" t="s">
        <v>187</v>
      </c>
      <c r="E2099" s="174">
        <v>175</v>
      </c>
      <c r="F2099" s="176"/>
      <c r="G2099" s="175"/>
      <c r="H2099" s="174"/>
      <c r="I2099" s="173">
        <v>0.4</v>
      </c>
      <c r="J2099" s="174">
        <v>157</v>
      </c>
      <c r="K2099" s="173">
        <v>8.43</v>
      </c>
    </row>
    <row r="2100" spans="1:22" ht="14.25" x14ac:dyDescent="0.2">
      <c r="A2100" s="242"/>
      <c r="B2100" s="241"/>
      <c r="C2100" s="241" t="s">
        <v>192</v>
      </c>
      <c r="D2100" s="240" t="s">
        <v>191</v>
      </c>
      <c r="E2100" s="238">
        <v>64.599999999999994</v>
      </c>
      <c r="F2100" s="253"/>
      <c r="G2100" s="239" t="s">
        <v>2270</v>
      </c>
      <c r="H2100" s="238">
        <v>1</v>
      </c>
      <c r="I2100" s="237">
        <v>74.290000000000006</v>
      </c>
      <c r="J2100" s="238"/>
      <c r="K2100" s="237"/>
    </row>
    <row r="2101" spans="1:22" ht="15" x14ac:dyDescent="0.25">
      <c r="A2101" s="235"/>
      <c r="B2101" s="235"/>
      <c r="C2101" s="236" t="s">
        <v>183</v>
      </c>
      <c r="D2101" s="235"/>
      <c r="E2101" s="235"/>
      <c r="F2101" s="235"/>
      <c r="G2101" s="235"/>
      <c r="H2101" s="436">
        <v>3409.68</v>
      </c>
      <c r="I2101" s="436"/>
      <c r="J2101" s="436">
        <v>46823.92</v>
      </c>
      <c r="K2101" s="436"/>
      <c r="O2101" s="163">
        <f>I2091+I2092+I2094+I2097+I2098+I2099+SUM(I2095:I2096)</f>
        <v>3409.68</v>
      </c>
      <c r="P2101" s="163">
        <f>K2091+K2092+K2094+K2097+K2098+K2099+SUM(K2095:K2096)</f>
        <v>46823.92</v>
      </c>
    </row>
    <row r="2103" spans="1:22" ht="42.75" x14ac:dyDescent="0.2">
      <c r="A2103" s="179" t="s">
        <v>2960</v>
      </c>
      <c r="B2103" s="178" t="s">
        <v>2633</v>
      </c>
      <c r="C2103" s="178" t="s">
        <v>747</v>
      </c>
      <c r="D2103" s="177" t="s">
        <v>2634</v>
      </c>
      <c r="E2103" s="174">
        <v>26.7</v>
      </c>
      <c r="F2103" s="176"/>
      <c r="G2103" s="175"/>
      <c r="H2103" s="174"/>
      <c r="I2103" s="173"/>
      <c r="J2103" s="174"/>
      <c r="K2103" s="173"/>
      <c r="Q2103" s="160">
        <f>[8]Source!X1058</f>
        <v>799.13</v>
      </c>
      <c r="R2103" s="160">
        <f>[8]Source!X1059</f>
        <v>14968.68</v>
      </c>
      <c r="S2103" s="160">
        <f>[8]Source!Y1058</f>
        <v>614.71</v>
      </c>
      <c r="T2103" s="160">
        <f>[8]Source!Y1059</f>
        <v>8407.07</v>
      </c>
      <c r="U2103" s="160">
        <f>ROUND((175/100)*ROUND([8]Source!R1058, 2), 2)</f>
        <v>154.19</v>
      </c>
      <c r="V2103" s="160">
        <f>ROUND((157/100)*ROUND([8]Source!R1059, 2), 2)</f>
        <v>3230.07</v>
      </c>
    </row>
    <row r="2104" spans="1:22" x14ac:dyDescent="0.2">
      <c r="C2104" s="181" t="s">
        <v>2961</v>
      </c>
    </row>
    <row r="2105" spans="1:22" ht="14.25" x14ac:dyDescent="0.2">
      <c r="A2105" s="179"/>
      <c r="B2105" s="178"/>
      <c r="C2105" s="178" t="s">
        <v>197</v>
      </c>
      <c r="D2105" s="177"/>
      <c r="E2105" s="174"/>
      <c r="F2105" s="176">
        <v>28.6</v>
      </c>
      <c r="G2105" s="175" t="s">
        <v>2270</v>
      </c>
      <c r="H2105" s="174">
        <v>1</v>
      </c>
      <c r="I2105" s="173">
        <v>878.16</v>
      </c>
      <c r="J2105" s="174">
        <v>23.35</v>
      </c>
      <c r="K2105" s="173">
        <v>20505.04</v>
      </c>
    </row>
    <row r="2106" spans="1:22" ht="14.25" x14ac:dyDescent="0.2">
      <c r="A2106" s="179"/>
      <c r="B2106" s="178"/>
      <c r="C2106" s="178" t="s">
        <v>184</v>
      </c>
      <c r="D2106" s="177"/>
      <c r="E2106" s="174"/>
      <c r="F2106" s="176">
        <v>13.2</v>
      </c>
      <c r="G2106" s="175" t="s">
        <v>2271</v>
      </c>
      <c r="H2106" s="174">
        <v>1</v>
      </c>
      <c r="I2106" s="173">
        <v>440.55</v>
      </c>
      <c r="J2106" s="174">
        <v>8.9499999999999993</v>
      </c>
      <c r="K2106" s="173">
        <v>3942.92</v>
      </c>
    </row>
    <row r="2107" spans="1:22" ht="14.25" x14ac:dyDescent="0.2">
      <c r="A2107" s="179"/>
      <c r="B2107" s="178"/>
      <c r="C2107" s="178" t="s">
        <v>189</v>
      </c>
      <c r="D2107" s="177"/>
      <c r="E2107" s="174"/>
      <c r="F2107" s="176">
        <v>2.64</v>
      </c>
      <c r="G2107" s="175" t="s">
        <v>2271</v>
      </c>
      <c r="H2107" s="174">
        <v>1</v>
      </c>
      <c r="I2107" s="180">
        <v>88.11</v>
      </c>
      <c r="J2107" s="174">
        <v>23.35</v>
      </c>
      <c r="K2107" s="180">
        <v>2057.37</v>
      </c>
    </row>
    <row r="2108" spans="1:22" ht="14.25" x14ac:dyDescent="0.2">
      <c r="A2108" s="179"/>
      <c r="B2108" s="178"/>
      <c r="C2108" s="178" t="s">
        <v>205</v>
      </c>
      <c r="D2108" s="177"/>
      <c r="E2108" s="174"/>
      <c r="F2108" s="176">
        <v>59.82</v>
      </c>
      <c r="G2108" s="175" t="s">
        <v>195</v>
      </c>
      <c r="H2108" s="174">
        <v>1</v>
      </c>
      <c r="I2108" s="173">
        <v>1597.19</v>
      </c>
      <c r="J2108" s="174">
        <v>19.829999999999998</v>
      </c>
      <c r="K2108" s="173">
        <v>31672.28</v>
      </c>
    </row>
    <row r="2109" spans="1:22" ht="71.25" x14ac:dyDescent="0.2">
      <c r="A2109" s="179" t="s">
        <v>2962</v>
      </c>
      <c r="B2109" s="178" t="s">
        <v>2636</v>
      </c>
      <c r="C2109" s="178" t="s">
        <v>908</v>
      </c>
      <c r="D2109" s="177" t="s">
        <v>1552</v>
      </c>
      <c r="E2109" s="174">
        <v>400.5</v>
      </c>
      <c r="F2109" s="176">
        <v>6.29</v>
      </c>
      <c r="G2109" s="182" t="s">
        <v>195</v>
      </c>
      <c r="H2109" s="174">
        <v>1</v>
      </c>
      <c r="I2109" s="173">
        <v>2519.15</v>
      </c>
      <c r="J2109" s="174">
        <v>5.68</v>
      </c>
      <c r="K2109" s="173">
        <v>14308.77</v>
      </c>
      <c r="Q2109" s="160">
        <f>[8]Source!X1060</f>
        <v>0</v>
      </c>
      <c r="R2109" s="160">
        <f>[8]Source!X1061</f>
        <v>0</v>
      </c>
      <c r="S2109" s="160">
        <f>[8]Source!Y1060</f>
        <v>0</v>
      </c>
      <c r="T2109" s="160">
        <f>[8]Source!Y1061</f>
        <v>0</v>
      </c>
      <c r="U2109" s="160">
        <f>ROUND((175/100)*ROUND([8]Source!R1060, 2), 2)</f>
        <v>0</v>
      </c>
      <c r="V2109" s="160">
        <f>ROUND((157/100)*ROUND([8]Source!R1061, 2), 2)</f>
        <v>0</v>
      </c>
    </row>
    <row r="2110" spans="1:22" ht="114" x14ac:dyDescent="0.2">
      <c r="A2110" s="179" t="s">
        <v>2963</v>
      </c>
      <c r="B2110" s="178" t="s">
        <v>2637</v>
      </c>
      <c r="C2110" s="178" t="s">
        <v>907</v>
      </c>
      <c r="D2110" s="177" t="s">
        <v>1557</v>
      </c>
      <c r="E2110" s="174">
        <v>6.6749999999999998</v>
      </c>
      <c r="F2110" s="176">
        <v>126.76</v>
      </c>
      <c r="G2110" s="182" t="s">
        <v>195</v>
      </c>
      <c r="H2110" s="174">
        <v>1</v>
      </c>
      <c r="I2110" s="173">
        <v>846.12</v>
      </c>
      <c r="J2110" s="174">
        <v>5.83</v>
      </c>
      <c r="K2110" s="173">
        <v>4932.88</v>
      </c>
      <c r="Q2110" s="160">
        <f>[8]Source!X1062</f>
        <v>0</v>
      </c>
      <c r="R2110" s="160">
        <f>[8]Source!X1063</f>
        <v>0</v>
      </c>
      <c r="S2110" s="160">
        <f>[8]Source!Y1062</f>
        <v>0</v>
      </c>
      <c r="T2110" s="160">
        <f>[8]Source!Y1063</f>
        <v>0</v>
      </c>
      <c r="U2110" s="160">
        <f>ROUND((175/100)*ROUND([8]Source!R1062, 2), 2)</f>
        <v>0</v>
      </c>
      <c r="V2110" s="160">
        <f>ROUND((157/100)*ROUND([8]Source!R1063, 2), 2)</f>
        <v>0</v>
      </c>
    </row>
    <row r="2111" spans="1:22" ht="128.25" x14ac:dyDescent="0.2">
      <c r="A2111" s="179" t="s">
        <v>2964</v>
      </c>
      <c r="B2111" s="178" t="s">
        <v>2644</v>
      </c>
      <c r="C2111" s="178" t="s">
        <v>906</v>
      </c>
      <c r="D2111" s="177" t="s">
        <v>1552</v>
      </c>
      <c r="E2111" s="174">
        <v>68.25</v>
      </c>
      <c r="F2111" s="176">
        <v>50.57</v>
      </c>
      <c r="G2111" s="182" t="s">
        <v>195</v>
      </c>
      <c r="H2111" s="174">
        <v>1</v>
      </c>
      <c r="I2111" s="173">
        <v>3451.4</v>
      </c>
      <c r="J2111" s="174">
        <v>2.91</v>
      </c>
      <c r="K2111" s="173">
        <v>10043.57</v>
      </c>
      <c r="Q2111" s="160">
        <f>[8]Source!X1064</f>
        <v>0</v>
      </c>
      <c r="R2111" s="160">
        <f>[8]Source!X1065</f>
        <v>0</v>
      </c>
      <c r="S2111" s="160">
        <f>[8]Source!Y1064</f>
        <v>0</v>
      </c>
      <c r="T2111" s="160">
        <f>[8]Source!Y1065</f>
        <v>0</v>
      </c>
      <c r="U2111" s="160">
        <f>ROUND((175/100)*ROUND([8]Source!R1064, 2), 2)</f>
        <v>0</v>
      </c>
      <c r="V2111" s="160">
        <f>ROUND((157/100)*ROUND([8]Source!R1065, 2), 2)</f>
        <v>0</v>
      </c>
    </row>
    <row r="2112" spans="1:22" ht="128.25" x14ac:dyDescent="0.2">
      <c r="A2112" s="179" t="s">
        <v>2965</v>
      </c>
      <c r="B2112" s="178" t="s">
        <v>2646</v>
      </c>
      <c r="C2112" s="178" t="s">
        <v>905</v>
      </c>
      <c r="D2112" s="177" t="s">
        <v>1552</v>
      </c>
      <c r="E2112" s="174">
        <v>17.850000000000001</v>
      </c>
      <c r="F2112" s="176">
        <v>56.82</v>
      </c>
      <c r="G2112" s="182" t="s">
        <v>195</v>
      </c>
      <c r="H2112" s="174">
        <v>1</v>
      </c>
      <c r="I2112" s="173">
        <v>1014.24</v>
      </c>
      <c r="J2112" s="174">
        <v>2.86</v>
      </c>
      <c r="K2112" s="173">
        <v>2900.73</v>
      </c>
      <c r="Q2112" s="160">
        <f>[8]Source!X1066</f>
        <v>0</v>
      </c>
      <c r="R2112" s="160">
        <f>[8]Source!X1067</f>
        <v>0</v>
      </c>
      <c r="S2112" s="160">
        <f>[8]Source!Y1066</f>
        <v>0</v>
      </c>
      <c r="T2112" s="160">
        <f>[8]Source!Y1067</f>
        <v>0</v>
      </c>
      <c r="U2112" s="160">
        <f>ROUND((175/100)*ROUND([8]Source!R1066, 2), 2)</f>
        <v>0</v>
      </c>
      <c r="V2112" s="160">
        <f>ROUND((157/100)*ROUND([8]Source!R1067, 2), 2)</f>
        <v>0</v>
      </c>
    </row>
    <row r="2113" spans="1:22" ht="128.25" x14ac:dyDescent="0.2">
      <c r="A2113" s="179" t="s">
        <v>2966</v>
      </c>
      <c r="B2113" s="178" t="s">
        <v>2650</v>
      </c>
      <c r="C2113" s="178" t="s">
        <v>904</v>
      </c>
      <c r="D2113" s="177" t="s">
        <v>1552</v>
      </c>
      <c r="E2113" s="174">
        <v>116.55</v>
      </c>
      <c r="F2113" s="176">
        <v>110.23</v>
      </c>
      <c r="G2113" s="182" t="s">
        <v>195</v>
      </c>
      <c r="H2113" s="174">
        <v>1</v>
      </c>
      <c r="I2113" s="173">
        <v>12847.31</v>
      </c>
      <c r="J2113" s="174">
        <v>2.89</v>
      </c>
      <c r="K2113" s="173">
        <v>37128.730000000003</v>
      </c>
      <c r="Q2113" s="160">
        <f>[8]Source!X1068</f>
        <v>0</v>
      </c>
      <c r="R2113" s="160">
        <f>[8]Source!X1069</f>
        <v>0</v>
      </c>
      <c r="S2113" s="160">
        <f>[8]Source!Y1068</f>
        <v>0</v>
      </c>
      <c r="T2113" s="160">
        <f>[8]Source!Y1069</f>
        <v>0</v>
      </c>
      <c r="U2113" s="160">
        <f>ROUND((175/100)*ROUND([8]Source!R1068, 2), 2)</f>
        <v>0</v>
      </c>
      <c r="V2113" s="160">
        <f>ROUND((157/100)*ROUND([8]Source!R1069, 2), 2)</f>
        <v>0</v>
      </c>
    </row>
    <row r="2114" spans="1:22" ht="128.25" x14ac:dyDescent="0.2">
      <c r="A2114" s="179" t="s">
        <v>2967</v>
      </c>
      <c r="B2114" s="178" t="s">
        <v>2968</v>
      </c>
      <c r="C2114" s="178" t="s">
        <v>903</v>
      </c>
      <c r="D2114" s="177" t="s">
        <v>1552</v>
      </c>
      <c r="E2114" s="174">
        <v>39.9</v>
      </c>
      <c r="F2114" s="176">
        <v>143.18</v>
      </c>
      <c r="G2114" s="182" t="s">
        <v>195</v>
      </c>
      <c r="H2114" s="174">
        <v>1</v>
      </c>
      <c r="I2114" s="173">
        <v>5712.88</v>
      </c>
      <c r="J2114" s="174">
        <v>2.89</v>
      </c>
      <c r="K2114" s="173">
        <v>16510.22</v>
      </c>
      <c r="Q2114" s="160">
        <f>[8]Source!X1070</f>
        <v>0</v>
      </c>
      <c r="R2114" s="160">
        <f>[8]Source!X1071</f>
        <v>0</v>
      </c>
      <c r="S2114" s="160">
        <f>[8]Source!Y1070</f>
        <v>0</v>
      </c>
      <c r="T2114" s="160">
        <f>[8]Source!Y1071</f>
        <v>0</v>
      </c>
      <c r="U2114" s="160">
        <f>ROUND((175/100)*ROUND([8]Source!R1070, 2), 2)</f>
        <v>0</v>
      </c>
      <c r="V2114" s="160">
        <f>ROUND((157/100)*ROUND([8]Source!R1071, 2), 2)</f>
        <v>0</v>
      </c>
    </row>
    <row r="2115" spans="1:22" ht="128.25" x14ac:dyDescent="0.2">
      <c r="A2115" s="179" t="s">
        <v>2969</v>
      </c>
      <c r="B2115" s="178" t="s">
        <v>2652</v>
      </c>
      <c r="C2115" s="178" t="s">
        <v>902</v>
      </c>
      <c r="D2115" s="177" t="s">
        <v>1552</v>
      </c>
      <c r="E2115" s="174">
        <v>37.799999999999997</v>
      </c>
      <c r="F2115" s="176">
        <v>159.38</v>
      </c>
      <c r="G2115" s="182" t="s">
        <v>195</v>
      </c>
      <c r="H2115" s="174">
        <v>1</v>
      </c>
      <c r="I2115" s="173">
        <v>6024.56</v>
      </c>
      <c r="J2115" s="174">
        <v>2.89</v>
      </c>
      <c r="K2115" s="173">
        <v>17410.98</v>
      </c>
      <c r="Q2115" s="160">
        <f>[8]Source!X1072</f>
        <v>0</v>
      </c>
      <c r="R2115" s="160">
        <f>[8]Source!X1073</f>
        <v>0</v>
      </c>
      <c r="S2115" s="160">
        <f>[8]Source!Y1072</f>
        <v>0</v>
      </c>
      <c r="T2115" s="160">
        <f>[8]Source!Y1073</f>
        <v>0</v>
      </c>
      <c r="U2115" s="160">
        <f>ROUND((175/100)*ROUND([8]Source!R1072, 2), 2)</f>
        <v>0</v>
      </c>
      <c r="V2115" s="160">
        <f>ROUND((157/100)*ROUND([8]Source!R1073, 2), 2)</f>
        <v>0</v>
      </c>
    </row>
    <row r="2116" spans="1:22" ht="57" x14ac:dyDescent="0.2">
      <c r="A2116" s="179" t="s">
        <v>2970</v>
      </c>
      <c r="B2116" s="178" t="s">
        <v>2638</v>
      </c>
      <c r="C2116" s="178" t="s">
        <v>741</v>
      </c>
      <c r="D2116" s="177" t="s">
        <v>2639</v>
      </c>
      <c r="E2116" s="174">
        <v>3.3374999999999999</v>
      </c>
      <c r="F2116" s="176">
        <v>231.64</v>
      </c>
      <c r="G2116" s="182" t="s">
        <v>195</v>
      </c>
      <c r="H2116" s="174">
        <v>1</v>
      </c>
      <c r="I2116" s="173">
        <v>773.1</v>
      </c>
      <c r="J2116" s="174">
        <v>2.88</v>
      </c>
      <c r="K2116" s="173">
        <v>2226.5300000000002</v>
      </c>
      <c r="Q2116" s="160">
        <f>[8]Source!X1074</f>
        <v>0</v>
      </c>
      <c r="R2116" s="160">
        <f>[8]Source!X1075</f>
        <v>0</v>
      </c>
      <c r="S2116" s="160">
        <f>[8]Source!Y1074</f>
        <v>0</v>
      </c>
      <c r="T2116" s="160">
        <f>[8]Source!Y1075</f>
        <v>0</v>
      </c>
      <c r="U2116" s="160">
        <f>ROUND((175/100)*ROUND([8]Source!R1074, 2), 2)</f>
        <v>0</v>
      </c>
      <c r="V2116" s="160">
        <f>ROUND((157/100)*ROUND([8]Source!R1075, 2), 2)</f>
        <v>0</v>
      </c>
    </row>
    <row r="2117" spans="1:22" ht="57" x14ac:dyDescent="0.2">
      <c r="A2117" s="179" t="s">
        <v>2971</v>
      </c>
      <c r="B2117" s="178" t="s">
        <v>2641</v>
      </c>
      <c r="C2117" s="178" t="s">
        <v>740</v>
      </c>
      <c r="D2117" s="177" t="s">
        <v>2639</v>
      </c>
      <c r="E2117" s="174">
        <v>-24.831</v>
      </c>
      <c r="F2117" s="176">
        <v>34.75</v>
      </c>
      <c r="G2117" s="182" t="s">
        <v>195</v>
      </c>
      <c r="H2117" s="174">
        <v>1</v>
      </c>
      <c r="I2117" s="173">
        <v>-862.88</v>
      </c>
      <c r="J2117" s="174">
        <v>34.270000000000003</v>
      </c>
      <c r="K2117" s="173">
        <v>-29570.9</v>
      </c>
      <c r="Q2117" s="160">
        <f>[8]Source!X1076</f>
        <v>0</v>
      </c>
      <c r="R2117" s="160">
        <f>[8]Source!X1077</f>
        <v>0</v>
      </c>
      <c r="S2117" s="160">
        <f>[8]Source!Y1076</f>
        <v>0</v>
      </c>
      <c r="T2117" s="160">
        <f>[8]Source!Y1077</f>
        <v>0</v>
      </c>
      <c r="U2117" s="160">
        <f>ROUND((175/100)*ROUND([8]Source!R1076, 2), 2)</f>
        <v>0</v>
      </c>
      <c r="V2117" s="160">
        <f>ROUND((157/100)*ROUND([8]Source!R1077, 2), 2)</f>
        <v>0</v>
      </c>
    </row>
    <row r="2118" spans="1:22" ht="14.25" x14ac:dyDescent="0.2">
      <c r="A2118" s="179"/>
      <c r="B2118" s="178"/>
      <c r="C2118" s="178" t="s">
        <v>194</v>
      </c>
      <c r="D2118" s="177" t="s">
        <v>187</v>
      </c>
      <c r="E2118" s="174">
        <v>91</v>
      </c>
      <c r="F2118" s="176"/>
      <c r="G2118" s="175"/>
      <c r="H2118" s="174"/>
      <c r="I2118" s="173">
        <v>799.13</v>
      </c>
      <c r="J2118" s="174">
        <v>73</v>
      </c>
      <c r="K2118" s="173">
        <v>14968.68</v>
      </c>
    </row>
    <row r="2119" spans="1:22" ht="14.25" x14ac:dyDescent="0.2">
      <c r="A2119" s="179"/>
      <c r="B2119" s="178"/>
      <c r="C2119" s="178" t="s">
        <v>193</v>
      </c>
      <c r="D2119" s="177" t="s">
        <v>187</v>
      </c>
      <c r="E2119" s="174">
        <v>70</v>
      </c>
      <c r="F2119" s="176"/>
      <c r="G2119" s="175"/>
      <c r="H2119" s="174"/>
      <c r="I2119" s="173">
        <v>614.71</v>
      </c>
      <c r="J2119" s="174">
        <v>41</v>
      </c>
      <c r="K2119" s="173">
        <v>8407.07</v>
      </c>
    </row>
    <row r="2120" spans="1:22" ht="14.25" x14ac:dyDescent="0.2">
      <c r="A2120" s="179"/>
      <c r="B2120" s="178"/>
      <c r="C2120" s="178" t="s">
        <v>188</v>
      </c>
      <c r="D2120" s="177" t="s">
        <v>187</v>
      </c>
      <c r="E2120" s="174">
        <v>175</v>
      </c>
      <c r="F2120" s="176"/>
      <c r="G2120" s="175"/>
      <c r="H2120" s="174"/>
      <c r="I2120" s="173">
        <v>154.19</v>
      </c>
      <c r="J2120" s="174">
        <v>157</v>
      </c>
      <c r="K2120" s="173">
        <v>3230.07</v>
      </c>
    </row>
    <row r="2121" spans="1:22" ht="14.25" x14ac:dyDescent="0.2">
      <c r="A2121" s="242"/>
      <c r="B2121" s="241"/>
      <c r="C2121" s="241" t="s">
        <v>192</v>
      </c>
      <c r="D2121" s="240" t="s">
        <v>191</v>
      </c>
      <c r="E2121" s="238">
        <v>2.2000000000000002</v>
      </c>
      <c r="F2121" s="253"/>
      <c r="G2121" s="239" t="s">
        <v>2270</v>
      </c>
      <c r="H2121" s="238">
        <v>1</v>
      </c>
      <c r="I2121" s="237">
        <v>67.55</v>
      </c>
      <c r="J2121" s="238"/>
      <c r="K2121" s="237"/>
    </row>
    <row r="2122" spans="1:22" ht="15" x14ac:dyDescent="0.25">
      <c r="A2122" s="235"/>
      <c r="B2122" s="235"/>
      <c r="C2122" s="236" t="s">
        <v>183</v>
      </c>
      <c r="D2122" s="235"/>
      <c r="E2122" s="235"/>
      <c r="F2122" s="235"/>
      <c r="G2122" s="235"/>
      <c r="H2122" s="436">
        <v>36809.81</v>
      </c>
      <c r="I2122" s="436"/>
      <c r="J2122" s="436">
        <v>158617.57</v>
      </c>
      <c r="K2122" s="436"/>
      <c r="O2122" s="163">
        <f>I2105+I2106+I2108+I2118+I2119+I2120+SUM(I2109:I2117)</f>
        <v>36809.81</v>
      </c>
      <c r="P2122" s="163">
        <f>K2105+K2106+K2108+K2118+K2119+K2120+SUM(K2109:K2117)</f>
        <v>158617.57</v>
      </c>
    </row>
    <row r="2124" spans="1:22" ht="57" x14ac:dyDescent="0.2">
      <c r="A2124" s="179" t="s">
        <v>2972</v>
      </c>
      <c r="B2124" s="178" t="s">
        <v>2654</v>
      </c>
      <c r="C2124" s="178" t="s">
        <v>751</v>
      </c>
      <c r="D2124" s="177" t="s">
        <v>2599</v>
      </c>
      <c r="E2124" s="174">
        <v>1.93</v>
      </c>
      <c r="F2124" s="176"/>
      <c r="G2124" s="175"/>
      <c r="H2124" s="174"/>
      <c r="I2124" s="173"/>
      <c r="J2124" s="174"/>
      <c r="K2124" s="173"/>
      <c r="Q2124" s="160">
        <f>[8]Source!X1078</f>
        <v>339.22</v>
      </c>
      <c r="R2124" s="160">
        <f>[8]Source!X1079</f>
        <v>6336.59</v>
      </c>
      <c r="S2124" s="160">
        <f>[8]Source!Y1078</f>
        <v>228.2</v>
      </c>
      <c r="T2124" s="160">
        <f>[8]Source!Y1079</f>
        <v>2952.27</v>
      </c>
      <c r="U2124" s="160">
        <f>ROUND((175/100)*ROUND([8]Source!R1078, 2), 2)</f>
        <v>0</v>
      </c>
      <c r="V2124" s="160">
        <f>ROUND((157/100)*ROUND([8]Source!R1079, 2), 2)</f>
        <v>0</v>
      </c>
    </row>
    <row r="2125" spans="1:22" x14ac:dyDescent="0.2">
      <c r="C2125" s="181" t="s">
        <v>2973</v>
      </c>
    </row>
    <row r="2126" spans="1:22" ht="14.25" x14ac:dyDescent="0.2">
      <c r="A2126" s="179"/>
      <c r="B2126" s="178"/>
      <c r="C2126" s="178" t="s">
        <v>197</v>
      </c>
      <c r="D2126" s="177"/>
      <c r="E2126" s="174"/>
      <c r="F2126" s="176">
        <v>138.94</v>
      </c>
      <c r="G2126" s="175" t="s">
        <v>2270</v>
      </c>
      <c r="H2126" s="174">
        <v>1</v>
      </c>
      <c r="I2126" s="173">
        <v>308.38</v>
      </c>
      <c r="J2126" s="174">
        <v>23.35</v>
      </c>
      <c r="K2126" s="173">
        <v>7200.67</v>
      </c>
    </row>
    <row r="2127" spans="1:22" ht="14.25" x14ac:dyDescent="0.2">
      <c r="A2127" s="179"/>
      <c r="B2127" s="178"/>
      <c r="C2127" s="178" t="s">
        <v>205</v>
      </c>
      <c r="D2127" s="177"/>
      <c r="E2127" s="174"/>
      <c r="F2127" s="176">
        <v>8.4</v>
      </c>
      <c r="G2127" s="175" t="s">
        <v>195</v>
      </c>
      <c r="H2127" s="174">
        <v>1</v>
      </c>
      <c r="I2127" s="173">
        <v>16.21</v>
      </c>
      <c r="J2127" s="174">
        <v>4.87</v>
      </c>
      <c r="K2127" s="173">
        <v>78.94</v>
      </c>
    </row>
    <row r="2128" spans="1:22" ht="14.25" x14ac:dyDescent="0.2">
      <c r="A2128" s="179"/>
      <c r="B2128" s="178"/>
      <c r="C2128" s="178" t="s">
        <v>194</v>
      </c>
      <c r="D2128" s="177" t="s">
        <v>187</v>
      </c>
      <c r="E2128" s="174">
        <v>110</v>
      </c>
      <c r="F2128" s="176"/>
      <c r="G2128" s="175"/>
      <c r="H2128" s="174"/>
      <c r="I2128" s="173">
        <v>339.22</v>
      </c>
      <c r="J2128" s="174">
        <v>88</v>
      </c>
      <c r="K2128" s="173">
        <v>6336.59</v>
      </c>
    </row>
    <row r="2129" spans="1:22" ht="14.25" x14ac:dyDescent="0.2">
      <c r="A2129" s="179"/>
      <c r="B2129" s="178"/>
      <c r="C2129" s="178" t="s">
        <v>193</v>
      </c>
      <c r="D2129" s="177" t="s">
        <v>187</v>
      </c>
      <c r="E2129" s="174">
        <v>74</v>
      </c>
      <c r="F2129" s="176"/>
      <c r="G2129" s="175"/>
      <c r="H2129" s="174"/>
      <c r="I2129" s="173">
        <v>228.2</v>
      </c>
      <c r="J2129" s="174">
        <v>41</v>
      </c>
      <c r="K2129" s="173">
        <v>2952.27</v>
      </c>
    </row>
    <row r="2130" spans="1:22" ht="14.25" x14ac:dyDescent="0.2">
      <c r="A2130" s="242"/>
      <c r="B2130" s="241"/>
      <c r="C2130" s="241" t="s">
        <v>192</v>
      </c>
      <c r="D2130" s="240" t="s">
        <v>191</v>
      </c>
      <c r="E2130" s="238">
        <v>9.25</v>
      </c>
      <c r="F2130" s="253"/>
      <c r="G2130" s="239" t="s">
        <v>2270</v>
      </c>
      <c r="H2130" s="238">
        <v>1</v>
      </c>
      <c r="I2130" s="237">
        <v>20.53</v>
      </c>
      <c r="J2130" s="238"/>
      <c r="K2130" s="237"/>
    </row>
    <row r="2131" spans="1:22" ht="15" x14ac:dyDescent="0.25">
      <c r="A2131" s="235"/>
      <c r="B2131" s="235"/>
      <c r="C2131" s="236" t="s">
        <v>183</v>
      </c>
      <c r="D2131" s="235"/>
      <c r="E2131" s="235"/>
      <c r="F2131" s="235"/>
      <c r="G2131" s="235"/>
      <c r="H2131" s="436">
        <v>892.01</v>
      </c>
      <c r="I2131" s="436"/>
      <c r="J2131" s="436">
        <v>16568.47</v>
      </c>
      <c r="K2131" s="436"/>
      <c r="O2131" s="163">
        <f>I2126+I2127+I2128+I2129</f>
        <v>892.01</v>
      </c>
      <c r="P2131" s="163">
        <f>K2126+K2127+K2128+K2129</f>
        <v>16568.47</v>
      </c>
    </row>
    <row r="2133" spans="1:22" ht="57" x14ac:dyDescent="0.2">
      <c r="A2133" s="179" t="s">
        <v>2974</v>
      </c>
      <c r="B2133" s="178" t="s">
        <v>2655</v>
      </c>
      <c r="C2133" s="178" t="s">
        <v>749</v>
      </c>
      <c r="D2133" s="177" t="s">
        <v>2599</v>
      </c>
      <c r="E2133" s="174">
        <v>0.74</v>
      </c>
      <c r="F2133" s="176"/>
      <c r="G2133" s="175"/>
      <c r="H2133" s="174"/>
      <c r="I2133" s="173"/>
      <c r="J2133" s="174"/>
      <c r="K2133" s="173"/>
      <c r="Q2133" s="160">
        <f>[8]Source!X1080</f>
        <v>130.06</v>
      </c>
      <c r="R2133" s="160">
        <f>[8]Source!X1081</f>
        <v>2429.59</v>
      </c>
      <c r="S2133" s="160">
        <f>[8]Source!Y1080</f>
        <v>87.5</v>
      </c>
      <c r="T2133" s="160">
        <f>[8]Source!Y1081</f>
        <v>1131.97</v>
      </c>
      <c r="U2133" s="160">
        <f>ROUND((175/100)*ROUND([8]Source!R1080, 2), 2)</f>
        <v>0</v>
      </c>
      <c r="V2133" s="160">
        <f>ROUND((157/100)*ROUND([8]Source!R1081, 2), 2)</f>
        <v>0</v>
      </c>
    </row>
    <row r="2134" spans="1:22" x14ac:dyDescent="0.2">
      <c r="C2134" s="181" t="s">
        <v>2975</v>
      </c>
    </row>
    <row r="2135" spans="1:22" ht="14.25" x14ac:dyDescent="0.2">
      <c r="A2135" s="179"/>
      <c r="B2135" s="178"/>
      <c r="C2135" s="178" t="s">
        <v>197</v>
      </c>
      <c r="D2135" s="177"/>
      <c r="E2135" s="174"/>
      <c r="F2135" s="176">
        <v>138.94</v>
      </c>
      <c r="G2135" s="175" t="s">
        <v>2270</v>
      </c>
      <c r="H2135" s="174">
        <v>1</v>
      </c>
      <c r="I2135" s="173">
        <v>118.24</v>
      </c>
      <c r="J2135" s="174">
        <v>23.35</v>
      </c>
      <c r="K2135" s="173">
        <v>2760.9</v>
      </c>
    </row>
    <row r="2136" spans="1:22" ht="14.25" x14ac:dyDescent="0.2">
      <c r="A2136" s="179"/>
      <c r="B2136" s="178"/>
      <c r="C2136" s="178" t="s">
        <v>205</v>
      </c>
      <c r="D2136" s="177"/>
      <c r="E2136" s="174"/>
      <c r="F2136" s="176">
        <v>28.2</v>
      </c>
      <c r="G2136" s="175" t="s">
        <v>195</v>
      </c>
      <c r="H2136" s="174">
        <v>1</v>
      </c>
      <c r="I2136" s="173">
        <v>20.87</v>
      </c>
      <c r="J2136" s="174">
        <v>4.8</v>
      </c>
      <c r="K2136" s="173">
        <v>100.18</v>
      </c>
    </row>
    <row r="2137" spans="1:22" ht="14.25" x14ac:dyDescent="0.2">
      <c r="A2137" s="179"/>
      <c r="B2137" s="178"/>
      <c r="C2137" s="178" t="s">
        <v>194</v>
      </c>
      <c r="D2137" s="177" t="s">
        <v>187</v>
      </c>
      <c r="E2137" s="174">
        <v>110</v>
      </c>
      <c r="F2137" s="176"/>
      <c r="G2137" s="175"/>
      <c r="H2137" s="174"/>
      <c r="I2137" s="173">
        <v>130.06</v>
      </c>
      <c r="J2137" s="174">
        <v>88</v>
      </c>
      <c r="K2137" s="173">
        <v>2429.59</v>
      </c>
    </row>
    <row r="2138" spans="1:22" ht="14.25" x14ac:dyDescent="0.2">
      <c r="A2138" s="179"/>
      <c r="B2138" s="178"/>
      <c r="C2138" s="178" t="s">
        <v>193</v>
      </c>
      <c r="D2138" s="177" t="s">
        <v>187</v>
      </c>
      <c r="E2138" s="174">
        <v>74</v>
      </c>
      <c r="F2138" s="176"/>
      <c r="G2138" s="175"/>
      <c r="H2138" s="174"/>
      <c r="I2138" s="173">
        <v>87.5</v>
      </c>
      <c r="J2138" s="174">
        <v>41</v>
      </c>
      <c r="K2138" s="173">
        <v>1131.97</v>
      </c>
    </row>
    <row r="2139" spans="1:22" ht="14.25" x14ac:dyDescent="0.2">
      <c r="A2139" s="242"/>
      <c r="B2139" s="241"/>
      <c r="C2139" s="241" t="s">
        <v>192</v>
      </c>
      <c r="D2139" s="240" t="s">
        <v>191</v>
      </c>
      <c r="E2139" s="238">
        <v>9.25</v>
      </c>
      <c r="F2139" s="253"/>
      <c r="G2139" s="239" t="s">
        <v>2270</v>
      </c>
      <c r="H2139" s="238">
        <v>1</v>
      </c>
      <c r="I2139" s="237">
        <v>7.87</v>
      </c>
      <c r="J2139" s="238"/>
      <c r="K2139" s="237"/>
    </row>
    <row r="2140" spans="1:22" ht="15" x14ac:dyDescent="0.25">
      <c r="A2140" s="235"/>
      <c r="B2140" s="235"/>
      <c r="C2140" s="236" t="s">
        <v>183</v>
      </c>
      <c r="D2140" s="235"/>
      <c r="E2140" s="235"/>
      <c r="F2140" s="235"/>
      <c r="G2140" s="235"/>
      <c r="H2140" s="436">
        <v>356.67</v>
      </c>
      <c r="I2140" s="436"/>
      <c r="J2140" s="436">
        <v>6422.64</v>
      </c>
      <c r="K2140" s="436"/>
      <c r="O2140" s="163">
        <f>I2135+I2136+I2137+I2138</f>
        <v>356.67</v>
      </c>
      <c r="P2140" s="163">
        <f>K2135+K2136+K2137+K2138</f>
        <v>6422.64</v>
      </c>
    </row>
    <row r="2143" spans="1:22" ht="15" x14ac:dyDescent="0.25">
      <c r="A2143" s="417" t="s">
        <v>2976</v>
      </c>
      <c r="B2143" s="417"/>
      <c r="C2143" s="417"/>
      <c r="D2143" s="417"/>
      <c r="E2143" s="417"/>
      <c r="F2143" s="417"/>
      <c r="G2143" s="417"/>
      <c r="H2143" s="415">
        <v>64854.66</v>
      </c>
      <c r="I2143" s="416"/>
      <c r="J2143" s="415">
        <v>504971.91</v>
      </c>
      <c r="K2143" s="416"/>
    </row>
    <row r="2144" spans="1:22" hidden="1" x14ac:dyDescent="0.2">
      <c r="A2144" s="160" t="s">
        <v>182</v>
      </c>
      <c r="I2144" s="160">
        <v>0</v>
      </c>
      <c r="J2144" s="160">
        <v>0</v>
      </c>
    </row>
    <row r="2145" spans="1:22" hidden="1" x14ac:dyDescent="0.2">
      <c r="A2145" s="160" t="s">
        <v>181</v>
      </c>
      <c r="I2145" s="160">
        <v>0</v>
      </c>
      <c r="J2145" s="160">
        <v>0</v>
      </c>
    </row>
    <row r="2147" spans="1:22" ht="16.5" x14ac:dyDescent="0.25">
      <c r="A2147" s="413" t="s">
        <v>2977</v>
      </c>
      <c r="B2147" s="413"/>
      <c r="C2147" s="413"/>
      <c r="D2147" s="413"/>
      <c r="E2147" s="413"/>
      <c r="F2147" s="413"/>
      <c r="G2147" s="413"/>
      <c r="H2147" s="413"/>
      <c r="I2147" s="413"/>
      <c r="J2147" s="413"/>
      <c r="K2147" s="413"/>
    </row>
    <row r="2148" spans="1:22" ht="28.5" x14ac:dyDescent="0.2">
      <c r="A2148" s="179" t="s">
        <v>2978</v>
      </c>
      <c r="B2148" s="178" t="s">
        <v>2979</v>
      </c>
      <c r="C2148" s="178" t="s">
        <v>976</v>
      </c>
      <c r="D2148" s="177" t="s">
        <v>2980</v>
      </c>
      <c r="E2148" s="174">
        <v>2</v>
      </c>
      <c r="F2148" s="176"/>
      <c r="G2148" s="175"/>
      <c r="H2148" s="174"/>
      <c r="I2148" s="173"/>
      <c r="J2148" s="174"/>
      <c r="K2148" s="173"/>
      <c r="Q2148" s="160">
        <f>[8]Source!X1117</f>
        <v>1343.76</v>
      </c>
      <c r="R2148" s="160">
        <f>[8]Source!X1118</f>
        <v>25101.439999999999</v>
      </c>
      <c r="S2148" s="160">
        <f>[8]Source!Y1117</f>
        <v>903.98</v>
      </c>
      <c r="T2148" s="160">
        <f>[8]Source!Y1118</f>
        <v>11694.99</v>
      </c>
      <c r="U2148" s="160">
        <f>ROUND((175/100)*ROUND([8]Source!R1117, 2), 2)</f>
        <v>154.77000000000001</v>
      </c>
      <c r="V2148" s="160">
        <f>ROUND((157/100)*ROUND([8]Source!R1118, 2), 2)</f>
        <v>3242.16</v>
      </c>
    </row>
    <row r="2149" spans="1:22" ht="14.25" x14ac:dyDescent="0.2">
      <c r="A2149" s="179"/>
      <c r="B2149" s="178"/>
      <c r="C2149" s="178" t="s">
        <v>197</v>
      </c>
      <c r="D2149" s="177"/>
      <c r="E2149" s="174"/>
      <c r="F2149" s="176">
        <v>505.84</v>
      </c>
      <c r="G2149" s="175" t="s">
        <v>2775</v>
      </c>
      <c r="H2149" s="174">
        <v>1</v>
      </c>
      <c r="I2149" s="173">
        <v>1221.5999999999999</v>
      </c>
      <c r="J2149" s="174">
        <v>23.35</v>
      </c>
      <c r="K2149" s="173">
        <v>28524.36</v>
      </c>
    </row>
    <row r="2150" spans="1:22" ht="14.25" x14ac:dyDescent="0.2">
      <c r="A2150" s="179"/>
      <c r="B2150" s="178"/>
      <c r="C2150" s="178" t="s">
        <v>184</v>
      </c>
      <c r="D2150" s="177"/>
      <c r="E2150" s="174"/>
      <c r="F2150" s="176">
        <v>150.68</v>
      </c>
      <c r="G2150" s="175" t="s">
        <v>2776</v>
      </c>
      <c r="H2150" s="174">
        <v>1</v>
      </c>
      <c r="I2150" s="173">
        <v>395.54</v>
      </c>
      <c r="J2150" s="174">
        <v>9.3699999999999992</v>
      </c>
      <c r="K2150" s="173">
        <v>3706.21</v>
      </c>
    </row>
    <row r="2151" spans="1:22" ht="14.25" x14ac:dyDescent="0.2">
      <c r="A2151" s="179"/>
      <c r="B2151" s="178"/>
      <c r="C2151" s="178" t="s">
        <v>189</v>
      </c>
      <c r="D2151" s="177"/>
      <c r="E2151" s="174"/>
      <c r="F2151" s="176">
        <v>33.69</v>
      </c>
      <c r="G2151" s="175" t="s">
        <v>2776</v>
      </c>
      <c r="H2151" s="174">
        <v>1</v>
      </c>
      <c r="I2151" s="180">
        <v>88.44</v>
      </c>
      <c r="J2151" s="174">
        <v>23.35</v>
      </c>
      <c r="K2151" s="180">
        <v>2065.0700000000002</v>
      </c>
    </row>
    <row r="2152" spans="1:22" ht="14.25" x14ac:dyDescent="0.2">
      <c r="A2152" s="179"/>
      <c r="B2152" s="178"/>
      <c r="C2152" s="178" t="s">
        <v>205</v>
      </c>
      <c r="D2152" s="177"/>
      <c r="E2152" s="174"/>
      <c r="F2152" s="176">
        <v>40.1</v>
      </c>
      <c r="G2152" s="175" t="s">
        <v>195</v>
      </c>
      <c r="H2152" s="174">
        <v>1</v>
      </c>
      <c r="I2152" s="173">
        <v>80.2</v>
      </c>
      <c r="J2152" s="174">
        <v>5.42</v>
      </c>
      <c r="K2152" s="173">
        <v>434.68</v>
      </c>
    </row>
    <row r="2153" spans="1:22" ht="195" x14ac:dyDescent="0.2">
      <c r="A2153" s="228" t="s">
        <v>2981</v>
      </c>
      <c r="B2153" s="227" t="s">
        <v>2659</v>
      </c>
      <c r="C2153" s="227" t="s">
        <v>975</v>
      </c>
      <c r="D2153" s="226" t="s">
        <v>1913</v>
      </c>
      <c r="E2153" s="223">
        <v>1</v>
      </c>
      <c r="F2153" s="225">
        <v>654647.07999999996</v>
      </c>
      <c r="G2153" s="224" t="s">
        <v>195</v>
      </c>
      <c r="H2153" s="223">
        <v>1</v>
      </c>
      <c r="I2153" s="222">
        <v>654647.07999999996</v>
      </c>
      <c r="J2153" s="223">
        <v>4.4000000000000004</v>
      </c>
      <c r="K2153" s="222">
        <v>2880447.15</v>
      </c>
      <c r="Q2153" s="160">
        <f>[8]Source!X1119</f>
        <v>0</v>
      </c>
      <c r="R2153" s="160">
        <f>[8]Source!X1120</f>
        <v>0</v>
      </c>
      <c r="S2153" s="160">
        <f>[8]Source!Y1119</f>
        <v>0</v>
      </c>
      <c r="T2153" s="160">
        <f>[8]Source!Y1120</f>
        <v>0</v>
      </c>
      <c r="U2153" s="160">
        <f>ROUND((175/100)*ROUND([8]Source!R1119, 2), 2)</f>
        <v>0</v>
      </c>
      <c r="V2153" s="160">
        <f>ROUND((157/100)*ROUND([8]Source!R1120, 2), 2)</f>
        <v>0</v>
      </c>
    </row>
    <row r="2154" spans="1:22" ht="195" x14ac:dyDescent="0.2">
      <c r="A2154" s="228" t="s">
        <v>2982</v>
      </c>
      <c r="B2154" s="227" t="s">
        <v>2659</v>
      </c>
      <c r="C2154" s="227" t="s">
        <v>974</v>
      </c>
      <c r="D2154" s="226" t="s">
        <v>1913</v>
      </c>
      <c r="E2154" s="223">
        <v>1</v>
      </c>
      <c r="F2154" s="225">
        <v>792467.5</v>
      </c>
      <c r="G2154" s="224" t="s">
        <v>195</v>
      </c>
      <c r="H2154" s="223">
        <v>1</v>
      </c>
      <c r="I2154" s="222">
        <v>792467.5</v>
      </c>
      <c r="J2154" s="223">
        <v>4.4000000000000004</v>
      </c>
      <c r="K2154" s="222">
        <v>3486857</v>
      </c>
      <c r="Q2154" s="160">
        <f>[8]Source!X1121</f>
        <v>0</v>
      </c>
      <c r="R2154" s="160">
        <f>[8]Source!X1122</f>
        <v>0</v>
      </c>
      <c r="S2154" s="160">
        <f>[8]Source!Y1121</f>
        <v>0</v>
      </c>
      <c r="T2154" s="160">
        <f>[8]Source!Y1122</f>
        <v>0</v>
      </c>
      <c r="U2154" s="160">
        <f>ROUND((175/100)*ROUND([8]Source!R1121, 2), 2)</f>
        <v>0</v>
      </c>
      <c r="V2154" s="160">
        <f>ROUND((157/100)*ROUND([8]Source!R1122, 2), 2)</f>
        <v>0</v>
      </c>
    </row>
    <row r="2155" spans="1:22" ht="14.25" x14ac:dyDescent="0.2">
      <c r="A2155" s="179"/>
      <c r="B2155" s="178"/>
      <c r="C2155" s="178" t="s">
        <v>194</v>
      </c>
      <c r="D2155" s="177" t="s">
        <v>187</v>
      </c>
      <c r="E2155" s="174">
        <v>110</v>
      </c>
      <c r="F2155" s="176"/>
      <c r="G2155" s="175"/>
      <c r="H2155" s="174"/>
      <c r="I2155" s="173">
        <v>1343.76</v>
      </c>
      <c r="J2155" s="174">
        <v>88</v>
      </c>
      <c r="K2155" s="173">
        <v>25101.439999999999</v>
      </c>
    </row>
    <row r="2156" spans="1:22" ht="14.25" x14ac:dyDescent="0.2">
      <c r="A2156" s="179"/>
      <c r="B2156" s="178"/>
      <c r="C2156" s="178" t="s">
        <v>193</v>
      </c>
      <c r="D2156" s="177" t="s">
        <v>187</v>
      </c>
      <c r="E2156" s="174">
        <v>74</v>
      </c>
      <c r="F2156" s="176"/>
      <c r="G2156" s="175"/>
      <c r="H2156" s="174"/>
      <c r="I2156" s="173">
        <v>903.98</v>
      </c>
      <c r="J2156" s="174">
        <v>41</v>
      </c>
      <c r="K2156" s="173">
        <v>11694.99</v>
      </c>
    </row>
    <row r="2157" spans="1:22" ht="14.25" x14ac:dyDescent="0.2">
      <c r="A2157" s="179"/>
      <c r="B2157" s="178"/>
      <c r="C2157" s="178" t="s">
        <v>188</v>
      </c>
      <c r="D2157" s="177" t="s">
        <v>187</v>
      </c>
      <c r="E2157" s="174">
        <v>175</v>
      </c>
      <c r="F2157" s="176"/>
      <c r="G2157" s="175"/>
      <c r="H2157" s="174"/>
      <c r="I2157" s="173">
        <v>154.77000000000001</v>
      </c>
      <c r="J2157" s="174">
        <v>157</v>
      </c>
      <c r="K2157" s="173">
        <v>3242.16</v>
      </c>
    </row>
    <row r="2158" spans="1:22" ht="14.25" x14ac:dyDescent="0.2">
      <c r="A2158" s="242"/>
      <c r="B2158" s="241"/>
      <c r="C2158" s="241" t="s">
        <v>192</v>
      </c>
      <c r="D2158" s="240" t="s">
        <v>191</v>
      </c>
      <c r="E2158" s="238">
        <v>40.5</v>
      </c>
      <c r="F2158" s="253"/>
      <c r="G2158" s="239" t="s">
        <v>2775</v>
      </c>
      <c r="H2158" s="238">
        <v>1</v>
      </c>
      <c r="I2158" s="237">
        <v>97.81</v>
      </c>
      <c r="J2158" s="238"/>
      <c r="K2158" s="237"/>
    </row>
    <row r="2159" spans="1:22" ht="15" x14ac:dyDescent="0.25">
      <c r="A2159" s="235"/>
      <c r="B2159" s="235"/>
      <c r="C2159" s="236" t="s">
        <v>183</v>
      </c>
      <c r="D2159" s="235"/>
      <c r="E2159" s="235"/>
      <c r="F2159" s="235"/>
      <c r="G2159" s="235"/>
      <c r="H2159" s="436">
        <v>1451214.43</v>
      </c>
      <c r="I2159" s="436"/>
      <c r="J2159" s="436">
        <v>6440007.9900000002</v>
      </c>
      <c r="K2159" s="436"/>
      <c r="O2159" s="163">
        <f>I2149+I2150+I2152+I2155+I2156+I2157+SUM(I2153:I2154)</f>
        <v>1451214.43</v>
      </c>
      <c r="P2159" s="163">
        <f>K2149+K2150+K2152+K2155+K2156+K2157+SUM(K2153:K2154)</f>
        <v>6440007.9900000002</v>
      </c>
    </row>
    <row r="2161" spans="1:22" ht="28.5" x14ac:dyDescent="0.2">
      <c r="A2161" s="179" t="s">
        <v>2983</v>
      </c>
      <c r="B2161" s="178" t="s">
        <v>2984</v>
      </c>
      <c r="C2161" s="178" t="s">
        <v>961</v>
      </c>
      <c r="D2161" s="177" t="s">
        <v>1903</v>
      </c>
      <c r="E2161" s="174">
        <v>31</v>
      </c>
      <c r="F2161" s="176"/>
      <c r="G2161" s="175"/>
      <c r="H2161" s="174"/>
      <c r="I2161" s="173"/>
      <c r="J2161" s="174"/>
      <c r="K2161" s="173"/>
      <c r="Q2161" s="160">
        <f>[8]Source!X1123</f>
        <v>4754.9799999999996</v>
      </c>
      <c r="R2161" s="160">
        <f>[8]Source!X1124</f>
        <v>88823.05</v>
      </c>
      <c r="S2161" s="160">
        <f>[8]Source!Y1123</f>
        <v>3198.81</v>
      </c>
      <c r="T2161" s="160">
        <f>[8]Source!Y1124</f>
        <v>41383.46</v>
      </c>
      <c r="U2161" s="160">
        <f>ROUND((175/100)*ROUND([8]Source!R1123, 2), 2)</f>
        <v>4.2699999999999996</v>
      </c>
      <c r="V2161" s="160">
        <f>ROUND((157/100)*ROUND([8]Source!R1124, 2), 2)</f>
        <v>89.44</v>
      </c>
    </row>
    <row r="2162" spans="1:22" x14ac:dyDescent="0.2">
      <c r="C2162" s="181" t="s">
        <v>2985</v>
      </c>
    </row>
    <row r="2163" spans="1:22" ht="14.25" x14ac:dyDescent="0.2">
      <c r="A2163" s="179"/>
      <c r="B2163" s="178"/>
      <c r="C2163" s="178" t="s">
        <v>197</v>
      </c>
      <c r="D2163" s="177"/>
      <c r="E2163" s="174"/>
      <c r="F2163" s="176">
        <v>115.48</v>
      </c>
      <c r="G2163" s="175" t="s">
        <v>2775</v>
      </c>
      <c r="H2163" s="174">
        <v>1</v>
      </c>
      <c r="I2163" s="173">
        <v>4322.71</v>
      </c>
      <c r="J2163" s="174">
        <v>23.35</v>
      </c>
      <c r="K2163" s="173">
        <v>100935.28</v>
      </c>
    </row>
    <row r="2164" spans="1:22" ht="14.25" x14ac:dyDescent="0.2">
      <c r="A2164" s="179"/>
      <c r="B2164" s="178"/>
      <c r="C2164" s="178" t="s">
        <v>184</v>
      </c>
      <c r="D2164" s="177"/>
      <c r="E2164" s="174"/>
      <c r="F2164" s="176">
        <v>0.73</v>
      </c>
      <c r="G2164" s="175" t="s">
        <v>2776</v>
      </c>
      <c r="H2164" s="174">
        <v>1</v>
      </c>
      <c r="I2164" s="173">
        <v>29.7</v>
      </c>
      <c r="J2164" s="174">
        <v>5.78</v>
      </c>
      <c r="K2164" s="173">
        <v>171.67</v>
      </c>
    </row>
    <row r="2165" spans="1:22" ht="14.25" x14ac:dyDescent="0.2">
      <c r="A2165" s="179"/>
      <c r="B2165" s="178"/>
      <c r="C2165" s="178" t="s">
        <v>189</v>
      </c>
      <c r="D2165" s="177"/>
      <c r="E2165" s="174"/>
      <c r="F2165" s="176">
        <v>0.06</v>
      </c>
      <c r="G2165" s="175" t="s">
        <v>2776</v>
      </c>
      <c r="H2165" s="174">
        <v>1</v>
      </c>
      <c r="I2165" s="180">
        <v>2.44</v>
      </c>
      <c r="J2165" s="174">
        <v>23.35</v>
      </c>
      <c r="K2165" s="180">
        <v>56.97</v>
      </c>
    </row>
    <row r="2166" spans="1:22" ht="14.25" x14ac:dyDescent="0.2">
      <c r="A2166" s="179"/>
      <c r="B2166" s="178"/>
      <c r="C2166" s="178" t="s">
        <v>205</v>
      </c>
      <c r="D2166" s="177"/>
      <c r="E2166" s="174"/>
      <c r="F2166" s="176">
        <v>6.78</v>
      </c>
      <c r="G2166" s="175" t="s">
        <v>195</v>
      </c>
      <c r="H2166" s="174">
        <v>1</v>
      </c>
      <c r="I2166" s="173">
        <v>210.18</v>
      </c>
      <c r="J2166" s="174">
        <v>1.82</v>
      </c>
      <c r="K2166" s="173">
        <v>382.53</v>
      </c>
    </row>
    <row r="2167" spans="1:22" ht="14.25" x14ac:dyDescent="0.2">
      <c r="A2167" s="179"/>
      <c r="B2167" s="178"/>
      <c r="C2167" s="178" t="s">
        <v>194</v>
      </c>
      <c r="D2167" s="177" t="s">
        <v>187</v>
      </c>
      <c r="E2167" s="174">
        <v>110</v>
      </c>
      <c r="F2167" s="176"/>
      <c r="G2167" s="175"/>
      <c r="H2167" s="174"/>
      <c r="I2167" s="173">
        <v>4754.9799999999996</v>
      </c>
      <c r="J2167" s="174">
        <v>88</v>
      </c>
      <c r="K2167" s="173">
        <v>88823.05</v>
      </c>
    </row>
    <row r="2168" spans="1:22" ht="14.25" x14ac:dyDescent="0.2">
      <c r="A2168" s="179"/>
      <c r="B2168" s="178"/>
      <c r="C2168" s="178" t="s">
        <v>193</v>
      </c>
      <c r="D2168" s="177" t="s">
        <v>187</v>
      </c>
      <c r="E2168" s="174">
        <v>74</v>
      </c>
      <c r="F2168" s="176"/>
      <c r="G2168" s="175"/>
      <c r="H2168" s="174"/>
      <c r="I2168" s="173">
        <v>3198.81</v>
      </c>
      <c r="J2168" s="174">
        <v>41</v>
      </c>
      <c r="K2168" s="173">
        <v>41383.46</v>
      </c>
    </row>
    <row r="2169" spans="1:22" ht="14.25" x14ac:dyDescent="0.2">
      <c r="A2169" s="179"/>
      <c r="B2169" s="178"/>
      <c r="C2169" s="178" t="s">
        <v>188</v>
      </c>
      <c r="D2169" s="177" t="s">
        <v>187</v>
      </c>
      <c r="E2169" s="174">
        <v>175</v>
      </c>
      <c r="F2169" s="176"/>
      <c r="G2169" s="175"/>
      <c r="H2169" s="174"/>
      <c r="I2169" s="173">
        <v>4.2699999999999996</v>
      </c>
      <c r="J2169" s="174">
        <v>157</v>
      </c>
      <c r="K2169" s="173">
        <v>89.44</v>
      </c>
    </row>
    <row r="2170" spans="1:22" ht="14.25" x14ac:dyDescent="0.2">
      <c r="A2170" s="242"/>
      <c r="B2170" s="241"/>
      <c r="C2170" s="241" t="s">
        <v>192</v>
      </c>
      <c r="D2170" s="240" t="s">
        <v>191</v>
      </c>
      <c r="E2170" s="238">
        <v>9.06</v>
      </c>
      <c r="F2170" s="253"/>
      <c r="G2170" s="239" t="s">
        <v>2775</v>
      </c>
      <c r="H2170" s="238">
        <v>1</v>
      </c>
      <c r="I2170" s="237">
        <v>339.14</v>
      </c>
      <c r="J2170" s="238"/>
      <c r="K2170" s="237"/>
    </row>
    <row r="2171" spans="1:22" ht="15" x14ac:dyDescent="0.25">
      <c r="A2171" s="235"/>
      <c r="B2171" s="235"/>
      <c r="C2171" s="236" t="s">
        <v>183</v>
      </c>
      <c r="D2171" s="235"/>
      <c r="E2171" s="235"/>
      <c r="F2171" s="235"/>
      <c r="G2171" s="235"/>
      <c r="H2171" s="436">
        <v>12520.65</v>
      </c>
      <c r="I2171" s="436"/>
      <c r="J2171" s="436">
        <v>231785.43</v>
      </c>
      <c r="K2171" s="436"/>
      <c r="O2171" s="163">
        <f>I2163+I2164+I2166+I2167+I2168+I2169</f>
        <v>12520.65</v>
      </c>
      <c r="P2171" s="163">
        <f>K2163+K2164+K2166+K2167+K2168+K2169</f>
        <v>231785.43</v>
      </c>
    </row>
    <row r="2173" spans="1:22" ht="28.5" x14ac:dyDescent="0.2">
      <c r="A2173" s="179" t="s">
        <v>2986</v>
      </c>
      <c r="B2173" s="178" t="s">
        <v>2987</v>
      </c>
      <c r="C2173" s="178" t="s">
        <v>973</v>
      </c>
      <c r="D2173" s="177" t="s">
        <v>1903</v>
      </c>
      <c r="E2173" s="174">
        <v>21</v>
      </c>
      <c r="F2173" s="176"/>
      <c r="G2173" s="175"/>
      <c r="H2173" s="174"/>
      <c r="I2173" s="173"/>
      <c r="J2173" s="174"/>
      <c r="K2173" s="173"/>
      <c r="Q2173" s="160">
        <f>[8]Source!X1125</f>
        <v>4400.4399999999996</v>
      </c>
      <c r="R2173" s="160">
        <f>[8]Source!X1126</f>
        <v>82200.22</v>
      </c>
      <c r="S2173" s="160">
        <f>[8]Source!Y1125</f>
        <v>2960.3</v>
      </c>
      <c r="T2173" s="160">
        <f>[8]Source!Y1126</f>
        <v>38297.83</v>
      </c>
      <c r="U2173" s="160">
        <f>ROUND((175/100)*ROUND([8]Source!R1125, 2), 2)</f>
        <v>3.87</v>
      </c>
      <c r="V2173" s="160">
        <f>ROUND((157/100)*ROUND([8]Source!R1126, 2), 2)</f>
        <v>81.010000000000005</v>
      </c>
    </row>
    <row r="2174" spans="1:22" x14ac:dyDescent="0.2">
      <c r="C2174" s="181" t="s">
        <v>2988</v>
      </c>
    </row>
    <row r="2175" spans="1:22" ht="14.25" x14ac:dyDescent="0.2">
      <c r="A2175" s="179"/>
      <c r="B2175" s="178"/>
      <c r="C2175" s="178" t="s">
        <v>197</v>
      </c>
      <c r="D2175" s="177"/>
      <c r="E2175" s="174"/>
      <c r="F2175" s="176">
        <v>157.76</v>
      </c>
      <c r="G2175" s="175" t="s">
        <v>2775</v>
      </c>
      <c r="H2175" s="174">
        <v>1</v>
      </c>
      <c r="I2175" s="173">
        <v>4000.4</v>
      </c>
      <c r="J2175" s="174">
        <v>23.35</v>
      </c>
      <c r="K2175" s="173">
        <v>93409.34</v>
      </c>
    </row>
    <row r="2176" spans="1:22" ht="14.25" x14ac:dyDescent="0.2">
      <c r="A2176" s="179"/>
      <c r="B2176" s="178"/>
      <c r="C2176" s="178" t="s">
        <v>184</v>
      </c>
      <c r="D2176" s="177"/>
      <c r="E2176" s="174"/>
      <c r="F2176" s="176">
        <v>0.83</v>
      </c>
      <c r="G2176" s="175" t="s">
        <v>2776</v>
      </c>
      <c r="H2176" s="174">
        <v>1</v>
      </c>
      <c r="I2176" s="173">
        <v>22.88</v>
      </c>
      <c r="J2176" s="174">
        <v>6.16</v>
      </c>
      <c r="K2176" s="173">
        <v>140.94</v>
      </c>
    </row>
    <row r="2177" spans="1:22" ht="14.25" x14ac:dyDescent="0.2">
      <c r="A2177" s="179"/>
      <c r="B2177" s="178"/>
      <c r="C2177" s="178" t="s">
        <v>189</v>
      </c>
      <c r="D2177" s="177"/>
      <c r="E2177" s="174"/>
      <c r="F2177" s="176">
        <v>0.08</v>
      </c>
      <c r="G2177" s="175" t="s">
        <v>2776</v>
      </c>
      <c r="H2177" s="174">
        <v>1</v>
      </c>
      <c r="I2177" s="180">
        <v>2.21</v>
      </c>
      <c r="J2177" s="174">
        <v>23.35</v>
      </c>
      <c r="K2177" s="180">
        <v>51.6</v>
      </c>
    </row>
    <row r="2178" spans="1:22" ht="14.25" x14ac:dyDescent="0.2">
      <c r="A2178" s="179"/>
      <c r="B2178" s="178"/>
      <c r="C2178" s="178" t="s">
        <v>205</v>
      </c>
      <c r="D2178" s="177"/>
      <c r="E2178" s="174"/>
      <c r="F2178" s="176">
        <v>6.78</v>
      </c>
      <c r="G2178" s="175" t="s">
        <v>195</v>
      </c>
      <c r="H2178" s="174">
        <v>1</v>
      </c>
      <c r="I2178" s="173">
        <v>142.38</v>
      </c>
      <c r="J2178" s="174">
        <v>1.82</v>
      </c>
      <c r="K2178" s="173">
        <v>259.13</v>
      </c>
    </row>
    <row r="2179" spans="1:22" ht="14.25" x14ac:dyDescent="0.2">
      <c r="A2179" s="179"/>
      <c r="B2179" s="178"/>
      <c r="C2179" s="178" t="s">
        <v>194</v>
      </c>
      <c r="D2179" s="177" t="s">
        <v>187</v>
      </c>
      <c r="E2179" s="174">
        <v>110</v>
      </c>
      <c r="F2179" s="176"/>
      <c r="G2179" s="175"/>
      <c r="H2179" s="174"/>
      <c r="I2179" s="173">
        <v>4400.4399999999996</v>
      </c>
      <c r="J2179" s="174">
        <v>88</v>
      </c>
      <c r="K2179" s="173">
        <v>82200.22</v>
      </c>
    </row>
    <row r="2180" spans="1:22" ht="14.25" x14ac:dyDescent="0.2">
      <c r="A2180" s="179"/>
      <c r="B2180" s="178"/>
      <c r="C2180" s="178" t="s">
        <v>193</v>
      </c>
      <c r="D2180" s="177" t="s">
        <v>187</v>
      </c>
      <c r="E2180" s="174">
        <v>74</v>
      </c>
      <c r="F2180" s="176"/>
      <c r="G2180" s="175"/>
      <c r="H2180" s="174"/>
      <c r="I2180" s="173">
        <v>2960.3</v>
      </c>
      <c r="J2180" s="174">
        <v>41</v>
      </c>
      <c r="K2180" s="173">
        <v>38297.83</v>
      </c>
    </row>
    <row r="2181" spans="1:22" ht="14.25" x14ac:dyDescent="0.2">
      <c r="A2181" s="179"/>
      <c r="B2181" s="178"/>
      <c r="C2181" s="178" t="s">
        <v>188</v>
      </c>
      <c r="D2181" s="177" t="s">
        <v>187</v>
      </c>
      <c r="E2181" s="174">
        <v>175</v>
      </c>
      <c r="F2181" s="176"/>
      <c r="G2181" s="175"/>
      <c r="H2181" s="174"/>
      <c r="I2181" s="173">
        <v>3.87</v>
      </c>
      <c r="J2181" s="174">
        <v>157</v>
      </c>
      <c r="K2181" s="173">
        <v>81.010000000000005</v>
      </c>
    </row>
    <row r="2182" spans="1:22" ht="14.25" x14ac:dyDescent="0.2">
      <c r="A2182" s="242"/>
      <c r="B2182" s="241"/>
      <c r="C2182" s="241" t="s">
        <v>192</v>
      </c>
      <c r="D2182" s="240" t="s">
        <v>191</v>
      </c>
      <c r="E2182" s="238">
        <v>12.37</v>
      </c>
      <c r="F2182" s="253"/>
      <c r="G2182" s="239" t="s">
        <v>2775</v>
      </c>
      <c r="H2182" s="238">
        <v>1</v>
      </c>
      <c r="I2182" s="237">
        <v>313.67</v>
      </c>
      <c r="J2182" s="238"/>
      <c r="K2182" s="237"/>
    </row>
    <row r="2183" spans="1:22" ht="15" x14ac:dyDescent="0.25">
      <c r="A2183" s="235"/>
      <c r="B2183" s="235"/>
      <c r="C2183" s="236" t="s">
        <v>183</v>
      </c>
      <c r="D2183" s="235"/>
      <c r="E2183" s="235"/>
      <c r="F2183" s="235"/>
      <c r="G2183" s="235"/>
      <c r="H2183" s="436">
        <v>11530.27</v>
      </c>
      <c r="I2183" s="436"/>
      <c r="J2183" s="436">
        <v>214388.47</v>
      </c>
      <c r="K2183" s="436"/>
      <c r="O2183" s="163">
        <f>I2175+I2176+I2178+I2179+I2180+I2181</f>
        <v>11530.27</v>
      </c>
      <c r="P2183" s="163">
        <f>K2175+K2176+K2178+K2179+K2180+K2181</f>
        <v>214388.47</v>
      </c>
    </row>
    <row r="2185" spans="1:22" ht="138" x14ac:dyDescent="0.2">
      <c r="A2185" s="250" t="s">
        <v>2989</v>
      </c>
      <c r="B2185" s="249" t="s">
        <v>2659</v>
      </c>
      <c r="C2185" s="249" t="s">
        <v>972</v>
      </c>
      <c r="D2185" s="248" t="s">
        <v>1913</v>
      </c>
      <c r="E2185" s="246">
        <v>2</v>
      </c>
      <c r="F2185" s="254">
        <v>13600.2</v>
      </c>
      <c r="G2185" s="247" t="s">
        <v>195</v>
      </c>
      <c r="H2185" s="246">
        <v>1</v>
      </c>
      <c r="I2185" s="245">
        <v>27200.400000000001</v>
      </c>
      <c r="J2185" s="246">
        <v>4.4000000000000004</v>
      </c>
      <c r="K2185" s="245">
        <v>119681.76</v>
      </c>
      <c r="Q2185" s="160">
        <f>[8]Source!X1127</f>
        <v>0</v>
      </c>
      <c r="R2185" s="160">
        <f>[8]Source!X1128</f>
        <v>0</v>
      </c>
      <c r="S2185" s="160">
        <f>[8]Source!Y1127</f>
        <v>0</v>
      </c>
      <c r="T2185" s="160">
        <f>[8]Source!Y1128</f>
        <v>0</v>
      </c>
      <c r="U2185" s="160">
        <f>ROUND((175/100)*ROUND([8]Source!R1127, 2), 2)</f>
        <v>0</v>
      </c>
      <c r="V2185" s="160">
        <f>ROUND((157/100)*ROUND([8]Source!R1128, 2), 2)</f>
        <v>0</v>
      </c>
    </row>
    <row r="2186" spans="1:22" ht="15" x14ac:dyDescent="0.25">
      <c r="A2186" s="243"/>
      <c r="B2186" s="243"/>
      <c r="C2186" s="244" t="s">
        <v>183</v>
      </c>
      <c r="D2186" s="243"/>
      <c r="E2186" s="243"/>
      <c r="F2186" s="243"/>
      <c r="G2186" s="243"/>
      <c r="H2186" s="437">
        <v>27200.400000000001</v>
      </c>
      <c r="I2186" s="437"/>
      <c r="J2186" s="437">
        <v>119681.76</v>
      </c>
      <c r="K2186" s="437"/>
      <c r="O2186" s="163">
        <f>I2185</f>
        <v>27200.400000000001</v>
      </c>
      <c r="P2186" s="163">
        <f>K2185</f>
        <v>119681.76</v>
      </c>
    </row>
    <row r="2188" spans="1:22" ht="138" x14ac:dyDescent="0.2">
      <c r="A2188" s="250" t="s">
        <v>2990</v>
      </c>
      <c r="B2188" s="249" t="s">
        <v>2659</v>
      </c>
      <c r="C2188" s="249" t="s">
        <v>971</v>
      </c>
      <c r="D2188" s="248" t="s">
        <v>1913</v>
      </c>
      <c r="E2188" s="246">
        <v>2</v>
      </c>
      <c r="F2188" s="254">
        <v>14825.26</v>
      </c>
      <c r="G2188" s="247" t="s">
        <v>195</v>
      </c>
      <c r="H2188" s="246">
        <v>1</v>
      </c>
      <c r="I2188" s="245">
        <v>29650.52</v>
      </c>
      <c r="J2188" s="246">
        <v>4.4000000000000004</v>
      </c>
      <c r="K2188" s="245">
        <v>130462.29</v>
      </c>
      <c r="Q2188" s="160">
        <f>[8]Source!X1129</f>
        <v>0</v>
      </c>
      <c r="R2188" s="160">
        <f>[8]Source!X1130</f>
        <v>0</v>
      </c>
      <c r="S2188" s="160">
        <f>[8]Source!Y1129</f>
        <v>0</v>
      </c>
      <c r="T2188" s="160">
        <f>[8]Source!Y1130</f>
        <v>0</v>
      </c>
      <c r="U2188" s="160">
        <f>ROUND((175/100)*ROUND([8]Source!R1129, 2), 2)</f>
        <v>0</v>
      </c>
      <c r="V2188" s="160">
        <f>ROUND((157/100)*ROUND([8]Source!R1130, 2), 2)</f>
        <v>0</v>
      </c>
    </row>
    <row r="2189" spans="1:22" ht="15" x14ac:dyDescent="0.25">
      <c r="A2189" s="243"/>
      <c r="B2189" s="243"/>
      <c r="C2189" s="244" t="s">
        <v>183</v>
      </c>
      <c r="D2189" s="243"/>
      <c r="E2189" s="243"/>
      <c r="F2189" s="243"/>
      <c r="G2189" s="243"/>
      <c r="H2189" s="437">
        <v>29650.52</v>
      </c>
      <c r="I2189" s="437"/>
      <c r="J2189" s="437">
        <v>130462.29</v>
      </c>
      <c r="K2189" s="437"/>
      <c r="O2189" s="163">
        <f>I2188</f>
        <v>29650.52</v>
      </c>
      <c r="P2189" s="163">
        <f>K2188</f>
        <v>130462.29</v>
      </c>
    </row>
    <row r="2191" spans="1:22" ht="138" x14ac:dyDescent="0.2">
      <c r="A2191" s="250" t="s">
        <v>2991</v>
      </c>
      <c r="B2191" s="249" t="s">
        <v>2659</v>
      </c>
      <c r="C2191" s="249" t="s">
        <v>970</v>
      </c>
      <c r="D2191" s="248" t="s">
        <v>1913</v>
      </c>
      <c r="E2191" s="246">
        <v>10</v>
      </c>
      <c r="F2191" s="254">
        <v>15734.5</v>
      </c>
      <c r="G2191" s="247" t="s">
        <v>195</v>
      </c>
      <c r="H2191" s="246">
        <v>1</v>
      </c>
      <c r="I2191" s="245">
        <v>157345</v>
      </c>
      <c r="J2191" s="246">
        <v>4.4000000000000004</v>
      </c>
      <c r="K2191" s="245">
        <v>692318</v>
      </c>
      <c r="Q2191" s="160">
        <f>[8]Source!X1131</f>
        <v>0</v>
      </c>
      <c r="R2191" s="160">
        <f>[8]Source!X1132</f>
        <v>0</v>
      </c>
      <c r="S2191" s="160">
        <f>[8]Source!Y1131</f>
        <v>0</v>
      </c>
      <c r="T2191" s="160">
        <f>[8]Source!Y1132</f>
        <v>0</v>
      </c>
      <c r="U2191" s="160">
        <f>ROUND((175/100)*ROUND([8]Source!R1131, 2), 2)</f>
        <v>0</v>
      </c>
      <c r="V2191" s="160">
        <f>ROUND((157/100)*ROUND([8]Source!R1132, 2), 2)</f>
        <v>0</v>
      </c>
    </row>
    <row r="2192" spans="1:22" ht="15" x14ac:dyDescent="0.25">
      <c r="A2192" s="243"/>
      <c r="B2192" s="243"/>
      <c r="C2192" s="244" t="s">
        <v>183</v>
      </c>
      <c r="D2192" s="243"/>
      <c r="E2192" s="243"/>
      <c r="F2192" s="243"/>
      <c r="G2192" s="243"/>
      <c r="H2192" s="437">
        <v>157345</v>
      </c>
      <c r="I2192" s="437"/>
      <c r="J2192" s="437">
        <v>692318</v>
      </c>
      <c r="K2192" s="437"/>
      <c r="O2192" s="163">
        <f>I2191</f>
        <v>157345</v>
      </c>
      <c r="P2192" s="163">
        <f>K2191</f>
        <v>692318</v>
      </c>
    </row>
    <row r="2194" spans="1:22" ht="138" x14ac:dyDescent="0.2">
      <c r="A2194" s="250" t="s">
        <v>2992</v>
      </c>
      <c r="B2194" s="249" t="s">
        <v>2659</v>
      </c>
      <c r="C2194" s="249" t="s">
        <v>969</v>
      </c>
      <c r="D2194" s="248" t="s">
        <v>1913</v>
      </c>
      <c r="E2194" s="246">
        <v>17</v>
      </c>
      <c r="F2194" s="254">
        <v>19419.28</v>
      </c>
      <c r="G2194" s="247" t="s">
        <v>195</v>
      </c>
      <c r="H2194" s="246">
        <v>1</v>
      </c>
      <c r="I2194" s="245">
        <v>330127.76</v>
      </c>
      <c r="J2194" s="246">
        <v>4.4000000000000004</v>
      </c>
      <c r="K2194" s="245">
        <v>1452562.14</v>
      </c>
      <c r="Q2194" s="160">
        <f>[8]Source!X1133</f>
        <v>0</v>
      </c>
      <c r="R2194" s="160">
        <f>[8]Source!X1134</f>
        <v>0</v>
      </c>
      <c r="S2194" s="160">
        <f>[8]Source!Y1133</f>
        <v>0</v>
      </c>
      <c r="T2194" s="160">
        <f>[8]Source!Y1134</f>
        <v>0</v>
      </c>
      <c r="U2194" s="160">
        <f>ROUND((175/100)*ROUND([8]Source!R1133, 2), 2)</f>
        <v>0</v>
      </c>
      <c r="V2194" s="160">
        <f>ROUND((157/100)*ROUND([8]Source!R1134, 2), 2)</f>
        <v>0</v>
      </c>
    </row>
    <row r="2195" spans="1:22" ht="15" x14ac:dyDescent="0.25">
      <c r="A2195" s="243"/>
      <c r="B2195" s="243"/>
      <c r="C2195" s="244" t="s">
        <v>183</v>
      </c>
      <c r="D2195" s="243"/>
      <c r="E2195" s="243"/>
      <c r="F2195" s="243"/>
      <c r="G2195" s="243"/>
      <c r="H2195" s="437">
        <v>330127.76</v>
      </c>
      <c r="I2195" s="437"/>
      <c r="J2195" s="437">
        <v>1452562.14</v>
      </c>
      <c r="K2195" s="437"/>
      <c r="O2195" s="163">
        <f>I2194</f>
        <v>330127.76</v>
      </c>
      <c r="P2195" s="163">
        <f>K2194</f>
        <v>1452562.14</v>
      </c>
    </row>
    <row r="2197" spans="1:22" ht="138" x14ac:dyDescent="0.2">
      <c r="A2197" s="250" t="s">
        <v>2993</v>
      </c>
      <c r="B2197" s="249" t="s">
        <v>2659</v>
      </c>
      <c r="C2197" s="249" t="s">
        <v>968</v>
      </c>
      <c r="D2197" s="248" t="s">
        <v>1913</v>
      </c>
      <c r="E2197" s="246">
        <v>12</v>
      </c>
      <c r="F2197" s="254">
        <v>22185.27</v>
      </c>
      <c r="G2197" s="247" t="s">
        <v>195</v>
      </c>
      <c r="H2197" s="246">
        <v>1</v>
      </c>
      <c r="I2197" s="245">
        <v>266223.24</v>
      </c>
      <c r="J2197" s="246">
        <v>4.4000000000000004</v>
      </c>
      <c r="K2197" s="245">
        <v>1171382.26</v>
      </c>
      <c r="Q2197" s="160">
        <f>[8]Source!X1135</f>
        <v>0</v>
      </c>
      <c r="R2197" s="160">
        <f>[8]Source!X1136</f>
        <v>0</v>
      </c>
      <c r="S2197" s="160">
        <f>[8]Source!Y1135</f>
        <v>0</v>
      </c>
      <c r="T2197" s="160">
        <f>[8]Source!Y1136</f>
        <v>0</v>
      </c>
      <c r="U2197" s="160">
        <f>ROUND((175/100)*ROUND([8]Source!R1135, 2), 2)</f>
        <v>0</v>
      </c>
      <c r="V2197" s="160">
        <f>ROUND((157/100)*ROUND([8]Source!R1136, 2), 2)</f>
        <v>0</v>
      </c>
    </row>
    <row r="2198" spans="1:22" ht="15" x14ac:dyDescent="0.25">
      <c r="A2198" s="243"/>
      <c r="B2198" s="243"/>
      <c r="C2198" s="244" t="s">
        <v>183</v>
      </c>
      <c r="D2198" s="243"/>
      <c r="E2198" s="243"/>
      <c r="F2198" s="243"/>
      <c r="G2198" s="243"/>
      <c r="H2198" s="437">
        <v>266223.24</v>
      </c>
      <c r="I2198" s="437"/>
      <c r="J2198" s="437">
        <v>1171382.26</v>
      </c>
      <c r="K2198" s="437"/>
      <c r="O2198" s="163">
        <f>I2197</f>
        <v>266223.24</v>
      </c>
      <c r="P2198" s="163">
        <f>K2197</f>
        <v>1171382.26</v>
      </c>
    </row>
    <row r="2200" spans="1:22" ht="138" x14ac:dyDescent="0.2">
      <c r="A2200" s="250" t="s">
        <v>2994</v>
      </c>
      <c r="B2200" s="249" t="s">
        <v>2659</v>
      </c>
      <c r="C2200" s="249" t="s">
        <v>967</v>
      </c>
      <c r="D2200" s="248" t="s">
        <v>1913</v>
      </c>
      <c r="E2200" s="246">
        <v>9</v>
      </c>
      <c r="F2200" s="254">
        <v>24635.4</v>
      </c>
      <c r="G2200" s="247" t="s">
        <v>195</v>
      </c>
      <c r="H2200" s="246">
        <v>1</v>
      </c>
      <c r="I2200" s="245">
        <v>221718.6</v>
      </c>
      <c r="J2200" s="246">
        <v>4.4000000000000004</v>
      </c>
      <c r="K2200" s="245">
        <v>975561.84</v>
      </c>
      <c r="Q2200" s="160">
        <f>[8]Source!X1137</f>
        <v>0</v>
      </c>
      <c r="R2200" s="160">
        <f>[8]Source!X1138</f>
        <v>0</v>
      </c>
      <c r="S2200" s="160">
        <f>[8]Source!Y1137</f>
        <v>0</v>
      </c>
      <c r="T2200" s="160">
        <f>[8]Source!Y1138</f>
        <v>0</v>
      </c>
      <c r="U2200" s="160">
        <f>ROUND((175/100)*ROUND([8]Source!R1137, 2), 2)</f>
        <v>0</v>
      </c>
      <c r="V2200" s="160">
        <f>ROUND((157/100)*ROUND([8]Source!R1138, 2), 2)</f>
        <v>0</v>
      </c>
    </row>
    <row r="2201" spans="1:22" ht="15" x14ac:dyDescent="0.25">
      <c r="A2201" s="243"/>
      <c r="B2201" s="243"/>
      <c r="C2201" s="244" t="s">
        <v>183</v>
      </c>
      <c r="D2201" s="243"/>
      <c r="E2201" s="243"/>
      <c r="F2201" s="243"/>
      <c r="G2201" s="243"/>
      <c r="H2201" s="437">
        <v>221718.6</v>
      </c>
      <c r="I2201" s="437"/>
      <c r="J2201" s="437">
        <v>975561.84</v>
      </c>
      <c r="K2201" s="437"/>
      <c r="O2201" s="163">
        <f>I2200</f>
        <v>221718.6</v>
      </c>
      <c r="P2201" s="163">
        <f>K2200</f>
        <v>975561.84</v>
      </c>
    </row>
    <row r="2203" spans="1:22" ht="42.75" x14ac:dyDescent="0.2">
      <c r="A2203" s="179" t="s">
        <v>2995</v>
      </c>
      <c r="B2203" s="178" t="s">
        <v>2996</v>
      </c>
      <c r="C2203" s="178" t="s">
        <v>966</v>
      </c>
      <c r="D2203" s="177" t="s">
        <v>1661</v>
      </c>
      <c r="E2203" s="174">
        <v>52</v>
      </c>
      <c r="F2203" s="176">
        <v>265.42</v>
      </c>
      <c r="G2203" s="175" t="s">
        <v>195</v>
      </c>
      <c r="H2203" s="174">
        <v>1</v>
      </c>
      <c r="I2203" s="173">
        <v>13801.84</v>
      </c>
      <c r="J2203" s="174">
        <v>6.31</v>
      </c>
      <c r="K2203" s="173">
        <v>87089.61</v>
      </c>
      <c r="Q2203" s="160">
        <f>[8]Source!X1139</f>
        <v>0</v>
      </c>
      <c r="R2203" s="160">
        <f>[8]Source!X1140</f>
        <v>0</v>
      </c>
      <c r="S2203" s="160">
        <f>[8]Source!Y1139</f>
        <v>0</v>
      </c>
      <c r="T2203" s="160">
        <f>[8]Source!Y1140</f>
        <v>0</v>
      </c>
      <c r="U2203" s="160">
        <f>ROUND((175/100)*ROUND([8]Source!R1139, 2), 2)</f>
        <v>0</v>
      </c>
      <c r="V2203" s="160">
        <f>ROUND((157/100)*ROUND([8]Source!R1140, 2), 2)</f>
        <v>0</v>
      </c>
    </row>
    <row r="2204" spans="1:22" x14ac:dyDescent="0.2">
      <c r="A2204" s="255"/>
      <c r="B2204" s="255"/>
      <c r="C2204" s="256" t="s">
        <v>2997</v>
      </c>
      <c r="D2204" s="255"/>
      <c r="E2204" s="255"/>
      <c r="F2204" s="255"/>
      <c r="G2204" s="255"/>
      <c r="H2204" s="255"/>
      <c r="I2204" s="255"/>
      <c r="J2204" s="255"/>
      <c r="K2204" s="255"/>
    </row>
    <row r="2205" spans="1:22" ht="15" x14ac:dyDescent="0.25">
      <c r="A2205" s="235"/>
      <c r="B2205" s="235"/>
      <c r="C2205" s="236" t="s">
        <v>183</v>
      </c>
      <c r="D2205" s="235"/>
      <c r="E2205" s="235"/>
      <c r="F2205" s="235"/>
      <c r="G2205" s="235"/>
      <c r="H2205" s="436">
        <v>13801.84</v>
      </c>
      <c r="I2205" s="436"/>
      <c r="J2205" s="436">
        <v>87089.61</v>
      </c>
      <c r="K2205" s="436"/>
      <c r="O2205" s="163">
        <f>I2203</f>
        <v>13801.84</v>
      </c>
      <c r="P2205" s="163">
        <f>K2203</f>
        <v>87089.61</v>
      </c>
    </row>
    <row r="2207" spans="1:22" ht="42.75" x14ac:dyDescent="0.2">
      <c r="A2207" s="179" t="s">
        <v>2998</v>
      </c>
      <c r="B2207" s="178" t="s">
        <v>2999</v>
      </c>
      <c r="C2207" s="178" t="s">
        <v>965</v>
      </c>
      <c r="D2207" s="177" t="s">
        <v>1903</v>
      </c>
      <c r="E2207" s="174">
        <v>53</v>
      </c>
      <c r="F2207" s="176"/>
      <c r="G2207" s="175"/>
      <c r="H2207" s="174"/>
      <c r="I2207" s="173"/>
      <c r="J2207" s="174"/>
      <c r="K2207" s="173"/>
      <c r="Q2207" s="160">
        <f>[8]Source!X1151</f>
        <v>408.44</v>
      </c>
      <c r="R2207" s="160">
        <f>[8]Source!X1152</f>
        <v>6441.7</v>
      </c>
      <c r="S2207" s="160">
        <f>[8]Source!Y1151</f>
        <v>240.05</v>
      </c>
      <c r="T2207" s="160">
        <f>[8]Source!Y1152</f>
        <v>3429.99</v>
      </c>
      <c r="U2207" s="160">
        <f>ROUND((175/100)*ROUND([8]Source!R1151, 2), 2)</f>
        <v>0</v>
      </c>
      <c r="V2207" s="160">
        <f>ROUND((157/100)*ROUND([8]Source!R1152, 2), 2)</f>
        <v>0</v>
      </c>
    </row>
    <row r="2208" spans="1:22" ht="14.25" x14ac:dyDescent="0.2">
      <c r="A2208" s="179"/>
      <c r="B2208" s="178"/>
      <c r="C2208" s="178" t="s">
        <v>197</v>
      </c>
      <c r="D2208" s="177"/>
      <c r="E2208" s="174"/>
      <c r="F2208" s="176">
        <v>6.76</v>
      </c>
      <c r="G2208" s="175" t="s">
        <v>195</v>
      </c>
      <c r="H2208" s="174">
        <v>1</v>
      </c>
      <c r="I2208" s="173">
        <v>358.28</v>
      </c>
      <c r="J2208" s="174">
        <v>23.35</v>
      </c>
      <c r="K2208" s="173">
        <v>8365.84</v>
      </c>
    </row>
    <row r="2209" spans="1:22" ht="14.25" x14ac:dyDescent="0.2">
      <c r="A2209" s="179"/>
      <c r="B2209" s="178"/>
      <c r="C2209" s="178" t="s">
        <v>205</v>
      </c>
      <c r="D2209" s="177"/>
      <c r="E2209" s="174"/>
      <c r="F2209" s="176">
        <v>0.35</v>
      </c>
      <c r="G2209" s="175" t="s">
        <v>195</v>
      </c>
      <c r="H2209" s="174">
        <v>1</v>
      </c>
      <c r="I2209" s="173">
        <v>18.55</v>
      </c>
      <c r="J2209" s="174">
        <v>5.43</v>
      </c>
      <c r="K2209" s="173">
        <v>100.73</v>
      </c>
    </row>
    <row r="2210" spans="1:22" ht="14.25" x14ac:dyDescent="0.2">
      <c r="A2210" s="179"/>
      <c r="B2210" s="178"/>
      <c r="C2210" s="178" t="s">
        <v>194</v>
      </c>
      <c r="D2210" s="177" t="s">
        <v>187</v>
      </c>
      <c r="E2210" s="174">
        <v>114</v>
      </c>
      <c r="F2210" s="176"/>
      <c r="G2210" s="175"/>
      <c r="H2210" s="174"/>
      <c r="I2210" s="173">
        <v>408.44</v>
      </c>
      <c r="J2210" s="174">
        <v>77</v>
      </c>
      <c r="K2210" s="173">
        <v>6441.7</v>
      </c>
    </row>
    <row r="2211" spans="1:22" ht="14.25" x14ac:dyDescent="0.2">
      <c r="A2211" s="179"/>
      <c r="B2211" s="178"/>
      <c r="C2211" s="178" t="s">
        <v>193</v>
      </c>
      <c r="D2211" s="177" t="s">
        <v>187</v>
      </c>
      <c r="E2211" s="174">
        <v>67</v>
      </c>
      <c r="F2211" s="176"/>
      <c r="G2211" s="175"/>
      <c r="H2211" s="174"/>
      <c r="I2211" s="173">
        <v>240.05</v>
      </c>
      <c r="J2211" s="174">
        <v>41</v>
      </c>
      <c r="K2211" s="173">
        <v>3429.99</v>
      </c>
    </row>
    <row r="2212" spans="1:22" ht="14.25" x14ac:dyDescent="0.2">
      <c r="A2212" s="242"/>
      <c r="B2212" s="241"/>
      <c r="C2212" s="241" t="s">
        <v>192</v>
      </c>
      <c r="D2212" s="240" t="s">
        <v>191</v>
      </c>
      <c r="E2212" s="238">
        <v>0.52</v>
      </c>
      <c r="F2212" s="253"/>
      <c r="G2212" s="239" t="s">
        <v>195</v>
      </c>
      <c r="H2212" s="238">
        <v>1</v>
      </c>
      <c r="I2212" s="237">
        <v>27.56</v>
      </c>
      <c r="J2212" s="238"/>
      <c r="K2212" s="237"/>
    </row>
    <row r="2213" spans="1:22" ht="15" x14ac:dyDescent="0.25">
      <c r="A2213" s="235"/>
      <c r="B2213" s="235"/>
      <c r="C2213" s="236" t="s">
        <v>183</v>
      </c>
      <c r="D2213" s="235"/>
      <c r="E2213" s="235"/>
      <c r="F2213" s="235"/>
      <c r="G2213" s="235"/>
      <c r="H2213" s="436">
        <v>1025.32</v>
      </c>
      <c r="I2213" s="436"/>
      <c r="J2213" s="436">
        <v>18338.259999999998</v>
      </c>
      <c r="K2213" s="436"/>
      <c r="O2213" s="163">
        <f>I2208+I2209+I2210+I2211</f>
        <v>1025.32</v>
      </c>
      <c r="P2213" s="163">
        <f>K2208+K2209+K2210+K2211</f>
        <v>18338.259999999998</v>
      </c>
    </row>
    <row r="2215" spans="1:22" ht="111" x14ac:dyDescent="0.2">
      <c r="A2215" s="242" t="s">
        <v>3000</v>
      </c>
      <c r="B2215" s="241" t="s">
        <v>2659</v>
      </c>
      <c r="C2215" s="241" t="s">
        <v>964</v>
      </c>
      <c r="D2215" s="240" t="s">
        <v>1913</v>
      </c>
      <c r="E2215" s="238">
        <v>52</v>
      </c>
      <c r="F2215" s="253">
        <v>1718.9</v>
      </c>
      <c r="G2215" s="239" t="s">
        <v>195</v>
      </c>
      <c r="H2215" s="238">
        <v>1</v>
      </c>
      <c r="I2215" s="237">
        <v>89382.8</v>
      </c>
      <c r="J2215" s="238">
        <v>5.42</v>
      </c>
      <c r="K2215" s="237">
        <v>484454.78</v>
      </c>
      <c r="Q2215" s="160">
        <f>[8]Source!X1153</f>
        <v>0</v>
      </c>
      <c r="R2215" s="160">
        <f>[8]Source!X1154</f>
        <v>0</v>
      </c>
      <c r="S2215" s="160">
        <f>[8]Source!Y1153</f>
        <v>0</v>
      </c>
      <c r="T2215" s="160">
        <f>[8]Source!Y1154</f>
        <v>0</v>
      </c>
      <c r="U2215" s="160">
        <f>ROUND((175/100)*ROUND([8]Source!R1153, 2), 2)</f>
        <v>0</v>
      </c>
      <c r="V2215" s="160">
        <f>ROUND((157/100)*ROUND([8]Source!R1154, 2), 2)</f>
        <v>0</v>
      </c>
    </row>
    <row r="2216" spans="1:22" ht="15" x14ac:dyDescent="0.25">
      <c r="A2216" s="235"/>
      <c r="B2216" s="235"/>
      <c r="C2216" s="236" t="s">
        <v>183</v>
      </c>
      <c r="D2216" s="235"/>
      <c r="E2216" s="235"/>
      <c r="F2216" s="235"/>
      <c r="G2216" s="235"/>
      <c r="H2216" s="436">
        <v>89382.8</v>
      </c>
      <c r="I2216" s="436"/>
      <c r="J2216" s="436">
        <v>484454.78</v>
      </c>
      <c r="K2216" s="436"/>
      <c r="O2216" s="163">
        <f>I2215</f>
        <v>89382.8</v>
      </c>
      <c r="P2216" s="163">
        <f>K2215</f>
        <v>484454.78</v>
      </c>
    </row>
    <row r="2218" spans="1:22" ht="95.25" x14ac:dyDescent="0.2">
      <c r="A2218" s="242" t="s">
        <v>3001</v>
      </c>
      <c r="B2218" s="241" t="s">
        <v>2659</v>
      </c>
      <c r="C2218" s="241" t="s">
        <v>963</v>
      </c>
      <c r="D2218" s="240" t="s">
        <v>1913</v>
      </c>
      <c r="E2218" s="238">
        <v>6</v>
      </c>
      <c r="F2218" s="253">
        <v>1064.73</v>
      </c>
      <c r="G2218" s="239" t="s">
        <v>195</v>
      </c>
      <c r="H2218" s="238">
        <v>1</v>
      </c>
      <c r="I2218" s="237">
        <v>6388.38</v>
      </c>
      <c r="J2218" s="238">
        <v>5.42</v>
      </c>
      <c r="K2218" s="237">
        <v>34625.019999999997</v>
      </c>
      <c r="Q2218" s="160">
        <f>[8]Source!X1155</f>
        <v>0</v>
      </c>
      <c r="R2218" s="160">
        <f>[8]Source!X1156</f>
        <v>0</v>
      </c>
      <c r="S2218" s="160">
        <f>[8]Source!Y1155</f>
        <v>0</v>
      </c>
      <c r="T2218" s="160">
        <f>[8]Source!Y1156</f>
        <v>0</v>
      </c>
      <c r="U2218" s="160">
        <f>ROUND((175/100)*ROUND([8]Source!R1155, 2), 2)</f>
        <v>0</v>
      </c>
      <c r="V2218" s="160">
        <f>ROUND((157/100)*ROUND([8]Source!R1156, 2), 2)</f>
        <v>0</v>
      </c>
    </row>
    <row r="2219" spans="1:22" ht="15" x14ac:dyDescent="0.25">
      <c r="A2219" s="235"/>
      <c r="B2219" s="235"/>
      <c r="C2219" s="236" t="s">
        <v>183</v>
      </c>
      <c r="D2219" s="235"/>
      <c r="E2219" s="235"/>
      <c r="F2219" s="235"/>
      <c r="G2219" s="235"/>
      <c r="H2219" s="436">
        <v>6388.38</v>
      </c>
      <c r="I2219" s="436"/>
      <c r="J2219" s="436">
        <v>34625.019999999997</v>
      </c>
      <c r="K2219" s="436"/>
      <c r="O2219" s="163">
        <f>I2218</f>
        <v>6388.38</v>
      </c>
      <c r="P2219" s="163">
        <f>K2218</f>
        <v>34625.019999999997</v>
      </c>
    </row>
    <row r="2221" spans="1:22" ht="68.25" x14ac:dyDescent="0.2">
      <c r="A2221" s="250" t="s">
        <v>3002</v>
      </c>
      <c r="B2221" s="249" t="s">
        <v>2659</v>
      </c>
      <c r="C2221" s="249" t="s">
        <v>962</v>
      </c>
      <c r="D2221" s="248" t="s">
        <v>1913</v>
      </c>
      <c r="E2221" s="246">
        <v>1</v>
      </c>
      <c r="F2221" s="254">
        <v>31545.41</v>
      </c>
      <c r="G2221" s="247" t="s">
        <v>195</v>
      </c>
      <c r="H2221" s="246">
        <v>1</v>
      </c>
      <c r="I2221" s="245">
        <v>31545.41</v>
      </c>
      <c r="J2221" s="246">
        <v>4.4000000000000004</v>
      </c>
      <c r="K2221" s="245">
        <v>138799.79999999999</v>
      </c>
      <c r="Q2221" s="160">
        <f>[8]Source!X1157</f>
        <v>0</v>
      </c>
      <c r="R2221" s="160">
        <f>[8]Source!X1158</f>
        <v>0</v>
      </c>
      <c r="S2221" s="160">
        <f>[8]Source!Y1157</f>
        <v>0</v>
      </c>
      <c r="T2221" s="160">
        <f>[8]Source!Y1158</f>
        <v>0</v>
      </c>
      <c r="U2221" s="160">
        <f>ROUND((175/100)*ROUND([8]Source!R1157, 2), 2)</f>
        <v>0</v>
      </c>
      <c r="V2221" s="160">
        <f>ROUND((157/100)*ROUND([8]Source!R1158, 2), 2)</f>
        <v>0</v>
      </c>
    </row>
    <row r="2222" spans="1:22" ht="15" x14ac:dyDescent="0.25">
      <c r="A2222" s="243"/>
      <c r="B2222" s="243"/>
      <c r="C2222" s="244" t="s">
        <v>183</v>
      </c>
      <c r="D2222" s="243"/>
      <c r="E2222" s="243"/>
      <c r="F2222" s="243"/>
      <c r="G2222" s="243"/>
      <c r="H2222" s="437">
        <v>31545.41</v>
      </c>
      <c r="I2222" s="437"/>
      <c r="J2222" s="437">
        <v>138799.79999999999</v>
      </c>
      <c r="K2222" s="437"/>
      <c r="O2222" s="163">
        <f>I2221</f>
        <v>31545.41</v>
      </c>
      <c r="P2222" s="163">
        <f>K2221</f>
        <v>138799.79999999999</v>
      </c>
    </row>
    <row r="2224" spans="1:22" ht="28.5" x14ac:dyDescent="0.2">
      <c r="A2224" s="179" t="s">
        <v>3003</v>
      </c>
      <c r="B2224" s="178" t="s">
        <v>2984</v>
      </c>
      <c r="C2224" s="178" t="s">
        <v>961</v>
      </c>
      <c r="D2224" s="177" t="s">
        <v>1903</v>
      </c>
      <c r="E2224" s="174">
        <v>8</v>
      </c>
      <c r="F2224" s="176"/>
      <c r="G2224" s="175"/>
      <c r="H2224" s="174"/>
      <c r="I2224" s="173"/>
      <c r="J2224" s="174"/>
      <c r="K2224" s="173"/>
      <c r="Q2224" s="160">
        <f>[8]Source!X1159</f>
        <v>1227.0899999999999</v>
      </c>
      <c r="R2224" s="160">
        <f>[8]Source!X1160</f>
        <v>22922.12</v>
      </c>
      <c r="S2224" s="160">
        <f>[8]Source!Y1159</f>
        <v>825.5</v>
      </c>
      <c r="T2224" s="160">
        <f>[8]Source!Y1160</f>
        <v>10679.62</v>
      </c>
      <c r="U2224" s="160">
        <f>ROUND((175/100)*ROUND([8]Source!R1159, 2), 2)</f>
        <v>1.1000000000000001</v>
      </c>
      <c r="V2224" s="160">
        <f>ROUND((157/100)*ROUND([8]Source!R1160, 2), 2)</f>
        <v>23.09</v>
      </c>
    </row>
    <row r="2225" spans="1:22" x14ac:dyDescent="0.2">
      <c r="C2225" s="181" t="s">
        <v>3004</v>
      </c>
    </row>
    <row r="2226" spans="1:22" ht="14.25" x14ac:dyDescent="0.2">
      <c r="A2226" s="179"/>
      <c r="B2226" s="178"/>
      <c r="C2226" s="178" t="s">
        <v>197</v>
      </c>
      <c r="D2226" s="177"/>
      <c r="E2226" s="174"/>
      <c r="F2226" s="176">
        <v>115.48</v>
      </c>
      <c r="G2226" s="175" t="s">
        <v>2775</v>
      </c>
      <c r="H2226" s="174">
        <v>1</v>
      </c>
      <c r="I2226" s="173">
        <v>1115.54</v>
      </c>
      <c r="J2226" s="174">
        <v>23.35</v>
      </c>
      <c r="K2226" s="173">
        <v>26047.86</v>
      </c>
    </row>
    <row r="2227" spans="1:22" ht="14.25" x14ac:dyDescent="0.2">
      <c r="A2227" s="179"/>
      <c r="B2227" s="178"/>
      <c r="C2227" s="178" t="s">
        <v>184</v>
      </c>
      <c r="D2227" s="177"/>
      <c r="E2227" s="174"/>
      <c r="F2227" s="176">
        <v>0.73</v>
      </c>
      <c r="G2227" s="175" t="s">
        <v>2776</v>
      </c>
      <c r="H2227" s="174">
        <v>1</v>
      </c>
      <c r="I2227" s="173">
        <v>7.67</v>
      </c>
      <c r="J2227" s="174">
        <v>5.78</v>
      </c>
      <c r="K2227" s="173">
        <v>44.33</v>
      </c>
    </row>
    <row r="2228" spans="1:22" ht="14.25" x14ac:dyDescent="0.2">
      <c r="A2228" s="179"/>
      <c r="B2228" s="178"/>
      <c r="C2228" s="178" t="s">
        <v>189</v>
      </c>
      <c r="D2228" s="177"/>
      <c r="E2228" s="174"/>
      <c r="F2228" s="176">
        <v>0.06</v>
      </c>
      <c r="G2228" s="175" t="s">
        <v>2776</v>
      </c>
      <c r="H2228" s="174">
        <v>1</v>
      </c>
      <c r="I2228" s="180">
        <v>0.63</v>
      </c>
      <c r="J2228" s="174">
        <v>23.35</v>
      </c>
      <c r="K2228" s="180">
        <v>14.71</v>
      </c>
    </row>
    <row r="2229" spans="1:22" ht="14.25" x14ac:dyDescent="0.2">
      <c r="A2229" s="179"/>
      <c r="B2229" s="178"/>
      <c r="C2229" s="178" t="s">
        <v>205</v>
      </c>
      <c r="D2229" s="177"/>
      <c r="E2229" s="174"/>
      <c r="F2229" s="176">
        <v>6.78</v>
      </c>
      <c r="G2229" s="175" t="s">
        <v>195</v>
      </c>
      <c r="H2229" s="174">
        <v>1</v>
      </c>
      <c r="I2229" s="173">
        <v>54.24</v>
      </c>
      <c r="J2229" s="174">
        <v>1.82</v>
      </c>
      <c r="K2229" s="173">
        <v>98.72</v>
      </c>
    </row>
    <row r="2230" spans="1:22" ht="14.25" x14ac:dyDescent="0.2">
      <c r="A2230" s="179"/>
      <c r="B2230" s="178"/>
      <c r="C2230" s="178" t="s">
        <v>194</v>
      </c>
      <c r="D2230" s="177" t="s">
        <v>187</v>
      </c>
      <c r="E2230" s="174">
        <v>110</v>
      </c>
      <c r="F2230" s="176"/>
      <c r="G2230" s="175"/>
      <c r="H2230" s="174"/>
      <c r="I2230" s="173">
        <v>1227.0899999999999</v>
      </c>
      <c r="J2230" s="174">
        <v>88</v>
      </c>
      <c r="K2230" s="173">
        <v>22922.12</v>
      </c>
    </row>
    <row r="2231" spans="1:22" ht="14.25" x14ac:dyDescent="0.2">
      <c r="A2231" s="179"/>
      <c r="B2231" s="178"/>
      <c r="C2231" s="178" t="s">
        <v>193</v>
      </c>
      <c r="D2231" s="177" t="s">
        <v>187</v>
      </c>
      <c r="E2231" s="174">
        <v>74</v>
      </c>
      <c r="F2231" s="176"/>
      <c r="G2231" s="175"/>
      <c r="H2231" s="174"/>
      <c r="I2231" s="173">
        <v>825.5</v>
      </c>
      <c r="J2231" s="174">
        <v>41</v>
      </c>
      <c r="K2231" s="173">
        <v>10679.62</v>
      </c>
    </row>
    <row r="2232" spans="1:22" ht="14.25" x14ac:dyDescent="0.2">
      <c r="A2232" s="179"/>
      <c r="B2232" s="178"/>
      <c r="C2232" s="178" t="s">
        <v>188</v>
      </c>
      <c r="D2232" s="177" t="s">
        <v>187</v>
      </c>
      <c r="E2232" s="174">
        <v>175</v>
      </c>
      <c r="F2232" s="176"/>
      <c r="G2232" s="175"/>
      <c r="H2232" s="174"/>
      <c r="I2232" s="173">
        <v>1.1000000000000001</v>
      </c>
      <c r="J2232" s="174">
        <v>157</v>
      </c>
      <c r="K2232" s="173">
        <v>23.09</v>
      </c>
    </row>
    <row r="2233" spans="1:22" ht="14.25" x14ac:dyDescent="0.2">
      <c r="A2233" s="242"/>
      <c r="B2233" s="241"/>
      <c r="C2233" s="241" t="s">
        <v>192</v>
      </c>
      <c r="D2233" s="240" t="s">
        <v>191</v>
      </c>
      <c r="E2233" s="238">
        <v>9.06</v>
      </c>
      <c r="F2233" s="253"/>
      <c r="G2233" s="239" t="s">
        <v>2775</v>
      </c>
      <c r="H2233" s="238">
        <v>1</v>
      </c>
      <c r="I2233" s="237">
        <v>87.52</v>
      </c>
      <c r="J2233" s="238"/>
      <c r="K2233" s="237"/>
    </row>
    <row r="2234" spans="1:22" ht="15" x14ac:dyDescent="0.25">
      <c r="A2234" s="235"/>
      <c r="B2234" s="235"/>
      <c r="C2234" s="236" t="s">
        <v>183</v>
      </c>
      <c r="D2234" s="235"/>
      <c r="E2234" s="235"/>
      <c r="F2234" s="235"/>
      <c r="G2234" s="235"/>
      <c r="H2234" s="436">
        <v>3231.14</v>
      </c>
      <c r="I2234" s="436"/>
      <c r="J2234" s="436">
        <v>59815.74</v>
      </c>
      <c r="K2234" s="436"/>
      <c r="O2234" s="163">
        <f>I2226+I2227+I2229+I2230+I2231+I2232</f>
        <v>3231.14</v>
      </c>
      <c r="P2234" s="163">
        <f>K2226+K2227+K2229+K2230+K2231+K2232</f>
        <v>59815.74</v>
      </c>
    </row>
    <row r="2236" spans="1:22" ht="28.5" x14ac:dyDescent="0.2">
      <c r="A2236" s="179" t="s">
        <v>3005</v>
      </c>
      <c r="B2236" s="178" t="s">
        <v>3006</v>
      </c>
      <c r="C2236" s="178" t="s">
        <v>960</v>
      </c>
      <c r="D2236" s="177" t="s">
        <v>1903</v>
      </c>
      <c r="E2236" s="174">
        <v>8</v>
      </c>
      <c r="F2236" s="176"/>
      <c r="G2236" s="175"/>
      <c r="H2236" s="174"/>
      <c r="I2236" s="173"/>
      <c r="J2236" s="174"/>
      <c r="K2236" s="173"/>
      <c r="Q2236" s="160">
        <f>[8]Source!X1161</f>
        <v>1868.26</v>
      </c>
      <c r="R2236" s="160">
        <f>[8]Source!X1162</f>
        <v>34899.14</v>
      </c>
      <c r="S2236" s="160">
        <f>[8]Source!Y1161</f>
        <v>1256.83</v>
      </c>
      <c r="T2236" s="160">
        <f>[8]Source!Y1162</f>
        <v>16259.83</v>
      </c>
      <c r="U2236" s="160">
        <f>ROUND((175/100)*ROUND([8]Source!R1161, 2), 2)</f>
        <v>3.68</v>
      </c>
      <c r="V2236" s="160">
        <f>ROUND((157/100)*ROUND([8]Source!R1162, 2), 2)</f>
        <v>76.989999999999995</v>
      </c>
    </row>
    <row r="2237" spans="1:22" ht="14.25" x14ac:dyDescent="0.2">
      <c r="A2237" s="179"/>
      <c r="B2237" s="178"/>
      <c r="C2237" s="178" t="s">
        <v>197</v>
      </c>
      <c r="D2237" s="177"/>
      <c r="E2237" s="174"/>
      <c r="F2237" s="176">
        <v>175.82</v>
      </c>
      <c r="G2237" s="175" t="s">
        <v>2775</v>
      </c>
      <c r="H2237" s="174">
        <v>1</v>
      </c>
      <c r="I2237" s="173">
        <v>1698.42</v>
      </c>
      <c r="J2237" s="174">
        <v>23.35</v>
      </c>
      <c r="K2237" s="173">
        <v>39658.11</v>
      </c>
    </row>
    <row r="2238" spans="1:22" ht="14.25" x14ac:dyDescent="0.2">
      <c r="A2238" s="179"/>
      <c r="B2238" s="178"/>
      <c r="C2238" s="178" t="s">
        <v>184</v>
      </c>
      <c r="D2238" s="177"/>
      <c r="E2238" s="174"/>
      <c r="F2238" s="176">
        <v>1.66</v>
      </c>
      <c r="G2238" s="175" t="s">
        <v>2776</v>
      </c>
      <c r="H2238" s="174">
        <v>1</v>
      </c>
      <c r="I2238" s="173">
        <v>17.43</v>
      </c>
      <c r="J2238" s="174">
        <v>6.61</v>
      </c>
      <c r="K2238" s="173">
        <v>115.21</v>
      </c>
    </row>
    <row r="2239" spans="1:22" ht="14.25" x14ac:dyDescent="0.2">
      <c r="A2239" s="179"/>
      <c r="B2239" s="178"/>
      <c r="C2239" s="178" t="s">
        <v>189</v>
      </c>
      <c r="D2239" s="177"/>
      <c r="E2239" s="174"/>
      <c r="F2239" s="176">
        <v>0.2</v>
      </c>
      <c r="G2239" s="175" t="s">
        <v>2776</v>
      </c>
      <c r="H2239" s="174">
        <v>1</v>
      </c>
      <c r="I2239" s="180">
        <v>2.1</v>
      </c>
      <c r="J2239" s="174">
        <v>23.35</v>
      </c>
      <c r="K2239" s="180">
        <v>49.04</v>
      </c>
    </row>
    <row r="2240" spans="1:22" ht="14.25" x14ac:dyDescent="0.2">
      <c r="A2240" s="179"/>
      <c r="B2240" s="178"/>
      <c r="C2240" s="178" t="s">
        <v>205</v>
      </c>
      <c r="D2240" s="177"/>
      <c r="E2240" s="174"/>
      <c r="F2240" s="176">
        <v>86.02</v>
      </c>
      <c r="G2240" s="175" t="s">
        <v>195</v>
      </c>
      <c r="H2240" s="174">
        <v>1</v>
      </c>
      <c r="I2240" s="173">
        <v>688.16</v>
      </c>
      <c r="J2240" s="174">
        <v>5.3</v>
      </c>
      <c r="K2240" s="173">
        <v>3647.25</v>
      </c>
    </row>
    <row r="2241" spans="1:22" ht="42.75" x14ac:dyDescent="0.2">
      <c r="A2241" s="179" t="s">
        <v>3007</v>
      </c>
      <c r="B2241" s="178" t="s">
        <v>3008</v>
      </c>
      <c r="C2241" s="178" t="s">
        <v>959</v>
      </c>
      <c r="D2241" s="177" t="s">
        <v>1584</v>
      </c>
      <c r="E2241" s="174">
        <v>100</v>
      </c>
      <c r="F2241" s="176">
        <v>28.98</v>
      </c>
      <c r="G2241" s="182" t="s">
        <v>195</v>
      </c>
      <c r="H2241" s="174">
        <v>1</v>
      </c>
      <c r="I2241" s="173">
        <v>2898</v>
      </c>
      <c r="J2241" s="174">
        <v>3.71</v>
      </c>
      <c r="K2241" s="173">
        <v>10751.58</v>
      </c>
      <c r="Q2241" s="160">
        <f>[8]Source!X1163</f>
        <v>0</v>
      </c>
      <c r="R2241" s="160">
        <f>[8]Source!X1164</f>
        <v>0</v>
      </c>
      <c r="S2241" s="160">
        <f>[8]Source!Y1163</f>
        <v>0</v>
      </c>
      <c r="T2241" s="160">
        <f>[8]Source!Y1164</f>
        <v>0</v>
      </c>
      <c r="U2241" s="160">
        <f>ROUND((175/100)*ROUND([8]Source!R1163, 2), 2)</f>
        <v>0</v>
      </c>
      <c r="V2241" s="160">
        <f>ROUND((157/100)*ROUND([8]Source!R1164, 2), 2)</f>
        <v>0</v>
      </c>
    </row>
    <row r="2242" spans="1:22" ht="14.25" x14ac:dyDescent="0.2">
      <c r="A2242" s="179"/>
      <c r="B2242" s="178"/>
      <c r="C2242" s="178" t="s">
        <v>194</v>
      </c>
      <c r="D2242" s="177" t="s">
        <v>187</v>
      </c>
      <c r="E2242" s="174">
        <v>110</v>
      </c>
      <c r="F2242" s="176"/>
      <c r="G2242" s="175"/>
      <c r="H2242" s="174"/>
      <c r="I2242" s="173">
        <v>1868.26</v>
      </c>
      <c r="J2242" s="174">
        <v>88</v>
      </c>
      <c r="K2242" s="173">
        <v>34899.14</v>
      </c>
    </row>
    <row r="2243" spans="1:22" ht="14.25" x14ac:dyDescent="0.2">
      <c r="A2243" s="179"/>
      <c r="B2243" s="178"/>
      <c r="C2243" s="178" t="s">
        <v>193</v>
      </c>
      <c r="D2243" s="177" t="s">
        <v>187</v>
      </c>
      <c r="E2243" s="174">
        <v>74</v>
      </c>
      <c r="F2243" s="176"/>
      <c r="G2243" s="175"/>
      <c r="H2243" s="174"/>
      <c r="I2243" s="173">
        <v>1256.83</v>
      </c>
      <c r="J2243" s="174">
        <v>41</v>
      </c>
      <c r="K2243" s="173">
        <v>16259.83</v>
      </c>
    </row>
    <row r="2244" spans="1:22" ht="14.25" x14ac:dyDescent="0.2">
      <c r="A2244" s="179"/>
      <c r="B2244" s="178"/>
      <c r="C2244" s="178" t="s">
        <v>188</v>
      </c>
      <c r="D2244" s="177" t="s">
        <v>187</v>
      </c>
      <c r="E2244" s="174">
        <v>175</v>
      </c>
      <c r="F2244" s="176"/>
      <c r="G2244" s="175"/>
      <c r="H2244" s="174"/>
      <c r="I2244" s="173">
        <v>3.68</v>
      </c>
      <c r="J2244" s="174">
        <v>157</v>
      </c>
      <c r="K2244" s="173">
        <v>76.989999999999995</v>
      </c>
    </row>
    <row r="2245" spans="1:22" ht="14.25" x14ac:dyDescent="0.2">
      <c r="A2245" s="242"/>
      <c r="B2245" s="241"/>
      <c r="C2245" s="241" t="s">
        <v>192</v>
      </c>
      <c r="D2245" s="240" t="s">
        <v>191</v>
      </c>
      <c r="E2245" s="238">
        <v>13.72</v>
      </c>
      <c r="F2245" s="253"/>
      <c r="G2245" s="239" t="s">
        <v>2775</v>
      </c>
      <c r="H2245" s="238">
        <v>1</v>
      </c>
      <c r="I2245" s="237">
        <v>132.54</v>
      </c>
      <c r="J2245" s="238"/>
      <c r="K2245" s="237"/>
    </row>
    <row r="2246" spans="1:22" ht="15" x14ac:dyDescent="0.25">
      <c r="A2246" s="235"/>
      <c r="B2246" s="235"/>
      <c r="C2246" s="236" t="s">
        <v>183</v>
      </c>
      <c r="D2246" s="235"/>
      <c r="E2246" s="235"/>
      <c r="F2246" s="235"/>
      <c r="G2246" s="235"/>
      <c r="H2246" s="436">
        <v>8430.7800000000007</v>
      </c>
      <c r="I2246" s="436"/>
      <c r="J2246" s="436">
        <v>105408.11</v>
      </c>
      <c r="K2246" s="436"/>
      <c r="O2246" s="163">
        <f>I2237+I2238+I2240+I2242+I2243+I2244+SUM(I2241:I2241)</f>
        <v>8430.7800000000007</v>
      </c>
      <c r="P2246" s="163">
        <f>K2237+K2238+K2240+K2242+K2243+K2244+SUM(K2241:K2241)</f>
        <v>105408.11</v>
      </c>
    </row>
    <row r="2248" spans="1:22" ht="57" x14ac:dyDescent="0.2">
      <c r="A2248" s="179" t="s">
        <v>3009</v>
      </c>
      <c r="B2248" s="178" t="s">
        <v>3010</v>
      </c>
      <c r="C2248" s="178" t="s">
        <v>958</v>
      </c>
      <c r="D2248" s="177" t="s">
        <v>1903</v>
      </c>
      <c r="E2248" s="174">
        <v>12</v>
      </c>
      <c r="F2248" s="176"/>
      <c r="G2248" s="175"/>
      <c r="H2248" s="174"/>
      <c r="I2248" s="173"/>
      <c r="J2248" s="174"/>
      <c r="K2248" s="173"/>
      <c r="Q2248" s="160">
        <f>[8]Source!X1165</f>
        <v>366.35</v>
      </c>
      <c r="R2248" s="160">
        <f>[8]Source!X1166</f>
        <v>5777.9</v>
      </c>
      <c r="S2248" s="160">
        <f>[8]Source!Y1165</f>
        <v>215.31</v>
      </c>
      <c r="T2248" s="160">
        <f>[8]Source!Y1166</f>
        <v>3076.54</v>
      </c>
      <c r="U2248" s="160">
        <f>ROUND((175/100)*ROUND([8]Source!R1165, 2), 2)</f>
        <v>0</v>
      </c>
      <c r="V2248" s="160">
        <f>ROUND((157/100)*ROUND([8]Source!R1166, 2), 2)</f>
        <v>0</v>
      </c>
    </row>
    <row r="2249" spans="1:22" x14ac:dyDescent="0.2">
      <c r="C2249" s="181" t="s">
        <v>3011</v>
      </c>
    </row>
    <row r="2250" spans="1:22" ht="14.25" x14ac:dyDescent="0.2">
      <c r="A2250" s="179"/>
      <c r="B2250" s="178"/>
      <c r="C2250" s="178" t="s">
        <v>197</v>
      </c>
      <c r="D2250" s="177"/>
      <c r="E2250" s="174"/>
      <c r="F2250" s="176">
        <v>26.78</v>
      </c>
      <c r="G2250" s="175" t="s">
        <v>195</v>
      </c>
      <c r="H2250" s="174">
        <v>1</v>
      </c>
      <c r="I2250" s="173">
        <v>321.36</v>
      </c>
      <c r="J2250" s="174">
        <v>23.35</v>
      </c>
      <c r="K2250" s="173">
        <v>7503.76</v>
      </c>
    </row>
    <row r="2251" spans="1:22" ht="14.25" x14ac:dyDescent="0.2">
      <c r="A2251" s="179"/>
      <c r="B2251" s="178"/>
      <c r="C2251" s="178" t="s">
        <v>205</v>
      </c>
      <c r="D2251" s="177"/>
      <c r="E2251" s="174"/>
      <c r="F2251" s="176">
        <v>0.21</v>
      </c>
      <c r="G2251" s="175" t="s">
        <v>195</v>
      </c>
      <c r="H2251" s="174">
        <v>1</v>
      </c>
      <c r="I2251" s="173">
        <v>2.52</v>
      </c>
      <c r="J2251" s="174">
        <v>5.43</v>
      </c>
      <c r="K2251" s="173">
        <v>13.68</v>
      </c>
    </row>
    <row r="2252" spans="1:22" ht="14.25" x14ac:dyDescent="0.2">
      <c r="A2252" s="179"/>
      <c r="B2252" s="178"/>
      <c r="C2252" s="178" t="s">
        <v>194</v>
      </c>
      <c r="D2252" s="177" t="s">
        <v>187</v>
      </c>
      <c r="E2252" s="174">
        <v>114</v>
      </c>
      <c r="F2252" s="176"/>
      <c r="G2252" s="175"/>
      <c r="H2252" s="174"/>
      <c r="I2252" s="173">
        <v>366.35</v>
      </c>
      <c r="J2252" s="174">
        <v>77</v>
      </c>
      <c r="K2252" s="173">
        <v>5777.9</v>
      </c>
    </row>
    <row r="2253" spans="1:22" ht="14.25" x14ac:dyDescent="0.2">
      <c r="A2253" s="179"/>
      <c r="B2253" s="178"/>
      <c r="C2253" s="178" t="s">
        <v>193</v>
      </c>
      <c r="D2253" s="177" t="s">
        <v>187</v>
      </c>
      <c r="E2253" s="174">
        <v>67</v>
      </c>
      <c r="F2253" s="176"/>
      <c r="G2253" s="175"/>
      <c r="H2253" s="174"/>
      <c r="I2253" s="173">
        <v>215.31</v>
      </c>
      <c r="J2253" s="174">
        <v>41</v>
      </c>
      <c r="K2253" s="173">
        <v>3076.54</v>
      </c>
    </row>
    <row r="2254" spans="1:22" ht="14.25" x14ac:dyDescent="0.2">
      <c r="A2254" s="242"/>
      <c r="B2254" s="241"/>
      <c r="C2254" s="241" t="s">
        <v>192</v>
      </c>
      <c r="D2254" s="240" t="s">
        <v>191</v>
      </c>
      <c r="E2254" s="238">
        <v>2.06</v>
      </c>
      <c r="F2254" s="253"/>
      <c r="G2254" s="239" t="s">
        <v>195</v>
      </c>
      <c r="H2254" s="238">
        <v>1</v>
      </c>
      <c r="I2254" s="237">
        <v>24.72</v>
      </c>
      <c r="J2254" s="238"/>
      <c r="K2254" s="237"/>
    </row>
    <row r="2255" spans="1:22" ht="15" x14ac:dyDescent="0.25">
      <c r="A2255" s="235"/>
      <c r="B2255" s="235"/>
      <c r="C2255" s="236" t="s">
        <v>183</v>
      </c>
      <c r="D2255" s="235"/>
      <c r="E2255" s="235"/>
      <c r="F2255" s="235"/>
      <c r="G2255" s="235"/>
      <c r="H2255" s="436">
        <v>905.54</v>
      </c>
      <c r="I2255" s="436"/>
      <c r="J2255" s="436">
        <v>16371.88</v>
      </c>
      <c r="K2255" s="436"/>
      <c r="O2255" s="163">
        <f>I2250+I2251+I2252+I2253</f>
        <v>905.54</v>
      </c>
      <c r="P2255" s="163">
        <f>K2250+K2251+K2252+K2253</f>
        <v>16371.88</v>
      </c>
    </row>
    <row r="2257" spans="1:22" ht="95.25" x14ac:dyDescent="0.2">
      <c r="A2257" s="250" t="s">
        <v>3012</v>
      </c>
      <c r="B2257" s="249" t="s">
        <v>2659</v>
      </c>
      <c r="C2257" s="249" t="s">
        <v>957</v>
      </c>
      <c r="D2257" s="248" t="s">
        <v>1661</v>
      </c>
      <c r="E2257" s="246">
        <v>2</v>
      </c>
      <c r="F2257" s="254">
        <v>20768.77</v>
      </c>
      <c r="G2257" s="247" t="s">
        <v>195</v>
      </c>
      <c r="H2257" s="246">
        <v>1</v>
      </c>
      <c r="I2257" s="245">
        <v>41537.54</v>
      </c>
      <c r="J2257" s="246">
        <v>4.4000000000000004</v>
      </c>
      <c r="K2257" s="245">
        <v>182765.18</v>
      </c>
      <c r="Q2257" s="160">
        <f>[8]Source!X1167</f>
        <v>0</v>
      </c>
      <c r="R2257" s="160">
        <f>[8]Source!X1168</f>
        <v>0</v>
      </c>
      <c r="S2257" s="160">
        <f>[8]Source!Y1167</f>
        <v>0</v>
      </c>
      <c r="T2257" s="160">
        <f>[8]Source!Y1168</f>
        <v>0</v>
      </c>
      <c r="U2257" s="160">
        <f>ROUND((175/100)*ROUND([8]Source!R1167, 2), 2)</f>
        <v>0</v>
      </c>
      <c r="V2257" s="160">
        <f>ROUND((157/100)*ROUND([8]Source!R1168, 2), 2)</f>
        <v>0</v>
      </c>
    </row>
    <row r="2258" spans="1:22" ht="15" x14ac:dyDescent="0.25">
      <c r="A2258" s="243"/>
      <c r="B2258" s="243"/>
      <c r="C2258" s="244" t="s">
        <v>183</v>
      </c>
      <c r="D2258" s="243"/>
      <c r="E2258" s="243"/>
      <c r="F2258" s="243"/>
      <c r="G2258" s="243"/>
      <c r="H2258" s="437">
        <v>41537.54</v>
      </c>
      <c r="I2258" s="437"/>
      <c r="J2258" s="437">
        <v>182765.18</v>
      </c>
      <c r="K2258" s="437"/>
      <c r="O2258" s="163">
        <f>I2257</f>
        <v>41537.54</v>
      </c>
      <c r="P2258" s="163">
        <f>K2257</f>
        <v>182765.18</v>
      </c>
    </row>
    <row r="2260" spans="1:22" ht="95.25" x14ac:dyDescent="0.2">
      <c r="A2260" s="250" t="s">
        <v>3013</v>
      </c>
      <c r="B2260" s="249" t="s">
        <v>2659</v>
      </c>
      <c r="C2260" s="249" t="s">
        <v>956</v>
      </c>
      <c r="D2260" s="248" t="s">
        <v>1661</v>
      </c>
      <c r="E2260" s="246">
        <v>4</v>
      </c>
      <c r="F2260" s="254">
        <v>25362.78</v>
      </c>
      <c r="G2260" s="247" t="s">
        <v>195</v>
      </c>
      <c r="H2260" s="246">
        <v>1</v>
      </c>
      <c r="I2260" s="245">
        <v>101451.12</v>
      </c>
      <c r="J2260" s="246">
        <v>4.4000000000000004</v>
      </c>
      <c r="K2260" s="245">
        <v>446384.93</v>
      </c>
      <c r="Q2260" s="160">
        <f>[8]Source!X1169</f>
        <v>0</v>
      </c>
      <c r="R2260" s="160">
        <f>[8]Source!X1170</f>
        <v>0</v>
      </c>
      <c r="S2260" s="160">
        <f>[8]Source!Y1169</f>
        <v>0</v>
      </c>
      <c r="T2260" s="160">
        <f>[8]Source!Y1170</f>
        <v>0</v>
      </c>
      <c r="U2260" s="160">
        <f>ROUND((175/100)*ROUND([8]Source!R1169, 2), 2)</f>
        <v>0</v>
      </c>
      <c r="V2260" s="160">
        <f>ROUND((157/100)*ROUND([8]Source!R1170, 2), 2)</f>
        <v>0</v>
      </c>
    </row>
    <row r="2261" spans="1:22" ht="15" x14ac:dyDescent="0.25">
      <c r="A2261" s="243"/>
      <c r="B2261" s="243"/>
      <c r="C2261" s="244" t="s">
        <v>183</v>
      </c>
      <c r="D2261" s="243"/>
      <c r="E2261" s="243"/>
      <c r="F2261" s="243"/>
      <c r="G2261" s="243"/>
      <c r="H2261" s="437">
        <v>101451.12</v>
      </c>
      <c r="I2261" s="437"/>
      <c r="J2261" s="437">
        <v>446384.93</v>
      </c>
      <c r="K2261" s="437"/>
      <c r="O2261" s="163">
        <f>I2260</f>
        <v>101451.12</v>
      </c>
      <c r="P2261" s="163">
        <f>K2260</f>
        <v>446384.93</v>
      </c>
    </row>
    <row r="2263" spans="1:22" ht="95.25" x14ac:dyDescent="0.2">
      <c r="A2263" s="250" t="s">
        <v>3014</v>
      </c>
      <c r="B2263" s="249" t="s">
        <v>2659</v>
      </c>
      <c r="C2263" s="249" t="s">
        <v>955</v>
      </c>
      <c r="D2263" s="248" t="s">
        <v>1661</v>
      </c>
      <c r="E2263" s="246">
        <v>2</v>
      </c>
      <c r="F2263" s="254">
        <v>27276.95</v>
      </c>
      <c r="G2263" s="247" t="s">
        <v>195</v>
      </c>
      <c r="H2263" s="246">
        <v>1</v>
      </c>
      <c r="I2263" s="245">
        <v>54553.9</v>
      </c>
      <c r="J2263" s="246">
        <v>4.4000000000000004</v>
      </c>
      <c r="K2263" s="245">
        <v>240037.16</v>
      </c>
      <c r="Q2263" s="160">
        <f>[8]Source!X1171</f>
        <v>0</v>
      </c>
      <c r="R2263" s="160">
        <f>[8]Source!X1172</f>
        <v>0</v>
      </c>
      <c r="S2263" s="160">
        <f>[8]Source!Y1171</f>
        <v>0</v>
      </c>
      <c r="T2263" s="160">
        <f>[8]Source!Y1172</f>
        <v>0</v>
      </c>
      <c r="U2263" s="160">
        <f>ROUND((175/100)*ROUND([8]Source!R1171, 2), 2)</f>
        <v>0</v>
      </c>
      <c r="V2263" s="160">
        <f>ROUND((157/100)*ROUND([8]Source!R1172, 2), 2)</f>
        <v>0</v>
      </c>
    </row>
    <row r="2264" spans="1:22" ht="15" x14ac:dyDescent="0.25">
      <c r="A2264" s="243"/>
      <c r="B2264" s="243"/>
      <c r="C2264" s="244" t="s">
        <v>183</v>
      </c>
      <c r="D2264" s="243"/>
      <c r="E2264" s="243"/>
      <c r="F2264" s="243"/>
      <c r="G2264" s="243"/>
      <c r="H2264" s="437">
        <v>54553.9</v>
      </c>
      <c r="I2264" s="437"/>
      <c r="J2264" s="437">
        <v>240037.16</v>
      </c>
      <c r="K2264" s="437"/>
      <c r="O2264" s="163">
        <f>I2263</f>
        <v>54553.9</v>
      </c>
      <c r="P2264" s="163">
        <f>K2263</f>
        <v>240037.16</v>
      </c>
    </row>
    <row r="2266" spans="1:22" ht="54" x14ac:dyDescent="0.2">
      <c r="A2266" s="250" t="s">
        <v>3015</v>
      </c>
      <c r="B2266" s="249" t="s">
        <v>2659</v>
      </c>
      <c r="C2266" s="249" t="s">
        <v>954</v>
      </c>
      <c r="D2266" s="248" t="s">
        <v>1661</v>
      </c>
      <c r="E2266" s="246">
        <v>4</v>
      </c>
      <c r="F2266" s="254">
        <v>690.96</v>
      </c>
      <c r="G2266" s="247" t="s">
        <v>195</v>
      </c>
      <c r="H2266" s="246">
        <v>1</v>
      </c>
      <c r="I2266" s="245">
        <v>2763.84</v>
      </c>
      <c r="J2266" s="246">
        <v>4.4000000000000004</v>
      </c>
      <c r="K2266" s="245">
        <v>12160.9</v>
      </c>
      <c r="Q2266" s="160">
        <f>[8]Source!X1173</f>
        <v>0</v>
      </c>
      <c r="R2266" s="160">
        <f>[8]Source!X1174</f>
        <v>0</v>
      </c>
      <c r="S2266" s="160">
        <f>[8]Source!Y1173</f>
        <v>0</v>
      </c>
      <c r="T2266" s="160">
        <f>[8]Source!Y1174</f>
        <v>0</v>
      </c>
      <c r="U2266" s="160">
        <f>ROUND((175/100)*ROUND([8]Source!R1173, 2), 2)</f>
        <v>0</v>
      </c>
      <c r="V2266" s="160">
        <f>ROUND((157/100)*ROUND([8]Source!R1174, 2), 2)</f>
        <v>0</v>
      </c>
    </row>
    <row r="2267" spans="1:22" ht="15" x14ac:dyDescent="0.25">
      <c r="A2267" s="243"/>
      <c r="B2267" s="243"/>
      <c r="C2267" s="244" t="s">
        <v>183</v>
      </c>
      <c r="D2267" s="243"/>
      <c r="E2267" s="243"/>
      <c r="F2267" s="243"/>
      <c r="G2267" s="243"/>
      <c r="H2267" s="437">
        <v>2763.84</v>
      </c>
      <c r="I2267" s="437"/>
      <c r="J2267" s="437">
        <v>12160.9</v>
      </c>
      <c r="K2267" s="437"/>
      <c r="O2267" s="163">
        <f>I2266</f>
        <v>2763.84</v>
      </c>
      <c r="P2267" s="163">
        <f>K2266</f>
        <v>12160.9</v>
      </c>
    </row>
    <row r="2269" spans="1:22" ht="68.25" x14ac:dyDescent="0.2">
      <c r="A2269" s="250" t="s">
        <v>3016</v>
      </c>
      <c r="B2269" s="249" t="s">
        <v>2659</v>
      </c>
      <c r="C2269" s="249" t="s">
        <v>953</v>
      </c>
      <c r="D2269" s="248" t="s">
        <v>1661</v>
      </c>
      <c r="E2269" s="246">
        <v>8</v>
      </c>
      <c r="F2269" s="254">
        <v>246.77</v>
      </c>
      <c r="G2269" s="247" t="s">
        <v>195</v>
      </c>
      <c r="H2269" s="246">
        <v>1</v>
      </c>
      <c r="I2269" s="245">
        <v>1974.16</v>
      </c>
      <c r="J2269" s="246">
        <v>4.4000000000000004</v>
      </c>
      <c r="K2269" s="245">
        <v>8686.2999999999993</v>
      </c>
      <c r="Q2269" s="160">
        <f>[8]Source!X1175</f>
        <v>0</v>
      </c>
      <c r="R2269" s="160">
        <f>[8]Source!X1176</f>
        <v>0</v>
      </c>
      <c r="S2269" s="160">
        <f>[8]Source!Y1175</f>
        <v>0</v>
      </c>
      <c r="T2269" s="160">
        <f>[8]Source!Y1176</f>
        <v>0</v>
      </c>
      <c r="U2269" s="160">
        <f>ROUND((175/100)*ROUND([8]Source!R1175, 2), 2)</f>
        <v>0</v>
      </c>
      <c r="V2269" s="160">
        <f>ROUND((157/100)*ROUND([8]Source!R1176, 2), 2)</f>
        <v>0</v>
      </c>
    </row>
    <row r="2270" spans="1:22" ht="15" x14ac:dyDescent="0.25">
      <c r="A2270" s="243"/>
      <c r="B2270" s="243"/>
      <c r="C2270" s="244" t="s">
        <v>183</v>
      </c>
      <c r="D2270" s="243"/>
      <c r="E2270" s="243"/>
      <c r="F2270" s="243"/>
      <c r="G2270" s="243"/>
      <c r="H2270" s="437">
        <v>1974.16</v>
      </c>
      <c r="I2270" s="437"/>
      <c r="J2270" s="437">
        <v>8686.2999999999993</v>
      </c>
      <c r="K2270" s="437"/>
      <c r="O2270" s="163">
        <f>I2269</f>
        <v>1974.16</v>
      </c>
      <c r="P2270" s="163">
        <f>K2269</f>
        <v>8686.2999999999993</v>
      </c>
    </row>
    <row r="2272" spans="1:22" ht="14.25" x14ac:dyDescent="0.2">
      <c r="A2272" s="179" t="s">
        <v>3017</v>
      </c>
      <c r="B2272" s="178" t="s">
        <v>3018</v>
      </c>
      <c r="C2272" s="178" t="s">
        <v>952</v>
      </c>
      <c r="D2272" s="177" t="s">
        <v>3019</v>
      </c>
      <c r="E2272" s="174">
        <v>52</v>
      </c>
      <c r="F2272" s="176"/>
      <c r="G2272" s="175"/>
      <c r="H2272" s="174"/>
      <c r="I2272" s="173"/>
      <c r="J2272" s="174"/>
      <c r="K2272" s="173"/>
      <c r="Q2272" s="160">
        <f>[8]Source!X1177</f>
        <v>4330.6099999999997</v>
      </c>
      <c r="R2272" s="160">
        <f>[8]Source!X1178</f>
        <v>80895.83</v>
      </c>
      <c r="S2272" s="160">
        <f>[8]Source!Y1177</f>
        <v>2913.32</v>
      </c>
      <c r="T2272" s="160">
        <f>[8]Source!Y1178</f>
        <v>37690.1</v>
      </c>
      <c r="U2272" s="160">
        <f>ROUND((175/100)*ROUND([8]Source!R1177, 2), 2)</f>
        <v>125.58</v>
      </c>
      <c r="V2272" s="160">
        <f>ROUND((157/100)*ROUND([8]Source!R1178, 2), 2)</f>
        <v>2630.69</v>
      </c>
    </row>
    <row r="2273" spans="1:22" ht="14.25" x14ac:dyDescent="0.2">
      <c r="A2273" s="179"/>
      <c r="B2273" s="178"/>
      <c r="C2273" s="178" t="s">
        <v>197</v>
      </c>
      <c r="D2273" s="177"/>
      <c r="E2273" s="174"/>
      <c r="F2273" s="176">
        <v>75.709999999999994</v>
      </c>
      <c r="G2273" s="175" t="s">
        <v>195</v>
      </c>
      <c r="H2273" s="174">
        <v>1</v>
      </c>
      <c r="I2273" s="173">
        <v>3936.92</v>
      </c>
      <c r="J2273" s="174">
        <v>23.35</v>
      </c>
      <c r="K2273" s="173">
        <v>91927.08</v>
      </c>
    </row>
    <row r="2274" spans="1:22" ht="14.25" x14ac:dyDescent="0.2">
      <c r="A2274" s="179"/>
      <c r="B2274" s="178"/>
      <c r="C2274" s="178" t="s">
        <v>184</v>
      </c>
      <c r="D2274" s="177"/>
      <c r="E2274" s="174"/>
      <c r="F2274" s="176">
        <v>9.61</v>
      </c>
      <c r="G2274" s="175" t="s">
        <v>195</v>
      </c>
      <c r="H2274" s="174">
        <v>1</v>
      </c>
      <c r="I2274" s="173">
        <v>499.72</v>
      </c>
      <c r="J2274" s="174">
        <v>8.24</v>
      </c>
      <c r="K2274" s="173">
        <v>4117.6899999999996</v>
      </c>
    </row>
    <row r="2275" spans="1:22" ht="14.25" x14ac:dyDescent="0.2">
      <c r="A2275" s="179"/>
      <c r="B2275" s="178"/>
      <c r="C2275" s="178" t="s">
        <v>189</v>
      </c>
      <c r="D2275" s="177"/>
      <c r="E2275" s="174"/>
      <c r="F2275" s="176">
        <v>1.38</v>
      </c>
      <c r="G2275" s="175" t="s">
        <v>195</v>
      </c>
      <c r="H2275" s="174">
        <v>1</v>
      </c>
      <c r="I2275" s="180">
        <v>71.760000000000005</v>
      </c>
      <c r="J2275" s="174">
        <v>23.35</v>
      </c>
      <c r="K2275" s="180">
        <v>1675.6</v>
      </c>
    </row>
    <row r="2276" spans="1:22" ht="14.25" x14ac:dyDescent="0.2">
      <c r="A2276" s="179"/>
      <c r="B2276" s="178"/>
      <c r="C2276" s="178" t="s">
        <v>205</v>
      </c>
      <c r="D2276" s="177"/>
      <c r="E2276" s="174"/>
      <c r="F2276" s="176">
        <v>57.16</v>
      </c>
      <c r="G2276" s="175" t="s">
        <v>195</v>
      </c>
      <c r="H2276" s="174">
        <v>1</v>
      </c>
      <c r="I2276" s="173">
        <v>2972.32</v>
      </c>
      <c r="J2276" s="174">
        <v>4.04</v>
      </c>
      <c r="K2276" s="173">
        <v>12008.17</v>
      </c>
    </row>
    <row r="2277" spans="1:22" ht="114" x14ac:dyDescent="0.2">
      <c r="A2277" s="228" t="s">
        <v>3020</v>
      </c>
      <c r="B2277" s="227" t="s">
        <v>3021</v>
      </c>
      <c r="C2277" s="227" t="s">
        <v>951</v>
      </c>
      <c r="D2277" s="226" t="s">
        <v>1661</v>
      </c>
      <c r="E2277" s="223">
        <v>52</v>
      </c>
      <c r="F2277" s="225">
        <v>749.53</v>
      </c>
      <c r="G2277" s="224" t="s">
        <v>195</v>
      </c>
      <c r="H2277" s="223">
        <v>1</v>
      </c>
      <c r="I2277" s="222">
        <v>38975.56</v>
      </c>
      <c r="J2277" s="223">
        <v>6.04</v>
      </c>
      <c r="K2277" s="222">
        <v>235412.38</v>
      </c>
      <c r="Q2277" s="160">
        <f>[8]Source!X1179</f>
        <v>0</v>
      </c>
      <c r="R2277" s="160">
        <f>[8]Source!X1180</f>
        <v>0</v>
      </c>
      <c r="S2277" s="160">
        <f>[8]Source!Y1179</f>
        <v>0</v>
      </c>
      <c r="T2277" s="160">
        <f>[8]Source!Y1180</f>
        <v>0</v>
      </c>
      <c r="U2277" s="160">
        <f>ROUND((175/100)*ROUND([8]Source!R1179, 2), 2)</f>
        <v>0</v>
      </c>
      <c r="V2277" s="160">
        <f>ROUND((157/100)*ROUND([8]Source!R1180, 2), 2)</f>
        <v>0</v>
      </c>
    </row>
    <row r="2278" spans="1:22" ht="14.25" x14ac:dyDescent="0.2">
      <c r="A2278" s="179"/>
      <c r="B2278" s="178"/>
      <c r="C2278" s="178" t="s">
        <v>194</v>
      </c>
      <c r="D2278" s="177" t="s">
        <v>187</v>
      </c>
      <c r="E2278" s="174">
        <v>110</v>
      </c>
      <c r="F2278" s="176"/>
      <c r="G2278" s="175"/>
      <c r="H2278" s="174"/>
      <c r="I2278" s="173">
        <v>4330.6099999999997</v>
      </c>
      <c r="J2278" s="174">
        <v>88</v>
      </c>
      <c r="K2278" s="173">
        <v>80895.83</v>
      </c>
    </row>
    <row r="2279" spans="1:22" ht="14.25" x14ac:dyDescent="0.2">
      <c r="A2279" s="179"/>
      <c r="B2279" s="178"/>
      <c r="C2279" s="178" t="s">
        <v>193</v>
      </c>
      <c r="D2279" s="177" t="s">
        <v>187</v>
      </c>
      <c r="E2279" s="174">
        <v>74</v>
      </c>
      <c r="F2279" s="176"/>
      <c r="G2279" s="175"/>
      <c r="H2279" s="174"/>
      <c r="I2279" s="173">
        <v>2913.32</v>
      </c>
      <c r="J2279" s="174">
        <v>41</v>
      </c>
      <c r="K2279" s="173">
        <v>37690.1</v>
      </c>
    </row>
    <row r="2280" spans="1:22" ht="14.25" x14ac:dyDescent="0.2">
      <c r="A2280" s="179"/>
      <c r="B2280" s="178"/>
      <c r="C2280" s="178" t="s">
        <v>188</v>
      </c>
      <c r="D2280" s="177" t="s">
        <v>187</v>
      </c>
      <c r="E2280" s="174">
        <v>175</v>
      </c>
      <c r="F2280" s="176"/>
      <c r="G2280" s="175"/>
      <c r="H2280" s="174"/>
      <c r="I2280" s="173">
        <v>125.58</v>
      </c>
      <c r="J2280" s="174">
        <v>157</v>
      </c>
      <c r="K2280" s="173">
        <v>2630.69</v>
      </c>
    </row>
    <row r="2281" spans="1:22" ht="14.25" x14ac:dyDescent="0.2">
      <c r="A2281" s="242"/>
      <c r="B2281" s="241"/>
      <c r="C2281" s="241" t="s">
        <v>192</v>
      </c>
      <c r="D2281" s="240" t="s">
        <v>191</v>
      </c>
      <c r="E2281" s="238">
        <v>6.14</v>
      </c>
      <c r="F2281" s="253"/>
      <c r="G2281" s="239" t="s">
        <v>195</v>
      </c>
      <c r="H2281" s="238">
        <v>1</v>
      </c>
      <c r="I2281" s="237">
        <v>319.27999999999997</v>
      </c>
      <c r="J2281" s="238"/>
      <c r="K2281" s="237"/>
    </row>
    <row r="2282" spans="1:22" ht="15" x14ac:dyDescent="0.25">
      <c r="A2282" s="235"/>
      <c r="B2282" s="235"/>
      <c r="C2282" s="236" t="s">
        <v>183</v>
      </c>
      <c r="D2282" s="235"/>
      <c r="E2282" s="235"/>
      <c r="F2282" s="235"/>
      <c r="G2282" s="235"/>
      <c r="H2282" s="436">
        <v>53754.03</v>
      </c>
      <c r="I2282" s="436"/>
      <c r="J2282" s="436">
        <v>464681.94</v>
      </c>
      <c r="K2282" s="436"/>
      <c r="O2282" s="163">
        <f>I2273+I2274+I2276+I2278+I2279+I2280+SUM(I2277:I2277)</f>
        <v>53754.03</v>
      </c>
      <c r="P2282" s="163">
        <f>K2273+K2274+K2276+K2278+K2279+K2280+SUM(K2277:K2277)</f>
        <v>464681.94</v>
      </c>
    </row>
    <row r="2284" spans="1:22" ht="42.75" x14ac:dyDescent="0.2">
      <c r="A2284" s="179" t="s">
        <v>3022</v>
      </c>
      <c r="B2284" s="178" t="s">
        <v>3023</v>
      </c>
      <c r="C2284" s="178" t="s">
        <v>950</v>
      </c>
      <c r="D2284" s="177" t="s">
        <v>1697</v>
      </c>
      <c r="E2284" s="174">
        <v>91.9</v>
      </c>
      <c r="F2284" s="176"/>
      <c r="G2284" s="175"/>
      <c r="H2284" s="174"/>
      <c r="I2284" s="173"/>
      <c r="J2284" s="174"/>
      <c r="K2284" s="173"/>
      <c r="Q2284" s="160">
        <f>[8]Source!X1183</f>
        <v>6216.41</v>
      </c>
      <c r="R2284" s="160">
        <f>[8]Source!X1184</f>
        <v>147319.57999999999</v>
      </c>
      <c r="S2284" s="160">
        <f>[8]Source!Y1183</f>
        <v>6216.41</v>
      </c>
      <c r="T2284" s="160">
        <f>[8]Source!Y1184</f>
        <v>88825.04</v>
      </c>
      <c r="U2284" s="160">
        <f>ROUND((175/100)*ROUND([8]Source!R1183, 2), 2)</f>
        <v>812.18</v>
      </c>
      <c r="V2284" s="160">
        <f>ROUND((157/100)*ROUND([8]Source!R1184, 2), 2)</f>
        <v>17013.68</v>
      </c>
    </row>
    <row r="2285" spans="1:22" x14ac:dyDescent="0.2">
      <c r="C2285" s="181" t="s">
        <v>3024</v>
      </c>
    </row>
    <row r="2286" spans="1:22" ht="14.25" x14ac:dyDescent="0.2">
      <c r="A2286" s="179"/>
      <c r="B2286" s="178"/>
      <c r="C2286" s="178" t="s">
        <v>197</v>
      </c>
      <c r="D2286" s="177"/>
      <c r="E2286" s="174"/>
      <c r="F2286" s="176">
        <v>100.96</v>
      </c>
      <c r="G2286" s="175" t="s">
        <v>195</v>
      </c>
      <c r="H2286" s="174">
        <v>1</v>
      </c>
      <c r="I2286" s="173">
        <v>9278.2199999999993</v>
      </c>
      <c r="J2286" s="174">
        <v>23.35</v>
      </c>
      <c r="K2286" s="173">
        <v>216646.44</v>
      </c>
    </row>
    <row r="2287" spans="1:22" ht="14.25" x14ac:dyDescent="0.2">
      <c r="A2287" s="179"/>
      <c r="B2287" s="178"/>
      <c r="C2287" s="178" t="s">
        <v>184</v>
      </c>
      <c r="D2287" s="177"/>
      <c r="E2287" s="174"/>
      <c r="F2287" s="176">
        <v>20.58</v>
      </c>
      <c r="G2287" s="175" t="s">
        <v>195</v>
      </c>
      <c r="H2287" s="174">
        <v>1</v>
      </c>
      <c r="I2287" s="173">
        <v>1891.3</v>
      </c>
      <c r="J2287" s="174">
        <v>9.77</v>
      </c>
      <c r="K2287" s="173">
        <v>18478</v>
      </c>
    </row>
    <row r="2288" spans="1:22" ht="14.25" x14ac:dyDescent="0.2">
      <c r="A2288" s="179"/>
      <c r="B2288" s="178"/>
      <c r="C2288" s="178" t="s">
        <v>189</v>
      </c>
      <c r="D2288" s="177"/>
      <c r="E2288" s="174"/>
      <c r="F2288" s="176">
        <v>5.05</v>
      </c>
      <c r="G2288" s="175" t="s">
        <v>195</v>
      </c>
      <c r="H2288" s="174">
        <v>1</v>
      </c>
      <c r="I2288" s="180">
        <v>464.1</v>
      </c>
      <c r="J2288" s="174">
        <v>23.35</v>
      </c>
      <c r="K2288" s="180">
        <v>10836.74</v>
      </c>
    </row>
    <row r="2289" spans="1:22" ht="14.25" x14ac:dyDescent="0.2">
      <c r="A2289" s="179"/>
      <c r="B2289" s="178"/>
      <c r="C2289" s="178" t="s">
        <v>205</v>
      </c>
      <c r="D2289" s="177"/>
      <c r="E2289" s="174"/>
      <c r="F2289" s="176">
        <v>4.6100000000000003</v>
      </c>
      <c r="G2289" s="175" t="s">
        <v>195</v>
      </c>
      <c r="H2289" s="174">
        <v>1</v>
      </c>
      <c r="I2289" s="173">
        <v>423.66</v>
      </c>
      <c r="J2289" s="174">
        <v>5.42</v>
      </c>
      <c r="K2289" s="173">
        <v>2296.2399999999998</v>
      </c>
    </row>
    <row r="2290" spans="1:22" ht="14.25" x14ac:dyDescent="0.2">
      <c r="A2290" s="179"/>
      <c r="B2290" s="178"/>
      <c r="C2290" s="178" t="s">
        <v>194</v>
      </c>
      <c r="D2290" s="177" t="s">
        <v>187</v>
      </c>
      <c r="E2290" s="174">
        <v>67</v>
      </c>
      <c r="F2290" s="176"/>
      <c r="G2290" s="175"/>
      <c r="H2290" s="174"/>
      <c r="I2290" s="173">
        <v>6216.41</v>
      </c>
      <c r="J2290" s="174">
        <v>68</v>
      </c>
      <c r="K2290" s="173">
        <v>147319.57999999999</v>
      </c>
    </row>
    <row r="2291" spans="1:22" ht="14.25" x14ac:dyDescent="0.2">
      <c r="A2291" s="179"/>
      <c r="B2291" s="178"/>
      <c r="C2291" s="178" t="s">
        <v>193</v>
      </c>
      <c r="D2291" s="177" t="s">
        <v>187</v>
      </c>
      <c r="E2291" s="174">
        <v>67</v>
      </c>
      <c r="F2291" s="176"/>
      <c r="G2291" s="175"/>
      <c r="H2291" s="174"/>
      <c r="I2291" s="173">
        <v>6216.41</v>
      </c>
      <c r="J2291" s="174">
        <v>41</v>
      </c>
      <c r="K2291" s="173">
        <v>88825.04</v>
      </c>
    </row>
    <row r="2292" spans="1:22" ht="14.25" x14ac:dyDescent="0.2">
      <c r="A2292" s="179"/>
      <c r="B2292" s="178"/>
      <c r="C2292" s="178" t="s">
        <v>188</v>
      </c>
      <c r="D2292" s="177" t="s">
        <v>187</v>
      </c>
      <c r="E2292" s="174">
        <v>175</v>
      </c>
      <c r="F2292" s="176"/>
      <c r="G2292" s="175"/>
      <c r="H2292" s="174"/>
      <c r="I2292" s="173">
        <v>812.18</v>
      </c>
      <c r="J2292" s="174">
        <v>157</v>
      </c>
      <c r="K2292" s="173">
        <v>17013.68</v>
      </c>
    </row>
    <row r="2293" spans="1:22" ht="14.25" x14ac:dyDescent="0.2">
      <c r="A2293" s="242"/>
      <c r="B2293" s="241"/>
      <c r="C2293" s="241" t="s">
        <v>192</v>
      </c>
      <c r="D2293" s="240" t="s">
        <v>191</v>
      </c>
      <c r="E2293" s="238">
        <v>8</v>
      </c>
      <c r="F2293" s="253"/>
      <c r="G2293" s="239" t="s">
        <v>195</v>
      </c>
      <c r="H2293" s="238">
        <v>1</v>
      </c>
      <c r="I2293" s="237">
        <v>735.2</v>
      </c>
      <c r="J2293" s="238"/>
      <c r="K2293" s="237"/>
    </row>
    <row r="2294" spans="1:22" ht="15" x14ac:dyDescent="0.25">
      <c r="A2294" s="235"/>
      <c r="B2294" s="235"/>
      <c r="C2294" s="236" t="s">
        <v>183</v>
      </c>
      <c r="D2294" s="235"/>
      <c r="E2294" s="235"/>
      <c r="F2294" s="235"/>
      <c r="G2294" s="235"/>
      <c r="H2294" s="436">
        <v>24838.18</v>
      </c>
      <c r="I2294" s="436"/>
      <c r="J2294" s="436">
        <v>490578.98</v>
      </c>
      <c r="K2294" s="436"/>
      <c r="O2294" s="163">
        <f>I2286+I2287+I2289+I2290+I2291+I2292</f>
        <v>24838.18</v>
      </c>
      <c r="P2294" s="163">
        <f>K2286+K2287+K2289+K2290+K2291+K2292</f>
        <v>490578.98</v>
      </c>
    </row>
    <row r="2296" spans="1:22" ht="57" x14ac:dyDescent="0.2">
      <c r="A2296" s="242" t="s">
        <v>3025</v>
      </c>
      <c r="B2296" s="241" t="s">
        <v>3026</v>
      </c>
      <c r="C2296" s="241" t="s">
        <v>949</v>
      </c>
      <c r="D2296" s="240" t="s">
        <v>1552</v>
      </c>
      <c r="E2296" s="238">
        <v>270</v>
      </c>
      <c r="F2296" s="253">
        <v>4.37</v>
      </c>
      <c r="G2296" s="239" t="s">
        <v>195</v>
      </c>
      <c r="H2296" s="238">
        <v>1</v>
      </c>
      <c r="I2296" s="237">
        <v>1179.9000000000001</v>
      </c>
      <c r="J2296" s="238">
        <v>14.46</v>
      </c>
      <c r="K2296" s="237">
        <v>17061.349999999999</v>
      </c>
      <c r="Q2296" s="160">
        <f>[8]Source!X1185</f>
        <v>0</v>
      </c>
      <c r="R2296" s="160">
        <f>[8]Source!X1186</f>
        <v>0</v>
      </c>
      <c r="S2296" s="160">
        <f>[8]Source!Y1185</f>
        <v>0</v>
      </c>
      <c r="T2296" s="160">
        <f>[8]Source!Y1186</f>
        <v>0</v>
      </c>
      <c r="U2296" s="160">
        <f>ROUND((175/100)*ROUND([8]Source!R1185, 2), 2)</f>
        <v>0</v>
      </c>
      <c r="V2296" s="160">
        <f>ROUND((157/100)*ROUND([8]Source!R1186, 2), 2)</f>
        <v>0</v>
      </c>
    </row>
    <row r="2297" spans="1:22" ht="15" x14ac:dyDescent="0.25">
      <c r="A2297" s="235"/>
      <c r="B2297" s="235"/>
      <c r="C2297" s="236" t="s">
        <v>183</v>
      </c>
      <c r="D2297" s="235"/>
      <c r="E2297" s="235"/>
      <c r="F2297" s="235"/>
      <c r="G2297" s="235"/>
      <c r="H2297" s="436">
        <v>1179.9000000000001</v>
      </c>
      <c r="I2297" s="436"/>
      <c r="J2297" s="436">
        <v>17061.349999999999</v>
      </c>
      <c r="K2297" s="436"/>
      <c r="O2297" s="163">
        <f>I2296</f>
        <v>1179.9000000000001</v>
      </c>
      <c r="P2297" s="163">
        <f>K2296</f>
        <v>17061.349999999999</v>
      </c>
    </row>
    <row r="2299" spans="1:22" ht="57" x14ac:dyDescent="0.2">
      <c r="A2299" s="242" t="s">
        <v>3027</v>
      </c>
      <c r="B2299" s="241" t="s">
        <v>3028</v>
      </c>
      <c r="C2299" s="241" t="s">
        <v>948</v>
      </c>
      <c r="D2299" s="240" t="s">
        <v>1552</v>
      </c>
      <c r="E2299" s="238">
        <v>130</v>
      </c>
      <c r="F2299" s="253">
        <v>7.73</v>
      </c>
      <c r="G2299" s="239" t="s">
        <v>195</v>
      </c>
      <c r="H2299" s="238">
        <v>1</v>
      </c>
      <c r="I2299" s="237">
        <v>1004.9</v>
      </c>
      <c r="J2299" s="238">
        <v>13.43</v>
      </c>
      <c r="K2299" s="237">
        <v>13495.81</v>
      </c>
      <c r="Q2299" s="160">
        <f>[8]Source!X1187</f>
        <v>0</v>
      </c>
      <c r="R2299" s="160">
        <f>[8]Source!X1188</f>
        <v>0</v>
      </c>
      <c r="S2299" s="160">
        <f>[8]Source!Y1187</f>
        <v>0</v>
      </c>
      <c r="T2299" s="160">
        <f>[8]Source!Y1188</f>
        <v>0</v>
      </c>
      <c r="U2299" s="160">
        <f>ROUND((175/100)*ROUND([8]Source!R1187, 2), 2)</f>
        <v>0</v>
      </c>
      <c r="V2299" s="160">
        <f>ROUND((157/100)*ROUND([8]Source!R1188, 2), 2)</f>
        <v>0</v>
      </c>
    </row>
    <row r="2300" spans="1:22" ht="15" x14ac:dyDescent="0.25">
      <c r="A2300" s="235"/>
      <c r="B2300" s="235"/>
      <c r="C2300" s="236" t="s">
        <v>183</v>
      </c>
      <c r="D2300" s="235"/>
      <c r="E2300" s="235"/>
      <c r="F2300" s="235"/>
      <c r="G2300" s="235"/>
      <c r="H2300" s="436">
        <v>1004.9</v>
      </c>
      <c r="I2300" s="436"/>
      <c r="J2300" s="436">
        <v>13495.81</v>
      </c>
      <c r="K2300" s="436"/>
      <c r="O2300" s="163">
        <f>I2299</f>
        <v>1004.9</v>
      </c>
      <c r="P2300" s="163">
        <f>K2299</f>
        <v>13495.81</v>
      </c>
    </row>
    <row r="2302" spans="1:22" ht="57" x14ac:dyDescent="0.2">
      <c r="A2302" s="242" t="s">
        <v>3029</v>
      </c>
      <c r="B2302" s="241" t="s">
        <v>3030</v>
      </c>
      <c r="C2302" s="241" t="s">
        <v>947</v>
      </c>
      <c r="D2302" s="240" t="s">
        <v>1552</v>
      </c>
      <c r="E2302" s="238">
        <v>130</v>
      </c>
      <c r="F2302" s="253">
        <v>10.28</v>
      </c>
      <c r="G2302" s="239" t="s">
        <v>195</v>
      </c>
      <c r="H2302" s="238">
        <v>1</v>
      </c>
      <c r="I2302" s="237">
        <v>1336.4</v>
      </c>
      <c r="J2302" s="238">
        <v>13.77</v>
      </c>
      <c r="K2302" s="237">
        <v>18402.23</v>
      </c>
      <c r="Q2302" s="160">
        <f>[8]Source!X1189</f>
        <v>0</v>
      </c>
      <c r="R2302" s="160">
        <f>[8]Source!X1190</f>
        <v>0</v>
      </c>
      <c r="S2302" s="160">
        <f>[8]Source!Y1189</f>
        <v>0</v>
      </c>
      <c r="T2302" s="160">
        <f>[8]Source!Y1190</f>
        <v>0</v>
      </c>
      <c r="U2302" s="160">
        <f>ROUND((175/100)*ROUND([8]Source!R1189, 2), 2)</f>
        <v>0</v>
      </c>
      <c r="V2302" s="160">
        <f>ROUND((157/100)*ROUND([8]Source!R1190, 2), 2)</f>
        <v>0</v>
      </c>
    </row>
    <row r="2303" spans="1:22" ht="15" x14ac:dyDescent="0.25">
      <c r="A2303" s="235"/>
      <c r="B2303" s="235"/>
      <c r="C2303" s="236" t="s">
        <v>183</v>
      </c>
      <c r="D2303" s="235"/>
      <c r="E2303" s="235"/>
      <c r="F2303" s="235"/>
      <c r="G2303" s="235"/>
      <c r="H2303" s="436">
        <v>1336.4</v>
      </c>
      <c r="I2303" s="436"/>
      <c r="J2303" s="436">
        <v>18402.23</v>
      </c>
      <c r="K2303" s="436"/>
      <c r="O2303" s="163">
        <f>I2302</f>
        <v>1336.4</v>
      </c>
      <c r="P2303" s="163">
        <f>K2302</f>
        <v>18402.23</v>
      </c>
    </row>
    <row r="2305" spans="1:22" ht="57" x14ac:dyDescent="0.2">
      <c r="A2305" s="242" t="s">
        <v>3031</v>
      </c>
      <c r="B2305" s="241" t="s">
        <v>3032</v>
      </c>
      <c r="C2305" s="241" t="s">
        <v>946</v>
      </c>
      <c r="D2305" s="240" t="s">
        <v>1552</v>
      </c>
      <c r="E2305" s="238">
        <v>23</v>
      </c>
      <c r="F2305" s="253">
        <v>15.1</v>
      </c>
      <c r="G2305" s="239" t="s">
        <v>195</v>
      </c>
      <c r="H2305" s="238">
        <v>1</v>
      </c>
      <c r="I2305" s="237">
        <v>347.3</v>
      </c>
      <c r="J2305" s="238">
        <v>12.61</v>
      </c>
      <c r="K2305" s="237">
        <v>4379.45</v>
      </c>
      <c r="Q2305" s="160">
        <f>[8]Source!X1191</f>
        <v>0</v>
      </c>
      <c r="R2305" s="160">
        <f>[8]Source!X1192</f>
        <v>0</v>
      </c>
      <c r="S2305" s="160">
        <f>[8]Source!Y1191</f>
        <v>0</v>
      </c>
      <c r="T2305" s="160">
        <f>[8]Source!Y1192</f>
        <v>0</v>
      </c>
      <c r="U2305" s="160">
        <f>ROUND((175/100)*ROUND([8]Source!R1191, 2), 2)</f>
        <v>0</v>
      </c>
      <c r="V2305" s="160">
        <f>ROUND((157/100)*ROUND([8]Source!R1192, 2), 2)</f>
        <v>0</v>
      </c>
    </row>
    <row r="2306" spans="1:22" ht="15" x14ac:dyDescent="0.25">
      <c r="A2306" s="235"/>
      <c r="B2306" s="235"/>
      <c r="C2306" s="236" t="s">
        <v>183</v>
      </c>
      <c r="D2306" s="235"/>
      <c r="E2306" s="235"/>
      <c r="F2306" s="235"/>
      <c r="G2306" s="235"/>
      <c r="H2306" s="436">
        <v>347.3</v>
      </c>
      <c r="I2306" s="436"/>
      <c r="J2306" s="436">
        <v>4379.45</v>
      </c>
      <c r="K2306" s="436"/>
      <c r="O2306" s="163">
        <f>I2305</f>
        <v>347.3</v>
      </c>
      <c r="P2306" s="163">
        <f>K2305</f>
        <v>4379.45</v>
      </c>
    </row>
    <row r="2308" spans="1:22" ht="57" x14ac:dyDescent="0.2">
      <c r="A2308" s="242" t="s">
        <v>3033</v>
      </c>
      <c r="B2308" s="241" t="s">
        <v>3030</v>
      </c>
      <c r="C2308" s="241" t="s">
        <v>947</v>
      </c>
      <c r="D2308" s="240" t="s">
        <v>1552</v>
      </c>
      <c r="E2308" s="238">
        <v>270</v>
      </c>
      <c r="F2308" s="253">
        <v>10.28</v>
      </c>
      <c r="G2308" s="239" t="s">
        <v>195</v>
      </c>
      <c r="H2308" s="238">
        <v>1</v>
      </c>
      <c r="I2308" s="237">
        <v>2775.6</v>
      </c>
      <c r="J2308" s="238">
        <v>13.77</v>
      </c>
      <c r="K2308" s="237">
        <v>38220.01</v>
      </c>
      <c r="Q2308" s="160">
        <f>[8]Source!X1193</f>
        <v>0</v>
      </c>
      <c r="R2308" s="160">
        <f>[8]Source!X1194</f>
        <v>0</v>
      </c>
      <c r="S2308" s="160">
        <f>[8]Source!Y1193</f>
        <v>0</v>
      </c>
      <c r="T2308" s="160">
        <f>[8]Source!Y1194</f>
        <v>0</v>
      </c>
      <c r="U2308" s="160">
        <f>ROUND((175/100)*ROUND([8]Source!R1193, 2), 2)</f>
        <v>0</v>
      </c>
      <c r="V2308" s="160">
        <f>ROUND((157/100)*ROUND([8]Source!R1194, 2), 2)</f>
        <v>0</v>
      </c>
    </row>
    <row r="2309" spans="1:22" ht="15" x14ac:dyDescent="0.25">
      <c r="A2309" s="235"/>
      <c r="B2309" s="235"/>
      <c r="C2309" s="236" t="s">
        <v>183</v>
      </c>
      <c r="D2309" s="235"/>
      <c r="E2309" s="235"/>
      <c r="F2309" s="235"/>
      <c r="G2309" s="235"/>
      <c r="H2309" s="436">
        <v>2775.6</v>
      </c>
      <c r="I2309" s="436"/>
      <c r="J2309" s="436">
        <v>38220.01</v>
      </c>
      <c r="K2309" s="436"/>
      <c r="O2309" s="163">
        <f>I2308</f>
        <v>2775.6</v>
      </c>
      <c r="P2309" s="163">
        <f>K2308</f>
        <v>38220.01</v>
      </c>
    </row>
    <row r="2311" spans="1:22" ht="57" x14ac:dyDescent="0.2">
      <c r="A2311" s="242" t="s">
        <v>3034</v>
      </c>
      <c r="B2311" s="241" t="s">
        <v>3032</v>
      </c>
      <c r="C2311" s="241" t="s">
        <v>946</v>
      </c>
      <c r="D2311" s="240" t="s">
        <v>1552</v>
      </c>
      <c r="E2311" s="238">
        <v>96</v>
      </c>
      <c r="F2311" s="253">
        <v>15.1</v>
      </c>
      <c r="G2311" s="239" t="s">
        <v>195</v>
      </c>
      <c r="H2311" s="238">
        <v>1</v>
      </c>
      <c r="I2311" s="237">
        <v>1449.6</v>
      </c>
      <c r="J2311" s="238">
        <v>12.61</v>
      </c>
      <c r="K2311" s="237">
        <v>18279.46</v>
      </c>
      <c r="Q2311" s="160">
        <f>[8]Source!X1195</f>
        <v>0</v>
      </c>
      <c r="R2311" s="160">
        <f>[8]Source!X1196</f>
        <v>0</v>
      </c>
      <c r="S2311" s="160">
        <f>[8]Source!Y1195</f>
        <v>0</v>
      </c>
      <c r="T2311" s="160">
        <f>[8]Source!Y1196</f>
        <v>0</v>
      </c>
      <c r="U2311" s="160">
        <f>ROUND((175/100)*ROUND([8]Source!R1195, 2), 2)</f>
        <v>0</v>
      </c>
      <c r="V2311" s="160">
        <f>ROUND((157/100)*ROUND([8]Source!R1196, 2), 2)</f>
        <v>0</v>
      </c>
    </row>
    <row r="2312" spans="1:22" ht="15" x14ac:dyDescent="0.25">
      <c r="A2312" s="235"/>
      <c r="B2312" s="235"/>
      <c r="C2312" s="236" t="s">
        <v>183</v>
      </c>
      <c r="D2312" s="235"/>
      <c r="E2312" s="235"/>
      <c r="F2312" s="235"/>
      <c r="G2312" s="235"/>
      <c r="H2312" s="436">
        <v>1449.6</v>
      </c>
      <c r="I2312" s="436"/>
      <c r="J2312" s="436">
        <v>18279.46</v>
      </c>
      <c r="K2312" s="436"/>
      <c r="O2312" s="163">
        <f>I2311</f>
        <v>1449.6</v>
      </c>
      <c r="P2312" s="163">
        <f>K2311</f>
        <v>18279.46</v>
      </c>
    </row>
    <row r="2314" spans="1:22" ht="42.75" x14ac:dyDescent="0.2">
      <c r="A2314" s="179" t="s">
        <v>3035</v>
      </c>
      <c r="B2314" s="178" t="s">
        <v>3036</v>
      </c>
      <c r="C2314" s="178" t="s">
        <v>945</v>
      </c>
      <c r="D2314" s="177" t="s">
        <v>1697</v>
      </c>
      <c r="E2314" s="174">
        <v>28</v>
      </c>
      <c r="F2314" s="176"/>
      <c r="G2314" s="175"/>
      <c r="H2314" s="174"/>
      <c r="I2314" s="173"/>
      <c r="J2314" s="174"/>
      <c r="K2314" s="173"/>
      <c r="Q2314" s="160">
        <f>[8]Source!X1197</f>
        <v>2367.5100000000002</v>
      </c>
      <c r="R2314" s="160">
        <f>[8]Source!X1198</f>
        <v>56106.5</v>
      </c>
      <c r="S2314" s="160">
        <f>[8]Source!Y1197</f>
        <v>2367.5100000000002</v>
      </c>
      <c r="T2314" s="160">
        <f>[8]Source!Y1198</f>
        <v>33828.92</v>
      </c>
      <c r="U2314" s="160">
        <f>ROUND((175/100)*ROUND([8]Source!R1197, 2), 2)</f>
        <v>117.6</v>
      </c>
      <c r="V2314" s="160">
        <f>ROUND((157/100)*ROUND([8]Source!R1198, 2), 2)</f>
        <v>2463.52</v>
      </c>
    </row>
    <row r="2315" spans="1:22" x14ac:dyDescent="0.2">
      <c r="C2315" s="181" t="s">
        <v>3037</v>
      </c>
    </row>
    <row r="2316" spans="1:22" ht="14.25" x14ac:dyDescent="0.2">
      <c r="A2316" s="179"/>
      <c r="B2316" s="178"/>
      <c r="C2316" s="178" t="s">
        <v>197</v>
      </c>
      <c r="D2316" s="177"/>
      <c r="E2316" s="174"/>
      <c r="F2316" s="176">
        <v>126.2</v>
      </c>
      <c r="G2316" s="175" t="s">
        <v>195</v>
      </c>
      <c r="H2316" s="174">
        <v>1</v>
      </c>
      <c r="I2316" s="173">
        <v>3533.6</v>
      </c>
      <c r="J2316" s="174">
        <v>23.35</v>
      </c>
      <c r="K2316" s="173">
        <v>82509.56</v>
      </c>
    </row>
    <row r="2317" spans="1:22" ht="14.25" x14ac:dyDescent="0.2">
      <c r="A2317" s="179"/>
      <c r="B2317" s="178"/>
      <c r="C2317" s="178" t="s">
        <v>184</v>
      </c>
      <c r="D2317" s="177"/>
      <c r="E2317" s="174"/>
      <c r="F2317" s="176">
        <v>9.6999999999999993</v>
      </c>
      <c r="G2317" s="175" t="s">
        <v>195</v>
      </c>
      <c r="H2317" s="174">
        <v>1</v>
      </c>
      <c r="I2317" s="173">
        <v>271.60000000000002</v>
      </c>
      <c r="J2317" s="174">
        <v>9.8000000000000007</v>
      </c>
      <c r="K2317" s="173">
        <v>2661.68</v>
      </c>
    </row>
    <row r="2318" spans="1:22" ht="14.25" x14ac:dyDescent="0.2">
      <c r="A2318" s="179"/>
      <c r="B2318" s="178"/>
      <c r="C2318" s="178" t="s">
        <v>189</v>
      </c>
      <c r="D2318" s="177"/>
      <c r="E2318" s="174"/>
      <c r="F2318" s="176">
        <v>2.4</v>
      </c>
      <c r="G2318" s="175" t="s">
        <v>195</v>
      </c>
      <c r="H2318" s="174">
        <v>1</v>
      </c>
      <c r="I2318" s="180">
        <v>67.2</v>
      </c>
      <c r="J2318" s="174">
        <v>23.35</v>
      </c>
      <c r="K2318" s="180">
        <v>1569.12</v>
      </c>
    </row>
    <row r="2319" spans="1:22" ht="14.25" x14ac:dyDescent="0.2">
      <c r="A2319" s="179"/>
      <c r="B2319" s="178"/>
      <c r="C2319" s="178" t="s">
        <v>205</v>
      </c>
      <c r="D2319" s="177"/>
      <c r="E2319" s="174"/>
      <c r="F2319" s="176">
        <v>10.7</v>
      </c>
      <c r="G2319" s="175" t="s">
        <v>195</v>
      </c>
      <c r="H2319" s="174">
        <v>1</v>
      </c>
      <c r="I2319" s="173">
        <v>299.60000000000002</v>
      </c>
      <c r="J2319" s="174">
        <v>5.42</v>
      </c>
      <c r="K2319" s="173">
        <v>1623.83</v>
      </c>
    </row>
    <row r="2320" spans="1:22" ht="14.25" x14ac:dyDescent="0.2">
      <c r="A2320" s="179"/>
      <c r="B2320" s="178"/>
      <c r="C2320" s="178" t="s">
        <v>194</v>
      </c>
      <c r="D2320" s="177" t="s">
        <v>187</v>
      </c>
      <c r="E2320" s="174">
        <v>67</v>
      </c>
      <c r="F2320" s="176"/>
      <c r="G2320" s="175"/>
      <c r="H2320" s="174"/>
      <c r="I2320" s="173">
        <v>2367.5100000000002</v>
      </c>
      <c r="J2320" s="174">
        <v>68</v>
      </c>
      <c r="K2320" s="173">
        <v>56106.5</v>
      </c>
    </row>
    <row r="2321" spans="1:22" ht="14.25" x14ac:dyDescent="0.2">
      <c r="A2321" s="179"/>
      <c r="B2321" s="178"/>
      <c r="C2321" s="178" t="s">
        <v>193</v>
      </c>
      <c r="D2321" s="177" t="s">
        <v>187</v>
      </c>
      <c r="E2321" s="174">
        <v>67</v>
      </c>
      <c r="F2321" s="176"/>
      <c r="G2321" s="175"/>
      <c r="H2321" s="174"/>
      <c r="I2321" s="173">
        <v>2367.5100000000002</v>
      </c>
      <c r="J2321" s="174">
        <v>41</v>
      </c>
      <c r="K2321" s="173">
        <v>33828.92</v>
      </c>
    </row>
    <row r="2322" spans="1:22" ht="14.25" x14ac:dyDescent="0.2">
      <c r="A2322" s="179"/>
      <c r="B2322" s="178"/>
      <c r="C2322" s="178" t="s">
        <v>188</v>
      </c>
      <c r="D2322" s="177" t="s">
        <v>187</v>
      </c>
      <c r="E2322" s="174">
        <v>175</v>
      </c>
      <c r="F2322" s="176"/>
      <c r="G2322" s="175"/>
      <c r="H2322" s="174"/>
      <c r="I2322" s="173">
        <v>117.6</v>
      </c>
      <c r="J2322" s="174">
        <v>157</v>
      </c>
      <c r="K2322" s="173">
        <v>2463.52</v>
      </c>
    </row>
    <row r="2323" spans="1:22" ht="14.25" x14ac:dyDescent="0.2">
      <c r="A2323" s="242"/>
      <c r="B2323" s="241"/>
      <c r="C2323" s="241" t="s">
        <v>192</v>
      </c>
      <c r="D2323" s="240" t="s">
        <v>191</v>
      </c>
      <c r="E2323" s="238">
        <v>10</v>
      </c>
      <c r="F2323" s="253"/>
      <c r="G2323" s="239" t="s">
        <v>195</v>
      </c>
      <c r="H2323" s="238">
        <v>1</v>
      </c>
      <c r="I2323" s="237">
        <v>280</v>
      </c>
      <c r="J2323" s="238"/>
      <c r="K2323" s="237"/>
    </row>
    <row r="2324" spans="1:22" ht="15" x14ac:dyDescent="0.25">
      <c r="A2324" s="235"/>
      <c r="B2324" s="235"/>
      <c r="C2324" s="236" t="s">
        <v>183</v>
      </c>
      <c r="D2324" s="235"/>
      <c r="E2324" s="235"/>
      <c r="F2324" s="235"/>
      <c r="G2324" s="235"/>
      <c r="H2324" s="436">
        <v>8957.42</v>
      </c>
      <c r="I2324" s="436"/>
      <c r="J2324" s="436">
        <v>179194.01</v>
      </c>
      <c r="K2324" s="436"/>
      <c r="O2324" s="163">
        <f>I2316+I2317+I2319+I2320+I2321+I2322</f>
        <v>8957.42</v>
      </c>
      <c r="P2324" s="163">
        <f>K2316+K2317+K2319+K2320+K2321+K2322</f>
        <v>179194.01</v>
      </c>
    </row>
    <row r="2326" spans="1:22" ht="57" x14ac:dyDescent="0.2">
      <c r="A2326" s="242" t="s">
        <v>3038</v>
      </c>
      <c r="B2326" s="241" t="s">
        <v>3039</v>
      </c>
      <c r="C2326" s="241" t="s">
        <v>944</v>
      </c>
      <c r="D2326" s="240" t="s">
        <v>1552</v>
      </c>
      <c r="E2326" s="238">
        <v>184</v>
      </c>
      <c r="F2326" s="253">
        <v>17.55</v>
      </c>
      <c r="G2326" s="239" t="s">
        <v>195</v>
      </c>
      <c r="H2326" s="238">
        <v>1</v>
      </c>
      <c r="I2326" s="237">
        <v>3229.2</v>
      </c>
      <c r="J2326" s="238">
        <v>13.28</v>
      </c>
      <c r="K2326" s="237">
        <v>42883.78</v>
      </c>
      <c r="Q2326" s="160">
        <f>[8]Source!X1199</f>
        <v>0</v>
      </c>
      <c r="R2326" s="160">
        <f>[8]Source!X1200</f>
        <v>0</v>
      </c>
      <c r="S2326" s="160">
        <f>[8]Source!Y1199</f>
        <v>0</v>
      </c>
      <c r="T2326" s="160">
        <f>[8]Source!Y1200</f>
        <v>0</v>
      </c>
      <c r="U2326" s="160">
        <f>ROUND((175/100)*ROUND([8]Source!R1199, 2), 2)</f>
        <v>0</v>
      </c>
      <c r="V2326" s="160">
        <f>ROUND((157/100)*ROUND([8]Source!R1200, 2), 2)</f>
        <v>0</v>
      </c>
    </row>
    <row r="2327" spans="1:22" ht="15" x14ac:dyDescent="0.25">
      <c r="A2327" s="235"/>
      <c r="B2327" s="235"/>
      <c r="C2327" s="236" t="s">
        <v>183</v>
      </c>
      <c r="D2327" s="235"/>
      <c r="E2327" s="235"/>
      <c r="F2327" s="235"/>
      <c r="G2327" s="235"/>
      <c r="H2327" s="436">
        <v>3229.2</v>
      </c>
      <c r="I2327" s="436"/>
      <c r="J2327" s="436">
        <v>42883.78</v>
      </c>
      <c r="K2327" s="436"/>
      <c r="O2327" s="163">
        <f>I2326</f>
        <v>3229.2</v>
      </c>
      <c r="P2327" s="163">
        <f>K2326</f>
        <v>42883.78</v>
      </c>
    </row>
    <row r="2329" spans="1:22" ht="57" x14ac:dyDescent="0.2">
      <c r="A2329" s="242" t="s">
        <v>3040</v>
      </c>
      <c r="B2329" s="241" t="s">
        <v>3041</v>
      </c>
      <c r="C2329" s="241" t="s">
        <v>943</v>
      </c>
      <c r="D2329" s="240" t="s">
        <v>1552</v>
      </c>
      <c r="E2329" s="238">
        <v>30</v>
      </c>
      <c r="F2329" s="253">
        <v>26.84</v>
      </c>
      <c r="G2329" s="239" t="s">
        <v>195</v>
      </c>
      <c r="H2329" s="238">
        <v>1</v>
      </c>
      <c r="I2329" s="237">
        <v>805.2</v>
      </c>
      <c r="J2329" s="238">
        <v>13.97</v>
      </c>
      <c r="K2329" s="237">
        <v>11248.64</v>
      </c>
      <c r="Q2329" s="160">
        <f>[8]Source!X1201</f>
        <v>0</v>
      </c>
      <c r="R2329" s="160">
        <f>[8]Source!X1202</f>
        <v>0</v>
      </c>
      <c r="S2329" s="160">
        <f>[8]Source!Y1201</f>
        <v>0</v>
      </c>
      <c r="T2329" s="160">
        <f>[8]Source!Y1202</f>
        <v>0</v>
      </c>
      <c r="U2329" s="160">
        <f>ROUND((175/100)*ROUND([8]Source!R1201, 2), 2)</f>
        <v>0</v>
      </c>
      <c r="V2329" s="160">
        <f>ROUND((157/100)*ROUND([8]Source!R1202, 2), 2)</f>
        <v>0</v>
      </c>
    </row>
    <row r="2330" spans="1:22" ht="15" x14ac:dyDescent="0.25">
      <c r="A2330" s="235"/>
      <c r="B2330" s="235"/>
      <c r="C2330" s="236" t="s">
        <v>183</v>
      </c>
      <c r="D2330" s="235"/>
      <c r="E2330" s="235"/>
      <c r="F2330" s="235"/>
      <c r="G2330" s="235"/>
      <c r="H2330" s="436">
        <v>805.2</v>
      </c>
      <c r="I2330" s="436"/>
      <c r="J2330" s="436">
        <v>11248.64</v>
      </c>
      <c r="K2330" s="436"/>
      <c r="O2330" s="163">
        <f>I2329</f>
        <v>805.2</v>
      </c>
      <c r="P2330" s="163">
        <f>K2329</f>
        <v>11248.64</v>
      </c>
    </row>
    <row r="2332" spans="1:22" ht="57" x14ac:dyDescent="0.2">
      <c r="A2332" s="242" t="s">
        <v>3042</v>
      </c>
      <c r="B2332" s="241" t="s">
        <v>3043</v>
      </c>
      <c r="C2332" s="241" t="s">
        <v>942</v>
      </c>
      <c r="D2332" s="240" t="s">
        <v>1552</v>
      </c>
      <c r="E2332" s="238">
        <v>66</v>
      </c>
      <c r="F2332" s="253">
        <v>44.57</v>
      </c>
      <c r="G2332" s="239" t="s">
        <v>195</v>
      </c>
      <c r="H2332" s="238">
        <v>1</v>
      </c>
      <c r="I2332" s="237">
        <v>2941.62</v>
      </c>
      <c r="J2332" s="238">
        <v>11.83</v>
      </c>
      <c r="K2332" s="237">
        <v>34799.360000000001</v>
      </c>
      <c r="Q2332" s="160">
        <f>[8]Source!X1203</f>
        <v>0</v>
      </c>
      <c r="R2332" s="160">
        <f>[8]Source!X1204</f>
        <v>0</v>
      </c>
      <c r="S2332" s="160">
        <f>[8]Source!Y1203</f>
        <v>0</v>
      </c>
      <c r="T2332" s="160">
        <f>[8]Source!Y1204</f>
        <v>0</v>
      </c>
      <c r="U2332" s="160">
        <f>ROUND((175/100)*ROUND([8]Source!R1203, 2), 2)</f>
        <v>0</v>
      </c>
      <c r="V2332" s="160">
        <f>ROUND((157/100)*ROUND([8]Source!R1204, 2), 2)</f>
        <v>0</v>
      </c>
    </row>
    <row r="2333" spans="1:22" ht="15" x14ac:dyDescent="0.25">
      <c r="A2333" s="235"/>
      <c r="B2333" s="235"/>
      <c r="C2333" s="236" t="s">
        <v>183</v>
      </c>
      <c r="D2333" s="235"/>
      <c r="E2333" s="235"/>
      <c r="F2333" s="235"/>
      <c r="G2333" s="235"/>
      <c r="H2333" s="436">
        <v>2941.62</v>
      </c>
      <c r="I2333" s="436"/>
      <c r="J2333" s="436">
        <v>34799.360000000001</v>
      </c>
      <c r="K2333" s="436"/>
      <c r="O2333" s="163">
        <f>I2332</f>
        <v>2941.62</v>
      </c>
      <c r="P2333" s="163">
        <f>K2332</f>
        <v>34799.360000000001</v>
      </c>
    </row>
    <row r="2335" spans="1:22" ht="42.75" x14ac:dyDescent="0.2">
      <c r="A2335" s="179" t="s">
        <v>3044</v>
      </c>
      <c r="B2335" s="178" t="s">
        <v>3045</v>
      </c>
      <c r="C2335" s="178" t="s">
        <v>941</v>
      </c>
      <c r="D2335" s="177" t="s">
        <v>1697</v>
      </c>
      <c r="E2335" s="174">
        <v>7.2</v>
      </c>
      <c r="F2335" s="176"/>
      <c r="G2335" s="175"/>
      <c r="H2335" s="174"/>
      <c r="I2335" s="173"/>
      <c r="J2335" s="174"/>
      <c r="K2335" s="173"/>
      <c r="Q2335" s="160">
        <f>[8]Source!X1205</f>
        <v>608.79</v>
      </c>
      <c r="R2335" s="160">
        <f>[8]Source!X1206</f>
        <v>14427.38</v>
      </c>
      <c r="S2335" s="160">
        <f>[8]Source!Y1205</f>
        <v>608.79</v>
      </c>
      <c r="T2335" s="160">
        <f>[8]Source!Y1206</f>
        <v>8698.86</v>
      </c>
      <c r="U2335" s="160">
        <f>ROUND((175/100)*ROUND([8]Source!R1205, 2), 2)</f>
        <v>40.83</v>
      </c>
      <c r="V2335" s="160">
        <f>ROUND((157/100)*ROUND([8]Source!R1206, 2), 2)</f>
        <v>855.27</v>
      </c>
    </row>
    <row r="2336" spans="1:22" x14ac:dyDescent="0.2">
      <c r="C2336" s="181" t="s">
        <v>3046</v>
      </c>
    </row>
    <row r="2337" spans="1:22" ht="14.25" x14ac:dyDescent="0.2">
      <c r="A2337" s="179"/>
      <c r="B2337" s="178"/>
      <c r="C2337" s="178" t="s">
        <v>197</v>
      </c>
      <c r="D2337" s="177"/>
      <c r="E2337" s="174"/>
      <c r="F2337" s="176">
        <v>126.2</v>
      </c>
      <c r="G2337" s="175" t="s">
        <v>195</v>
      </c>
      <c r="H2337" s="174">
        <v>1</v>
      </c>
      <c r="I2337" s="173">
        <v>908.64</v>
      </c>
      <c r="J2337" s="174">
        <v>23.35</v>
      </c>
      <c r="K2337" s="173">
        <v>21216.74</v>
      </c>
    </row>
    <row r="2338" spans="1:22" ht="14.25" x14ac:dyDescent="0.2">
      <c r="A2338" s="179"/>
      <c r="B2338" s="178"/>
      <c r="C2338" s="178" t="s">
        <v>184</v>
      </c>
      <c r="D2338" s="177"/>
      <c r="E2338" s="174"/>
      <c r="F2338" s="176">
        <v>13.18</v>
      </c>
      <c r="G2338" s="175" t="s">
        <v>195</v>
      </c>
      <c r="H2338" s="174">
        <v>1</v>
      </c>
      <c r="I2338" s="173">
        <v>94.9</v>
      </c>
      <c r="J2338" s="174">
        <v>9.77</v>
      </c>
      <c r="K2338" s="173">
        <v>927.17</v>
      </c>
    </row>
    <row r="2339" spans="1:22" ht="14.25" x14ac:dyDescent="0.2">
      <c r="A2339" s="179"/>
      <c r="B2339" s="178"/>
      <c r="C2339" s="178" t="s">
        <v>189</v>
      </c>
      <c r="D2339" s="177"/>
      <c r="E2339" s="174"/>
      <c r="F2339" s="176">
        <v>3.24</v>
      </c>
      <c r="G2339" s="175" t="s">
        <v>195</v>
      </c>
      <c r="H2339" s="174">
        <v>1</v>
      </c>
      <c r="I2339" s="180">
        <v>23.33</v>
      </c>
      <c r="J2339" s="174">
        <v>23.35</v>
      </c>
      <c r="K2339" s="180">
        <v>544.76</v>
      </c>
    </row>
    <row r="2340" spans="1:22" ht="14.25" x14ac:dyDescent="0.2">
      <c r="A2340" s="179"/>
      <c r="B2340" s="178"/>
      <c r="C2340" s="178" t="s">
        <v>205</v>
      </c>
      <c r="D2340" s="177"/>
      <c r="E2340" s="174"/>
      <c r="F2340" s="176">
        <v>24.58</v>
      </c>
      <c r="G2340" s="175" t="s">
        <v>195</v>
      </c>
      <c r="H2340" s="174">
        <v>1</v>
      </c>
      <c r="I2340" s="173">
        <v>176.98</v>
      </c>
      <c r="J2340" s="174">
        <v>5.42</v>
      </c>
      <c r="K2340" s="173">
        <v>959.23</v>
      </c>
    </row>
    <row r="2341" spans="1:22" ht="14.25" x14ac:dyDescent="0.2">
      <c r="A2341" s="179"/>
      <c r="B2341" s="178"/>
      <c r="C2341" s="178" t="s">
        <v>194</v>
      </c>
      <c r="D2341" s="177" t="s">
        <v>187</v>
      </c>
      <c r="E2341" s="174">
        <v>67</v>
      </c>
      <c r="F2341" s="176"/>
      <c r="G2341" s="175"/>
      <c r="H2341" s="174"/>
      <c r="I2341" s="173">
        <v>608.79</v>
      </c>
      <c r="J2341" s="174">
        <v>68</v>
      </c>
      <c r="K2341" s="173">
        <v>14427.38</v>
      </c>
    </row>
    <row r="2342" spans="1:22" ht="14.25" x14ac:dyDescent="0.2">
      <c r="A2342" s="179"/>
      <c r="B2342" s="178"/>
      <c r="C2342" s="178" t="s">
        <v>193</v>
      </c>
      <c r="D2342" s="177" t="s">
        <v>187</v>
      </c>
      <c r="E2342" s="174">
        <v>67</v>
      </c>
      <c r="F2342" s="176"/>
      <c r="G2342" s="175"/>
      <c r="H2342" s="174"/>
      <c r="I2342" s="173">
        <v>608.79</v>
      </c>
      <c r="J2342" s="174">
        <v>41</v>
      </c>
      <c r="K2342" s="173">
        <v>8698.86</v>
      </c>
    </row>
    <row r="2343" spans="1:22" ht="14.25" x14ac:dyDescent="0.2">
      <c r="A2343" s="179"/>
      <c r="B2343" s="178"/>
      <c r="C2343" s="178" t="s">
        <v>188</v>
      </c>
      <c r="D2343" s="177" t="s">
        <v>187</v>
      </c>
      <c r="E2343" s="174">
        <v>175</v>
      </c>
      <c r="F2343" s="176"/>
      <c r="G2343" s="175"/>
      <c r="H2343" s="174"/>
      <c r="I2343" s="173">
        <v>40.83</v>
      </c>
      <c r="J2343" s="174">
        <v>157</v>
      </c>
      <c r="K2343" s="173">
        <v>855.27</v>
      </c>
    </row>
    <row r="2344" spans="1:22" ht="14.25" x14ac:dyDescent="0.2">
      <c r="A2344" s="242"/>
      <c r="B2344" s="241"/>
      <c r="C2344" s="241" t="s">
        <v>192</v>
      </c>
      <c r="D2344" s="240" t="s">
        <v>191</v>
      </c>
      <c r="E2344" s="238">
        <v>10</v>
      </c>
      <c r="F2344" s="253"/>
      <c r="G2344" s="239" t="s">
        <v>195</v>
      </c>
      <c r="H2344" s="238">
        <v>1</v>
      </c>
      <c r="I2344" s="237">
        <v>72</v>
      </c>
      <c r="J2344" s="238"/>
      <c r="K2344" s="237"/>
    </row>
    <row r="2345" spans="1:22" ht="15" x14ac:dyDescent="0.25">
      <c r="A2345" s="235"/>
      <c r="B2345" s="235"/>
      <c r="C2345" s="236" t="s">
        <v>183</v>
      </c>
      <c r="D2345" s="235"/>
      <c r="E2345" s="235"/>
      <c r="F2345" s="235"/>
      <c r="G2345" s="235"/>
      <c r="H2345" s="436">
        <v>2438.9299999999998</v>
      </c>
      <c r="I2345" s="436"/>
      <c r="J2345" s="436">
        <v>47084.65</v>
      </c>
      <c r="K2345" s="436"/>
      <c r="O2345" s="163">
        <f>I2337+I2338+I2340+I2341+I2342+I2343</f>
        <v>2438.9299999999998</v>
      </c>
      <c r="P2345" s="163">
        <f>K2337+K2338+K2340+K2341+K2342+K2343</f>
        <v>47084.65</v>
      </c>
    </row>
    <row r="2347" spans="1:22" ht="42.75" x14ac:dyDescent="0.2">
      <c r="A2347" s="242" t="s">
        <v>3047</v>
      </c>
      <c r="B2347" s="241" t="s">
        <v>3048</v>
      </c>
      <c r="C2347" s="241" t="s">
        <v>940</v>
      </c>
      <c r="D2347" s="240" t="s">
        <v>1552</v>
      </c>
      <c r="E2347" s="238">
        <v>72</v>
      </c>
      <c r="F2347" s="253">
        <v>44.26</v>
      </c>
      <c r="G2347" s="239" t="s">
        <v>195</v>
      </c>
      <c r="H2347" s="238">
        <v>1</v>
      </c>
      <c r="I2347" s="237">
        <v>3186.72</v>
      </c>
      <c r="J2347" s="238">
        <v>13.94</v>
      </c>
      <c r="K2347" s="237">
        <v>44422.879999999997</v>
      </c>
      <c r="Q2347" s="160">
        <f>[8]Source!X1207</f>
        <v>0</v>
      </c>
      <c r="R2347" s="160">
        <f>[8]Source!X1208</f>
        <v>0</v>
      </c>
      <c r="S2347" s="160">
        <f>[8]Source!Y1207</f>
        <v>0</v>
      </c>
      <c r="T2347" s="160">
        <f>[8]Source!Y1208</f>
        <v>0</v>
      </c>
      <c r="U2347" s="160">
        <f>ROUND((175/100)*ROUND([8]Source!R1207, 2), 2)</f>
        <v>0</v>
      </c>
      <c r="V2347" s="160">
        <f>ROUND((157/100)*ROUND([8]Source!R1208, 2), 2)</f>
        <v>0</v>
      </c>
    </row>
    <row r="2348" spans="1:22" ht="15" x14ac:dyDescent="0.25">
      <c r="A2348" s="235"/>
      <c r="B2348" s="235"/>
      <c r="C2348" s="236" t="s">
        <v>183</v>
      </c>
      <c r="D2348" s="235"/>
      <c r="E2348" s="235"/>
      <c r="F2348" s="235"/>
      <c r="G2348" s="235"/>
      <c r="H2348" s="436">
        <v>3186.72</v>
      </c>
      <c r="I2348" s="436"/>
      <c r="J2348" s="436">
        <v>44422.879999999997</v>
      </c>
      <c r="K2348" s="436"/>
      <c r="O2348" s="163">
        <f>I2347</f>
        <v>3186.72</v>
      </c>
      <c r="P2348" s="163">
        <f>K2347</f>
        <v>44422.879999999997</v>
      </c>
    </row>
    <row r="2350" spans="1:22" ht="42.75" x14ac:dyDescent="0.2">
      <c r="A2350" s="179" t="s">
        <v>3049</v>
      </c>
      <c r="B2350" s="178" t="s">
        <v>3050</v>
      </c>
      <c r="C2350" s="178" t="s">
        <v>939</v>
      </c>
      <c r="D2350" s="177" t="s">
        <v>1697</v>
      </c>
      <c r="E2350" s="174">
        <v>8.6999999999999993</v>
      </c>
      <c r="F2350" s="176"/>
      <c r="G2350" s="175"/>
      <c r="H2350" s="174"/>
      <c r="I2350" s="173"/>
      <c r="J2350" s="174"/>
      <c r="K2350" s="173"/>
      <c r="Q2350" s="160">
        <f>[8]Source!X1209</f>
        <v>735.62</v>
      </c>
      <c r="R2350" s="160">
        <f>[8]Source!X1210</f>
        <v>17433.09</v>
      </c>
      <c r="S2350" s="160">
        <f>[8]Source!Y1209</f>
        <v>735.62</v>
      </c>
      <c r="T2350" s="160">
        <f>[8]Source!Y1210</f>
        <v>10511.13</v>
      </c>
      <c r="U2350" s="160">
        <f>ROUND((175/100)*ROUND([8]Source!R1209, 2), 2)</f>
        <v>126.98</v>
      </c>
      <c r="V2350" s="160">
        <f>ROUND((157/100)*ROUND([8]Source!R1210, 2), 2)</f>
        <v>2660.02</v>
      </c>
    </row>
    <row r="2351" spans="1:22" x14ac:dyDescent="0.2">
      <c r="C2351" s="181" t="s">
        <v>3051</v>
      </c>
    </row>
    <row r="2352" spans="1:22" ht="14.25" x14ac:dyDescent="0.2">
      <c r="A2352" s="179"/>
      <c r="B2352" s="178"/>
      <c r="C2352" s="178" t="s">
        <v>197</v>
      </c>
      <c r="D2352" s="177"/>
      <c r="E2352" s="174"/>
      <c r="F2352" s="176">
        <v>126.2</v>
      </c>
      <c r="G2352" s="175" t="s">
        <v>195</v>
      </c>
      <c r="H2352" s="174">
        <v>1</v>
      </c>
      <c r="I2352" s="173">
        <v>1097.94</v>
      </c>
      <c r="J2352" s="174">
        <v>23.35</v>
      </c>
      <c r="K2352" s="173">
        <v>25636.9</v>
      </c>
    </row>
    <row r="2353" spans="1:22" ht="14.25" x14ac:dyDescent="0.2">
      <c r="A2353" s="179"/>
      <c r="B2353" s="178"/>
      <c r="C2353" s="178" t="s">
        <v>184</v>
      </c>
      <c r="D2353" s="177"/>
      <c r="E2353" s="174"/>
      <c r="F2353" s="176">
        <v>35.4</v>
      </c>
      <c r="G2353" s="175" t="s">
        <v>195</v>
      </c>
      <c r="H2353" s="174">
        <v>1</v>
      </c>
      <c r="I2353" s="173">
        <v>307.98</v>
      </c>
      <c r="J2353" s="174">
        <v>9.59</v>
      </c>
      <c r="K2353" s="173">
        <v>2953.53</v>
      </c>
    </row>
    <row r="2354" spans="1:22" ht="14.25" x14ac:dyDescent="0.2">
      <c r="A2354" s="179"/>
      <c r="B2354" s="178"/>
      <c r="C2354" s="178" t="s">
        <v>189</v>
      </c>
      <c r="D2354" s="177"/>
      <c r="E2354" s="174"/>
      <c r="F2354" s="176">
        <v>8.34</v>
      </c>
      <c r="G2354" s="175" t="s">
        <v>195</v>
      </c>
      <c r="H2354" s="174">
        <v>1</v>
      </c>
      <c r="I2354" s="180">
        <v>72.56</v>
      </c>
      <c r="J2354" s="174">
        <v>23.35</v>
      </c>
      <c r="K2354" s="180">
        <v>1694.28</v>
      </c>
    </row>
    <row r="2355" spans="1:22" ht="14.25" x14ac:dyDescent="0.2">
      <c r="A2355" s="179"/>
      <c r="B2355" s="178"/>
      <c r="C2355" s="178" t="s">
        <v>205</v>
      </c>
      <c r="D2355" s="177"/>
      <c r="E2355" s="174"/>
      <c r="F2355" s="176">
        <v>26.29</v>
      </c>
      <c r="G2355" s="175" t="s">
        <v>195</v>
      </c>
      <c r="H2355" s="174">
        <v>1</v>
      </c>
      <c r="I2355" s="173">
        <v>228.72</v>
      </c>
      <c r="J2355" s="174">
        <v>5.42</v>
      </c>
      <c r="K2355" s="173">
        <v>1239.6600000000001</v>
      </c>
    </row>
    <row r="2356" spans="1:22" ht="14.25" x14ac:dyDescent="0.2">
      <c r="A2356" s="179"/>
      <c r="B2356" s="178"/>
      <c r="C2356" s="178" t="s">
        <v>194</v>
      </c>
      <c r="D2356" s="177" t="s">
        <v>187</v>
      </c>
      <c r="E2356" s="174">
        <v>67</v>
      </c>
      <c r="F2356" s="176"/>
      <c r="G2356" s="175"/>
      <c r="H2356" s="174"/>
      <c r="I2356" s="173">
        <v>735.62</v>
      </c>
      <c r="J2356" s="174">
        <v>68</v>
      </c>
      <c r="K2356" s="173">
        <v>17433.09</v>
      </c>
    </row>
    <row r="2357" spans="1:22" ht="14.25" x14ac:dyDescent="0.2">
      <c r="A2357" s="179"/>
      <c r="B2357" s="178"/>
      <c r="C2357" s="178" t="s">
        <v>193</v>
      </c>
      <c r="D2357" s="177" t="s">
        <v>187</v>
      </c>
      <c r="E2357" s="174">
        <v>67</v>
      </c>
      <c r="F2357" s="176"/>
      <c r="G2357" s="175"/>
      <c r="H2357" s="174"/>
      <c r="I2357" s="173">
        <v>735.62</v>
      </c>
      <c r="J2357" s="174">
        <v>41</v>
      </c>
      <c r="K2357" s="173">
        <v>10511.13</v>
      </c>
    </row>
    <row r="2358" spans="1:22" ht="14.25" x14ac:dyDescent="0.2">
      <c r="A2358" s="179"/>
      <c r="B2358" s="178"/>
      <c r="C2358" s="178" t="s">
        <v>188</v>
      </c>
      <c r="D2358" s="177" t="s">
        <v>187</v>
      </c>
      <c r="E2358" s="174">
        <v>175</v>
      </c>
      <c r="F2358" s="176"/>
      <c r="G2358" s="175"/>
      <c r="H2358" s="174"/>
      <c r="I2358" s="173">
        <v>126.98</v>
      </c>
      <c r="J2358" s="174">
        <v>157</v>
      </c>
      <c r="K2358" s="173">
        <v>2660.02</v>
      </c>
    </row>
    <row r="2359" spans="1:22" ht="14.25" x14ac:dyDescent="0.2">
      <c r="A2359" s="242"/>
      <c r="B2359" s="241"/>
      <c r="C2359" s="241" t="s">
        <v>192</v>
      </c>
      <c r="D2359" s="240" t="s">
        <v>191</v>
      </c>
      <c r="E2359" s="238">
        <v>10</v>
      </c>
      <c r="F2359" s="253"/>
      <c r="G2359" s="239" t="s">
        <v>195</v>
      </c>
      <c r="H2359" s="238">
        <v>1</v>
      </c>
      <c r="I2359" s="237">
        <v>87</v>
      </c>
      <c r="J2359" s="238"/>
      <c r="K2359" s="237"/>
    </row>
    <row r="2360" spans="1:22" ht="15" x14ac:dyDescent="0.25">
      <c r="A2360" s="235"/>
      <c r="B2360" s="235"/>
      <c r="C2360" s="236" t="s">
        <v>183</v>
      </c>
      <c r="D2360" s="235"/>
      <c r="E2360" s="235"/>
      <c r="F2360" s="235"/>
      <c r="G2360" s="235"/>
      <c r="H2360" s="436">
        <v>3232.86</v>
      </c>
      <c r="I2360" s="436"/>
      <c r="J2360" s="436">
        <v>60434.33</v>
      </c>
      <c r="K2360" s="436"/>
      <c r="O2360" s="163">
        <f>I2352+I2353+I2355+I2356+I2357+I2358</f>
        <v>3232.86</v>
      </c>
      <c r="P2360" s="163">
        <f>K2352+K2353+K2355+K2356+K2357+K2358</f>
        <v>60434.33</v>
      </c>
    </row>
    <row r="2362" spans="1:22" ht="42.75" x14ac:dyDescent="0.2">
      <c r="A2362" s="242" t="s">
        <v>3052</v>
      </c>
      <c r="B2362" s="241" t="s">
        <v>3053</v>
      </c>
      <c r="C2362" s="241" t="s">
        <v>938</v>
      </c>
      <c r="D2362" s="240" t="s">
        <v>1552</v>
      </c>
      <c r="E2362" s="238">
        <v>87</v>
      </c>
      <c r="F2362" s="253">
        <v>87.31</v>
      </c>
      <c r="G2362" s="239" t="s">
        <v>195</v>
      </c>
      <c r="H2362" s="238">
        <v>1</v>
      </c>
      <c r="I2362" s="237">
        <v>7595.97</v>
      </c>
      <c r="J2362" s="238">
        <v>13.82</v>
      </c>
      <c r="K2362" s="237">
        <v>104976.31</v>
      </c>
      <c r="Q2362" s="160">
        <f>[8]Source!X1211</f>
        <v>0</v>
      </c>
      <c r="R2362" s="160">
        <f>[8]Source!X1212</f>
        <v>0</v>
      </c>
      <c r="S2362" s="160">
        <f>[8]Source!Y1211</f>
        <v>0</v>
      </c>
      <c r="T2362" s="160">
        <f>[8]Source!Y1212</f>
        <v>0</v>
      </c>
      <c r="U2362" s="160">
        <f>ROUND((175/100)*ROUND([8]Source!R1211, 2), 2)</f>
        <v>0</v>
      </c>
      <c r="V2362" s="160">
        <f>ROUND((157/100)*ROUND([8]Source!R1212, 2), 2)</f>
        <v>0</v>
      </c>
    </row>
    <row r="2363" spans="1:22" ht="15" x14ac:dyDescent="0.25">
      <c r="A2363" s="235"/>
      <c r="B2363" s="235"/>
      <c r="C2363" s="236" t="s">
        <v>183</v>
      </c>
      <c r="D2363" s="235"/>
      <c r="E2363" s="235"/>
      <c r="F2363" s="235"/>
      <c r="G2363" s="235"/>
      <c r="H2363" s="436">
        <v>7595.97</v>
      </c>
      <c r="I2363" s="436"/>
      <c r="J2363" s="436">
        <v>104976.31</v>
      </c>
      <c r="K2363" s="436"/>
      <c r="O2363" s="163">
        <f>I2362</f>
        <v>7595.97</v>
      </c>
      <c r="P2363" s="163">
        <f>K2362</f>
        <v>104976.31</v>
      </c>
    </row>
    <row r="2365" spans="1:22" ht="42.75" x14ac:dyDescent="0.2">
      <c r="A2365" s="179" t="s">
        <v>3054</v>
      </c>
      <c r="B2365" s="178" t="s">
        <v>2633</v>
      </c>
      <c r="C2365" s="178" t="s">
        <v>747</v>
      </c>
      <c r="D2365" s="177" t="s">
        <v>2634</v>
      </c>
      <c r="E2365" s="174">
        <v>135.80000000000001</v>
      </c>
      <c r="F2365" s="176"/>
      <c r="G2365" s="175"/>
      <c r="H2365" s="174"/>
      <c r="I2365" s="173"/>
      <c r="J2365" s="174"/>
      <c r="K2365" s="173"/>
      <c r="Q2365" s="160">
        <f>[8]Source!X1213</f>
        <v>4064.48</v>
      </c>
      <c r="R2365" s="160">
        <f>[8]Source!X1214</f>
        <v>76133.039999999994</v>
      </c>
      <c r="S2365" s="160">
        <f>[8]Source!Y1213</f>
        <v>3126.52</v>
      </c>
      <c r="T2365" s="160">
        <f>[8]Source!Y1214</f>
        <v>42759.65</v>
      </c>
      <c r="U2365" s="160">
        <f>ROUND((175/100)*ROUND([8]Source!R1213, 2), 2)</f>
        <v>784.25</v>
      </c>
      <c r="V2365" s="160">
        <f>ROUND((157/100)*ROUND([8]Source!R1214, 2), 2)</f>
        <v>16428.59</v>
      </c>
    </row>
    <row r="2366" spans="1:22" x14ac:dyDescent="0.2">
      <c r="C2366" s="181" t="s">
        <v>3055</v>
      </c>
    </row>
    <row r="2367" spans="1:22" ht="14.25" x14ac:dyDescent="0.2">
      <c r="A2367" s="179"/>
      <c r="B2367" s="178"/>
      <c r="C2367" s="178" t="s">
        <v>197</v>
      </c>
      <c r="D2367" s="177"/>
      <c r="E2367" s="174"/>
      <c r="F2367" s="176">
        <v>28.6</v>
      </c>
      <c r="G2367" s="175" t="s">
        <v>2270</v>
      </c>
      <c r="H2367" s="174">
        <v>1</v>
      </c>
      <c r="I2367" s="173">
        <v>4466.46</v>
      </c>
      <c r="J2367" s="174">
        <v>23.35</v>
      </c>
      <c r="K2367" s="173">
        <v>104291.84</v>
      </c>
    </row>
    <row r="2368" spans="1:22" ht="14.25" x14ac:dyDescent="0.2">
      <c r="A2368" s="179"/>
      <c r="B2368" s="178"/>
      <c r="C2368" s="178" t="s">
        <v>184</v>
      </c>
      <c r="D2368" s="177"/>
      <c r="E2368" s="174"/>
      <c r="F2368" s="176">
        <v>13.2</v>
      </c>
      <c r="G2368" s="175" t="s">
        <v>2271</v>
      </c>
      <c r="H2368" s="174">
        <v>1</v>
      </c>
      <c r="I2368" s="173">
        <v>2240.6999999999998</v>
      </c>
      <c r="J2368" s="174">
        <v>8.9499999999999993</v>
      </c>
      <c r="K2368" s="173">
        <v>20054.27</v>
      </c>
    </row>
    <row r="2369" spans="1:22" ht="14.25" x14ac:dyDescent="0.2">
      <c r="A2369" s="179"/>
      <c r="B2369" s="178"/>
      <c r="C2369" s="178" t="s">
        <v>189</v>
      </c>
      <c r="D2369" s="177"/>
      <c r="E2369" s="174"/>
      <c r="F2369" s="176">
        <v>2.64</v>
      </c>
      <c r="G2369" s="175" t="s">
        <v>2271</v>
      </c>
      <c r="H2369" s="174">
        <v>1</v>
      </c>
      <c r="I2369" s="180">
        <v>448.14</v>
      </c>
      <c r="J2369" s="174">
        <v>23.35</v>
      </c>
      <c r="K2369" s="180">
        <v>10464.07</v>
      </c>
    </row>
    <row r="2370" spans="1:22" ht="14.25" x14ac:dyDescent="0.2">
      <c r="A2370" s="179"/>
      <c r="B2370" s="178"/>
      <c r="C2370" s="178" t="s">
        <v>205</v>
      </c>
      <c r="D2370" s="177"/>
      <c r="E2370" s="174"/>
      <c r="F2370" s="176">
        <v>59.82</v>
      </c>
      <c r="G2370" s="175" t="s">
        <v>195</v>
      </c>
      <c r="H2370" s="174">
        <v>1</v>
      </c>
      <c r="I2370" s="173">
        <v>8123.56</v>
      </c>
      <c r="J2370" s="174">
        <v>19.829999999999998</v>
      </c>
      <c r="K2370" s="173">
        <v>161090.19</v>
      </c>
    </row>
    <row r="2371" spans="1:22" ht="71.25" x14ac:dyDescent="0.2">
      <c r="A2371" s="179" t="s">
        <v>3056</v>
      </c>
      <c r="B2371" s="178" t="s">
        <v>2636</v>
      </c>
      <c r="C2371" s="178" t="s">
        <v>908</v>
      </c>
      <c r="D2371" s="177" t="s">
        <v>1552</v>
      </c>
      <c r="E2371" s="174">
        <v>2037</v>
      </c>
      <c r="F2371" s="176">
        <v>6.29</v>
      </c>
      <c r="G2371" s="182" t="s">
        <v>195</v>
      </c>
      <c r="H2371" s="174">
        <v>1</v>
      </c>
      <c r="I2371" s="173">
        <v>12812.73</v>
      </c>
      <c r="J2371" s="174">
        <v>5.68</v>
      </c>
      <c r="K2371" s="173">
        <v>72776.31</v>
      </c>
      <c r="Q2371" s="160">
        <f>[8]Source!X1215</f>
        <v>0</v>
      </c>
      <c r="R2371" s="160">
        <f>[8]Source!X1216</f>
        <v>0</v>
      </c>
      <c r="S2371" s="160">
        <f>[8]Source!Y1215</f>
        <v>0</v>
      </c>
      <c r="T2371" s="160">
        <f>[8]Source!Y1216</f>
        <v>0</v>
      </c>
      <c r="U2371" s="160">
        <f>ROUND((175/100)*ROUND([8]Source!R1215, 2), 2)</f>
        <v>0</v>
      </c>
      <c r="V2371" s="160">
        <f>ROUND((157/100)*ROUND([8]Source!R1216, 2), 2)</f>
        <v>0</v>
      </c>
    </row>
    <row r="2372" spans="1:22" ht="114" x14ac:dyDescent="0.2">
      <c r="A2372" s="179" t="s">
        <v>3057</v>
      </c>
      <c r="B2372" s="178" t="s">
        <v>2637</v>
      </c>
      <c r="C2372" s="178" t="s">
        <v>907</v>
      </c>
      <c r="D2372" s="177" t="s">
        <v>1557</v>
      </c>
      <c r="E2372" s="174">
        <v>33.950000000000003</v>
      </c>
      <c r="F2372" s="176">
        <v>126.76</v>
      </c>
      <c r="G2372" s="182" t="s">
        <v>195</v>
      </c>
      <c r="H2372" s="174">
        <v>1</v>
      </c>
      <c r="I2372" s="173">
        <v>4303.5</v>
      </c>
      <c r="J2372" s="174">
        <v>5.83</v>
      </c>
      <c r="K2372" s="173">
        <v>25089.41</v>
      </c>
      <c r="Q2372" s="160">
        <f>[8]Source!X1217</f>
        <v>0</v>
      </c>
      <c r="R2372" s="160">
        <f>[8]Source!X1218</f>
        <v>0</v>
      </c>
      <c r="S2372" s="160">
        <f>[8]Source!Y1217</f>
        <v>0</v>
      </c>
      <c r="T2372" s="160">
        <f>[8]Source!Y1218</f>
        <v>0</v>
      </c>
      <c r="U2372" s="160">
        <f>ROUND((175/100)*ROUND([8]Source!R1217, 2), 2)</f>
        <v>0</v>
      </c>
      <c r="V2372" s="160">
        <f>ROUND((157/100)*ROUND([8]Source!R1218, 2), 2)</f>
        <v>0</v>
      </c>
    </row>
    <row r="2373" spans="1:22" ht="114" x14ac:dyDescent="0.2">
      <c r="A2373" s="179" t="s">
        <v>3058</v>
      </c>
      <c r="B2373" s="178" t="s">
        <v>3059</v>
      </c>
      <c r="C2373" s="178" t="s">
        <v>745</v>
      </c>
      <c r="D2373" s="177" t="s">
        <v>1552</v>
      </c>
      <c r="E2373" s="174">
        <v>1199</v>
      </c>
      <c r="F2373" s="176">
        <v>24.54</v>
      </c>
      <c r="G2373" s="182" t="s">
        <v>195</v>
      </c>
      <c r="H2373" s="174">
        <v>1</v>
      </c>
      <c r="I2373" s="173">
        <v>29423.46</v>
      </c>
      <c r="J2373" s="174">
        <v>2.0699999999999998</v>
      </c>
      <c r="K2373" s="173">
        <v>60906.559999999998</v>
      </c>
      <c r="Q2373" s="160">
        <f>[8]Source!X1219</f>
        <v>0</v>
      </c>
      <c r="R2373" s="160">
        <f>[8]Source!X1220</f>
        <v>0</v>
      </c>
      <c r="S2373" s="160">
        <f>[8]Source!Y1219</f>
        <v>0</v>
      </c>
      <c r="T2373" s="160">
        <f>[8]Source!Y1220</f>
        <v>0</v>
      </c>
      <c r="U2373" s="160">
        <f>ROUND((175/100)*ROUND([8]Source!R1219, 2), 2)</f>
        <v>0</v>
      </c>
      <c r="V2373" s="160">
        <f>ROUND((157/100)*ROUND([8]Source!R1220, 2), 2)</f>
        <v>0</v>
      </c>
    </row>
    <row r="2374" spans="1:22" ht="114" x14ac:dyDescent="0.2">
      <c r="A2374" s="179" t="s">
        <v>3060</v>
      </c>
      <c r="B2374" s="178" t="s">
        <v>3061</v>
      </c>
      <c r="C2374" s="178" t="s">
        <v>744</v>
      </c>
      <c r="D2374" s="177" t="s">
        <v>1552</v>
      </c>
      <c r="E2374" s="174">
        <v>72</v>
      </c>
      <c r="F2374" s="176">
        <v>26.16</v>
      </c>
      <c r="G2374" s="182" t="s">
        <v>195</v>
      </c>
      <c r="H2374" s="174">
        <v>1</v>
      </c>
      <c r="I2374" s="173">
        <v>1883.52</v>
      </c>
      <c r="J2374" s="174">
        <v>2.11</v>
      </c>
      <c r="K2374" s="173">
        <v>3974.23</v>
      </c>
      <c r="Q2374" s="160">
        <f>[8]Source!X1221</f>
        <v>0</v>
      </c>
      <c r="R2374" s="160">
        <f>[8]Source!X1222</f>
        <v>0</v>
      </c>
      <c r="S2374" s="160">
        <f>[8]Source!Y1221</f>
        <v>0</v>
      </c>
      <c r="T2374" s="160">
        <f>[8]Source!Y1222</f>
        <v>0</v>
      </c>
      <c r="U2374" s="160">
        <f>ROUND((175/100)*ROUND([8]Source!R1221, 2), 2)</f>
        <v>0</v>
      </c>
      <c r="V2374" s="160">
        <f>ROUND((157/100)*ROUND([8]Source!R1222, 2), 2)</f>
        <v>0</v>
      </c>
    </row>
    <row r="2375" spans="1:22" ht="114" x14ac:dyDescent="0.2">
      <c r="A2375" s="179" t="s">
        <v>3062</v>
      </c>
      <c r="B2375" s="178" t="s">
        <v>3063</v>
      </c>
      <c r="C2375" s="178" t="s">
        <v>937</v>
      </c>
      <c r="D2375" s="177" t="s">
        <v>1552</v>
      </c>
      <c r="E2375" s="174">
        <v>87</v>
      </c>
      <c r="F2375" s="176">
        <v>38.97</v>
      </c>
      <c r="G2375" s="182" t="s">
        <v>195</v>
      </c>
      <c r="H2375" s="174">
        <v>1</v>
      </c>
      <c r="I2375" s="173">
        <v>3390.39</v>
      </c>
      <c r="J2375" s="174">
        <v>2.14</v>
      </c>
      <c r="K2375" s="173">
        <v>7255.43</v>
      </c>
      <c r="Q2375" s="160">
        <f>[8]Source!X1223</f>
        <v>0</v>
      </c>
      <c r="R2375" s="160">
        <f>[8]Source!X1224</f>
        <v>0</v>
      </c>
      <c r="S2375" s="160">
        <f>[8]Source!Y1223</f>
        <v>0</v>
      </c>
      <c r="T2375" s="160">
        <f>[8]Source!Y1224</f>
        <v>0</v>
      </c>
      <c r="U2375" s="160">
        <f>ROUND((175/100)*ROUND([8]Source!R1223, 2), 2)</f>
        <v>0</v>
      </c>
      <c r="V2375" s="160">
        <f>ROUND((157/100)*ROUND([8]Source!R1224, 2), 2)</f>
        <v>0</v>
      </c>
    </row>
    <row r="2376" spans="1:22" ht="57" x14ac:dyDescent="0.2">
      <c r="A2376" s="179" t="s">
        <v>3064</v>
      </c>
      <c r="B2376" s="178" t="s">
        <v>2638</v>
      </c>
      <c r="C2376" s="178" t="s">
        <v>741</v>
      </c>
      <c r="D2376" s="177" t="s">
        <v>2639</v>
      </c>
      <c r="E2376" s="174">
        <v>16.975000000000001</v>
      </c>
      <c r="F2376" s="176">
        <v>231.64</v>
      </c>
      <c r="G2376" s="182" t="s">
        <v>195</v>
      </c>
      <c r="H2376" s="174">
        <v>1</v>
      </c>
      <c r="I2376" s="173">
        <v>3932.09</v>
      </c>
      <c r="J2376" s="174">
        <v>2.88</v>
      </c>
      <c r="K2376" s="173">
        <v>11324.42</v>
      </c>
      <c r="Q2376" s="160">
        <f>[8]Source!X1225</f>
        <v>0</v>
      </c>
      <c r="R2376" s="160">
        <f>[8]Source!X1226</f>
        <v>0</v>
      </c>
      <c r="S2376" s="160">
        <f>[8]Source!Y1225</f>
        <v>0</v>
      </c>
      <c r="T2376" s="160">
        <f>[8]Source!Y1226</f>
        <v>0</v>
      </c>
      <c r="U2376" s="160">
        <f>ROUND((175/100)*ROUND([8]Source!R1225, 2), 2)</f>
        <v>0</v>
      </c>
      <c r="V2376" s="160">
        <f>ROUND((157/100)*ROUND([8]Source!R1226, 2), 2)</f>
        <v>0</v>
      </c>
    </row>
    <row r="2377" spans="1:22" ht="57" x14ac:dyDescent="0.2">
      <c r="A2377" s="179" t="s">
        <v>3065</v>
      </c>
      <c r="B2377" s="178" t="s">
        <v>2641</v>
      </c>
      <c r="C2377" s="178" t="s">
        <v>740</v>
      </c>
      <c r="D2377" s="177" t="s">
        <v>2639</v>
      </c>
      <c r="E2377" s="174">
        <v>-126.294</v>
      </c>
      <c r="F2377" s="176">
        <v>34.75</v>
      </c>
      <c r="G2377" s="182" t="s">
        <v>195</v>
      </c>
      <c r="H2377" s="174">
        <v>1</v>
      </c>
      <c r="I2377" s="173">
        <v>-4388.72</v>
      </c>
      <c r="J2377" s="174">
        <v>34.270000000000003</v>
      </c>
      <c r="K2377" s="173">
        <v>-150401.43</v>
      </c>
      <c r="Q2377" s="160">
        <f>[8]Source!X1227</f>
        <v>0</v>
      </c>
      <c r="R2377" s="160">
        <f>[8]Source!X1228</f>
        <v>0</v>
      </c>
      <c r="S2377" s="160">
        <f>[8]Source!Y1227</f>
        <v>0</v>
      </c>
      <c r="T2377" s="160">
        <f>[8]Source!Y1228</f>
        <v>0</v>
      </c>
      <c r="U2377" s="160">
        <f>ROUND((175/100)*ROUND([8]Source!R1227, 2), 2)</f>
        <v>0</v>
      </c>
      <c r="V2377" s="160">
        <f>ROUND((157/100)*ROUND([8]Source!R1228, 2), 2)</f>
        <v>0</v>
      </c>
    </row>
    <row r="2378" spans="1:22" ht="14.25" x14ac:dyDescent="0.2">
      <c r="A2378" s="179"/>
      <c r="B2378" s="178"/>
      <c r="C2378" s="178" t="s">
        <v>194</v>
      </c>
      <c r="D2378" s="177" t="s">
        <v>187</v>
      </c>
      <c r="E2378" s="174">
        <v>91</v>
      </c>
      <c r="F2378" s="176"/>
      <c r="G2378" s="175"/>
      <c r="H2378" s="174"/>
      <c r="I2378" s="173">
        <v>4064.48</v>
      </c>
      <c r="J2378" s="174">
        <v>73</v>
      </c>
      <c r="K2378" s="173">
        <v>76133.039999999994</v>
      </c>
    </row>
    <row r="2379" spans="1:22" ht="14.25" x14ac:dyDescent="0.2">
      <c r="A2379" s="179"/>
      <c r="B2379" s="178"/>
      <c r="C2379" s="178" t="s">
        <v>193</v>
      </c>
      <c r="D2379" s="177" t="s">
        <v>187</v>
      </c>
      <c r="E2379" s="174">
        <v>70</v>
      </c>
      <c r="F2379" s="176"/>
      <c r="G2379" s="175"/>
      <c r="H2379" s="174"/>
      <c r="I2379" s="173">
        <v>3126.52</v>
      </c>
      <c r="J2379" s="174">
        <v>41</v>
      </c>
      <c r="K2379" s="173">
        <v>42759.65</v>
      </c>
    </row>
    <row r="2380" spans="1:22" ht="14.25" x14ac:dyDescent="0.2">
      <c r="A2380" s="179"/>
      <c r="B2380" s="178"/>
      <c r="C2380" s="178" t="s">
        <v>188</v>
      </c>
      <c r="D2380" s="177" t="s">
        <v>187</v>
      </c>
      <c r="E2380" s="174">
        <v>175</v>
      </c>
      <c r="F2380" s="176"/>
      <c r="G2380" s="175"/>
      <c r="H2380" s="174"/>
      <c r="I2380" s="173">
        <v>784.25</v>
      </c>
      <c r="J2380" s="174">
        <v>157</v>
      </c>
      <c r="K2380" s="173">
        <v>16428.59</v>
      </c>
    </row>
    <row r="2381" spans="1:22" ht="14.25" x14ac:dyDescent="0.2">
      <c r="A2381" s="242"/>
      <c r="B2381" s="241"/>
      <c r="C2381" s="241" t="s">
        <v>192</v>
      </c>
      <c r="D2381" s="240" t="s">
        <v>191</v>
      </c>
      <c r="E2381" s="238">
        <v>2.2000000000000002</v>
      </c>
      <c r="F2381" s="253"/>
      <c r="G2381" s="239" t="s">
        <v>2270</v>
      </c>
      <c r="H2381" s="238">
        <v>1</v>
      </c>
      <c r="I2381" s="237">
        <v>343.57</v>
      </c>
      <c r="J2381" s="238"/>
      <c r="K2381" s="237"/>
    </row>
    <row r="2382" spans="1:22" ht="15" x14ac:dyDescent="0.25">
      <c r="A2382" s="235"/>
      <c r="B2382" s="235"/>
      <c r="C2382" s="236" t="s">
        <v>183</v>
      </c>
      <c r="D2382" s="235"/>
      <c r="E2382" s="235"/>
      <c r="F2382" s="235"/>
      <c r="G2382" s="235"/>
      <c r="H2382" s="436">
        <v>74162.94</v>
      </c>
      <c r="I2382" s="436"/>
      <c r="J2382" s="436">
        <v>451682.51</v>
      </c>
      <c r="K2382" s="436"/>
      <c r="O2382" s="163">
        <f>I2367+I2368+I2370+I2378+I2379+I2380+SUM(I2371:I2377)</f>
        <v>74162.94</v>
      </c>
      <c r="P2382" s="163">
        <f>K2367+K2368+K2370+K2378+K2379+K2380+SUM(K2371:K2377)</f>
        <v>451682.51</v>
      </c>
    </row>
    <row r="2384" spans="1:22" ht="85.5" x14ac:dyDescent="0.2">
      <c r="A2384" s="179" t="s">
        <v>3066</v>
      </c>
      <c r="B2384" s="178" t="s">
        <v>3067</v>
      </c>
      <c r="C2384" s="178" t="s">
        <v>936</v>
      </c>
      <c r="D2384" s="177" t="s">
        <v>1686</v>
      </c>
      <c r="E2384" s="174">
        <v>3.1</v>
      </c>
      <c r="F2384" s="176"/>
      <c r="G2384" s="175"/>
      <c r="H2384" s="174"/>
      <c r="I2384" s="173"/>
      <c r="J2384" s="174"/>
      <c r="K2384" s="173"/>
      <c r="Q2384" s="160">
        <f>[8]Source!X1229</f>
        <v>707.09</v>
      </c>
      <c r="R2384" s="160">
        <f>[8]Source!X1230</f>
        <v>13208.46</v>
      </c>
      <c r="S2384" s="160">
        <f>[8]Source!Y1229</f>
        <v>475.68</v>
      </c>
      <c r="T2384" s="160">
        <f>[8]Source!Y1230</f>
        <v>6153.94</v>
      </c>
      <c r="U2384" s="160">
        <f>ROUND((175/100)*ROUND([8]Source!R1229, 2), 2)</f>
        <v>10.17</v>
      </c>
      <c r="V2384" s="160">
        <f>ROUND((157/100)*ROUND([8]Source!R1230, 2), 2)</f>
        <v>212.99</v>
      </c>
    </row>
    <row r="2385" spans="1:22" x14ac:dyDescent="0.2">
      <c r="C2385" s="181" t="s">
        <v>3068</v>
      </c>
    </row>
    <row r="2386" spans="1:22" ht="14.25" x14ac:dyDescent="0.2">
      <c r="A2386" s="179"/>
      <c r="B2386" s="178"/>
      <c r="C2386" s="178" t="s">
        <v>197</v>
      </c>
      <c r="D2386" s="177"/>
      <c r="E2386" s="174"/>
      <c r="F2386" s="176">
        <v>180.31</v>
      </c>
      <c r="G2386" s="175" t="s">
        <v>2270</v>
      </c>
      <c r="H2386" s="174">
        <v>1</v>
      </c>
      <c r="I2386" s="173">
        <v>642.80999999999995</v>
      </c>
      <c r="J2386" s="174">
        <v>23.35</v>
      </c>
      <c r="K2386" s="173">
        <v>15009.61</v>
      </c>
    </row>
    <row r="2387" spans="1:22" ht="14.25" x14ac:dyDescent="0.2">
      <c r="A2387" s="179"/>
      <c r="B2387" s="178"/>
      <c r="C2387" s="178" t="s">
        <v>184</v>
      </c>
      <c r="D2387" s="177"/>
      <c r="E2387" s="174"/>
      <c r="F2387" s="176">
        <v>25.6</v>
      </c>
      <c r="G2387" s="175" t="s">
        <v>2271</v>
      </c>
      <c r="H2387" s="174">
        <v>1</v>
      </c>
      <c r="I2387" s="173">
        <v>99.2</v>
      </c>
      <c r="J2387" s="174">
        <v>4.92</v>
      </c>
      <c r="K2387" s="173">
        <v>488.06</v>
      </c>
    </row>
    <row r="2388" spans="1:22" ht="14.25" x14ac:dyDescent="0.2">
      <c r="A2388" s="179"/>
      <c r="B2388" s="178"/>
      <c r="C2388" s="178" t="s">
        <v>189</v>
      </c>
      <c r="D2388" s="177"/>
      <c r="E2388" s="174"/>
      <c r="F2388" s="176">
        <v>1.5</v>
      </c>
      <c r="G2388" s="175" t="s">
        <v>2271</v>
      </c>
      <c r="H2388" s="174">
        <v>1</v>
      </c>
      <c r="I2388" s="180">
        <v>5.81</v>
      </c>
      <c r="J2388" s="174">
        <v>23.35</v>
      </c>
      <c r="K2388" s="180">
        <v>135.66</v>
      </c>
    </row>
    <row r="2389" spans="1:22" ht="14.25" x14ac:dyDescent="0.2">
      <c r="A2389" s="179"/>
      <c r="B2389" s="178"/>
      <c r="C2389" s="178" t="s">
        <v>205</v>
      </c>
      <c r="D2389" s="177"/>
      <c r="E2389" s="174"/>
      <c r="F2389" s="176">
        <v>153.13999999999999</v>
      </c>
      <c r="G2389" s="175" t="s">
        <v>195</v>
      </c>
      <c r="H2389" s="174">
        <v>1</v>
      </c>
      <c r="I2389" s="173">
        <v>474.73</v>
      </c>
      <c r="J2389" s="174">
        <v>2.19</v>
      </c>
      <c r="K2389" s="173">
        <v>1039.6600000000001</v>
      </c>
    </row>
    <row r="2390" spans="1:22" ht="71.25" x14ac:dyDescent="0.2">
      <c r="A2390" s="179" t="s">
        <v>3069</v>
      </c>
      <c r="B2390" s="178" t="s">
        <v>3070</v>
      </c>
      <c r="C2390" s="178" t="s">
        <v>935</v>
      </c>
      <c r="D2390" s="177" t="s">
        <v>1661</v>
      </c>
      <c r="E2390" s="174">
        <v>155</v>
      </c>
      <c r="F2390" s="176">
        <v>17.329999999999998</v>
      </c>
      <c r="G2390" s="182" t="s">
        <v>195</v>
      </c>
      <c r="H2390" s="174">
        <v>1</v>
      </c>
      <c r="I2390" s="173">
        <v>2686.15</v>
      </c>
      <c r="J2390" s="174">
        <v>5.96</v>
      </c>
      <c r="K2390" s="173">
        <v>16009.45</v>
      </c>
      <c r="Q2390" s="160">
        <f>[8]Source!X1231</f>
        <v>0</v>
      </c>
      <c r="R2390" s="160">
        <f>[8]Source!X1232</f>
        <v>0</v>
      </c>
      <c r="S2390" s="160">
        <f>[8]Source!Y1231</f>
        <v>0</v>
      </c>
      <c r="T2390" s="160">
        <f>[8]Source!Y1232</f>
        <v>0</v>
      </c>
      <c r="U2390" s="160">
        <f>ROUND((175/100)*ROUND([8]Source!R1231, 2), 2)</f>
        <v>0</v>
      </c>
      <c r="V2390" s="160">
        <f>ROUND((157/100)*ROUND([8]Source!R1232, 2), 2)</f>
        <v>0</v>
      </c>
    </row>
    <row r="2391" spans="1:22" ht="42.75" x14ac:dyDescent="0.2">
      <c r="A2391" s="179" t="s">
        <v>3071</v>
      </c>
      <c r="B2391" s="178" t="s">
        <v>3072</v>
      </c>
      <c r="C2391" s="178" t="s">
        <v>934</v>
      </c>
      <c r="D2391" s="177" t="s">
        <v>1552</v>
      </c>
      <c r="E2391" s="174">
        <v>317.75</v>
      </c>
      <c r="F2391" s="176">
        <v>10.85</v>
      </c>
      <c r="G2391" s="182" t="s">
        <v>195</v>
      </c>
      <c r="H2391" s="174">
        <v>1</v>
      </c>
      <c r="I2391" s="173">
        <v>3447.59</v>
      </c>
      <c r="J2391" s="174">
        <v>2.08</v>
      </c>
      <c r="K2391" s="173">
        <v>7170.99</v>
      </c>
      <c r="Q2391" s="160">
        <f>[8]Source!X1233</f>
        <v>0</v>
      </c>
      <c r="R2391" s="160">
        <f>[8]Source!X1234</f>
        <v>0</v>
      </c>
      <c r="S2391" s="160">
        <f>[8]Source!Y1233</f>
        <v>0</v>
      </c>
      <c r="T2391" s="160">
        <f>[8]Source!Y1234</f>
        <v>0</v>
      </c>
      <c r="U2391" s="160">
        <f>ROUND((175/100)*ROUND([8]Source!R1233, 2), 2)</f>
        <v>0</v>
      </c>
      <c r="V2391" s="160">
        <f>ROUND((157/100)*ROUND([8]Source!R1234, 2), 2)</f>
        <v>0</v>
      </c>
    </row>
    <row r="2392" spans="1:22" ht="28.5" x14ac:dyDescent="0.2">
      <c r="A2392" s="179" t="s">
        <v>3073</v>
      </c>
      <c r="B2392" s="178" t="s">
        <v>3074</v>
      </c>
      <c r="C2392" s="178" t="s">
        <v>928</v>
      </c>
      <c r="D2392" s="177" t="s">
        <v>1661</v>
      </c>
      <c r="E2392" s="174">
        <v>3</v>
      </c>
      <c r="F2392" s="176">
        <v>235.48</v>
      </c>
      <c r="G2392" s="182" t="s">
        <v>195</v>
      </c>
      <c r="H2392" s="174">
        <v>1</v>
      </c>
      <c r="I2392" s="173">
        <v>706.44</v>
      </c>
      <c r="J2392" s="174">
        <v>0.59</v>
      </c>
      <c r="K2392" s="173">
        <v>416.8</v>
      </c>
      <c r="Q2392" s="160">
        <f>[8]Source!X1235</f>
        <v>0</v>
      </c>
      <c r="R2392" s="160">
        <f>[8]Source!X1236</f>
        <v>0</v>
      </c>
      <c r="S2392" s="160">
        <f>[8]Source!Y1235</f>
        <v>0</v>
      </c>
      <c r="T2392" s="160">
        <f>[8]Source!Y1236</f>
        <v>0</v>
      </c>
      <c r="U2392" s="160">
        <f>ROUND((175/100)*ROUND([8]Source!R1235, 2), 2)</f>
        <v>0</v>
      </c>
      <c r="V2392" s="160">
        <f>ROUND((157/100)*ROUND([8]Source!R1236, 2), 2)</f>
        <v>0</v>
      </c>
    </row>
    <row r="2393" spans="1:22" ht="14.25" x14ac:dyDescent="0.2">
      <c r="A2393" s="179"/>
      <c r="B2393" s="178"/>
      <c r="C2393" s="178" t="s">
        <v>194</v>
      </c>
      <c r="D2393" s="177" t="s">
        <v>187</v>
      </c>
      <c r="E2393" s="174">
        <v>110</v>
      </c>
      <c r="F2393" s="176"/>
      <c r="G2393" s="175"/>
      <c r="H2393" s="174"/>
      <c r="I2393" s="173">
        <v>707.09</v>
      </c>
      <c r="J2393" s="174">
        <v>88</v>
      </c>
      <c r="K2393" s="173">
        <v>13208.46</v>
      </c>
    </row>
    <row r="2394" spans="1:22" ht="14.25" x14ac:dyDescent="0.2">
      <c r="A2394" s="179"/>
      <c r="B2394" s="178"/>
      <c r="C2394" s="178" t="s">
        <v>193</v>
      </c>
      <c r="D2394" s="177" t="s">
        <v>187</v>
      </c>
      <c r="E2394" s="174">
        <v>74</v>
      </c>
      <c r="F2394" s="176"/>
      <c r="G2394" s="175"/>
      <c r="H2394" s="174"/>
      <c r="I2394" s="173">
        <v>475.68</v>
      </c>
      <c r="J2394" s="174">
        <v>41</v>
      </c>
      <c r="K2394" s="173">
        <v>6153.94</v>
      </c>
    </row>
    <row r="2395" spans="1:22" ht="14.25" x14ac:dyDescent="0.2">
      <c r="A2395" s="179"/>
      <c r="B2395" s="178"/>
      <c r="C2395" s="178" t="s">
        <v>188</v>
      </c>
      <c r="D2395" s="177" t="s">
        <v>187</v>
      </c>
      <c r="E2395" s="174">
        <v>175</v>
      </c>
      <c r="F2395" s="176"/>
      <c r="G2395" s="175"/>
      <c r="H2395" s="174"/>
      <c r="I2395" s="173">
        <v>10.17</v>
      </c>
      <c r="J2395" s="174">
        <v>157</v>
      </c>
      <c r="K2395" s="173">
        <v>212.99</v>
      </c>
    </row>
    <row r="2396" spans="1:22" ht="14.25" x14ac:dyDescent="0.2">
      <c r="A2396" s="242"/>
      <c r="B2396" s="241"/>
      <c r="C2396" s="241" t="s">
        <v>192</v>
      </c>
      <c r="D2396" s="240" t="s">
        <v>191</v>
      </c>
      <c r="E2396" s="238">
        <v>14.56</v>
      </c>
      <c r="F2396" s="253"/>
      <c r="G2396" s="239" t="s">
        <v>2270</v>
      </c>
      <c r="H2396" s="238">
        <v>1</v>
      </c>
      <c r="I2396" s="237">
        <v>51.91</v>
      </c>
      <c r="J2396" s="238"/>
      <c r="K2396" s="237"/>
    </row>
    <row r="2397" spans="1:22" ht="15" x14ac:dyDescent="0.25">
      <c r="A2397" s="235"/>
      <c r="B2397" s="235"/>
      <c r="C2397" s="236" t="s">
        <v>183</v>
      </c>
      <c r="D2397" s="235"/>
      <c r="E2397" s="235"/>
      <c r="F2397" s="235"/>
      <c r="G2397" s="235"/>
      <c r="H2397" s="436">
        <v>9249.86</v>
      </c>
      <c r="I2397" s="436"/>
      <c r="J2397" s="436">
        <v>59709.96</v>
      </c>
      <c r="K2397" s="436"/>
      <c r="O2397" s="163">
        <f>I2386+I2387+I2389+I2393+I2394+I2395+SUM(I2390:I2392)</f>
        <v>9249.86</v>
      </c>
      <c r="P2397" s="163">
        <f>K2386+K2387+K2389+K2393+K2394+K2395+SUM(K2390:K2392)</f>
        <v>59709.96</v>
      </c>
    </row>
    <row r="2399" spans="1:22" ht="85.5" x14ac:dyDescent="0.2">
      <c r="A2399" s="179" t="s">
        <v>3075</v>
      </c>
      <c r="B2399" s="178" t="s">
        <v>1155</v>
      </c>
      <c r="C2399" s="178" t="s">
        <v>933</v>
      </c>
      <c r="D2399" s="177" t="s">
        <v>1686</v>
      </c>
      <c r="E2399" s="174">
        <v>2</v>
      </c>
      <c r="F2399" s="176"/>
      <c r="G2399" s="175"/>
      <c r="H2399" s="174"/>
      <c r="I2399" s="173"/>
      <c r="J2399" s="174"/>
      <c r="K2399" s="173"/>
      <c r="Q2399" s="160">
        <f>[8]Source!X1237</f>
        <v>440.4</v>
      </c>
      <c r="R2399" s="160">
        <f>[8]Source!X1238</f>
        <v>8226.6</v>
      </c>
      <c r="S2399" s="160">
        <f>[8]Source!Y1237</f>
        <v>296.27</v>
      </c>
      <c r="T2399" s="160">
        <f>[8]Source!Y1238</f>
        <v>3832.85</v>
      </c>
      <c r="U2399" s="160">
        <f>ROUND((175/100)*ROUND([8]Source!R1237, 2), 2)</f>
        <v>7.67</v>
      </c>
      <c r="V2399" s="160">
        <f>ROUND((157/100)*ROUND([8]Source!R1238, 2), 2)</f>
        <v>160.56</v>
      </c>
    </row>
    <row r="2400" spans="1:22" x14ac:dyDescent="0.2">
      <c r="C2400" s="181" t="s">
        <v>3076</v>
      </c>
    </row>
    <row r="2401" spans="1:22" ht="14.25" x14ac:dyDescent="0.2">
      <c r="A2401" s="179"/>
      <c r="B2401" s="178"/>
      <c r="C2401" s="178" t="s">
        <v>197</v>
      </c>
      <c r="D2401" s="177"/>
      <c r="E2401" s="174"/>
      <c r="F2401" s="176">
        <v>174.07</v>
      </c>
      <c r="G2401" s="175" t="s">
        <v>1548</v>
      </c>
      <c r="H2401" s="174">
        <v>1</v>
      </c>
      <c r="I2401" s="173">
        <v>400.36</v>
      </c>
      <c r="J2401" s="174">
        <v>23.35</v>
      </c>
      <c r="K2401" s="173">
        <v>9348.41</v>
      </c>
    </row>
    <row r="2402" spans="1:22" ht="14.25" x14ac:dyDescent="0.2">
      <c r="A2402" s="179"/>
      <c r="B2402" s="178"/>
      <c r="C2402" s="178" t="s">
        <v>184</v>
      </c>
      <c r="D2402" s="177"/>
      <c r="E2402" s="174"/>
      <c r="F2402" s="176">
        <v>26.42</v>
      </c>
      <c r="G2402" s="175" t="s">
        <v>1549</v>
      </c>
      <c r="H2402" s="174">
        <v>1</v>
      </c>
      <c r="I2402" s="173">
        <v>66.05</v>
      </c>
      <c r="J2402" s="174">
        <v>9.94</v>
      </c>
      <c r="K2402" s="173">
        <v>656.54</v>
      </c>
    </row>
    <row r="2403" spans="1:22" ht="14.25" x14ac:dyDescent="0.2">
      <c r="A2403" s="179"/>
      <c r="B2403" s="178"/>
      <c r="C2403" s="178" t="s">
        <v>189</v>
      </c>
      <c r="D2403" s="177"/>
      <c r="E2403" s="174"/>
      <c r="F2403" s="176">
        <v>1.75</v>
      </c>
      <c r="G2403" s="175" t="s">
        <v>1549</v>
      </c>
      <c r="H2403" s="174">
        <v>1</v>
      </c>
      <c r="I2403" s="180">
        <v>4.38</v>
      </c>
      <c r="J2403" s="174">
        <v>23.35</v>
      </c>
      <c r="K2403" s="180">
        <v>102.27</v>
      </c>
    </row>
    <row r="2404" spans="1:22" ht="14.25" x14ac:dyDescent="0.2">
      <c r="A2404" s="179"/>
      <c r="B2404" s="178"/>
      <c r="C2404" s="178" t="s">
        <v>205</v>
      </c>
      <c r="D2404" s="177"/>
      <c r="E2404" s="174"/>
      <c r="F2404" s="176">
        <v>134.72999999999999</v>
      </c>
      <c r="G2404" s="175" t="s">
        <v>195</v>
      </c>
      <c r="H2404" s="174">
        <v>1</v>
      </c>
      <c r="I2404" s="173">
        <v>269.45999999999998</v>
      </c>
      <c r="J2404" s="174">
        <v>5.77</v>
      </c>
      <c r="K2404" s="173">
        <v>1554.78</v>
      </c>
    </row>
    <row r="2405" spans="1:22" ht="42.75" x14ac:dyDescent="0.2">
      <c r="A2405" s="179" t="s">
        <v>3077</v>
      </c>
      <c r="B2405" s="178" t="s">
        <v>3078</v>
      </c>
      <c r="C2405" s="178" t="s">
        <v>932</v>
      </c>
      <c r="D2405" s="177" t="s">
        <v>1552</v>
      </c>
      <c r="E2405" s="174">
        <v>205</v>
      </c>
      <c r="F2405" s="176">
        <v>17</v>
      </c>
      <c r="G2405" s="182" t="s">
        <v>195</v>
      </c>
      <c r="H2405" s="174">
        <v>1</v>
      </c>
      <c r="I2405" s="173">
        <v>3485</v>
      </c>
      <c r="J2405" s="174">
        <v>1.89</v>
      </c>
      <c r="K2405" s="173">
        <v>6586.65</v>
      </c>
      <c r="Q2405" s="160">
        <f>[8]Source!X1241</f>
        <v>0</v>
      </c>
      <c r="R2405" s="160">
        <f>[8]Source!X1242</f>
        <v>0</v>
      </c>
      <c r="S2405" s="160">
        <f>[8]Source!Y1241</f>
        <v>0</v>
      </c>
      <c r="T2405" s="160">
        <f>[8]Source!Y1242</f>
        <v>0</v>
      </c>
      <c r="U2405" s="160">
        <f>ROUND((175/100)*ROUND([8]Source!R1241, 2), 2)</f>
        <v>0</v>
      </c>
      <c r="V2405" s="160">
        <f>ROUND((157/100)*ROUND([8]Source!R1242, 2), 2)</f>
        <v>0</v>
      </c>
    </row>
    <row r="2406" spans="1:22" ht="28.5" x14ac:dyDescent="0.2">
      <c r="A2406" s="179" t="s">
        <v>3079</v>
      </c>
      <c r="B2406" s="178" t="s">
        <v>3074</v>
      </c>
      <c r="C2406" s="178" t="s">
        <v>928</v>
      </c>
      <c r="D2406" s="177" t="s">
        <v>1661</v>
      </c>
      <c r="E2406" s="174">
        <v>1.8</v>
      </c>
      <c r="F2406" s="176">
        <v>235.48</v>
      </c>
      <c r="G2406" s="182" t="s">
        <v>195</v>
      </c>
      <c r="H2406" s="174">
        <v>1</v>
      </c>
      <c r="I2406" s="173">
        <v>423.86</v>
      </c>
      <c r="J2406" s="174">
        <v>0.59</v>
      </c>
      <c r="K2406" s="173">
        <v>250.08</v>
      </c>
      <c r="Q2406" s="160">
        <f>[8]Source!X1243</f>
        <v>0</v>
      </c>
      <c r="R2406" s="160">
        <f>[8]Source!X1244</f>
        <v>0</v>
      </c>
      <c r="S2406" s="160">
        <f>[8]Source!Y1243</f>
        <v>0</v>
      </c>
      <c r="T2406" s="160">
        <f>[8]Source!Y1244</f>
        <v>0</v>
      </c>
      <c r="U2406" s="160">
        <f>ROUND((175/100)*ROUND([8]Source!R1243, 2), 2)</f>
        <v>0</v>
      </c>
      <c r="V2406" s="160">
        <f>ROUND((157/100)*ROUND([8]Source!R1244, 2), 2)</f>
        <v>0</v>
      </c>
    </row>
    <row r="2407" spans="1:22" ht="14.25" x14ac:dyDescent="0.2">
      <c r="A2407" s="179"/>
      <c r="B2407" s="178"/>
      <c r="C2407" s="178" t="s">
        <v>194</v>
      </c>
      <c r="D2407" s="177" t="s">
        <v>187</v>
      </c>
      <c r="E2407" s="174">
        <v>110</v>
      </c>
      <c r="F2407" s="176"/>
      <c r="G2407" s="175"/>
      <c r="H2407" s="174"/>
      <c r="I2407" s="173">
        <v>440.4</v>
      </c>
      <c r="J2407" s="174">
        <v>88</v>
      </c>
      <c r="K2407" s="173">
        <v>8226.6</v>
      </c>
    </row>
    <row r="2408" spans="1:22" ht="14.25" x14ac:dyDescent="0.2">
      <c r="A2408" s="179"/>
      <c r="B2408" s="178"/>
      <c r="C2408" s="178" t="s">
        <v>193</v>
      </c>
      <c r="D2408" s="177" t="s">
        <v>187</v>
      </c>
      <c r="E2408" s="174">
        <v>74</v>
      </c>
      <c r="F2408" s="176"/>
      <c r="G2408" s="175"/>
      <c r="H2408" s="174"/>
      <c r="I2408" s="173">
        <v>296.27</v>
      </c>
      <c r="J2408" s="174">
        <v>41</v>
      </c>
      <c r="K2408" s="173">
        <v>3832.85</v>
      </c>
    </row>
    <row r="2409" spans="1:22" ht="14.25" x14ac:dyDescent="0.2">
      <c r="A2409" s="179"/>
      <c r="B2409" s="178"/>
      <c r="C2409" s="178" t="s">
        <v>188</v>
      </c>
      <c r="D2409" s="177" t="s">
        <v>187</v>
      </c>
      <c r="E2409" s="174">
        <v>175</v>
      </c>
      <c r="F2409" s="176"/>
      <c r="G2409" s="175"/>
      <c r="H2409" s="174"/>
      <c r="I2409" s="173">
        <v>7.67</v>
      </c>
      <c r="J2409" s="174">
        <v>157</v>
      </c>
      <c r="K2409" s="173">
        <v>160.56</v>
      </c>
    </row>
    <row r="2410" spans="1:22" ht="14.25" x14ac:dyDescent="0.2">
      <c r="A2410" s="242"/>
      <c r="B2410" s="241"/>
      <c r="C2410" s="241" t="s">
        <v>192</v>
      </c>
      <c r="D2410" s="240" t="s">
        <v>191</v>
      </c>
      <c r="E2410" s="238">
        <v>14.08</v>
      </c>
      <c r="F2410" s="253"/>
      <c r="G2410" s="239" t="s">
        <v>1548</v>
      </c>
      <c r="H2410" s="238">
        <v>1</v>
      </c>
      <c r="I2410" s="237">
        <v>32.380000000000003</v>
      </c>
      <c r="J2410" s="238"/>
      <c r="K2410" s="237"/>
    </row>
    <row r="2411" spans="1:22" ht="15" x14ac:dyDescent="0.25">
      <c r="A2411" s="235"/>
      <c r="B2411" s="235"/>
      <c r="C2411" s="236" t="s">
        <v>183</v>
      </c>
      <c r="D2411" s="235"/>
      <c r="E2411" s="235"/>
      <c r="F2411" s="235"/>
      <c r="G2411" s="235"/>
      <c r="H2411" s="436">
        <v>5389.07</v>
      </c>
      <c r="I2411" s="436"/>
      <c r="J2411" s="436">
        <v>30616.47</v>
      </c>
      <c r="K2411" s="436"/>
      <c r="O2411" s="163">
        <f>I2401+I2402+I2404+I2407+I2408+I2409+SUM(I2405:I2406)</f>
        <v>5389.07</v>
      </c>
      <c r="P2411" s="163">
        <f>K2401+K2402+K2404+K2407+K2408+K2409+SUM(K2405:K2406)</f>
        <v>30616.47</v>
      </c>
    </row>
    <row r="2413" spans="1:22" ht="85.5" x14ac:dyDescent="0.2">
      <c r="A2413" s="179" t="s">
        <v>3080</v>
      </c>
      <c r="B2413" s="178" t="s">
        <v>1154</v>
      </c>
      <c r="C2413" s="178" t="s">
        <v>931</v>
      </c>
      <c r="D2413" s="177" t="s">
        <v>1686</v>
      </c>
      <c r="E2413" s="174">
        <v>0.5</v>
      </c>
      <c r="F2413" s="176"/>
      <c r="G2413" s="175"/>
      <c r="H2413" s="174"/>
      <c r="I2413" s="173"/>
      <c r="J2413" s="174"/>
      <c r="K2413" s="173"/>
      <c r="Q2413" s="160">
        <f>[8]Source!X1245</f>
        <v>107.24</v>
      </c>
      <c r="R2413" s="160">
        <f>[8]Source!X1246</f>
        <v>2003.22</v>
      </c>
      <c r="S2413" s="160">
        <f>[8]Source!Y1245</f>
        <v>72.14</v>
      </c>
      <c r="T2413" s="160">
        <f>[8]Source!Y1246</f>
        <v>933.32</v>
      </c>
      <c r="U2413" s="160">
        <f>ROUND((175/100)*ROUND([8]Source!R1245, 2), 2)</f>
        <v>2.21</v>
      </c>
      <c r="V2413" s="160">
        <f>ROUND((157/100)*ROUND([8]Source!R1246, 2), 2)</f>
        <v>46.19</v>
      </c>
    </row>
    <row r="2414" spans="1:22" x14ac:dyDescent="0.2">
      <c r="C2414" s="181" t="s">
        <v>3081</v>
      </c>
    </row>
    <row r="2415" spans="1:22" ht="14.25" x14ac:dyDescent="0.2">
      <c r="A2415" s="179"/>
      <c r="B2415" s="178"/>
      <c r="C2415" s="178" t="s">
        <v>197</v>
      </c>
      <c r="D2415" s="177"/>
      <c r="E2415" s="174"/>
      <c r="F2415" s="176">
        <v>169.54</v>
      </c>
      <c r="G2415" s="175" t="s">
        <v>1548</v>
      </c>
      <c r="H2415" s="174">
        <v>1</v>
      </c>
      <c r="I2415" s="173">
        <v>97.49</v>
      </c>
      <c r="J2415" s="174">
        <v>23.35</v>
      </c>
      <c r="K2415" s="173">
        <v>2276.39</v>
      </c>
    </row>
    <row r="2416" spans="1:22" ht="14.25" x14ac:dyDescent="0.2">
      <c r="A2416" s="179"/>
      <c r="B2416" s="178"/>
      <c r="C2416" s="178" t="s">
        <v>184</v>
      </c>
      <c r="D2416" s="177"/>
      <c r="E2416" s="174"/>
      <c r="F2416" s="176">
        <v>27.42</v>
      </c>
      <c r="G2416" s="175" t="s">
        <v>1549</v>
      </c>
      <c r="H2416" s="174">
        <v>1</v>
      </c>
      <c r="I2416" s="173">
        <v>17.14</v>
      </c>
      <c r="J2416" s="174">
        <v>9.91</v>
      </c>
      <c r="K2416" s="173">
        <v>169.86</v>
      </c>
    </row>
    <row r="2417" spans="1:22" ht="14.25" x14ac:dyDescent="0.2">
      <c r="A2417" s="179"/>
      <c r="B2417" s="178"/>
      <c r="C2417" s="178" t="s">
        <v>189</v>
      </c>
      <c r="D2417" s="177"/>
      <c r="E2417" s="174"/>
      <c r="F2417" s="176">
        <v>2.0099999999999998</v>
      </c>
      <c r="G2417" s="175" t="s">
        <v>1549</v>
      </c>
      <c r="H2417" s="174">
        <v>1</v>
      </c>
      <c r="I2417" s="180">
        <v>1.26</v>
      </c>
      <c r="J2417" s="174">
        <v>23.35</v>
      </c>
      <c r="K2417" s="180">
        <v>29.42</v>
      </c>
    </row>
    <row r="2418" spans="1:22" ht="14.25" x14ac:dyDescent="0.2">
      <c r="A2418" s="179"/>
      <c r="B2418" s="178"/>
      <c r="C2418" s="178" t="s">
        <v>205</v>
      </c>
      <c r="D2418" s="177"/>
      <c r="E2418" s="174"/>
      <c r="F2418" s="176">
        <v>125.92</v>
      </c>
      <c r="G2418" s="175" t="s">
        <v>195</v>
      </c>
      <c r="H2418" s="174">
        <v>1</v>
      </c>
      <c r="I2418" s="173">
        <v>62.96</v>
      </c>
      <c r="J2418" s="174">
        <v>5.76</v>
      </c>
      <c r="K2418" s="173">
        <v>362.65</v>
      </c>
    </row>
    <row r="2419" spans="1:22" ht="71.25" x14ac:dyDescent="0.2">
      <c r="A2419" s="179" t="s">
        <v>3082</v>
      </c>
      <c r="B2419" s="178" t="s">
        <v>3083</v>
      </c>
      <c r="C2419" s="178" t="s">
        <v>930</v>
      </c>
      <c r="D2419" s="177" t="s">
        <v>1661</v>
      </c>
      <c r="E2419" s="174">
        <v>25</v>
      </c>
      <c r="F2419" s="176">
        <v>19.61</v>
      </c>
      <c r="G2419" s="182" t="s">
        <v>195</v>
      </c>
      <c r="H2419" s="174">
        <v>1</v>
      </c>
      <c r="I2419" s="173">
        <v>490.25</v>
      </c>
      <c r="J2419" s="174">
        <v>6.58</v>
      </c>
      <c r="K2419" s="173">
        <v>3225.85</v>
      </c>
      <c r="Q2419" s="160">
        <f>[8]Source!X1247</f>
        <v>0</v>
      </c>
      <c r="R2419" s="160">
        <f>[8]Source!X1248</f>
        <v>0</v>
      </c>
      <c r="S2419" s="160">
        <f>[8]Source!Y1247</f>
        <v>0</v>
      </c>
      <c r="T2419" s="160">
        <f>[8]Source!Y1248</f>
        <v>0</v>
      </c>
      <c r="U2419" s="160">
        <f>ROUND((175/100)*ROUND([8]Source!R1247, 2), 2)</f>
        <v>0</v>
      </c>
      <c r="V2419" s="160">
        <f>ROUND((157/100)*ROUND([8]Source!R1248, 2), 2)</f>
        <v>0</v>
      </c>
    </row>
    <row r="2420" spans="1:22" ht="42.75" x14ac:dyDescent="0.2">
      <c r="A2420" s="179" t="s">
        <v>3084</v>
      </c>
      <c r="B2420" s="178" t="s">
        <v>3085</v>
      </c>
      <c r="C2420" s="178" t="s">
        <v>929</v>
      </c>
      <c r="D2420" s="177" t="s">
        <v>1552</v>
      </c>
      <c r="E2420" s="174">
        <v>51.25</v>
      </c>
      <c r="F2420" s="176">
        <v>27.68</v>
      </c>
      <c r="G2420" s="182" t="s">
        <v>195</v>
      </c>
      <c r="H2420" s="174">
        <v>1</v>
      </c>
      <c r="I2420" s="173">
        <v>1418.6</v>
      </c>
      <c r="J2420" s="174">
        <v>1.88</v>
      </c>
      <c r="K2420" s="173">
        <v>2666.97</v>
      </c>
      <c r="Q2420" s="160">
        <f>[8]Source!X1249</f>
        <v>0</v>
      </c>
      <c r="R2420" s="160">
        <f>[8]Source!X1250</f>
        <v>0</v>
      </c>
      <c r="S2420" s="160">
        <f>[8]Source!Y1249</f>
        <v>0</v>
      </c>
      <c r="T2420" s="160">
        <f>[8]Source!Y1250</f>
        <v>0</v>
      </c>
      <c r="U2420" s="160">
        <f>ROUND((175/100)*ROUND([8]Source!R1249, 2), 2)</f>
        <v>0</v>
      </c>
      <c r="V2420" s="160">
        <f>ROUND((157/100)*ROUND([8]Source!R1250, 2), 2)</f>
        <v>0</v>
      </c>
    </row>
    <row r="2421" spans="1:22" ht="28.5" x14ac:dyDescent="0.2">
      <c r="A2421" s="179" t="s">
        <v>3086</v>
      </c>
      <c r="B2421" s="178" t="s">
        <v>3074</v>
      </c>
      <c r="C2421" s="178" t="s">
        <v>928</v>
      </c>
      <c r="D2421" s="177" t="s">
        <v>1661</v>
      </c>
      <c r="E2421" s="174">
        <v>1</v>
      </c>
      <c r="F2421" s="176">
        <v>235.48</v>
      </c>
      <c r="G2421" s="182" t="s">
        <v>195</v>
      </c>
      <c r="H2421" s="174">
        <v>1</v>
      </c>
      <c r="I2421" s="173">
        <v>235.48</v>
      </c>
      <c r="J2421" s="174">
        <v>0.59</v>
      </c>
      <c r="K2421" s="173">
        <v>138.93</v>
      </c>
      <c r="Q2421" s="160">
        <f>[8]Source!X1251</f>
        <v>0</v>
      </c>
      <c r="R2421" s="160">
        <f>[8]Source!X1252</f>
        <v>0</v>
      </c>
      <c r="S2421" s="160">
        <f>[8]Source!Y1251</f>
        <v>0</v>
      </c>
      <c r="T2421" s="160">
        <f>[8]Source!Y1252</f>
        <v>0</v>
      </c>
      <c r="U2421" s="160">
        <f>ROUND((175/100)*ROUND([8]Source!R1251, 2), 2)</f>
        <v>0</v>
      </c>
      <c r="V2421" s="160">
        <f>ROUND((157/100)*ROUND([8]Source!R1252, 2), 2)</f>
        <v>0</v>
      </c>
    </row>
    <row r="2422" spans="1:22" ht="14.25" x14ac:dyDescent="0.2">
      <c r="A2422" s="179"/>
      <c r="B2422" s="178"/>
      <c r="C2422" s="178" t="s">
        <v>194</v>
      </c>
      <c r="D2422" s="177" t="s">
        <v>187</v>
      </c>
      <c r="E2422" s="174">
        <v>110</v>
      </c>
      <c r="F2422" s="176"/>
      <c r="G2422" s="175"/>
      <c r="H2422" s="174"/>
      <c r="I2422" s="173">
        <v>107.24</v>
      </c>
      <c r="J2422" s="174">
        <v>88</v>
      </c>
      <c r="K2422" s="173">
        <v>2003.22</v>
      </c>
    </row>
    <row r="2423" spans="1:22" ht="14.25" x14ac:dyDescent="0.2">
      <c r="A2423" s="179"/>
      <c r="B2423" s="178"/>
      <c r="C2423" s="178" t="s">
        <v>193</v>
      </c>
      <c r="D2423" s="177" t="s">
        <v>187</v>
      </c>
      <c r="E2423" s="174">
        <v>74</v>
      </c>
      <c r="F2423" s="176"/>
      <c r="G2423" s="175"/>
      <c r="H2423" s="174"/>
      <c r="I2423" s="173">
        <v>72.14</v>
      </c>
      <c r="J2423" s="174">
        <v>41</v>
      </c>
      <c r="K2423" s="173">
        <v>933.32</v>
      </c>
    </row>
    <row r="2424" spans="1:22" ht="14.25" x14ac:dyDescent="0.2">
      <c r="A2424" s="179"/>
      <c r="B2424" s="178"/>
      <c r="C2424" s="178" t="s">
        <v>188</v>
      </c>
      <c r="D2424" s="177" t="s">
        <v>187</v>
      </c>
      <c r="E2424" s="174">
        <v>175</v>
      </c>
      <c r="F2424" s="176"/>
      <c r="G2424" s="175"/>
      <c r="H2424" s="174"/>
      <c r="I2424" s="173">
        <v>2.21</v>
      </c>
      <c r="J2424" s="174">
        <v>157</v>
      </c>
      <c r="K2424" s="173">
        <v>46.19</v>
      </c>
    </row>
    <row r="2425" spans="1:22" ht="14.25" x14ac:dyDescent="0.2">
      <c r="A2425" s="242"/>
      <c r="B2425" s="241"/>
      <c r="C2425" s="241" t="s">
        <v>192</v>
      </c>
      <c r="D2425" s="240" t="s">
        <v>191</v>
      </c>
      <c r="E2425" s="238">
        <v>13.73</v>
      </c>
      <c r="F2425" s="253"/>
      <c r="G2425" s="239" t="s">
        <v>1548</v>
      </c>
      <c r="H2425" s="238">
        <v>1</v>
      </c>
      <c r="I2425" s="237">
        <v>7.89</v>
      </c>
      <c r="J2425" s="238"/>
      <c r="K2425" s="237"/>
    </row>
    <row r="2426" spans="1:22" ht="15" x14ac:dyDescent="0.25">
      <c r="A2426" s="235"/>
      <c r="B2426" s="235"/>
      <c r="C2426" s="236" t="s">
        <v>183</v>
      </c>
      <c r="D2426" s="235"/>
      <c r="E2426" s="235"/>
      <c r="F2426" s="235"/>
      <c r="G2426" s="235"/>
      <c r="H2426" s="436">
        <v>2503.5100000000002</v>
      </c>
      <c r="I2426" s="436"/>
      <c r="J2426" s="436">
        <v>11823.38</v>
      </c>
      <c r="K2426" s="436"/>
      <c r="O2426" s="163">
        <f>I2415+I2416+I2418+I2422+I2423+I2424+SUM(I2419:I2421)</f>
        <v>2503.5100000000002</v>
      </c>
      <c r="P2426" s="163">
        <f>K2415+K2416+K2418+K2422+K2423+K2424+SUM(K2419:K2421)</f>
        <v>11823.38</v>
      </c>
    </row>
    <row r="2428" spans="1:22" ht="54" x14ac:dyDescent="0.2">
      <c r="A2428" s="242" t="s">
        <v>3087</v>
      </c>
      <c r="B2428" s="241" t="s">
        <v>2659</v>
      </c>
      <c r="C2428" s="241" t="s">
        <v>927</v>
      </c>
      <c r="D2428" s="240" t="s">
        <v>1661</v>
      </c>
      <c r="E2428" s="238">
        <v>90</v>
      </c>
      <c r="F2428" s="253">
        <v>313.64999999999998</v>
      </c>
      <c r="G2428" s="239" t="s">
        <v>195</v>
      </c>
      <c r="H2428" s="238">
        <v>1</v>
      </c>
      <c r="I2428" s="237">
        <v>28228.5</v>
      </c>
      <c r="J2428" s="238">
        <v>5.42</v>
      </c>
      <c r="K2428" s="237">
        <v>152998.47</v>
      </c>
      <c r="Q2428" s="160">
        <f>[8]Source!X1253</f>
        <v>0</v>
      </c>
      <c r="R2428" s="160">
        <f>[8]Source!X1254</f>
        <v>0</v>
      </c>
      <c r="S2428" s="160">
        <f>[8]Source!Y1253</f>
        <v>0</v>
      </c>
      <c r="T2428" s="160">
        <f>[8]Source!Y1254</f>
        <v>0</v>
      </c>
      <c r="U2428" s="160">
        <f>ROUND((175/100)*ROUND([8]Source!R1253, 2), 2)</f>
        <v>0</v>
      </c>
      <c r="V2428" s="160">
        <f>ROUND((157/100)*ROUND([8]Source!R1254, 2), 2)</f>
        <v>0</v>
      </c>
    </row>
    <row r="2429" spans="1:22" ht="15" x14ac:dyDescent="0.25">
      <c r="A2429" s="235"/>
      <c r="B2429" s="235"/>
      <c r="C2429" s="236" t="s">
        <v>183</v>
      </c>
      <c r="D2429" s="235"/>
      <c r="E2429" s="235"/>
      <c r="F2429" s="235"/>
      <c r="G2429" s="235"/>
      <c r="H2429" s="436">
        <v>28228.5</v>
      </c>
      <c r="I2429" s="436"/>
      <c r="J2429" s="436">
        <v>152998.47</v>
      </c>
      <c r="K2429" s="436"/>
      <c r="O2429" s="163">
        <f>I2428</f>
        <v>28228.5</v>
      </c>
      <c r="P2429" s="163">
        <f>K2428</f>
        <v>152998.47</v>
      </c>
    </row>
    <row r="2431" spans="1:22" ht="57" x14ac:dyDescent="0.2">
      <c r="A2431" s="242" t="s">
        <v>3088</v>
      </c>
      <c r="B2431" s="241" t="s">
        <v>3089</v>
      </c>
      <c r="C2431" s="241" t="s">
        <v>926</v>
      </c>
      <c r="D2431" s="240" t="s">
        <v>1661</v>
      </c>
      <c r="E2431" s="238">
        <v>80</v>
      </c>
      <c r="F2431" s="253">
        <v>36.56</v>
      </c>
      <c r="G2431" s="239" t="s">
        <v>195</v>
      </c>
      <c r="H2431" s="238">
        <v>1</v>
      </c>
      <c r="I2431" s="237">
        <v>2924.8</v>
      </c>
      <c r="J2431" s="238">
        <v>5.66</v>
      </c>
      <c r="K2431" s="237">
        <v>16554.37</v>
      </c>
      <c r="Q2431" s="160">
        <f>[8]Source!X1259</f>
        <v>0</v>
      </c>
      <c r="R2431" s="160">
        <f>[8]Source!X1260</f>
        <v>0</v>
      </c>
      <c r="S2431" s="160">
        <f>[8]Source!Y1259</f>
        <v>0</v>
      </c>
      <c r="T2431" s="160">
        <f>[8]Source!Y1260</f>
        <v>0</v>
      </c>
      <c r="U2431" s="160">
        <f>ROUND((175/100)*ROUND([8]Source!R1259, 2), 2)</f>
        <v>0</v>
      </c>
      <c r="V2431" s="160">
        <f>ROUND((157/100)*ROUND([8]Source!R1260, 2), 2)</f>
        <v>0</v>
      </c>
    </row>
    <row r="2432" spans="1:22" ht="15" x14ac:dyDescent="0.25">
      <c r="A2432" s="235"/>
      <c r="B2432" s="235"/>
      <c r="C2432" s="236" t="s">
        <v>183</v>
      </c>
      <c r="D2432" s="235"/>
      <c r="E2432" s="235"/>
      <c r="F2432" s="235"/>
      <c r="G2432" s="235"/>
      <c r="H2432" s="436">
        <v>2924.8</v>
      </c>
      <c r="I2432" s="436"/>
      <c r="J2432" s="436">
        <v>16554.37</v>
      </c>
      <c r="K2432" s="436"/>
      <c r="O2432" s="163">
        <f>I2431</f>
        <v>2924.8</v>
      </c>
      <c r="P2432" s="163">
        <f>K2431</f>
        <v>16554.37</v>
      </c>
    </row>
    <row r="2434" spans="1:22" ht="57" x14ac:dyDescent="0.2">
      <c r="A2434" s="242" t="s">
        <v>3090</v>
      </c>
      <c r="B2434" s="241" t="s">
        <v>3091</v>
      </c>
      <c r="C2434" s="241" t="s">
        <v>925</v>
      </c>
      <c r="D2434" s="240" t="s">
        <v>1661</v>
      </c>
      <c r="E2434" s="238">
        <v>50</v>
      </c>
      <c r="F2434" s="253">
        <v>78.959999999999994</v>
      </c>
      <c r="G2434" s="239" t="s">
        <v>195</v>
      </c>
      <c r="H2434" s="238">
        <v>1</v>
      </c>
      <c r="I2434" s="237">
        <v>3948</v>
      </c>
      <c r="J2434" s="238">
        <v>5.39</v>
      </c>
      <c r="K2434" s="237">
        <v>21279.72</v>
      </c>
      <c r="Q2434" s="160">
        <f>[8]Source!X1261</f>
        <v>0</v>
      </c>
      <c r="R2434" s="160">
        <f>[8]Source!X1262</f>
        <v>0</v>
      </c>
      <c r="S2434" s="160">
        <f>[8]Source!Y1261</f>
        <v>0</v>
      </c>
      <c r="T2434" s="160">
        <f>[8]Source!Y1262</f>
        <v>0</v>
      </c>
      <c r="U2434" s="160">
        <f>ROUND((175/100)*ROUND([8]Source!R1261, 2), 2)</f>
        <v>0</v>
      </c>
      <c r="V2434" s="160">
        <f>ROUND((157/100)*ROUND([8]Source!R1262, 2), 2)</f>
        <v>0</v>
      </c>
    </row>
    <row r="2435" spans="1:22" ht="15" x14ac:dyDescent="0.25">
      <c r="A2435" s="235"/>
      <c r="B2435" s="235"/>
      <c r="C2435" s="236" t="s">
        <v>183</v>
      </c>
      <c r="D2435" s="235"/>
      <c r="E2435" s="235"/>
      <c r="F2435" s="235"/>
      <c r="G2435" s="235"/>
      <c r="H2435" s="436">
        <v>3948</v>
      </c>
      <c r="I2435" s="436"/>
      <c r="J2435" s="436">
        <v>21279.72</v>
      </c>
      <c r="K2435" s="436"/>
      <c r="O2435" s="163">
        <f>I2434</f>
        <v>3948</v>
      </c>
      <c r="P2435" s="163">
        <f>K2434</f>
        <v>21279.72</v>
      </c>
    </row>
    <row r="2437" spans="1:22" ht="14.25" x14ac:dyDescent="0.2">
      <c r="A2437" s="179" t="s">
        <v>3092</v>
      </c>
      <c r="B2437" s="178" t="s">
        <v>3093</v>
      </c>
      <c r="C2437" s="178" t="s">
        <v>924</v>
      </c>
      <c r="D2437" s="177" t="s">
        <v>3094</v>
      </c>
      <c r="E2437" s="174">
        <v>2</v>
      </c>
      <c r="F2437" s="176"/>
      <c r="G2437" s="175"/>
      <c r="H2437" s="174"/>
      <c r="I2437" s="173"/>
      <c r="J2437" s="174"/>
      <c r="K2437" s="173"/>
      <c r="Q2437" s="160">
        <f>[8]Source!X1263</f>
        <v>1844.78</v>
      </c>
      <c r="R2437" s="160">
        <f>[8]Source!X1264</f>
        <v>34460.43</v>
      </c>
      <c r="S2437" s="160">
        <f>[8]Source!Y1263</f>
        <v>1241.03</v>
      </c>
      <c r="T2437" s="160">
        <f>[8]Source!Y1264</f>
        <v>16055.43</v>
      </c>
      <c r="U2437" s="160">
        <f>ROUND((175/100)*ROUND([8]Source!R1263, 2), 2)</f>
        <v>279.13</v>
      </c>
      <c r="V2437" s="160">
        <f>ROUND((157/100)*ROUND([8]Source!R1264, 2), 2)</f>
        <v>5847.2</v>
      </c>
    </row>
    <row r="2438" spans="1:22" ht="14.25" x14ac:dyDescent="0.2">
      <c r="A2438" s="179"/>
      <c r="B2438" s="178"/>
      <c r="C2438" s="178" t="s">
        <v>197</v>
      </c>
      <c r="D2438" s="177"/>
      <c r="E2438" s="174"/>
      <c r="F2438" s="176">
        <v>694.44</v>
      </c>
      <c r="G2438" s="175" t="s">
        <v>2668</v>
      </c>
      <c r="H2438" s="174">
        <v>1</v>
      </c>
      <c r="I2438" s="173">
        <v>1677.07</v>
      </c>
      <c r="J2438" s="174">
        <v>23.35</v>
      </c>
      <c r="K2438" s="173">
        <v>39159.58</v>
      </c>
    </row>
    <row r="2439" spans="1:22" ht="14.25" x14ac:dyDescent="0.2">
      <c r="A2439" s="179"/>
      <c r="B2439" s="178"/>
      <c r="C2439" s="178" t="s">
        <v>184</v>
      </c>
      <c r="D2439" s="177"/>
      <c r="E2439" s="174"/>
      <c r="F2439" s="176">
        <v>269.45</v>
      </c>
      <c r="G2439" s="175" t="s">
        <v>2669</v>
      </c>
      <c r="H2439" s="174">
        <v>1</v>
      </c>
      <c r="I2439" s="173">
        <v>707.31</v>
      </c>
      <c r="J2439" s="174">
        <v>9.41</v>
      </c>
      <c r="K2439" s="173">
        <v>6655.79</v>
      </c>
    </row>
    <row r="2440" spans="1:22" ht="14.25" x14ac:dyDescent="0.2">
      <c r="A2440" s="179"/>
      <c r="B2440" s="178"/>
      <c r="C2440" s="178" t="s">
        <v>189</v>
      </c>
      <c r="D2440" s="177"/>
      <c r="E2440" s="174"/>
      <c r="F2440" s="176">
        <v>60.76</v>
      </c>
      <c r="G2440" s="175" t="s">
        <v>2669</v>
      </c>
      <c r="H2440" s="174">
        <v>1</v>
      </c>
      <c r="I2440" s="180">
        <v>159.5</v>
      </c>
      <c r="J2440" s="174">
        <v>23.35</v>
      </c>
      <c r="K2440" s="180">
        <v>3724.33</v>
      </c>
    </row>
    <row r="2441" spans="1:22" ht="14.25" x14ac:dyDescent="0.2">
      <c r="A2441" s="179"/>
      <c r="B2441" s="178"/>
      <c r="C2441" s="178" t="s">
        <v>205</v>
      </c>
      <c r="D2441" s="177"/>
      <c r="E2441" s="174"/>
      <c r="F2441" s="176">
        <v>52.8</v>
      </c>
      <c r="G2441" s="175" t="s">
        <v>195</v>
      </c>
      <c r="H2441" s="174">
        <v>1</v>
      </c>
      <c r="I2441" s="173">
        <v>105.6</v>
      </c>
      <c r="J2441" s="174">
        <v>5.42</v>
      </c>
      <c r="K2441" s="173">
        <v>572.35</v>
      </c>
    </row>
    <row r="2442" spans="1:22" ht="68.25" x14ac:dyDescent="0.2">
      <c r="A2442" s="228" t="s">
        <v>3095</v>
      </c>
      <c r="B2442" s="227" t="s">
        <v>3096</v>
      </c>
      <c r="C2442" s="227" t="s">
        <v>923</v>
      </c>
      <c r="D2442" s="226" t="s">
        <v>1661</v>
      </c>
      <c r="E2442" s="223">
        <v>2</v>
      </c>
      <c r="F2442" s="225">
        <v>3612.73</v>
      </c>
      <c r="G2442" s="224" t="s">
        <v>195</v>
      </c>
      <c r="H2442" s="223">
        <v>1</v>
      </c>
      <c r="I2442" s="222">
        <v>7225.46</v>
      </c>
      <c r="J2442" s="223">
        <v>4.4000000000000004</v>
      </c>
      <c r="K2442" s="222">
        <v>31792.02</v>
      </c>
      <c r="Q2442" s="160">
        <f>[8]Source!X1265</f>
        <v>0</v>
      </c>
      <c r="R2442" s="160">
        <f>[8]Source!X1266</f>
        <v>0</v>
      </c>
      <c r="S2442" s="160">
        <f>[8]Source!Y1265</f>
        <v>0</v>
      </c>
      <c r="T2442" s="160">
        <f>[8]Source!Y1266</f>
        <v>0</v>
      </c>
      <c r="U2442" s="160">
        <f>ROUND((175/100)*ROUND([8]Source!R1265, 2), 2)</f>
        <v>0</v>
      </c>
      <c r="V2442" s="160">
        <f>ROUND((157/100)*ROUND([8]Source!R1266, 2), 2)</f>
        <v>0</v>
      </c>
    </row>
    <row r="2443" spans="1:22" ht="14.25" x14ac:dyDescent="0.2">
      <c r="A2443" s="179"/>
      <c r="B2443" s="178"/>
      <c r="C2443" s="178" t="s">
        <v>194</v>
      </c>
      <c r="D2443" s="177" t="s">
        <v>187</v>
      </c>
      <c r="E2443" s="174">
        <v>110</v>
      </c>
      <c r="F2443" s="176"/>
      <c r="G2443" s="175"/>
      <c r="H2443" s="174"/>
      <c r="I2443" s="173">
        <v>1844.78</v>
      </c>
      <c r="J2443" s="174">
        <v>88</v>
      </c>
      <c r="K2443" s="173">
        <v>34460.43</v>
      </c>
    </row>
    <row r="2444" spans="1:22" ht="14.25" x14ac:dyDescent="0.2">
      <c r="A2444" s="179"/>
      <c r="B2444" s="178"/>
      <c r="C2444" s="178" t="s">
        <v>193</v>
      </c>
      <c r="D2444" s="177" t="s">
        <v>187</v>
      </c>
      <c r="E2444" s="174">
        <v>74</v>
      </c>
      <c r="F2444" s="176"/>
      <c r="G2444" s="175"/>
      <c r="H2444" s="174"/>
      <c r="I2444" s="173">
        <v>1241.03</v>
      </c>
      <c r="J2444" s="174">
        <v>41</v>
      </c>
      <c r="K2444" s="173">
        <v>16055.43</v>
      </c>
    </row>
    <row r="2445" spans="1:22" ht="14.25" x14ac:dyDescent="0.2">
      <c r="A2445" s="179"/>
      <c r="B2445" s="178"/>
      <c r="C2445" s="178" t="s">
        <v>188</v>
      </c>
      <c r="D2445" s="177" t="s">
        <v>187</v>
      </c>
      <c r="E2445" s="174">
        <v>175</v>
      </c>
      <c r="F2445" s="176"/>
      <c r="G2445" s="175"/>
      <c r="H2445" s="174"/>
      <c r="I2445" s="173">
        <v>279.13</v>
      </c>
      <c r="J2445" s="174">
        <v>157</v>
      </c>
      <c r="K2445" s="173">
        <v>5847.2</v>
      </c>
    </row>
    <row r="2446" spans="1:22" ht="14.25" x14ac:dyDescent="0.2">
      <c r="A2446" s="242"/>
      <c r="B2446" s="241"/>
      <c r="C2446" s="241" t="s">
        <v>192</v>
      </c>
      <c r="D2446" s="240" t="s">
        <v>191</v>
      </c>
      <c r="E2446" s="238">
        <v>55.6</v>
      </c>
      <c r="F2446" s="253"/>
      <c r="G2446" s="239" t="s">
        <v>2668</v>
      </c>
      <c r="H2446" s="238">
        <v>1</v>
      </c>
      <c r="I2446" s="237">
        <v>134.27000000000001</v>
      </c>
      <c r="J2446" s="238"/>
      <c r="K2446" s="237"/>
    </row>
    <row r="2447" spans="1:22" ht="15" x14ac:dyDescent="0.25">
      <c r="A2447" s="235"/>
      <c r="B2447" s="235"/>
      <c r="C2447" s="236" t="s">
        <v>183</v>
      </c>
      <c r="D2447" s="235"/>
      <c r="E2447" s="235"/>
      <c r="F2447" s="235"/>
      <c r="G2447" s="235"/>
      <c r="H2447" s="436">
        <v>13080.38</v>
      </c>
      <c r="I2447" s="436"/>
      <c r="J2447" s="436">
        <v>134542.79999999999</v>
      </c>
      <c r="K2447" s="436"/>
      <c r="O2447" s="163">
        <f>I2438+I2439+I2441+I2443+I2444+I2445+SUM(I2442:I2442)</f>
        <v>13080.38</v>
      </c>
      <c r="P2447" s="163">
        <f>K2438+K2439+K2441+K2443+K2444+K2445+SUM(K2442:K2442)</f>
        <v>134542.79999999999</v>
      </c>
    </row>
    <row r="2450" spans="1:22" ht="15" x14ac:dyDescent="0.25">
      <c r="A2450" s="417" t="s">
        <v>3097</v>
      </c>
      <c r="B2450" s="417"/>
      <c r="C2450" s="417"/>
      <c r="D2450" s="417"/>
      <c r="E2450" s="417"/>
      <c r="F2450" s="417"/>
      <c r="G2450" s="417"/>
      <c r="H2450" s="415">
        <v>3123083.53</v>
      </c>
      <c r="I2450" s="416"/>
      <c r="J2450" s="415">
        <v>15732438.720000001</v>
      </c>
      <c r="K2450" s="416"/>
    </row>
    <row r="2451" spans="1:22" hidden="1" x14ac:dyDescent="0.2">
      <c r="A2451" s="160" t="s">
        <v>182</v>
      </c>
      <c r="I2451" s="160">
        <v>0</v>
      </c>
      <c r="J2451" s="160">
        <v>0</v>
      </c>
    </row>
    <row r="2452" spans="1:22" hidden="1" x14ac:dyDescent="0.2">
      <c r="A2452" s="160" t="s">
        <v>181</v>
      </c>
      <c r="I2452" s="160">
        <v>0</v>
      </c>
      <c r="J2452" s="160">
        <v>0</v>
      </c>
    </row>
    <row r="2454" spans="1:22" ht="16.5" x14ac:dyDescent="0.25">
      <c r="A2454" s="413" t="s">
        <v>2918</v>
      </c>
      <c r="B2454" s="413"/>
      <c r="C2454" s="413"/>
      <c r="D2454" s="413"/>
      <c r="E2454" s="413"/>
      <c r="F2454" s="413"/>
      <c r="G2454" s="413"/>
      <c r="H2454" s="413"/>
      <c r="I2454" s="413"/>
      <c r="J2454" s="413"/>
      <c r="K2454" s="413"/>
    </row>
    <row r="2455" spans="1:22" ht="128.25" x14ac:dyDescent="0.2">
      <c r="A2455" s="179" t="s">
        <v>3098</v>
      </c>
      <c r="B2455" s="178" t="s">
        <v>3099</v>
      </c>
      <c r="C2455" s="178" t="s">
        <v>922</v>
      </c>
      <c r="D2455" s="177" t="s">
        <v>3100</v>
      </c>
      <c r="E2455" s="174">
        <v>60</v>
      </c>
      <c r="F2455" s="176"/>
      <c r="G2455" s="175"/>
      <c r="H2455" s="174"/>
      <c r="I2455" s="173"/>
      <c r="J2455" s="174"/>
      <c r="K2455" s="173"/>
      <c r="Q2455" s="160">
        <f>[8]Source!X1302</f>
        <v>6367.68</v>
      </c>
      <c r="R2455" s="160">
        <f>[8]Source!X1303</f>
        <v>134808.03</v>
      </c>
      <c r="S2455" s="160">
        <f>[8]Source!Y1302</f>
        <v>5943.17</v>
      </c>
      <c r="T2455" s="160">
        <f>[8]Source!Y1303</f>
        <v>81281.31</v>
      </c>
      <c r="U2455" s="160">
        <f>ROUND((175/100)*ROUND([8]Source!R1302, 2), 2)</f>
        <v>0</v>
      </c>
      <c r="V2455" s="160">
        <f>ROUND((157/100)*ROUND([8]Source!R1303, 2), 2)</f>
        <v>0</v>
      </c>
    </row>
    <row r="2456" spans="1:22" ht="14.25" x14ac:dyDescent="0.2">
      <c r="A2456" s="179"/>
      <c r="B2456" s="178"/>
      <c r="C2456" s="178" t="s">
        <v>197</v>
      </c>
      <c r="D2456" s="177"/>
      <c r="E2456" s="174"/>
      <c r="F2456" s="176">
        <v>176.88</v>
      </c>
      <c r="G2456" s="175" t="s">
        <v>2922</v>
      </c>
      <c r="H2456" s="174">
        <v>1</v>
      </c>
      <c r="I2456" s="173">
        <v>8490.24</v>
      </c>
      <c r="J2456" s="174">
        <v>23.35</v>
      </c>
      <c r="K2456" s="173">
        <v>198247.1</v>
      </c>
    </row>
    <row r="2457" spans="1:22" ht="14.25" x14ac:dyDescent="0.2">
      <c r="A2457" s="179"/>
      <c r="B2457" s="178"/>
      <c r="C2457" s="178" t="s">
        <v>194</v>
      </c>
      <c r="D2457" s="177" t="s">
        <v>187</v>
      </c>
      <c r="E2457" s="174">
        <v>75</v>
      </c>
      <c r="F2457" s="176"/>
      <c r="G2457" s="175"/>
      <c r="H2457" s="174"/>
      <c r="I2457" s="173">
        <v>6367.68</v>
      </c>
      <c r="J2457" s="174">
        <v>68</v>
      </c>
      <c r="K2457" s="173">
        <v>134808.03</v>
      </c>
    </row>
    <row r="2458" spans="1:22" ht="14.25" x14ac:dyDescent="0.2">
      <c r="A2458" s="179"/>
      <c r="B2458" s="178"/>
      <c r="C2458" s="178" t="s">
        <v>193</v>
      </c>
      <c r="D2458" s="177" t="s">
        <v>187</v>
      </c>
      <c r="E2458" s="174">
        <v>70</v>
      </c>
      <c r="F2458" s="176"/>
      <c r="G2458" s="175"/>
      <c r="H2458" s="174"/>
      <c r="I2458" s="173">
        <v>5943.17</v>
      </c>
      <c r="J2458" s="174">
        <v>41</v>
      </c>
      <c r="K2458" s="173">
        <v>81281.31</v>
      </c>
    </row>
    <row r="2459" spans="1:22" ht="14.25" x14ac:dyDescent="0.2">
      <c r="A2459" s="242"/>
      <c r="B2459" s="241"/>
      <c r="C2459" s="241" t="s">
        <v>192</v>
      </c>
      <c r="D2459" s="240" t="s">
        <v>191</v>
      </c>
      <c r="E2459" s="238">
        <v>10</v>
      </c>
      <c r="F2459" s="253"/>
      <c r="G2459" s="239" t="s">
        <v>2922</v>
      </c>
      <c r="H2459" s="238">
        <v>1</v>
      </c>
      <c r="I2459" s="237">
        <v>480</v>
      </c>
      <c r="J2459" s="238"/>
      <c r="K2459" s="237"/>
    </row>
    <row r="2460" spans="1:22" ht="15" x14ac:dyDescent="0.25">
      <c r="A2460" s="235"/>
      <c r="B2460" s="235"/>
      <c r="C2460" s="236" t="s">
        <v>183</v>
      </c>
      <c r="D2460" s="235"/>
      <c r="E2460" s="235"/>
      <c r="F2460" s="235"/>
      <c r="G2460" s="235"/>
      <c r="H2460" s="436">
        <v>20801.09</v>
      </c>
      <c r="I2460" s="436"/>
      <c r="J2460" s="436">
        <v>414336.44</v>
      </c>
      <c r="K2460" s="436"/>
      <c r="O2460" s="163">
        <f>I2456+I2457+I2458</f>
        <v>20801.09</v>
      </c>
      <c r="P2460" s="163">
        <f>K2456+K2457+K2458</f>
        <v>414336.44</v>
      </c>
    </row>
    <row r="2462" spans="1:22" ht="28.5" x14ac:dyDescent="0.2">
      <c r="A2462" s="179" t="s">
        <v>3101</v>
      </c>
      <c r="B2462" s="178" t="s">
        <v>3102</v>
      </c>
      <c r="C2462" s="178" t="s">
        <v>921</v>
      </c>
      <c r="D2462" s="177" t="s">
        <v>2921</v>
      </c>
      <c r="E2462" s="174">
        <v>2</v>
      </c>
      <c r="F2462" s="176"/>
      <c r="G2462" s="175"/>
      <c r="H2462" s="174"/>
      <c r="I2462" s="173"/>
      <c r="J2462" s="174"/>
      <c r="K2462" s="173"/>
      <c r="Q2462" s="160">
        <f>[8]Source!X1304</f>
        <v>186.76</v>
      </c>
      <c r="R2462" s="160">
        <f>[8]Source!X1305</f>
        <v>3953.78</v>
      </c>
      <c r="S2462" s="160">
        <f>[8]Source!Y1304</f>
        <v>174.31</v>
      </c>
      <c r="T2462" s="160">
        <f>[8]Source!Y1305</f>
        <v>2383.9</v>
      </c>
      <c r="U2462" s="160">
        <f>ROUND((175/100)*ROUND([8]Source!R1304, 2), 2)</f>
        <v>0</v>
      </c>
      <c r="V2462" s="160">
        <f>ROUND((157/100)*ROUND([8]Source!R1305, 2), 2)</f>
        <v>0</v>
      </c>
    </row>
    <row r="2463" spans="1:22" ht="14.25" x14ac:dyDescent="0.2">
      <c r="A2463" s="179"/>
      <c r="B2463" s="178"/>
      <c r="C2463" s="178" t="s">
        <v>197</v>
      </c>
      <c r="D2463" s="177"/>
      <c r="E2463" s="174"/>
      <c r="F2463" s="176">
        <v>155.63</v>
      </c>
      <c r="G2463" s="175" t="s">
        <v>2922</v>
      </c>
      <c r="H2463" s="174">
        <v>1</v>
      </c>
      <c r="I2463" s="173">
        <v>249.01</v>
      </c>
      <c r="J2463" s="174">
        <v>23.35</v>
      </c>
      <c r="K2463" s="173">
        <v>5814.38</v>
      </c>
    </row>
    <row r="2464" spans="1:22" ht="14.25" x14ac:dyDescent="0.2">
      <c r="A2464" s="179"/>
      <c r="B2464" s="178"/>
      <c r="C2464" s="178" t="s">
        <v>194</v>
      </c>
      <c r="D2464" s="177" t="s">
        <v>187</v>
      </c>
      <c r="E2464" s="174">
        <v>75</v>
      </c>
      <c r="F2464" s="176"/>
      <c r="G2464" s="175"/>
      <c r="H2464" s="174"/>
      <c r="I2464" s="173">
        <v>186.76</v>
      </c>
      <c r="J2464" s="174">
        <v>68</v>
      </c>
      <c r="K2464" s="173">
        <v>3953.78</v>
      </c>
    </row>
    <row r="2465" spans="1:22" ht="14.25" x14ac:dyDescent="0.2">
      <c r="A2465" s="179"/>
      <c r="B2465" s="178"/>
      <c r="C2465" s="178" t="s">
        <v>193</v>
      </c>
      <c r="D2465" s="177" t="s">
        <v>187</v>
      </c>
      <c r="E2465" s="174">
        <v>70</v>
      </c>
      <c r="F2465" s="176"/>
      <c r="G2465" s="175"/>
      <c r="H2465" s="174"/>
      <c r="I2465" s="173">
        <v>174.31</v>
      </c>
      <c r="J2465" s="174">
        <v>41</v>
      </c>
      <c r="K2465" s="173">
        <v>2383.9</v>
      </c>
    </row>
    <row r="2466" spans="1:22" ht="14.25" x14ac:dyDescent="0.2">
      <c r="A2466" s="242"/>
      <c r="B2466" s="241"/>
      <c r="C2466" s="241" t="s">
        <v>192</v>
      </c>
      <c r="D2466" s="240" t="s">
        <v>191</v>
      </c>
      <c r="E2466" s="238">
        <v>9</v>
      </c>
      <c r="F2466" s="253"/>
      <c r="G2466" s="239" t="s">
        <v>2922</v>
      </c>
      <c r="H2466" s="238">
        <v>1</v>
      </c>
      <c r="I2466" s="237">
        <v>14.4</v>
      </c>
      <c r="J2466" s="238"/>
      <c r="K2466" s="237"/>
    </row>
    <row r="2467" spans="1:22" ht="15" x14ac:dyDescent="0.25">
      <c r="A2467" s="235"/>
      <c r="B2467" s="235"/>
      <c r="C2467" s="236" t="s">
        <v>183</v>
      </c>
      <c r="D2467" s="235"/>
      <c r="E2467" s="235"/>
      <c r="F2467" s="235"/>
      <c r="G2467" s="235"/>
      <c r="H2467" s="436">
        <v>610.08000000000004</v>
      </c>
      <c r="I2467" s="436"/>
      <c r="J2467" s="436">
        <v>12152.06</v>
      </c>
      <c r="K2467" s="436"/>
      <c r="O2467" s="163">
        <f>I2463+I2464+I2465</f>
        <v>610.08000000000004</v>
      </c>
      <c r="P2467" s="163">
        <f>K2463+K2464+K2465</f>
        <v>12152.06</v>
      </c>
    </row>
    <row r="2470" spans="1:22" ht="15" x14ac:dyDescent="0.25">
      <c r="A2470" s="417" t="s">
        <v>2929</v>
      </c>
      <c r="B2470" s="417"/>
      <c r="C2470" s="417"/>
      <c r="D2470" s="417"/>
      <c r="E2470" s="417"/>
      <c r="F2470" s="417"/>
      <c r="G2470" s="417"/>
      <c r="H2470" s="415">
        <v>21411.17</v>
      </c>
      <c r="I2470" s="416"/>
      <c r="J2470" s="415">
        <v>426488.5</v>
      </c>
      <c r="K2470" s="416"/>
    </row>
    <row r="2471" spans="1:22" hidden="1" x14ac:dyDescent="0.2">
      <c r="A2471" s="160" t="s">
        <v>182</v>
      </c>
      <c r="I2471" s="160">
        <v>0</v>
      </c>
      <c r="J2471" s="160">
        <v>0</v>
      </c>
    </row>
    <row r="2472" spans="1:22" hidden="1" x14ac:dyDescent="0.2">
      <c r="A2472" s="160" t="s">
        <v>181</v>
      </c>
      <c r="I2472" s="160">
        <v>0</v>
      </c>
      <c r="J2472" s="160">
        <v>0</v>
      </c>
    </row>
    <row r="2474" spans="1:22" ht="16.5" x14ac:dyDescent="0.25">
      <c r="A2474" s="413" t="s">
        <v>2930</v>
      </c>
      <c r="B2474" s="413"/>
      <c r="C2474" s="413"/>
      <c r="D2474" s="413"/>
      <c r="E2474" s="413"/>
      <c r="F2474" s="413"/>
      <c r="G2474" s="413"/>
      <c r="H2474" s="413"/>
      <c r="I2474" s="413"/>
      <c r="J2474" s="413"/>
      <c r="K2474" s="413"/>
    </row>
    <row r="2475" spans="1:22" ht="57" x14ac:dyDescent="0.2">
      <c r="A2475" s="179" t="s">
        <v>3103</v>
      </c>
      <c r="B2475" s="178" t="s">
        <v>2609</v>
      </c>
      <c r="C2475" s="178" t="s">
        <v>920</v>
      </c>
      <c r="D2475" s="177" t="s">
        <v>2599</v>
      </c>
      <c r="E2475" s="174">
        <v>0.65</v>
      </c>
      <c r="F2475" s="176"/>
      <c r="G2475" s="175"/>
      <c r="H2475" s="174"/>
      <c r="I2475" s="173"/>
      <c r="J2475" s="174"/>
      <c r="K2475" s="173"/>
      <c r="Q2475" s="160">
        <f>[8]Source!X1341</f>
        <v>305.02</v>
      </c>
      <c r="R2475" s="160">
        <f>[8]Source!X1342</f>
        <v>5697.75</v>
      </c>
      <c r="S2475" s="160">
        <f>[8]Source!Y1341</f>
        <v>205.19</v>
      </c>
      <c r="T2475" s="160">
        <f>[8]Source!Y1342</f>
        <v>2654.64</v>
      </c>
      <c r="U2475" s="160">
        <f>ROUND((175/100)*ROUND([8]Source!R1341, 2), 2)</f>
        <v>12.22</v>
      </c>
      <c r="V2475" s="160">
        <f>ROUND((157/100)*ROUND([8]Source!R1342, 2), 2)</f>
        <v>255.88</v>
      </c>
    </row>
    <row r="2476" spans="1:22" x14ac:dyDescent="0.2">
      <c r="C2476" s="181" t="s">
        <v>2932</v>
      </c>
    </row>
    <row r="2477" spans="1:22" ht="14.25" x14ac:dyDescent="0.2">
      <c r="A2477" s="179"/>
      <c r="B2477" s="178"/>
      <c r="C2477" s="178" t="s">
        <v>197</v>
      </c>
      <c r="D2477" s="177"/>
      <c r="E2477" s="174"/>
      <c r="F2477" s="176">
        <v>370.95</v>
      </c>
      <c r="G2477" s="175" t="s">
        <v>2270</v>
      </c>
      <c r="H2477" s="174">
        <v>1</v>
      </c>
      <c r="I2477" s="173">
        <v>277.29000000000002</v>
      </c>
      <c r="J2477" s="174">
        <v>23.35</v>
      </c>
      <c r="K2477" s="173">
        <v>6474.72</v>
      </c>
    </row>
    <row r="2478" spans="1:22" ht="14.25" x14ac:dyDescent="0.2">
      <c r="A2478" s="179"/>
      <c r="B2478" s="178"/>
      <c r="C2478" s="178" t="s">
        <v>184</v>
      </c>
      <c r="D2478" s="177"/>
      <c r="E2478" s="174"/>
      <c r="F2478" s="176">
        <v>43.16</v>
      </c>
      <c r="G2478" s="175" t="s">
        <v>2271</v>
      </c>
      <c r="H2478" s="174">
        <v>1</v>
      </c>
      <c r="I2478" s="173">
        <v>35.07</v>
      </c>
      <c r="J2478" s="174">
        <v>8.93</v>
      </c>
      <c r="K2478" s="173">
        <v>313.18</v>
      </c>
    </row>
    <row r="2479" spans="1:22" ht="14.25" x14ac:dyDescent="0.2">
      <c r="A2479" s="179"/>
      <c r="B2479" s="178"/>
      <c r="C2479" s="178" t="s">
        <v>189</v>
      </c>
      <c r="D2479" s="177"/>
      <c r="E2479" s="174"/>
      <c r="F2479" s="176">
        <v>8.59</v>
      </c>
      <c r="G2479" s="175" t="s">
        <v>2271</v>
      </c>
      <c r="H2479" s="174">
        <v>1</v>
      </c>
      <c r="I2479" s="180">
        <v>6.98</v>
      </c>
      <c r="J2479" s="174">
        <v>23.35</v>
      </c>
      <c r="K2479" s="180">
        <v>162.97999999999999</v>
      </c>
    </row>
    <row r="2480" spans="1:22" ht="14.25" x14ac:dyDescent="0.2">
      <c r="A2480" s="179"/>
      <c r="B2480" s="178"/>
      <c r="C2480" s="178" t="s">
        <v>205</v>
      </c>
      <c r="D2480" s="177"/>
      <c r="E2480" s="174"/>
      <c r="F2480" s="176">
        <v>18.13</v>
      </c>
      <c r="G2480" s="175" t="s">
        <v>195</v>
      </c>
      <c r="H2480" s="174">
        <v>1</v>
      </c>
      <c r="I2480" s="173">
        <v>11.78</v>
      </c>
      <c r="J2480" s="174">
        <v>5.42</v>
      </c>
      <c r="K2480" s="173">
        <v>63.85</v>
      </c>
    </row>
    <row r="2481" spans="1:22" ht="57" x14ac:dyDescent="0.2">
      <c r="A2481" s="179" t="s">
        <v>3104</v>
      </c>
      <c r="B2481" s="178" t="s">
        <v>2611</v>
      </c>
      <c r="C2481" s="178" t="s">
        <v>735</v>
      </c>
      <c r="D2481" s="177" t="s">
        <v>1661</v>
      </c>
      <c r="E2481" s="174">
        <v>4</v>
      </c>
      <c r="F2481" s="176">
        <v>74.37</v>
      </c>
      <c r="G2481" s="182" t="s">
        <v>195</v>
      </c>
      <c r="H2481" s="174">
        <v>1</v>
      </c>
      <c r="I2481" s="173">
        <v>297.48</v>
      </c>
      <c r="J2481" s="174">
        <v>11.27</v>
      </c>
      <c r="K2481" s="173">
        <v>3352.6</v>
      </c>
      <c r="Q2481" s="160">
        <f>[8]Source!X1343</f>
        <v>0</v>
      </c>
      <c r="R2481" s="160">
        <f>[8]Source!X1344</f>
        <v>0</v>
      </c>
      <c r="S2481" s="160">
        <f>[8]Source!Y1343</f>
        <v>0</v>
      </c>
      <c r="T2481" s="160">
        <f>[8]Source!Y1344</f>
        <v>0</v>
      </c>
      <c r="U2481" s="160">
        <f>ROUND((175/100)*ROUND([8]Source!R1343, 2), 2)</f>
        <v>0</v>
      </c>
      <c r="V2481" s="160">
        <f>ROUND((157/100)*ROUND([8]Source!R1344, 2), 2)</f>
        <v>0</v>
      </c>
    </row>
    <row r="2482" spans="1:22" ht="57" x14ac:dyDescent="0.2">
      <c r="A2482" s="179" t="s">
        <v>3105</v>
      </c>
      <c r="B2482" s="178" t="s">
        <v>2613</v>
      </c>
      <c r="C2482" s="178" t="s">
        <v>919</v>
      </c>
      <c r="D2482" s="177" t="s">
        <v>1552</v>
      </c>
      <c r="E2482" s="174">
        <v>65</v>
      </c>
      <c r="F2482" s="176">
        <v>31.75</v>
      </c>
      <c r="G2482" s="182" t="s">
        <v>195</v>
      </c>
      <c r="H2482" s="174">
        <v>1</v>
      </c>
      <c r="I2482" s="173">
        <v>2063.75</v>
      </c>
      <c r="J2482" s="174">
        <v>8.52</v>
      </c>
      <c r="K2482" s="173">
        <v>17583.150000000001</v>
      </c>
      <c r="Q2482" s="160">
        <f>[8]Source!X1345</f>
        <v>0</v>
      </c>
      <c r="R2482" s="160">
        <f>[8]Source!X1346</f>
        <v>0</v>
      </c>
      <c r="S2482" s="160">
        <f>[8]Source!Y1345</f>
        <v>0</v>
      </c>
      <c r="T2482" s="160">
        <f>[8]Source!Y1346</f>
        <v>0</v>
      </c>
      <c r="U2482" s="160">
        <f>ROUND((175/100)*ROUND([8]Source!R1345, 2), 2)</f>
        <v>0</v>
      </c>
      <c r="V2482" s="160">
        <f>ROUND((157/100)*ROUND([8]Source!R1346, 2), 2)</f>
        <v>0</v>
      </c>
    </row>
    <row r="2483" spans="1:22" ht="14.25" x14ac:dyDescent="0.2">
      <c r="A2483" s="179"/>
      <c r="B2483" s="178"/>
      <c r="C2483" s="178" t="s">
        <v>194</v>
      </c>
      <c r="D2483" s="177" t="s">
        <v>187</v>
      </c>
      <c r="E2483" s="174">
        <v>110</v>
      </c>
      <c r="F2483" s="176"/>
      <c r="G2483" s="175"/>
      <c r="H2483" s="174"/>
      <c r="I2483" s="173">
        <v>305.02</v>
      </c>
      <c r="J2483" s="174">
        <v>88</v>
      </c>
      <c r="K2483" s="173">
        <v>5697.75</v>
      </c>
    </row>
    <row r="2484" spans="1:22" ht="14.25" x14ac:dyDescent="0.2">
      <c r="A2484" s="179"/>
      <c r="B2484" s="178"/>
      <c r="C2484" s="178" t="s">
        <v>193</v>
      </c>
      <c r="D2484" s="177" t="s">
        <v>187</v>
      </c>
      <c r="E2484" s="174">
        <v>74</v>
      </c>
      <c r="F2484" s="176"/>
      <c r="G2484" s="175"/>
      <c r="H2484" s="174"/>
      <c r="I2484" s="173">
        <v>205.19</v>
      </c>
      <c r="J2484" s="174">
        <v>41</v>
      </c>
      <c r="K2484" s="173">
        <v>2654.64</v>
      </c>
    </row>
    <row r="2485" spans="1:22" ht="14.25" x14ac:dyDescent="0.2">
      <c r="A2485" s="179"/>
      <c r="B2485" s="178"/>
      <c r="C2485" s="178" t="s">
        <v>188</v>
      </c>
      <c r="D2485" s="177" t="s">
        <v>187</v>
      </c>
      <c r="E2485" s="174">
        <v>175</v>
      </c>
      <c r="F2485" s="176"/>
      <c r="G2485" s="175"/>
      <c r="H2485" s="174"/>
      <c r="I2485" s="173">
        <v>12.22</v>
      </c>
      <c r="J2485" s="174">
        <v>157</v>
      </c>
      <c r="K2485" s="173">
        <v>255.88</v>
      </c>
    </row>
    <row r="2486" spans="1:22" ht="14.25" x14ac:dyDescent="0.2">
      <c r="A2486" s="242"/>
      <c r="B2486" s="241"/>
      <c r="C2486" s="241" t="s">
        <v>192</v>
      </c>
      <c r="D2486" s="240" t="s">
        <v>191</v>
      </c>
      <c r="E2486" s="238">
        <v>29.7</v>
      </c>
      <c r="F2486" s="253"/>
      <c r="G2486" s="239" t="s">
        <v>2270</v>
      </c>
      <c r="H2486" s="238">
        <v>1</v>
      </c>
      <c r="I2486" s="237">
        <v>22.2</v>
      </c>
      <c r="J2486" s="238"/>
      <c r="K2486" s="237"/>
    </row>
    <row r="2487" spans="1:22" ht="15" x14ac:dyDescent="0.25">
      <c r="A2487" s="235"/>
      <c r="B2487" s="235"/>
      <c r="C2487" s="236" t="s">
        <v>183</v>
      </c>
      <c r="D2487" s="235"/>
      <c r="E2487" s="235"/>
      <c r="F2487" s="235"/>
      <c r="G2487" s="235"/>
      <c r="H2487" s="436">
        <v>3207.8</v>
      </c>
      <c r="I2487" s="436"/>
      <c r="J2487" s="436">
        <v>36395.769999999997</v>
      </c>
      <c r="K2487" s="436"/>
      <c r="O2487" s="163">
        <f>I2477+I2478+I2480+I2483+I2484+I2485+SUM(I2481:I2482)</f>
        <v>3207.8</v>
      </c>
      <c r="P2487" s="163">
        <f>K2477+K2478+K2480+K2483+K2484+K2485+SUM(K2481:K2482)</f>
        <v>36395.769999999997</v>
      </c>
    </row>
    <row r="2489" spans="1:22" ht="57" x14ac:dyDescent="0.2">
      <c r="A2489" s="179" t="s">
        <v>3106</v>
      </c>
      <c r="B2489" s="178" t="s">
        <v>2614</v>
      </c>
      <c r="C2489" s="178" t="s">
        <v>918</v>
      </c>
      <c r="D2489" s="177" t="s">
        <v>2599</v>
      </c>
      <c r="E2489" s="174">
        <v>0.17</v>
      </c>
      <c r="F2489" s="176"/>
      <c r="G2489" s="175"/>
      <c r="H2489" s="174"/>
      <c r="I2489" s="173"/>
      <c r="J2489" s="174"/>
      <c r="K2489" s="173"/>
      <c r="Q2489" s="160">
        <f>[8]Source!X1347</f>
        <v>79.77</v>
      </c>
      <c r="R2489" s="160">
        <f>[8]Source!X1348</f>
        <v>1490.14</v>
      </c>
      <c r="S2489" s="160">
        <f>[8]Source!Y1347</f>
        <v>53.66</v>
      </c>
      <c r="T2489" s="160">
        <f>[8]Source!Y1348</f>
        <v>694.27</v>
      </c>
      <c r="U2489" s="160">
        <f>ROUND((175/100)*ROUND([8]Source!R1347, 2), 2)</f>
        <v>3.2</v>
      </c>
      <c r="V2489" s="160">
        <f>ROUND((157/100)*ROUND([8]Source!R1348, 2), 2)</f>
        <v>67.09</v>
      </c>
    </row>
    <row r="2490" spans="1:22" x14ac:dyDescent="0.2">
      <c r="C2490" s="181" t="s">
        <v>2936</v>
      </c>
    </row>
    <row r="2491" spans="1:22" ht="14.25" x14ac:dyDescent="0.2">
      <c r="A2491" s="179"/>
      <c r="B2491" s="178"/>
      <c r="C2491" s="178" t="s">
        <v>197</v>
      </c>
      <c r="D2491" s="177"/>
      <c r="E2491" s="174"/>
      <c r="F2491" s="176">
        <v>370.95</v>
      </c>
      <c r="G2491" s="175" t="s">
        <v>2270</v>
      </c>
      <c r="H2491" s="174">
        <v>1</v>
      </c>
      <c r="I2491" s="173">
        <v>72.52</v>
      </c>
      <c r="J2491" s="174">
        <v>23.35</v>
      </c>
      <c r="K2491" s="173">
        <v>1693.34</v>
      </c>
    </row>
    <row r="2492" spans="1:22" ht="14.25" x14ac:dyDescent="0.2">
      <c r="A2492" s="179"/>
      <c r="B2492" s="178"/>
      <c r="C2492" s="178" t="s">
        <v>184</v>
      </c>
      <c r="D2492" s="177"/>
      <c r="E2492" s="174"/>
      <c r="F2492" s="176">
        <v>43.16</v>
      </c>
      <c r="G2492" s="175" t="s">
        <v>2271</v>
      </c>
      <c r="H2492" s="174">
        <v>1</v>
      </c>
      <c r="I2492" s="173">
        <v>9.17</v>
      </c>
      <c r="J2492" s="174">
        <v>8.93</v>
      </c>
      <c r="K2492" s="173">
        <v>81.89</v>
      </c>
    </row>
    <row r="2493" spans="1:22" ht="14.25" x14ac:dyDescent="0.2">
      <c r="A2493" s="179"/>
      <c r="B2493" s="178"/>
      <c r="C2493" s="178" t="s">
        <v>189</v>
      </c>
      <c r="D2493" s="177"/>
      <c r="E2493" s="174"/>
      <c r="F2493" s="176">
        <v>8.59</v>
      </c>
      <c r="G2493" s="175" t="s">
        <v>2271</v>
      </c>
      <c r="H2493" s="174">
        <v>1</v>
      </c>
      <c r="I2493" s="180">
        <v>1.83</v>
      </c>
      <c r="J2493" s="174">
        <v>23.35</v>
      </c>
      <c r="K2493" s="180">
        <v>42.73</v>
      </c>
    </row>
    <row r="2494" spans="1:22" ht="14.25" x14ac:dyDescent="0.2">
      <c r="A2494" s="179"/>
      <c r="B2494" s="178"/>
      <c r="C2494" s="178" t="s">
        <v>205</v>
      </c>
      <c r="D2494" s="177"/>
      <c r="E2494" s="174"/>
      <c r="F2494" s="176">
        <v>18.13</v>
      </c>
      <c r="G2494" s="175" t="s">
        <v>195</v>
      </c>
      <c r="H2494" s="174">
        <v>1</v>
      </c>
      <c r="I2494" s="173">
        <v>3.08</v>
      </c>
      <c r="J2494" s="174">
        <v>5.42</v>
      </c>
      <c r="K2494" s="173">
        <v>16.690000000000001</v>
      </c>
    </row>
    <row r="2495" spans="1:22" ht="57" x14ac:dyDescent="0.2">
      <c r="A2495" s="179" t="s">
        <v>3107</v>
      </c>
      <c r="B2495" s="178" t="s">
        <v>2938</v>
      </c>
      <c r="C2495" s="178" t="s">
        <v>767</v>
      </c>
      <c r="D2495" s="177" t="s">
        <v>1661</v>
      </c>
      <c r="E2495" s="174">
        <v>2</v>
      </c>
      <c r="F2495" s="176">
        <v>113.32</v>
      </c>
      <c r="G2495" s="182" t="s">
        <v>195</v>
      </c>
      <c r="H2495" s="174">
        <v>1</v>
      </c>
      <c r="I2495" s="173">
        <v>226.64</v>
      </c>
      <c r="J2495" s="174">
        <v>11.93</v>
      </c>
      <c r="K2495" s="173">
        <v>2703.82</v>
      </c>
      <c r="Q2495" s="160">
        <f>[8]Source!X1349</f>
        <v>0</v>
      </c>
      <c r="R2495" s="160">
        <f>[8]Source!X1350</f>
        <v>0</v>
      </c>
      <c r="S2495" s="160">
        <f>[8]Source!Y1349</f>
        <v>0</v>
      </c>
      <c r="T2495" s="160">
        <f>[8]Source!Y1350</f>
        <v>0</v>
      </c>
      <c r="U2495" s="160">
        <f>ROUND((175/100)*ROUND([8]Source!R1349, 2), 2)</f>
        <v>0</v>
      </c>
      <c r="V2495" s="160">
        <f>ROUND((157/100)*ROUND([8]Source!R1350, 2), 2)</f>
        <v>0</v>
      </c>
    </row>
    <row r="2496" spans="1:22" ht="57" x14ac:dyDescent="0.2">
      <c r="A2496" s="179" t="s">
        <v>3108</v>
      </c>
      <c r="B2496" s="178" t="s">
        <v>2617</v>
      </c>
      <c r="C2496" s="178" t="s">
        <v>917</v>
      </c>
      <c r="D2496" s="177" t="s">
        <v>1552</v>
      </c>
      <c r="E2496" s="174">
        <v>17</v>
      </c>
      <c r="F2496" s="176">
        <v>33.31</v>
      </c>
      <c r="G2496" s="182" t="s">
        <v>195</v>
      </c>
      <c r="H2496" s="174">
        <v>1</v>
      </c>
      <c r="I2496" s="173">
        <v>566.27</v>
      </c>
      <c r="J2496" s="174">
        <v>10.32</v>
      </c>
      <c r="K2496" s="173">
        <v>5843.91</v>
      </c>
      <c r="Q2496" s="160">
        <f>[8]Source!X1351</f>
        <v>0</v>
      </c>
      <c r="R2496" s="160">
        <f>[8]Source!X1352</f>
        <v>0</v>
      </c>
      <c r="S2496" s="160">
        <f>[8]Source!Y1351</f>
        <v>0</v>
      </c>
      <c r="T2496" s="160">
        <f>[8]Source!Y1352</f>
        <v>0</v>
      </c>
      <c r="U2496" s="160">
        <f>ROUND((175/100)*ROUND([8]Source!R1351, 2), 2)</f>
        <v>0</v>
      </c>
      <c r="V2496" s="160">
        <f>ROUND((157/100)*ROUND([8]Source!R1352, 2), 2)</f>
        <v>0</v>
      </c>
    </row>
    <row r="2497" spans="1:22" ht="14.25" x14ac:dyDescent="0.2">
      <c r="A2497" s="179"/>
      <c r="B2497" s="178"/>
      <c r="C2497" s="178" t="s">
        <v>194</v>
      </c>
      <c r="D2497" s="177" t="s">
        <v>187</v>
      </c>
      <c r="E2497" s="174">
        <v>110</v>
      </c>
      <c r="F2497" s="176"/>
      <c r="G2497" s="175"/>
      <c r="H2497" s="174"/>
      <c r="I2497" s="173">
        <v>79.77</v>
      </c>
      <c r="J2497" s="174">
        <v>88</v>
      </c>
      <c r="K2497" s="173">
        <v>1490.14</v>
      </c>
    </row>
    <row r="2498" spans="1:22" ht="14.25" x14ac:dyDescent="0.2">
      <c r="A2498" s="179"/>
      <c r="B2498" s="178"/>
      <c r="C2498" s="178" t="s">
        <v>193</v>
      </c>
      <c r="D2498" s="177" t="s">
        <v>187</v>
      </c>
      <c r="E2498" s="174">
        <v>74</v>
      </c>
      <c r="F2498" s="176"/>
      <c r="G2498" s="175"/>
      <c r="H2498" s="174"/>
      <c r="I2498" s="173">
        <v>53.66</v>
      </c>
      <c r="J2498" s="174">
        <v>41</v>
      </c>
      <c r="K2498" s="173">
        <v>694.27</v>
      </c>
    </row>
    <row r="2499" spans="1:22" ht="14.25" x14ac:dyDescent="0.2">
      <c r="A2499" s="179"/>
      <c r="B2499" s="178"/>
      <c r="C2499" s="178" t="s">
        <v>188</v>
      </c>
      <c r="D2499" s="177" t="s">
        <v>187</v>
      </c>
      <c r="E2499" s="174">
        <v>175</v>
      </c>
      <c r="F2499" s="176"/>
      <c r="G2499" s="175"/>
      <c r="H2499" s="174"/>
      <c r="I2499" s="173">
        <v>3.2</v>
      </c>
      <c r="J2499" s="174">
        <v>157</v>
      </c>
      <c r="K2499" s="173">
        <v>67.09</v>
      </c>
    </row>
    <row r="2500" spans="1:22" ht="14.25" x14ac:dyDescent="0.2">
      <c r="A2500" s="242"/>
      <c r="B2500" s="241"/>
      <c r="C2500" s="241" t="s">
        <v>192</v>
      </c>
      <c r="D2500" s="240" t="s">
        <v>191</v>
      </c>
      <c r="E2500" s="238">
        <v>29.7</v>
      </c>
      <c r="F2500" s="253"/>
      <c r="G2500" s="239" t="s">
        <v>2270</v>
      </c>
      <c r="H2500" s="238">
        <v>1</v>
      </c>
      <c r="I2500" s="237">
        <v>5.81</v>
      </c>
      <c r="J2500" s="238"/>
      <c r="K2500" s="237"/>
    </row>
    <row r="2501" spans="1:22" ht="15" x14ac:dyDescent="0.25">
      <c r="A2501" s="235"/>
      <c r="B2501" s="235"/>
      <c r="C2501" s="236" t="s">
        <v>183</v>
      </c>
      <c r="D2501" s="235"/>
      <c r="E2501" s="235"/>
      <c r="F2501" s="235"/>
      <c r="G2501" s="235"/>
      <c r="H2501" s="436">
        <v>1014.31</v>
      </c>
      <c r="I2501" s="436"/>
      <c r="J2501" s="436">
        <v>12591.15</v>
      </c>
      <c r="K2501" s="436"/>
      <c r="O2501" s="163">
        <f>I2491+I2492+I2494+I2497+I2498+I2499+SUM(I2495:I2496)</f>
        <v>1014.31</v>
      </c>
      <c r="P2501" s="163">
        <f>K2491+K2492+K2494+K2497+K2498+K2499+SUM(K2495:K2496)</f>
        <v>12591.15</v>
      </c>
    </row>
    <row r="2503" spans="1:22" ht="57" x14ac:dyDescent="0.2">
      <c r="A2503" s="179" t="s">
        <v>3109</v>
      </c>
      <c r="B2503" s="178" t="s">
        <v>2621</v>
      </c>
      <c r="C2503" s="178" t="s">
        <v>916</v>
      </c>
      <c r="D2503" s="177" t="s">
        <v>2599</v>
      </c>
      <c r="E2503" s="174">
        <v>1.1100000000000001</v>
      </c>
      <c r="F2503" s="176"/>
      <c r="G2503" s="175"/>
      <c r="H2503" s="174"/>
      <c r="I2503" s="173"/>
      <c r="J2503" s="174"/>
      <c r="K2503" s="173"/>
      <c r="Q2503" s="160">
        <f>[8]Source!X1353</f>
        <v>652.41</v>
      </c>
      <c r="R2503" s="160">
        <f>[8]Source!X1354</f>
        <v>12187.02</v>
      </c>
      <c r="S2503" s="160">
        <f>[8]Source!Y1353</f>
        <v>438.89</v>
      </c>
      <c r="T2503" s="160">
        <f>[8]Source!Y1354</f>
        <v>5678.04</v>
      </c>
      <c r="U2503" s="160">
        <f>ROUND((175/100)*ROUND([8]Source!R1353, 2), 2)</f>
        <v>30.4</v>
      </c>
      <c r="V2503" s="160">
        <f>ROUND((157/100)*ROUND([8]Source!R1354, 2), 2)</f>
        <v>636.78</v>
      </c>
    </row>
    <row r="2504" spans="1:22" x14ac:dyDescent="0.2">
      <c r="C2504" s="181" t="s">
        <v>2941</v>
      </c>
    </row>
    <row r="2505" spans="1:22" ht="14.25" x14ac:dyDescent="0.2">
      <c r="A2505" s="179"/>
      <c r="B2505" s="178"/>
      <c r="C2505" s="178" t="s">
        <v>197</v>
      </c>
      <c r="D2505" s="177"/>
      <c r="E2505" s="174"/>
      <c r="F2505" s="176">
        <v>464.63</v>
      </c>
      <c r="G2505" s="175" t="s">
        <v>2270</v>
      </c>
      <c r="H2505" s="174">
        <v>1</v>
      </c>
      <c r="I2505" s="173">
        <v>593.1</v>
      </c>
      <c r="J2505" s="174">
        <v>23.35</v>
      </c>
      <c r="K2505" s="173">
        <v>13848.89</v>
      </c>
    </row>
    <row r="2506" spans="1:22" ht="14.25" x14ac:dyDescent="0.2">
      <c r="A2506" s="179"/>
      <c r="B2506" s="178"/>
      <c r="C2506" s="178" t="s">
        <v>184</v>
      </c>
      <c r="D2506" s="177"/>
      <c r="E2506" s="174"/>
      <c r="F2506" s="176">
        <v>79</v>
      </c>
      <c r="G2506" s="175" t="s">
        <v>2271</v>
      </c>
      <c r="H2506" s="174">
        <v>1</v>
      </c>
      <c r="I2506" s="173">
        <v>109.61</v>
      </c>
      <c r="J2506" s="174">
        <v>8.1999999999999993</v>
      </c>
      <c r="K2506" s="173">
        <v>898.8</v>
      </c>
    </row>
    <row r="2507" spans="1:22" ht="14.25" x14ac:dyDescent="0.2">
      <c r="A2507" s="179"/>
      <c r="B2507" s="178"/>
      <c r="C2507" s="178" t="s">
        <v>189</v>
      </c>
      <c r="D2507" s="177"/>
      <c r="E2507" s="174"/>
      <c r="F2507" s="176">
        <v>12.52</v>
      </c>
      <c r="G2507" s="175" t="s">
        <v>2271</v>
      </c>
      <c r="H2507" s="174">
        <v>1</v>
      </c>
      <c r="I2507" s="180">
        <v>17.37</v>
      </c>
      <c r="J2507" s="174">
        <v>23.35</v>
      </c>
      <c r="K2507" s="180">
        <v>405.59</v>
      </c>
    </row>
    <row r="2508" spans="1:22" ht="14.25" x14ac:dyDescent="0.2">
      <c r="A2508" s="179"/>
      <c r="B2508" s="178"/>
      <c r="C2508" s="178" t="s">
        <v>205</v>
      </c>
      <c r="D2508" s="177"/>
      <c r="E2508" s="174"/>
      <c r="F2508" s="176">
        <v>21.21</v>
      </c>
      <c r="G2508" s="175" t="s">
        <v>195</v>
      </c>
      <c r="H2508" s="174">
        <v>1</v>
      </c>
      <c r="I2508" s="173">
        <v>23.54</v>
      </c>
      <c r="J2508" s="174">
        <v>5.42</v>
      </c>
      <c r="K2508" s="173">
        <v>127.59</v>
      </c>
    </row>
    <row r="2509" spans="1:22" ht="57" x14ac:dyDescent="0.2">
      <c r="A2509" s="179" t="s">
        <v>3110</v>
      </c>
      <c r="B2509" s="178" t="s">
        <v>2623</v>
      </c>
      <c r="C2509" s="178" t="s">
        <v>758</v>
      </c>
      <c r="D2509" s="177" t="s">
        <v>1661</v>
      </c>
      <c r="E2509" s="174">
        <v>2</v>
      </c>
      <c r="F2509" s="176">
        <v>255</v>
      </c>
      <c r="G2509" s="182" t="s">
        <v>195</v>
      </c>
      <c r="H2509" s="174">
        <v>1</v>
      </c>
      <c r="I2509" s="173">
        <v>510</v>
      </c>
      <c r="J2509" s="174">
        <v>11.85</v>
      </c>
      <c r="K2509" s="173">
        <v>6043.5</v>
      </c>
      <c r="Q2509" s="160">
        <f>[8]Source!X1355</f>
        <v>0</v>
      </c>
      <c r="R2509" s="160">
        <f>[8]Source!X1356</f>
        <v>0</v>
      </c>
      <c r="S2509" s="160">
        <f>[8]Source!Y1355</f>
        <v>0</v>
      </c>
      <c r="T2509" s="160">
        <f>[8]Source!Y1356</f>
        <v>0</v>
      </c>
      <c r="U2509" s="160">
        <f>ROUND((175/100)*ROUND([8]Source!R1355, 2), 2)</f>
        <v>0</v>
      </c>
      <c r="V2509" s="160">
        <f>ROUND((157/100)*ROUND([8]Source!R1356, 2), 2)</f>
        <v>0</v>
      </c>
    </row>
    <row r="2510" spans="1:22" ht="57" x14ac:dyDescent="0.2">
      <c r="A2510" s="179" t="s">
        <v>3111</v>
      </c>
      <c r="B2510" s="178" t="s">
        <v>2626</v>
      </c>
      <c r="C2510" s="178" t="s">
        <v>915</v>
      </c>
      <c r="D2510" s="177" t="s">
        <v>1552</v>
      </c>
      <c r="E2510" s="174">
        <v>111</v>
      </c>
      <c r="F2510" s="176">
        <v>44.54</v>
      </c>
      <c r="G2510" s="182" t="s">
        <v>195</v>
      </c>
      <c r="H2510" s="174">
        <v>1</v>
      </c>
      <c r="I2510" s="173">
        <v>4943.9399999999996</v>
      </c>
      <c r="J2510" s="174">
        <v>10.79</v>
      </c>
      <c r="K2510" s="173">
        <v>53345.11</v>
      </c>
      <c r="Q2510" s="160">
        <f>[8]Source!X1357</f>
        <v>0</v>
      </c>
      <c r="R2510" s="160">
        <f>[8]Source!X1358</f>
        <v>0</v>
      </c>
      <c r="S2510" s="160">
        <f>[8]Source!Y1357</f>
        <v>0</v>
      </c>
      <c r="T2510" s="160">
        <f>[8]Source!Y1358</f>
        <v>0</v>
      </c>
      <c r="U2510" s="160">
        <f>ROUND((175/100)*ROUND([8]Source!R1357, 2), 2)</f>
        <v>0</v>
      </c>
      <c r="V2510" s="160">
        <f>ROUND((157/100)*ROUND([8]Source!R1358, 2), 2)</f>
        <v>0</v>
      </c>
    </row>
    <row r="2511" spans="1:22" ht="14.25" x14ac:dyDescent="0.2">
      <c r="A2511" s="179"/>
      <c r="B2511" s="178"/>
      <c r="C2511" s="178" t="s">
        <v>194</v>
      </c>
      <c r="D2511" s="177" t="s">
        <v>187</v>
      </c>
      <c r="E2511" s="174">
        <v>110</v>
      </c>
      <c r="F2511" s="176"/>
      <c r="G2511" s="175"/>
      <c r="H2511" s="174"/>
      <c r="I2511" s="173">
        <v>652.41</v>
      </c>
      <c r="J2511" s="174">
        <v>88</v>
      </c>
      <c r="K2511" s="173">
        <v>12187.02</v>
      </c>
    </row>
    <row r="2512" spans="1:22" ht="14.25" x14ac:dyDescent="0.2">
      <c r="A2512" s="179"/>
      <c r="B2512" s="178"/>
      <c r="C2512" s="178" t="s">
        <v>193</v>
      </c>
      <c r="D2512" s="177" t="s">
        <v>187</v>
      </c>
      <c r="E2512" s="174">
        <v>74</v>
      </c>
      <c r="F2512" s="176"/>
      <c r="G2512" s="175"/>
      <c r="H2512" s="174"/>
      <c r="I2512" s="173">
        <v>438.89</v>
      </c>
      <c r="J2512" s="174">
        <v>41</v>
      </c>
      <c r="K2512" s="173">
        <v>5678.04</v>
      </c>
    </row>
    <row r="2513" spans="1:22" ht="14.25" x14ac:dyDescent="0.2">
      <c r="A2513" s="179"/>
      <c r="B2513" s="178"/>
      <c r="C2513" s="178" t="s">
        <v>188</v>
      </c>
      <c r="D2513" s="177" t="s">
        <v>187</v>
      </c>
      <c r="E2513" s="174">
        <v>175</v>
      </c>
      <c r="F2513" s="176"/>
      <c r="G2513" s="175"/>
      <c r="H2513" s="174"/>
      <c r="I2513" s="173">
        <v>30.4</v>
      </c>
      <c r="J2513" s="174">
        <v>157</v>
      </c>
      <c r="K2513" s="173">
        <v>636.78</v>
      </c>
    </row>
    <row r="2514" spans="1:22" ht="14.25" x14ac:dyDescent="0.2">
      <c r="A2514" s="242"/>
      <c r="B2514" s="241"/>
      <c r="C2514" s="241" t="s">
        <v>192</v>
      </c>
      <c r="D2514" s="240" t="s">
        <v>191</v>
      </c>
      <c r="E2514" s="238">
        <v>37.200000000000003</v>
      </c>
      <c r="F2514" s="253"/>
      <c r="G2514" s="239" t="s">
        <v>2270</v>
      </c>
      <c r="H2514" s="238">
        <v>1</v>
      </c>
      <c r="I2514" s="237">
        <v>47.49</v>
      </c>
      <c r="J2514" s="238"/>
      <c r="K2514" s="237"/>
    </row>
    <row r="2515" spans="1:22" ht="15" x14ac:dyDescent="0.25">
      <c r="A2515" s="235"/>
      <c r="B2515" s="235"/>
      <c r="C2515" s="236" t="s">
        <v>183</v>
      </c>
      <c r="D2515" s="235"/>
      <c r="E2515" s="235"/>
      <c r="F2515" s="235"/>
      <c r="G2515" s="235"/>
      <c r="H2515" s="436">
        <v>7301.89</v>
      </c>
      <c r="I2515" s="436"/>
      <c r="J2515" s="436">
        <v>92765.73</v>
      </c>
      <c r="K2515" s="436"/>
      <c r="O2515" s="163">
        <f>I2505+I2506+I2508+I2511+I2512+I2513+SUM(I2509:I2510)</f>
        <v>7301.89</v>
      </c>
      <c r="P2515" s="163">
        <f>K2505+K2506+K2508+K2511+K2512+K2513+SUM(K2509:K2510)</f>
        <v>92765.73</v>
      </c>
    </row>
    <row r="2517" spans="1:22" ht="57" x14ac:dyDescent="0.2">
      <c r="A2517" s="179" t="s">
        <v>3112</v>
      </c>
      <c r="B2517" s="178" t="s">
        <v>2946</v>
      </c>
      <c r="C2517" s="178" t="s">
        <v>755</v>
      </c>
      <c r="D2517" s="177" t="s">
        <v>2599</v>
      </c>
      <c r="E2517" s="174">
        <v>0.38</v>
      </c>
      <c r="F2517" s="176"/>
      <c r="G2517" s="175"/>
      <c r="H2517" s="174"/>
      <c r="I2517" s="173"/>
      <c r="J2517" s="174"/>
      <c r="K2517" s="173"/>
      <c r="Q2517" s="160">
        <f>[8]Source!X1359</f>
        <v>320.95</v>
      </c>
      <c r="R2517" s="160">
        <f>[8]Source!X1360</f>
        <v>5995.29</v>
      </c>
      <c r="S2517" s="160">
        <f>[8]Source!Y1359</f>
        <v>215.91</v>
      </c>
      <c r="T2517" s="160">
        <f>[8]Source!Y1360</f>
        <v>2793.26</v>
      </c>
      <c r="U2517" s="160">
        <f>ROUND((175/100)*ROUND([8]Source!R1359, 2), 2)</f>
        <v>14.67</v>
      </c>
      <c r="V2517" s="160">
        <f>ROUND((157/100)*ROUND([8]Source!R1360, 2), 2)</f>
        <v>307.2</v>
      </c>
    </row>
    <row r="2518" spans="1:22" x14ac:dyDescent="0.2">
      <c r="C2518" s="181" t="s">
        <v>2947</v>
      </c>
    </row>
    <row r="2519" spans="1:22" ht="14.25" x14ac:dyDescent="0.2">
      <c r="A2519" s="179"/>
      <c r="B2519" s="178"/>
      <c r="C2519" s="178" t="s">
        <v>197</v>
      </c>
      <c r="D2519" s="177"/>
      <c r="E2519" s="174"/>
      <c r="F2519" s="176">
        <v>667.66</v>
      </c>
      <c r="G2519" s="175" t="s">
        <v>2270</v>
      </c>
      <c r="H2519" s="174">
        <v>1</v>
      </c>
      <c r="I2519" s="173">
        <v>291.77</v>
      </c>
      <c r="J2519" s="174">
        <v>23.35</v>
      </c>
      <c r="K2519" s="173">
        <v>6812.83</v>
      </c>
    </row>
    <row r="2520" spans="1:22" ht="14.25" x14ac:dyDescent="0.2">
      <c r="A2520" s="179"/>
      <c r="B2520" s="178"/>
      <c r="C2520" s="178" t="s">
        <v>184</v>
      </c>
      <c r="D2520" s="177"/>
      <c r="E2520" s="174"/>
      <c r="F2520" s="176">
        <v>121.61</v>
      </c>
      <c r="G2520" s="175" t="s">
        <v>2271</v>
      </c>
      <c r="H2520" s="174">
        <v>1</v>
      </c>
      <c r="I2520" s="173">
        <v>57.76</v>
      </c>
      <c r="J2520" s="174">
        <v>9.14</v>
      </c>
      <c r="K2520" s="173">
        <v>527.92999999999995</v>
      </c>
    </row>
    <row r="2521" spans="1:22" ht="14.25" x14ac:dyDescent="0.2">
      <c r="A2521" s="179"/>
      <c r="B2521" s="178"/>
      <c r="C2521" s="178" t="s">
        <v>189</v>
      </c>
      <c r="D2521" s="177"/>
      <c r="E2521" s="174"/>
      <c r="F2521" s="176">
        <v>17.649999999999999</v>
      </c>
      <c r="G2521" s="175" t="s">
        <v>2271</v>
      </c>
      <c r="H2521" s="174">
        <v>1</v>
      </c>
      <c r="I2521" s="180">
        <v>8.3800000000000008</v>
      </c>
      <c r="J2521" s="174">
        <v>23.35</v>
      </c>
      <c r="K2521" s="180">
        <v>195.67</v>
      </c>
    </row>
    <row r="2522" spans="1:22" ht="14.25" x14ac:dyDescent="0.2">
      <c r="A2522" s="179"/>
      <c r="B2522" s="178"/>
      <c r="C2522" s="178" t="s">
        <v>205</v>
      </c>
      <c r="D2522" s="177"/>
      <c r="E2522" s="174"/>
      <c r="F2522" s="176">
        <v>144.03</v>
      </c>
      <c r="G2522" s="175" t="s">
        <v>195</v>
      </c>
      <c r="H2522" s="174">
        <v>1</v>
      </c>
      <c r="I2522" s="173">
        <v>54.73</v>
      </c>
      <c r="J2522" s="174">
        <v>5.52</v>
      </c>
      <c r="K2522" s="173">
        <v>302.11</v>
      </c>
    </row>
    <row r="2523" spans="1:22" ht="57" x14ac:dyDescent="0.2">
      <c r="A2523" s="179" t="s">
        <v>3113</v>
      </c>
      <c r="B2523" s="178" t="s">
        <v>3114</v>
      </c>
      <c r="C2523" s="178" t="s">
        <v>914</v>
      </c>
      <c r="D2523" s="177" t="s">
        <v>1661</v>
      </c>
      <c r="E2523" s="174">
        <v>2</v>
      </c>
      <c r="F2523" s="176">
        <v>527.69000000000005</v>
      </c>
      <c r="G2523" s="182" t="s">
        <v>195</v>
      </c>
      <c r="H2523" s="174">
        <v>1</v>
      </c>
      <c r="I2523" s="173">
        <v>1055.3800000000001</v>
      </c>
      <c r="J2523" s="174">
        <v>14.01</v>
      </c>
      <c r="K2523" s="173">
        <v>14785.87</v>
      </c>
      <c r="Q2523" s="160">
        <f>[8]Source!X1361</f>
        <v>0</v>
      </c>
      <c r="R2523" s="160">
        <f>[8]Source!X1362</f>
        <v>0</v>
      </c>
      <c r="S2523" s="160">
        <f>[8]Source!Y1361</f>
        <v>0</v>
      </c>
      <c r="T2523" s="160">
        <f>[8]Source!Y1362</f>
        <v>0</v>
      </c>
      <c r="U2523" s="160">
        <f>ROUND((175/100)*ROUND([8]Source!R1361, 2), 2)</f>
        <v>0</v>
      </c>
      <c r="V2523" s="160">
        <f>ROUND((157/100)*ROUND([8]Source!R1362, 2), 2)</f>
        <v>0</v>
      </c>
    </row>
    <row r="2524" spans="1:22" ht="57" x14ac:dyDescent="0.2">
      <c r="A2524" s="179" t="s">
        <v>3115</v>
      </c>
      <c r="B2524" s="178" t="s">
        <v>2950</v>
      </c>
      <c r="C2524" s="178" t="s">
        <v>753</v>
      </c>
      <c r="D2524" s="177" t="s">
        <v>1552</v>
      </c>
      <c r="E2524" s="174">
        <v>38</v>
      </c>
      <c r="F2524" s="176">
        <v>99.45</v>
      </c>
      <c r="G2524" s="182" t="s">
        <v>195</v>
      </c>
      <c r="H2524" s="174">
        <v>1</v>
      </c>
      <c r="I2524" s="173">
        <v>3779.1</v>
      </c>
      <c r="J2524" s="174">
        <v>9.59</v>
      </c>
      <c r="K2524" s="173">
        <v>36241.57</v>
      </c>
      <c r="Q2524" s="160">
        <f>[8]Source!X1363</f>
        <v>0</v>
      </c>
      <c r="R2524" s="160">
        <f>[8]Source!X1364</f>
        <v>0</v>
      </c>
      <c r="S2524" s="160">
        <f>[8]Source!Y1363</f>
        <v>0</v>
      </c>
      <c r="T2524" s="160">
        <f>[8]Source!Y1364</f>
        <v>0</v>
      </c>
      <c r="U2524" s="160">
        <f>ROUND((175/100)*ROUND([8]Source!R1363, 2), 2)</f>
        <v>0</v>
      </c>
      <c r="V2524" s="160">
        <f>ROUND((157/100)*ROUND([8]Source!R1364, 2), 2)</f>
        <v>0</v>
      </c>
    </row>
    <row r="2525" spans="1:22" ht="14.25" x14ac:dyDescent="0.2">
      <c r="A2525" s="179"/>
      <c r="B2525" s="178"/>
      <c r="C2525" s="178" t="s">
        <v>194</v>
      </c>
      <c r="D2525" s="177" t="s">
        <v>187</v>
      </c>
      <c r="E2525" s="174">
        <v>110</v>
      </c>
      <c r="F2525" s="176"/>
      <c r="G2525" s="175"/>
      <c r="H2525" s="174"/>
      <c r="I2525" s="173">
        <v>320.95</v>
      </c>
      <c r="J2525" s="174">
        <v>88</v>
      </c>
      <c r="K2525" s="173">
        <v>5995.29</v>
      </c>
    </row>
    <row r="2526" spans="1:22" ht="14.25" x14ac:dyDescent="0.2">
      <c r="A2526" s="179"/>
      <c r="B2526" s="178"/>
      <c r="C2526" s="178" t="s">
        <v>193</v>
      </c>
      <c r="D2526" s="177" t="s">
        <v>187</v>
      </c>
      <c r="E2526" s="174">
        <v>74</v>
      </c>
      <c r="F2526" s="176"/>
      <c r="G2526" s="175"/>
      <c r="H2526" s="174"/>
      <c r="I2526" s="173">
        <v>215.91</v>
      </c>
      <c r="J2526" s="174">
        <v>41</v>
      </c>
      <c r="K2526" s="173">
        <v>2793.26</v>
      </c>
    </row>
    <row r="2527" spans="1:22" ht="14.25" x14ac:dyDescent="0.2">
      <c r="A2527" s="179"/>
      <c r="B2527" s="178"/>
      <c r="C2527" s="178" t="s">
        <v>188</v>
      </c>
      <c r="D2527" s="177" t="s">
        <v>187</v>
      </c>
      <c r="E2527" s="174">
        <v>175</v>
      </c>
      <c r="F2527" s="176"/>
      <c r="G2527" s="175"/>
      <c r="H2527" s="174"/>
      <c r="I2527" s="173">
        <v>14.67</v>
      </c>
      <c r="J2527" s="174">
        <v>157</v>
      </c>
      <c r="K2527" s="173">
        <v>307.2</v>
      </c>
    </row>
    <row r="2528" spans="1:22" ht="14.25" x14ac:dyDescent="0.2">
      <c r="A2528" s="242"/>
      <c r="B2528" s="241"/>
      <c r="C2528" s="241" t="s">
        <v>192</v>
      </c>
      <c r="D2528" s="240" t="s">
        <v>191</v>
      </c>
      <c r="E2528" s="238">
        <v>55.5</v>
      </c>
      <c r="F2528" s="253"/>
      <c r="G2528" s="239" t="s">
        <v>2270</v>
      </c>
      <c r="H2528" s="238">
        <v>1</v>
      </c>
      <c r="I2528" s="237">
        <v>24.25</v>
      </c>
      <c r="J2528" s="238"/>
      <c r="K2528" s="237"/>
    </row>
    <row r="2529" spans="1:22" ht="15" x14ac:dyDescent="0.25">
      <c r="A2529" s="235"/>
      <c r="B2529" s="235"/>
      <c r="C2529" s="236" t="s">
        <v>183</v>
      </c>
      <c r="D2529" s="235"/>
      <c r="E2529" s="235"/>
      <c r="F2529" s="235"/>
      <c r="G2529" s="235"/>
      <c r="H2529" s="436">
        <v>5790.27</v>
      </c>
      <c r="I2529" s="436"/>
      <c r="J2529" s="436">
        <v>67766.06</v>
      </c>
      <c r="K2529" s="436"/>
      <c r="O2529" s="163">
        <f>I2519+I2520+I2522+I2525+I2526+I2527+SUM(I2523:I2524)</f>
        <v>5790.27</v>
      </c>
      <c r="P2529" s="163">
        <f>K2519+K2520+K2522+K2525+K2526+K2527+SUM(K2523:K2524)</f>
        <v>67766.06</v>
      </c>
    </row>
    <row r="2531" spans="1:22" ht="57" x14ac:dyDescent="0.2">
      <c r="A2531" s="179" t="s">
        <v>3116</v>
      </c>
      <c r="B2531" s="178" t="s">
        <v>2627</v>
      </c>
      <c r="C2531" s="178" t="s">
        <v>913</v>
      </c>
      <c r="D2531" s="177" t="s">
        <v>2599</v>
      </c>
      <c r="E2531" s="174">
        <v>0.36</v>
      </c>
      <c r="F2531" s="176"/>
      <c r="G2531" s="175"/>
      <c r="H2531" s="174"/>
      <c r="I2531" s="173"/>
      <c r="J2531" s="174"/>
      <c r="K2531" s="173"/>
      <c r="Q2531" s="160">
        <f>[8]Source!X1365</f>
        <v>304.05</v>
      </c>
      <c r="R2531" s="160">
        <f>[8]Source!X1366</f>
        <v>5679.67</v>
      </c>
      <c r="S2531" s="160">
        <f>[8]Source!Y1365</f>
        <v>204.54</v>
      </c>
      <c r="T2531" s="160">
        <f>[8]Source!Y1366</f>
        <v>2646.21</v>
      </c>
      <c r="U2531" s="160">
        <f>ROUND((175/100)*ROUND([8]Source!R1365, 2), 2)</f>
        <v>13.9</v>
      </c>
      <c r="V2531" s="160">
        <f>ROUND((157/100)*ROUND([8]Source!R1366, 2), 2)</f>
        <v>291.08</v>
      </c>
    </row>
    <row r="2532" spans="1:22" x14ac:dyDescent="0.2">
      <c r="C2532" s="181" t="s">
        <v>2952</v>
      </c>
    </row>
    <row r="2533" spans="1:22" ht="14.25" x14ac:dyDescent="0.2">
      <c r="A2533" s="179"/>
      <c r="B2533" s="178"/>
      <c r="C2533" s="178" t="s">
        <v>197</v>
      </c>
      <c r="D2533" s="177"/>
      <c r="E2533" s="174"/>
      <c r="F2533" s="176">
        <v>667.66</v>
      </c>
      <c r="G2533" s="175" t="s">
        <v>2270</v>
      </c>
      <c r="H2533" s="174">
        <v>1</v>
      </c>
      <c r="I2533" s="173">
        <v>276.41000000000003</v>
      </c>
      <c r="J2533" s="174">
        <v>23.35</v>
      </c>
      <c r="K2533" s="173">
        <v>6454.17</v>
      </c>
    </row>
    <row r="2534" spans="1:22" ht="14.25" x14ac:dyDescent="0.2">
      <c r="A2534" s="179"/>
      <c r="B2534" s="178"/>
      <c r="C2534" s="178" t="s">
        <v>184</v>
      </c>
      <c r="D2534" s="177"/>
      <c r="E2534" s="174"/>
      <c r="F2534" s="176">
        <v>121.61</v>
      </c>
      <c r="G2534" s="175" t="s">
        <v>2271</v>
      </c>
      <c r="H2534" s="174">
        <v>1</v>
      </c>
      <c r="I2534" s="173">
        <v>54.72</v>
      </c>
      <c r="J2534" s="174">
        <v>9.14</v>
      </c>
      <c r="K2534" s="173">
        <v>500.14</v>
      </c>
    </row>
    <row r="2535" spans="1:22" ht="14.25" x14ac:dyDescent="0.2">
      <c r="A2535" s="179"/>
      <c r="B2535" s="178"/>
      <c r="C2535" s="178" t="s">
        <v>189</v>
      </c>
      <c r="D2535" s="177"/>
      <c r="E2535" s="174"/>
      <c r="F2535" s="176">
        <v>17.649999999999999</v>
      </c>
      <c r="G2535" s="175" t="s">
        <v>2271</v>
      </c>
      <c r="H2535" s="174">
        <v>1</v>
      </c>
      <c r="I2535" s="180">
        <v>7.94</v>
      </c>
      <c r="J2535" s="174">
        <v>23.35</v>
      </c>
      <c r="K2535" s="180">
        <v>185.4</v>
      </c>
    </row>
    <row r="2536" spans="1:22" ht="14.25" x14ac:dyDescent="0.2">
      <c r="A2536" s="179"/>
      <c r="B2536" s="178"/>
      <c r="C2536" s="178" t="s">
        <v>205</v>
      </c>
      <c r="D2536" s="177"/>
      <c r="E2536" s="174"/>
      <c r="F2536" s="176">
        <v>146.32</v>
      </c>
      <c r="G2536" s="175" t="s">
        <v>195</v>
      </c>
      <c r="H2536" s="174">
        <v>1</v>
      </c>
      <c r="I2536" s="173">
        <v>52.68</v>
      </c>
      <c r="J2536" s="174">
        <v>5.51</v>
      </c>
      <c r="K2536" s="173">
        <v>290.27</v>
      </c>
    </row>
    <row r="2537" spans="1:22" ht="57" x14ac:dyDescent="0.2">
      <c r="A2537" s="179" t="s">
        <v>3117</v>
      </c>
      <c r="B2537" s="178" t="s">
        <v>2954</v>
      </c>
      <c r="C2537" s="178" t="s">
        <v>912</v>
      </c>
      <c r="D2537" s="177" t="s">
        <v>1661</v>
      </c>
      <c r="E2537" s="174">
        <v>2</v>
      </c>
      <c r="F2537" s="176">
        <v>926.1</v>
      </c>
      <c r="G2537" s="182" t="s">
        <v>195</v>
      </c>
      <c r="H2537" s="174">
        <v>1</v>
      </c>
      <c r="I2537" s="173">
        <v>1852.2</v>
      </c>
      <c r="J2537" s="174">
        <v>11.76</v>
      </c>
      <c r="K2537" s="173">
        <v>21781.87</v>
      </c>
      <c r="Q2537" s="160">
        <f>[8]Source!X1367</f>
        <v>0</v>
      </c>
      <c r="R2537" s="160">
        <f>[8]Source!X1368</f>
        <v>0</v>
      </c>
      <c r="S2537" s="160">
        <f>[8]Source!Y1367</f>
        <v>0</v>
      </c>
      <c r="T2537" s="160">
        <f>[8]Source!Y1368</f>
        <v>0</v>
      </c>
      <c r="U2537" s="160">
        <f>ROUND((175/100)*ROUND([8]Source!R1367, 2), 2)</f>
        <v>0</v>
      </c>
      <c r="V2537" s="160">
        <f>ROUND((157/100)*ROUND([8]Source!R1368, 2), 2)</f>
        <v>0</v>
      </c>
    </row>
    <row r="2538" spans="1:22" ht="57" x14ac:dyDescent="0.2">
      <c r="A2538" s="179" t="s">
        <v>3118</v>
      </c>
      <c r="B2538" s="178" t="s">
        <v>2628</v>
      </c>
      <c r="C2538" s="178" t="s">
        <v>911</v>
      </c>
      <c r="D2538" s="177" t="s">
        <v>1552</v>
      </c>
      <c r="E2538" s="174">
        <v>36</v>
      </c>
      <c r="F2538" s="176">
        <v>111.92</v>
      </c>
      <c r="G2538" s="182" t="s">
        <v>195</v>
      </c>
      <c r="H2538" s="174">
        <v>1</v>
      </c>
      <c r="I2538" s="173">
        <v>4029.12</v>
      </c>
      <c r="J2538" s="174">
        <v>10.01</v>
      </c>
      <c r="K2538" s="173">
        <v>40331.49</v>
      </c>
      <c r="Q2538" s="160">
        <f>[8]Source!X1369</f>
        <v>0</v>
      </c>
      <c r="R2538" s="160">
        <f>[8]Source!X1370</f>
        <v>0</v>
      </c>
      <c r="S2538" s="160">
        <f>[8]Source!Y1369</f>
        <v>0</v>
      </c>
      <c r="T2538" s="160">
        <f>[8]Source!Y1370</f>
        <v>0</v>
      </c>
      <c r="U2538" s="160">
        <f>ROUND((175/100)*ROUND([8]Source!R1369, 2), 2)</f>
        <v>0</v>
      </c>
      <c r="V2538" s="160">
        <f>ROUND((157/100)*ROUND([8]Source!R1370, 2), 2)</f>
        <v>0</v>
      </c>
    </row>
    <row r="2539" spans="1:22" ht="14.25" x14ac:dyDescent="0.2">
      <c r="A2539" s="179"/>
      <c r="B2539" s="178"/>
      <c r="C2539" s="178" t="s">
        <v>194</v>
      </c>
      <c r="D2539" s="177" t="s">
        <v>187</v>
      </c>
      <c r="E2539" s="174">
        <v>110</v>
      </c>
      <c r="F2539" s="176"/>
      <c r="G2539" s="175"/>
      <c r="H2539" s="174"/>
      <c r="I2539" s="173">
        <v>304.05</v>
      </c>
      <c r="J2539" s="174">
        <v>88</v>
      </c>
      <c r="K2539" s="173">
        <v>5679.67</v>
      </c>
    </row>
    <row r="2540" spans="1:22" ht="14.25" x14ac:dyDescent="0.2">
      <c r="A2540" s="179"/>
      <c r="B2540" s="178"/>
      <c r="C2540" s="178" t="s">
        <v>193</v>
      </c>
      <c r="D2540" s="177" t="s">
        <v>187</v>
      </c>
      <c r="E2540" s="174">
        <v>74</v>
      </c>
      <c r="F2540" s="176"/>
      <c r="G2540" s="175"/>
      <c r="H2540" s="174"/>
      <c r="I2540" s="173">
        <v>204.54</v>
      </c>
      <c r="J2540" s="174">
        <v>41</v>
      </c>
      <c r="K2540" s="173">
        <v>2646.21</v>
      </c>
    </row>
    <row r="2541" spans="1:22" ht="14.25" x14ac:dyDescent="0.2">
      <c r="A2541" s="179"/>
      <c r="B2541" s="178"/>
      <c r="C2541" s="178" t="s">
        <v>188</v>
      </c>
      <c r="D2541" s="177" t="s">
        <v>187</v>
      </c>
      <c r="E2541" s="174">
        <v>175</v>
      </c>
      <c r="F2541" s="176"/>
      <c r="G2541" s="175"/>
      <c r="H2541" s="174"/>
      <c r="I2541" s="173">
        <v>13.9</v>
      </c>
      <c r="J2541" s="174">
        <v>157</v>
      </c>
      <c r="K2541" s="173">
        <v>291.08</v>
      </c>
    </row>
    <row r="2542" spans="1:22" ht="14.25" x14ac:dyDescent="0.2">
      <c r="A2542" s="242"/>
      <c r="B2542" s="241"/>
      <c r="C2542" s="241" t="s">
        <v>192</v>
      </c>
      <c r="D2542" s="240" t="s">
        <v>191</v>
      </c>
      <c r="E2542" s="238">
        <v>55.5</v>
      </c>
      <c r="F2542" s="253"/>
      <c r="G2542" s="239" t="s">
        <v>2270</v>
      </c>
      <c r="H2542" s="238">
        <v>1</v>
      </c>
      <c r="I2542" s="237">
        <v>22.98</v>
      </c>
      <c r="J2542" s="238"/>
      <c r="K2542" s="237"/>
    </row>
    <row r="2543" spans="1:22" ht="15" x14ac:dyDescent="0.25">
      <c r="A2543" s="235"/>
      <c r="B2543" s="235"/>
      <c r="C2543" s="236" t="s">
        <v>183</v>
      </c>
      <c r="D2543" s="235"/>
      <c r="E2543" s="235"/>
      <c r="F2543" s="235"/>
      <c r="G2543" s="235"/>
      <c r="H2543" s="436">
        <v>6787.62</v>
      </c>
      <c r="I2543" s="436"/>
      <c r="J2543" s="436">
        <v>77974.899999999994</v>
      </c>
      <c r="K2543" s="436"/>
      <c r="O2543" s="163">
        <f>I2533+I2534+I2536+I2539+I2540+I2541+SUM(I2537:I2538)</f>
        <v>6787.62</v>
      </c>
      <c r="P2543" s="163">
        <f>K2533+K2534+K2536+K2539+K2540+K2541+SUM(K2537:K2538)</f>
        <v>77974.899999999994</v>
      </c>
    </row>
    <row r="2545" spans="1:22" ht="57" x14ac:dyDescent="0.2">
      <c r="A2545" s="179" t="s">
        <v>3119</v>
      </c>
      <c r="B2545" s="178" t="s">
        <v>2629</v>
      </c>
      <c r="C2545" s="178" t="s">
        <v>910</v>
      </c>
      <c r="D2545" s="177" t="s">
        <v>1561</v>
      </c>
      <c r="E2545" s="174">
        <v>1</v>
      </c>
      <c r="F2545" s="176"/>
      <c r="G2545" s="175"/>
      <c r="H2545" s="174"/>
      <c r="I2545" s="173"/>
      <c r="J2545" s="174"/>
      <c r="K2545" s="173"/>
      <c r="Q2545" s="160">
        <f>[8]Source!X1377</f>
        <v>873.66</v>
      </c>
      <c r="R2545" s="160">
        <f>[8]Source!X1378</f>
        <v>16523.97</v>
      </c>
      <c r="S2545" s="160">
        <f>[8]Source!Y1377</f>
        <v>559.14</v>
      </c>
      <c r="T2545" s="160">
        <f>[8]Source!Y1378</f>
        <v>8363.98</v>
      </c>
      <c r="U2545" s="160">
        <f>ROUND((175/100)*ROUND([8]Source!R1377, 2), 2)</f>
        <v>0.4</v>
      </c>
      <c r="V2545" s="160">
        <f>ROUND((157/100)*ROUND([8]Source!R1378, 2), 2)</f>
        <v>8.43</v>
      </c>
    </row>
    <row r="2546" spans="1:22" x14ac:dyDescent="0.2">
      <c r="C2546" s="181" t="s">
        <v>2957</v>
      </c>
    </row>
    <row r="2547" spans="1:22" ht="14.25" x14ac:dyDescent="0.2">
      <c r="A2547" s="179"/>
      <c r="B2547" s="178"/>
      <c r="C2547" s="178" t="s">
        <v>197</v>
      </c>
      <c r="D2547" s="177"/>
      <c r="E2547" s="174"/>
      <c r="F2547" s="176">
        <v>759.7</v>
      </c>
      <c r="G2547" s="175" t="s">
        <v>2270</v>
      </c>
      <c r="H2547" s="174">
        <v>1</v>
      </c>
      <c r="I2547" s="173">
        <v>873.66</v>
      </c>
      <c r="J2547" s="174">
        <v>23.35</v>
      </c>
      <c r="K2547" s="173">
        <v>20399.96</v>
      </c>
    </row>
    <row r="2548" spans="1:22" ht="14.25" x14ac:dyDescent="0.2">
      <c r="A2548" s="179"/>
      <c r="B2548" s="178"/>
      <c r="C2548" s="178" t="s">
        <v>184</v>
      </c>
      <c r="D2548" s="177"/>
      <c r="E2548" s="174"/>
      <c r="F2548" s="176">
        <v>0.74</v>
      </c>
      <c r="G2548" s="175" t="s">
        <v>2271</v>
      </c>
      <c r="H2548" s="174">
        <v>1</v>
      </c>
      <c r="I2548" s="173">
        <v>0.93</v>
      </c>
      <c r="J2548" s="174">
        <v>9.73</v>
      </c>
      <c r="K2548" s="173">
        <v>9.0500000000000007</v>
      </c>
    </row>
    <row r="2549" spans="1:22" ht="14.25" x14ac:dyDescent="0.2">
      <c r="A2549" s="179"/>
      <c r="B2549" s="178"/>
      <c r="C2549" s="178" t="s">
        <v>189</v>
      </c>
      <c r="D2549" s="177"/>
      <c r="E2549" s="174"/>
      <c r="F2549" s="176">
        <v>0.18</v>
      </c>
      <c r="G2549" s="175" t="s">
        <v>2271</v>
      </c>
      <c r="H2549" s="174">
        <v>1</v>
      </c>
      <c r="I2549" s="180">
        <v>0.23</v>
      </c>
      <c r="J2549" s="174">
        <v>23.35</v>
      </c>
      <c r="K2549" s="180">
        <v>5.37</v>
      </c>
    </row>
    <row r="2550" spans="1:22" ht="14.25" x14ac:dyDescent="0.2">
      <c r="A2550" s="179"/>
      <c r="B2550" s="178"/>
      <c r="C2550" s="178" t="s">
        <v>205</v>
      </c>
      <c r="D2550" s="177"/>
      <c r="E2550" s="174"/>
      <c r="F2550" s="176">
        <v>1.68</v>
      </c>
      <c r="G2550" s="175" t="s">
        <v>195</v>
      </c>
      <c r="H2550" s="174">
        <v>1</v>
      </c>
      <c r="I2550" s="173">
        <v>1.68</v>
      </c>
      <c r="J2550" s="174">
        <v>5.42</v>
      </c>
      <c r="K2550" s="173">
        <v>9.11</v>
      </c>
    </row>
    <row r="2551" spans="1:22" ht="42.75" x14ac:dyDescent="0.2">
      <c r="A2551" s="179" t="s">
        <v>3120</v>
      </c>
      <c r="B2551" s="178" t="s">
        <v>2105</v>
      </c>
      <c r="C2551" s="178" t="s">
        <v>401</v>
      </c>
      <c r="D2551" s="177" t="s">
        <v>1533</v>
      </c>
      <c r="E2551" s="174">
        <v>2.46E-2</v>
      </c>
      <c r="F2551" s="176">
        <v>42508.19</v>
      </c>
      <c r="G2551" s="182" t="s">
        <v>195</v>
      </c>
      <c r="H2551" s="174">
        <v>1</v>
      </c>
      <c r="I2551" s="173">
        <v>1045.7</v>
      </c>
      <c r="J2551" s="174">
        <v>1.31</v>
      </c>
      <c r="K2551" s="173">
        <v>1369.87</v>
      </c>
      <c r="Q2551" s="160">
        <f>[8]Source!X1379</f>
        <v>0</v>
      </c>
      <c r="R2551" s="160">
        <f>[8]Source!X1380</f>
        <v>0</v>
      </c>
      <c r="S2551" s="160">
        <f>[8]Source!Y1379</f>
        <v>0</v>
      </c>
      <c r="T2551" s="160">
        <f>[8]Source!Y1380</f>
        <v>0</v>
      </c>
      <c r="U2551" s="160">
        <f>ROUND((175/100)*ROUND([8]Source!R1379, 2), 2)</f>
        <v>0</v>
      </c>
      <c r="V2551" s="160">
        <f>ROUND((157/100)*ROUND([8]Source!R1380, 2), 2)</f>
        <v>0</v>
      </c>
    </row>
    <row r="2552" spans="1:22" ht="28.5" x14ac:dyDescent="0.2">
      <c r="A2552" s="179" t="s">
        <v>3121</v>
      </c>
      <c r="B2552" s="178" t="s">
        <v>2632</v>
      </c>
      <c r="C2552" s="178" t="s">
        <v>909</v>
      </c>
      <c r="D2552" s="177" t="s">
        <v>1584</v>
      </c>
      <c r="E2552" s="174">
        <v>2.7</v>
      </c>
      <c r="F2552" s="176">
        <v>20.190000000000001</v>
      </c>
      <c r="G2552" s="182" t="s">
        <v>195</v>
      </c>
      <c r="H2552" s="174">
        <v>1</v>
      </c>
      <c r="I2552" s="173">
        <v>54.51</v>
      </c>
      <c r="J2552" s="174">
        <v>2.56</v>
      </c>
      <c r="K2552" s="173">
        <v>139.55000000000001</v>
      </c>
      <c r="Q2552" s="160">
        <f>[8]Source!X1381</f>
        <v>0</v>
      </c>
      <c r="R2552" s="160">
        <f>[8]Source!X1382</f>
        <v>0</v>
      </c>
      <c r="S2552" s="160">
        <f>[8]Source!Y1381</f>
        <v>0</v>
      </c>
      <c r="T2552" s="160">
        <f>[8]Source!Y1382</f>
        <v>0</v>
      </c>
      <c r="U2552" s="160">
        <f>ROUND((175/100)*ROUND([8]Source!R1381, 2), 2)</f>
        <v>0</v>
      </c>
      <c r="V2552" s="160">
        <f>ROUND((157/100)*ROUND([8]Source!R1382, 2), 2)</f>
        <v>0</v>
      </c>
    </row>
    <row r="2553" spans="1:22" ht="14.25" x14ac:dyDescent="0.2">
      <c r="A2553" s="179"/>
      <c r="B2553" s="178"/>
      <c r="C2553" s="178" t="s">
        <v>194</v>
      </c>
      <c r="D2553" s="177" t="s">
        <v>187</v>
      </c>
      <c r="E2553" s="174">
        <v>100</v>
      </c>
      <c r="F2553" s="176"/>
      <c r="G2553" s="175"/>
      <c r="H2553" s="174"/>
      <c r="I2553" s="173">
        <v>873.66</v>
      </c>
      <c r="J2553" s="174">
        <v>81</v>
      </c>
      <c r="K2553" s="173">
        <v>16523.97</v>
      </c>
    </row>
    <row r="2554" spans="1:22" ht="14.25" x14ac:dyDescent="0.2">
      <c r="A2554" s="179"/>
      <c r="B2554" s="178"/>
      <c r="C2554" s="178" t="s">
        <v>193</v>
      </c>
      <c r="D2554" s="177" t="s">
        <v>187</v>
      </c>
      <c r="E2554" s="174">
        <v>64</v>
      </c>
      <c r="F2554" s="176"/>
      <c r="G2554" s="175"/>
      <c r="H2554" s="174"/>
      <c r="I2554" s="173">
        <v>559.14</v>
      </c>
      <c r="J2554" s="174">
        <v>41</v>
      </c>
      <c r="K2554" s="173">
        <v>8363.98</v>
      </c>
    </row>
    <row r="2555" spans="1:22" ht="14.25" x14ac:dyDescent="0.2">
      <c r="A2555" s="179"/>
      <c r="B2555" s="178"/>
      <c r="C2555" s="178" t="s">
        <v>188</v>
      </c>
      <c r="D2555" s="177" t="s">
        <v>187</v>
      </c>
      <c r="E2555" s="174">
        <v>175</v>
      </c>
      <c r="F2555" s="176"/>
      <c r="G2555" s="175"/>
      <c r="H2555" s="174"/>
      <c r="I2555" s="173">
        <v>0.4</v>
      </c>
      <c r="J2555" s="174">
        <v>157</v>
      </c>
      <c r="K2555" s="173">
        <v>8.43</v>
      </c>
    </row>
    <row r="2556" spans="1:22" ht="14.25" x14ac:dyDescent="0.2">
      <c r="A2556" s="242"/>
      <c r="B2556" s="241"/>
      <c r="C2556" s="241" t="s">
        <v>192</v>
      </c>
      <c r="D2556" s="240" t="s">
        <v>191</v>
      </c>
      <c r="E2556" s="238">
        <v>64.599999999999994</v>
      </c>
      <c r="F2556" s="253"/>
      <c r="G2556" s="239" t="s">
        <v>2270</v>
      </c>
      <c r="H2556" s="238">
        <v>1</v>
      </c>
      <c r="I2556" s="237">
        <v>74.290000000000006</v>
      </c>
      <c r="J2556" s="238"/>
      <c r="K2556" s="237"/>
    </row>
    <row r="2557" spans="1:22" ht="15" x14ac:dyDescent="0.25">
      <c r="A2557" s="235"/>
      <c r="B2557" s="235"/>
      <c r="C2557" s="236" t="s">
        <v>183</v>
      </c>
      <c r="D2557" s="235"/>
      <c r="E2557" s="235"/>
      <c r="F2557" s="235"/>
      <c r="G2557" s="235"/>
      <c r="H2557" s="436">
        <v>3409.68</v>
      </c>
      <c r="I2557" s="436"/>
      <c r="J2557" s="436">
        <v>46823.92</v>
      </c>
      <c r="K2557" s="436"/>
      <c r="O2557" s="163">
        <f>I2547+I2548+I2550+I2553+I2554+I2555+SUM(I2551:I2552)</f>
        <v>3409.68</v>
      </c>
      <c r="P2557" s="163">
        <f>K2547+K2548+K2550+K2553+K2554+K2555+SUM(K2551:K2552)</f>
        <v>46823.92</v>
      </c>
    </row>
    <row r="2559" spans="1:22" ht="42.75" x14ac:dyDescent="0.2">
      <c r="A2559" s="179" t="s">
        <v>3122</v>
      </c>
      <c r="B2559" s="178" t="s">
        <v>2633</v>
      </c>
      <c r="C2559" s="178" t="s">
        <v>747</v>
      </c>
      <c r="D2559" s="177" t="s">
        <v>2634</v>
      </c>
      <c r="E2559" s="174">
        <v>26.7</v>
      </c>
      <c r="F2559" s="176"/>
      <c r="G2559" s="175"/>
      <c r="H2559" s="174"/>
      <c r="I2559" s="173"/>
      <c r="J2559" s="174"/>
      <c r="K2559" s="173"/>
      <c r="Q2559" s="160">
        <f>[8]Source!X1383</f>
        <v>799.13</v>
      </c>
      <c r="R2559" s="160">
        <f>[8]Source!X1384</f>
        <v>14968.68</v>
      </c>
      <c r="S2559" s="160">
        <f>[8]Source!Y1383</f>
        <v>614.71</v>
      </c>
      <c r="T2559" s="160">
        <f>[8]Source!Y1384</f>
        <v>8407.07</v>
      </c>
      <c r="U2559" s="160">
        <f>ROUND((175/100)*ROUND([8]Source!R1383, 2), 2)</f>
        <v>154.19</v>
      </c>
      <c r="V2559" s="160">
        <f>ROUND((157/100)*ROUND([8]Source!R1384, 2), 2)</f>
        <v>3230.07</v>
      </c>
    </row>
    <row r="2560" spans="1:22" x14ac:dyDescent="0.2">
      <c r="C2560" s="181" t="s">
        <v>2961</v>
      </c>
    </row>
    <row r="2561" spans="1:22" ht="14.25" x14ac:dyDescent="0.2">
      <c r="A2561" s="179"/>
      <c r="B2561" s="178"/>
      <c r="C2561" s="178" t="s">
        <v>197</v>
      </c>
      <c r="D2561" s="177"/>
      <c r="E2561" s="174"/>
      <c r="F2561" s="176">
        <v>28.6</v>
      </c>
      <c r="G2561" s="175" t="s">
        <v>2270</v>
      </c>
      <c r="H2561" s="174">
        <v>1</v>
      </c>
      <c r="I2561" s="173">
        <v>878.16</v>
      </c>
      <c r="J2561" s="174">
        <v>23.35</v>
      </c>
      <c r="K2561" s="173">
        <v>20505.04</v>
      </c>
    </row>
    <row r="2562" spans="1:22" ht="14.25" x14ac:dyDescent="0.2">
      <c r="A2562" s="179"/>
      <c r="B2562" s="178"/>
      <c r="C2562" s="178" t="s">
        <v>184</v>
      </c>
      <c r="D2562" s="177"/>
      <c r="E2562" s="174"/>
      <c r="F2562" s="176">
        <v>13.2</v>
      </c>
      <c r="G2562" s="175" t="s">
        <v>2271</v>
      </c>
      <c r="H2562" s="174">
        <v>1</v>
      </c>
      <c r="I2562" s="173">
        <v>440.55</v>
      </c>
      <c r="J2562" s="174">
        <v>8.9499999999999993</v>
      </c>
      <c r="K2562" s="173">
        <v>3942.92</v>
      </c>
    </row>
    <row r="2563" spans="1:22" ht="14.25" x14ac:dyDescent="0.2">
      <c r="A2563" s="179"/>
      <c r="B2563" s="178"/>
      <c r="C2563" s="178" t="s">
        <v>189</v>
      </c>
      <c r="D2563" s="177"/>
      <c r="E2563" s="174"/>
      <c r="F2563" s="176">
        <v>2.64</v>
      </c>
      <c r="G2563" s="175" t="s">
        <v>2271</v>
      </c>
      <c r="H2563" s="174">
        <v>1</v>
      </c>
      <c r="I2563" s="180">
        <v>88.11</v>
      </c>
      <c r="J2563" s="174">
        <v>23.35</v>
      </c>
      <c r="K2563" s="180">
        <v>2057.37</v>
      </c>
    </row>
    <row r="2564" spans="1:22" ht="14.25" x14ac:dyDescent="0.2">
      <c r="A2564" s="179"/>
      <c r="B2564" s="178"/>
      <c r="C2564" s="178" t="s">
        <v>205</v>
      </c>
      <c r="D2564" s="177"/>
      <c r="E2564" s="174"/>
      <c r="F2564" s="176">
        <v>59.82</v>
      </c>
      <c r="G2564" s="175" t="s">
        <v>195</v>
      </c>
      <c r="H2564" s="174">
        <v>1</v>
      </c>
      <c r="I2564" s="173">
        <v>1597.19</v>
      </c>
      <c r="J2564" s="174">
        <v>19.829999999999998</v>
      </c>
      <c r="K2564" s="173">
        <v>31672.28</v>
      </c>
    </row>
    <row r="2565" spans="1:22" ht="71.25" x14ac:dyDescent="0.2">
      <c r="A2565" s="179" t="s">
        <v>3123</v>
      </c>
      <c r="B2565" s="178" t="s">
        <v>2636</v>
      </c>
      <c r="C2565" s="178" t="s">
        <v>908</v>
      </c>
      <c r="D2565" s="177" t="s">
        <v>1552</v>
      </c>
      <c r="E2565" s="174">
        <v>400.5</v>
      </c>
      <c r="F2565" s="176">
        <v>6.29</v>
      </c>
      <c r="G2565" s="182" t="s">
        <v>195</v>
      </c>
      <c r="H2565" s="174">
        <v>1</v>
      </c>
      <c r="I2565" s="173">
        <v>2519.15</v>
      </c>
      <c r="J2565" s="174">
        <v>5.68</v>
      </c>
      <c r="K2565" s="173">
        <v>14308.77</v>
      </c>
      <c r="Q2565" s="160">
        <f>[8]Source!X1385</f>
        <v>0</v>
      </c>
      <c r="R2565" s="160">
        <f>[8]Source!X1386</f>
        <v>0</v>
      </c>
      <c r="S2565" s="160">
        <f>[8]Source!Y1385</f>
        <v>0</v>
      </c>
      <c r="T2565" s="160">
        <f>[8]Source!Y1386</f>
        <v>0</v>
      </c>
      <c r="U2565" s="160">
        <f>ROUND((175/100)*ROUND([8]Source!R1385, 2), 2)</f>
        <v>0</v>
      </c>
      <c r="V2565" s="160">
        <f>ROUND((157/100)*ROUND([8]Source!R1386, 2), 2)</f>
        <v>0</v>
      </c>
    </row>
    <row r="2566" spans="1:22" ht="114" x14ac:dyDescent="0.2">
      <c r="A2566" s="179" t="s">
        <v>3124</v>
      </c>
      <c r="B2566" s="178" t="s">
        <v>2637</v>
      </c>
      <c r="C2566" s="178" t="s">
        <v>907</v>
      </c>
      <c r="D2566" s="177" t="s">
        <v>1557</v>
      </c>
      <c r="E2566" s="174">
        <v>6.6749999999999998</v>
      </c>
      <c r="F2566" s="176">
        <v>126.76</v>
      </c>
      <c r="G2566" s="182" t="s">
        <v>195</v>
      </c>
      <c r="H2566" s="174">
        <v>1</v>
      </c>
      <c r="I2566" s="173">
        <v>846.12</v>
      </c>
      <c r="J2566" s="174">
        <v>5.83</v>
      </c>
      <c r="K2566" s="173">
        <v>4932.88</v>
      </c>
      <c r="Q2566" s="160">
        <f>[8]Source!X1387</f>
        <v>0</v>
      </c>
      <c r="R2566" s="160">
        <f>[8]Source!X1388</f>
        <v>0</v>
      </c>
      <c r="S2566" s="160">
        <f>[8]Source!Y1387</f>
        <v>0</v>
      </c>
      <c r="T2566" s="160">
        <f>[8]Source!Y1388</f>
        <v>0</v>
      </c>
      <c r="U2566" s="160">
        <f>ROUND((175/100)*ROUND([8]Source!R1387, 2), 2)</f>
        <v>0</v>
      </c>
      <c r="V2566" s="160">
        <f>ROUND((157/100)*ROUND([8]Source!R1388, 2), 2)</f>
        <v>0</v>
      </c>
    </row>
    <row r="2567" spans="1:22" ht="128.25" x14ac:dyDescent="0.2">
      <c r="A2567" s="179" t="s">
        <v>3125</v>
      </c>
      <c r="B2567" s="178" t="s">
        <v>2644</v>
      </c>
      <c r="C2567" s="178" t="s">
        <v>906</v>
      </c>
      <c r="D2567" s="177" t="s">
        <v>1552</v>
      </c>
      <c r="E2567" s="174">
        <v>68.25</v>
      </c>
      <c r="F2567" s="176">
        <v>50.57</v>
      </c>
      <c r="G2567" s="182" t="s">
        <v>195</v>
      </c>
      <c r="H2567" s="174">
        <v>1</v>
      </c>
      <c r="I2567" s="173">
        <v>3451.4</v>
      </c>
      <c r="J2567" s="174">
        <v>2.91</v>
      </c>
      <c r="K2567" s="173">
        <v>10043.57</v>
      </c>
      <c r="Q2567" s="160">
        <f>[8]Source!X1389</f>
        <v>0</v>
      </c>
      <c r="R2567" s="160">
        <f>[8]Source!X1390</f>
        <v>0</v>
      </c>
      <c r="S2567" s="160">
        <f>[8]Source!Y1389</f>
        <v>0</v>
      </c>
      <c r="T2567" s="160">
        <f>[8]Source!Y1390</f>
        <v>0</v>
      </c>
      <c r="U2567" s="160">
        <f>ROUND((175/100)*ROUND([8]Source!R1389, 2), 2)</f>
        <v>0</v>
      </c>
      <c r="V2567" s="160">
        <f>ROUND((157/100)*ROUND([8]Source!R1390, 2), 2)</f>
        <v>0</v>
      </c>
    </row>
    <row r="2568" spans="1:22" ht="128.25" x14ac:dyDescent="0.2">
      <c r="A2568" s="179" t="s">
        <v>3126</v>
      </c>
      <c r="B2568" s="178" t="s">
        <v>2646</v>
      </c>
      <c r="C2568" s="178" t="s">
        <v>905</v>
      </c>
      <c r="D2568" s="177" t="s">
        <v>1552</v>
      </c>
      <c r="E2568" s="174">
        <v>17.850000000000001</v>
      </c>
      <c r="F2568" s="176">
        <v>56.82</v>
      </c>
      <c r="G2568" s="182" t="s">
        <v>195</v>
      </c>
      <c r="H2568" s="174">
        <v>1</v>
      </c>
      <c r="I2568" s="173">
        <v>1014.24</v>
      </c>
      <c r="J2568" s="174">
        <v>2.86</v>
      </c>
      <c r="K2568" s="173">
        <v>2900.73</v>
      </c>
      <c r="Q2568" s="160">
        <f>[8]Source!X1391</f>
        <v>0</v>
      </c>
      <c r="R2568" s="160">
        <f>[8]Source!X1392</f>
        <v>0</v>
      </c>
      <c r="S2568" s="160">
        <f>[8]Source!Y1391</f>
        <v>0</v>
      </c>
      <c r="T2568" s="160">
        <f>[8]Source!Y1392</f>
        <v>0</v>
      </c>
      <c r="U2568" s="160">
        <f>ROUND((175/100)*ROUND([8]Source!R1391, 2), 2)</f>
        <v>0</v>
      </c>
      <c r="V2568" s="160">
        <f>ROUND((157/100)*ROUND([8]Source!R1392, 2), 2)</f>
        <v>0</v>
      </c>
    </row>
    <row r="2569" spans="1:22" ht="128.25" x14ac:dyDescent="0.2">
      <c r="A2569" s="179" t="s">
        <v>3127</v>
      </c>
      <c r="B2569" s="178" t="s">
        <v>2650</v>
      </c>
      <c r="C2569" s="178" t="s">
        <v>904</v>
      </c>
      <c r="D2569" s="177" t="s">
        <v>1552</v>
      </c>
      <c r="E2569" s="174">
        <v>116.55</v>
      </c>
      <c r="F2569" s="176">
        <v>110.23</v>
      </c>
      <c r="G2569" s="182" t="s">
        <v>195</v>
      </c>
      <c r="H2569" s="174">
        <v>1</v>
      </c>
      <c r="I2569" s="173">
        <v>12847.31</v>
      </c>
      <c r="J2569" s="174">
        <v>2.89</v>
      </c>
      <c r="K2569" s="173">
        <v>37128.730000000003</v>
      </c>
      <c r="Q2569" s="160">
        <f>[8]Source!X1393</f>
        <v>0</v>
      </c>
      <c r="R2569" s="160">
        <f>[8]Source!X1394</f>
        <v>0</v>
      </c>
      <c r="S2569" s="160">
        <f>[8]Source!Y1393</f>
        <v>0</v>
      </c>
      <c r="T2569" s="160">
        <f>[8]Source!Y1394</f>
        <v>0</v>
      </c>
      <c r="U2569" s="160">
        <f>ROUND((175/100)*ROUND([8]Source!R1393, 2), 2)</f>
        <v>0</v>
      </c>
      <c r="V2569" s="160">
        <f>ROUND((157/100)*ROUND([8]Source!R1394, 2), 2)</f>
        <v>0</v>
      </c>
    </row>
    <row r="2570" spans="1:22" ht="128.25" x14ac:dyDescent="0.2">
      <c r="A2570" s="179" t="s">
        <v>3128</v>
      </c>
      <c r="B2570" s="178" t="s">
        <v>2968</v>
      </c>
      <c r="C2570" s="178" t="s">
        <v>903</v>
      </c>
      <c r="D2570" s="177" t="s">
        <v>1552</v>
      </c>
      <c r="E2570" s="174">
        <v>39.9</v>
      </c>
      <c r="F2570" s="176">
        <v>143.18</v>
      </c>
      <c r="G2570" s="182" t="s">
        <v>195</v>
      </c>
      <c r="H2570" s="174">
        <v>1</v>
      </c>
      <c r="I2570" s="173">
        <v>5712.88</v>
      </c>
      <c r="J2570" s="174">
        <v>2.89</v>
      </c>
      <c r="K2570" s="173">
        <v>16510.22</v>
      </c>
      <c r="Q2570" s="160">
        <f>[8]Source!X1395</f>
        <v>0</v>
      </c>
      <c r="R2570" s="160">
        <f>[8]Source!X1396</f>
        <v>0</v>
      </c>
      <c r="S2570" s="160">
        <f>[8]Source!Y1395</f>
        <v>0</v>
      </c>
      <c r="T2570" s="160">
        <f>[8]Source!Y1396</f>
        <v>0</v>
      </c>
      <c r="U2570" s="160">
        <f>ROUND((175/100)*ROUND([8]Source!R1395, 2), 2)</f>
        <v>0</v>
      </c>
      <c r="V2570" s="160">
        <f>ROUND((157/100)*ROUND([8]Source!R1396, 2), 2)</f>
        <v>0</v>
      </c>
    </row>
    <row r="2571" spans="1:22" ht="128.25" x14ac:dyDescent="0.2">
      <c r="A2571" s="179" t="s">
        <v>3129</v>
      </c>
      <c r="B2571" s="178" t="s">
        <v>2652</v>
      </c>
      <c r="C2571" s="178" t="s">
        <v>902</v>
      </c>
      <c r="D2571" s="177" t="s">
        <v>1552</v>
      </c>
      <c r="E2571" s="174">
        <v>37.799999999999997</v>
      </c>
      <c r="F2571" s="176">
        <v>159.38</v>
      </c>
      <c r="G2571" s="182" t="s">
        <v>195</v>
      </c>
      <c r="H2571" s="174">
        <v>1</v>
      </c>
      <c r="I2571" s="173">
        <v>6024.56</v>
      </c>
      <c r="J2571" s="174">
        <v>2.89</v>
      </c>
      <c r="K2571" s="173">
        <v>17410.98</v>
      </c>
      <c r="Q2571" s="160">
        <f>[8]Source!X1397</f>
        <v>0</v>
      </c>
      <c r="R2571" s="160">
        <f>[8]Source!X1398</f>
        <v>0</v>
      </c>
      <c r="S2571" s="160">
        <f>[8]Source!Y1397</f>
        <v>0</v>
      </c>
      <c r="T2571" s="160">
        <f>[8]Source!Y1398</f>
        <v>0</v>
      </c>
      <c r="U2571" s="160">
        <f>ROUND((175/100)*ROUND([8]Source!R1397, 2), 2)</f>
        <v>0</v>
      </c>
      <c r="V2571" s="160">
        <f>ROUND((157/100)*ROUND([8]Source!R1398, 2), 2)</f>
        <v>0</v>
      </c>
    </row>
    <row r="2572" spans="1:22" ht="57" x14ac:dyDescent="0.2">
      <c r="A2572" s="179" t="s">
        <v>3130</v>
      </c>
      <c r="B2572" s="178" t="s">
        <v>2638</v>
      </c>
      <c r="C2572" s="178" t="s">
        <v>741</v>
      </c>
      <c r="D2572" s="177" t="s">
        <v>2639</v>
      </c>
      <c r="E2572" s="174">
        <v>3.3374999999999999</v>
      </c>
      <c r="F2572" s="176">
        <v>231.64</v>
      </c>
      <c r="G2572" s="182" t="s">
        <v>195</v>
      </c>
      <c r="H2572" s="174">
        <v>1</v>
      </c>
      <c r="I2572" s="173">
        <v>773.1</v>
      </c>
      <c r="J2572" s="174">
        <v>2.88</v>
      </c>
      <c r="K2572" s="173">
        <v>2226.5300000000002</v>
      </c>
      <c r="Q2572" s="160">
        <f>[8]Source!X1399</f>
        <v>0</v>
      </c>
      <c r="R2572" s="160">
        <f>[8]Source!X1400</f>
        <v>0</v>
      </c>
      <c r="S2572" s="160">
        <f>[8]Source!Y1399</f>
        <v>0</v>
      </c>
      <c r="T2572" s="160">
        <f>[8]Source!Y1400</f>
        <v>0</v>
      </c>
      <c r="U2572" s="160">
        <f>ROUND((175/100)*ROUND([8]Source!R1399, 2), 2)</f>
        <v>0</v>
      </c>
      <c r="V2572" s="160">
        <f>ROUND((157/100)*ROUND([8]Source!R1400, 2), 2)</f>
        <v>0</v>
      </c>
    </row>
    <row r="2573" spans="1:22" ht="57" x14ac:dyDescent="0.2">
      <c r="A2573" s="179" t="s">
        <v>3131</v>
      </c>
      <c r="B2573" s="178" t="s">
        <v>2641</v>
      </c>
      <c r="C2573" s="178" t="s">
        <v>740</v>
      </c>
      <c r="D2573" s="177" t="s">
        <v>2639</v>
      </c>
      <c r="E2573" s="174">
        <v>-24.831</v>
      </c>
      <c r="F2573" s="176">
        <v>34.75</v>
      </c>
      <c r="G2573" s="182" t="s">
        <v>195</v>
      </c>
      <c r="H2573" s="174">
        <v>1</v>
      </c>
      <c r="I2573" s="173">
        <v>-862.88</v>
      </c>
      <c r="J2573" s="174">
        <v>34.270000000000003</v>
      </c>
      <c r="K2573" s="173">
        <v>-29570.9</v>
      </c>
      <c r="Q2573" s="160">
        <f>[8]Source!X1401</f>
        <v>0</v>
      </c>
      <c r="R2573" s="160">
        <f>[8]Source!X1402</f>
        <v>0</v>
      </c>
      <c r="S2573" s="160">
        <f>[8]Source!Y1401</f>
        <v>0</v>
      </c>
      <c r="T2573" s="160">
        <f>[8]Source!Y1402</f>
        <v>0</v>
      </c>
      <c r="U2573" s="160">
        <f>ROUND((175/100)*ROUND([8]Source!R1401, 2), 2)</f>
        <v>0</v>
      </c>
      <c r="V2573" s="160">
        <f>ROUND((157/100)*ROUND([8]Source!R1402, 2), 2)</f>
        <v>0</v>
      </c>
    </row>
    <row r="2574" spans="1:22" ht="14.25" x14ac:dyDescent="0.2">
      <c r="A2574" s="179"/>
      <c r="B2574" s="178"/>
      <c r="C2574" s="178" t="s">
        <v>194</v>
      </c>
      <c r="D2574" s="177" t="s">
        <v>187</v>
      </c>
      <c r="E2574" s="174">
        <v>91</v>
      </c>
      <c r="F2574" s="176"/>
      <c r="G2574" s="175"/>
      <c r="H2574" s="174"/>
      <c r="I2574" s="173">
        <v>799.13</v>
      </c>
      <c r="J2574" s="174">
        <v>73</v>
      </c>
      <c r="K2574" s="173">
        <v>14968.68</v>
      </c>
    </row>
    <row r="2575" spans="1:22" ht="14.25" x14ac:dyDescent="0.2">
      <c r="A2575" s="179"/>
      <c r="B2575" s="178"/>
      <c r="C2575" s="178" t="s">
        <v>193</v>
      </c>
      <c r="D2575" s="177" t="s">
        <v>187</v>
      </c>
      <c r="E2575" s="174">
        <v>70</v>
      </c>
      <c r="F2575" s="176"/>
      <c r="G2575" s="175"/>
      <c r="H2575" s="174"/>
      <c r="I2575" s="173">
        <v>614.71</v>
      </c>
      <c r="J2575" s="174">
        <v>41</v>
      </c>
      <c r="K2575" s="173">
        <v>8407.07</v>
      </c>
    </row>
    <row r="2576" spans="1:22" ht="14.25" x14ac:dyDescent="0.2">
      <c r="A2576" s="179"/>
      <c r="B2576" s="178"/>
      <c r="C2576" s="178" t="s">
        <v>188</v>
      </c>
      <c r="D2576" s="177" t="s">
        <v>187</v>
      </c>
      <c r="E2576" s="174">
        <v>175</v>
      </c>
      <c r="F2576" s="176"/>
      <c r="G2576" s="175"/>
      <c r="H2576" s="174"/>
      <c r="I2576" s="173">
        <v>154.19</v>
      </c>
      <c r="J2576" s="174">
        <v>157</v>
      </c>
      <c r="K2576" s="173">
        <v>3230.07</v>
      </c>
    </row>
    <row r="2577" spans="1:22" ht="14.25" x14ac:dyDescent="0.2">
      <c r="A2577" s="242"/>
      <c r="B2577" s="241"/>
      <c r="C2577" s="241" t="s">
        <v>192</v>
      </c>
      <c r="D2577" s="240" t="s">
        <v>191</v>
      </c>
      <c r="E2577" s="238">
        <v>2.2000000000000002</v>
      </c>
      <c r="F2577" s="253"/>
      <c r="G2577" s="239" t="s">
        <v>2270</v>
      </c>
      <c r="H2577" s="238">
        <v>1</v>
      </c>
      <c r="I2577" s="237">
        <v>67.55</v>
      </c>
      <c r="J2577" s="238"/>
      <c r="K2577" s="237"/>
    </row>
    <row r="2578" spans="1:22" ht="15" x14ac:dyDescent="0.25">
      <c r="A2578" s="235"/>
      <c r="B2578" s="235"/>
      <c r="C2578" s="236" t="s">
        <v>183</v>
      </c>
      <c r="D2578" s="235"/>
      <c r="E2578" s="235"/>
      <c r="F2578" s="235"/>
      <c r="G2578" s="235"/>
      <c r="H2578" s="436">
        <v>36809.81</v>
      </c>
      <c r="I2578" s="436"/>
      <c r="J2578" s="436">
        <v>158617.57</v>
      </c>
      <c r="K2578" s="436"/>
      <c r="O2578" s="163">
        <f>I2561+I2562+I2564+I2574+I2575+I2576+SUM(I2565:I2573)</f>
        <v>36809.81</v>
      </c>
      <c r="P2578" s="163">
        <f>K2561+K2562+K2564+K2574+K2575+K2576+SUM(K2565:K2573)</f>
        <v>158617.57</v>
      </c>
    </row>
    <row r="2580" spans="1:22" ht="57" x14ac:dyDescent="0.2">
      <c r="A2580" s="179" t="s">
        <v>3132</v>
      </c>
      <c r="B2580" s="178" t="s">
        <v>2654</v>
      </c>
      <c r="C2580" s="178" t="s">
        <v>751</v>
      </c>
      <c r="D2580" s="177" t="s">
        <v>2599</v>
      </c>
      <c r="E2580" s="174">
        <v>1.93</v>
      </c>
      <c r="F2580" s="176"/>
      <c r="G2580" s="175"/>
      <c r="H2580" s="174"/>
      <c r="I2580" s="173"/>
      <c r="J2580" s="174"/>
      <c r="K2580" s="173"/>
      <c r="Q2580" s="160">
        <f>[8]Source!X1403</f>
        <v>339.22</v>
      </c>
      <c r="R2580" s="160">
        <f>[8]Source!X1404</f>
        <v>6336.59</v>
      </c>
      <c r="S2580" s="160">
        <f>[8]Source!Y1403</f>
        <v>228.2</v>
      </c>
      <c r="T2580" s="160">
        <f>[8]Source!Y1404</f>
        <v>2952.27</v>
      </c>
      <c r="U2580" s="160">
        <f>ROUND((175/100)*ROUND([8]Source!R1403, 2), 2)</f>
        <v>0</v>
      </c>
      <c r="V2580" s="160">
        <f>ROUND((157/100)*ROUND([8]Source!R1404, 2), 2)</f>
        <v>0</v>
      </c>
    </row>
    <row r="2581" spans="1:22" x14ac:dyDescent="0.2">
      <c r="C2581" s="181" t="s">
        <v>2973</v>
      </c>
    </row>
    <row r="2582" spans="1:22" ht="14.25" x14ac:dyDescent="0.2">
      <c r="A2582" s="179"/>
      <c r="B2582" s="178"/>
      <c r="C2582" s="178" t="s">
        <v>197</v>
      </c>
      <c r="D2582" s="177"/>
      <c r="E2582" s="174"/>
      <c r="F2582" s="176">
        <v>138.94</v>
      </c>
      <c r="G2582" s="175" t="s">
        <v>2270</v>
      </c>
      <c r="H2582" s="174">
        <v>1</v>
      </c>
      <c r="I2582" s="173">
        <v>308.38</v>
      </c>
      <c r="J2582" s="174">
        <v>23.35</v>
      </c>
      <c r="K2582" s="173">
        <v>7200.67</v>
      </c>
    </row>
    <row r="2583" spans="1:22" ht="14.25" x14ac:dyDescent="0.2">
      <c r="A2583" s="179"/>
      <c r="B2583" s="178"/>
      <c r="C2583" s="178" t="s">
        <v>205</v>
      </c>
      <c r="D2583" s="177"/>
      <c r="E2583" s="174"/>
      <c r="F2583" s="176">
        <v>8.4</v>
      </c>
      <c r="G2583" s="175" t="s">
        <v>195</v>
      </c>
      <c r="H2583" s="174">
        <v>1</v>
      </c>
      <c r="I2583" s="173">
        <v>16.21</v>
      </c>
      <c r="J2583" s="174">
        <v>4.87</v>
      </c>
      <c r="K2583" s="173">
        <v>78.94</v>
      </c>
    </row>
    <row r="2584" spans="1:22" ht="14.25" x14ac:dyDescent="0.2">
      <c r="A2584" s="179"/>
      <c r="B2584" s="178"/>
      <c r="C2584" s="178" t="s">
        <v>194</v>
      </c>
      <c r="D2584" s="177" t="s">
        <v>187</v>
      </c>
      <c r="E2584" s="174">
        <v>110</v>
      </c>
      <c r="F2584" s="176"/>
      <c r="G2584" s="175"/>
      <c r="H2584" s="174"/>
      <c r="I2584" s="173">
        <v>339.22</v>
      </c>
      <c r="J2584" s="174">
        <v>88</v>
      </c>
      <c r="K2584" s="173">
        <v>6336.59</v>
      </c>
    </row>
    <row r="2585" spans="1:22" ht="14.25" x14ac:dyDescent="0.2">
      <c r="A2585" s="179"/>
      <c r="B2585" s="178"/>
      <c r="C2585" s="178" t="s">
        <v>193</v>
      </c>
      <c r="D2585" s="177" t="s">
        <v>187</v>
      </c>
      <c r="E2585" s="174">
        <v>74</v>
      </c>
      <c r="F2585" s="176"/>
      <c r="G2585" s="175"/>
      <c r="H2585" s="174"/>
      <c r="I2585" s="173">
        <v>228.2</v>
      </c>
      <c r="J2585" s="174">
        <v>41</v>
      </c>
      <c r="K2585" s="173">
        <v>2952.27</v>
      </c>
    </row>
    <row r="2586" spans="1:22" ht="14.25" x14ac:dyDescent="0.2">
      <c r="A2586" s="242"/>
      <c r="B2586" s="241"/>
      <c r="C2586" s="241" t="s">
        <v>192</v>
      </c>
      <c r="D2586" s="240" t="s">
        <v>191</v>
      </c>
      <c r="E2586" s="238">
        <v>9.25</v>
      </c>
      <c r="F2586" s="253"/>
      <c r="G2586" s="239" t="s">
        <v>2270</v>
      </c>
      <c r="H2586" s="238">
        <v>1</v>
      </c>
      <c r="I2586" s="237">
        <v>20.53</v>
      </c>
      <c r="J2586" s="238"/>
      <c r="K2586" s="237"/>
    </row>
    <row r="2587" spans="1:22" ht="15" x14ac:dyDescent="0.25">
      <c r="A2587" s="235"/>
      <c r="B2587" s="235"/>
      <c r="C2587" s="236" t="s">
        <v>183</v>
      </c>
      <c r="D2587" s="235"/>
      <c r="E2587" s="235"/>
      <c r="F2587" s="235"/>
      <c r="G2587" s="235"/>
      <c r="H2587" s="436">
        <v>892.01</v>
      </c>
      <c r="I2587" s="436"/>
      <c r="J2587" s="436">
        <v>16568.47</v>
      </c>
      <c r="K2587" s="436"/>
      <c r="O2587" s="163">
        <f>I2582+I2583+I2584+I2585</f>
        <v>892.01</v>
      </c>
      <c r="P2587" s="163">
        <f>K2582+K2583+K2584+K2585</f>
        <v>16568.47</v>
      </c>
    </row>
    <row r="2589" spans="1:22" ht="57" x14ac:dyDescent="0.2">
      <c r="A2589" s="179" t="s">
        <v>3133</v>
      </c>
      <c r="B2589" s="178" t="s">
        <v>2655</v>
      </c>
      <c r="C2589" s="178" t="s">
        <v>749</v>
      </c>
      <c r="D2589" s="177" t="s">
        <v>2599</v>
      </c>
      <c r="E2589" s="174">
        <v>0.74</v>
      </c>
      <c r="F2589" s="176"/>
      <c r="G2589" s="175"/>
      <c r="H2589" s="174"/>
      <c r="I2589" s="173"/>
      <c r="J2589" s="174"/>
      <c r="K2589" s="173"/>
      <c r="Q2589" s="160">
        <f>[8]Source!X1405</f>
        <v>130.06</v>
      </c>
      <c r="R2589" s="160">
        <f>[8]Source!X1406</f>
        <v>2429.59</v>
      </c>
      <c r="S2589" s="160">
        <f>[8]Source!Y1405</f>
        <v>87.5</v>
      </c>
      <c r="T2589" s="160">
        <f>[8]Source!Y1406</f>
        <v>1131.97</v>
      </c>
      <c r="U2589" s="160">
        <f>ROUND((175/100)*ROUND([8]Source!R1405, 2), 2)</f>
        <v>0</v>
      </c>
      <c r="V2589" s="160">
        <f>ROUND((157/100)*ROUND([8]Source!R1406, 2), 2)</f>
        <v>0</v>
      </c>
    </row>
    <row r="2590" spans="1:22" x14ac:dyDescent="0.2">
      <c r="C2590" s="181" t="s">
        <v>2975</v>
      </c>
    </row>
    <row r="2591" spans="1:22" ht="14.25" x14ac:dyDescent="0.2">
      <c r="A2591" s="179"/>
      <c r="B2591" s="178"/>
      <c r="C2591" s="178" t="s">
        <v>197</v>
      </c>
      <c r="D2591" s="177"/>
      <c r="E2591" s="174"/>
      <c r="F2591" s="176">
        <v>138.94</v>
      </c>
      <c r="G2591" s="175" t="s">
        <v>2270</v>
      </c>
      <c r="H2591" s="174">
        <v>1</v>
      </c>
      <c r="I2591" s="173">
        <v>118.24</v>
      </c>
      <c r="J2591" s="174">
        <v>23.35</v>
      </c>
      <c r="K2591" s="173">
        <v>2760.9</v>
      </c>
    </row>
    <row r="2592" spans="1:22" ht="14.25" x14ac:dyDescent="0.2">
      <c r="A2592" s="179"/>
      <c r="B2592" s="178"/>
      <c r="C2592" s="178" t="s">
        <v>205</v>
      </c>
      <c r="D2592" s="177"/>
      <c r="E2592" s="174"/>
      <c r="F2592" s="176">
        <v>28.2</v>
      </c>
      <c r="G2592" s="175" t="s">
        <v>195</v>
      </c>
      <c r="H2592" s="174">
        <v>1</v>
      </c>
      <c r="I2592" s="173">
        <v>20.87</v>
      </c>
      <c r="J2592" s="174">
        <v>4.8</v>
      </c>
      <c r="K2592" s="173">
        <v>100.18</v>
      </c>
    </row>
    <row r="2593" spans="1:16" ht="14.25" x14ac:dyDescent="0.2">
      <c r="A2593" s="179"/>
      <c r="B2593" s="178"/>
      <c r="C2593" s="178" t="s">
        <v>194</v>
      </c>
      <c r="D2593" s="177" t="s">
        <v>187</v>
      </c>
      <c r="E2593" s="174">
        <v>110</v>
      </c>
      <c r="F2593" s="176"/>
      <c r="G2593" s="175"/>
      <c r="H2593" s="174"/>
      <c r="I2593" s="173">
        <v>130.06</v>
      </c>
      <c r="J2593" s="174">
        <v>88</v>
      </c>
      <c r="K2593" s="173">
        <v>2429.59</v>
      </c>
    </row>
    <row r="2594" spans="1:16" ht="14.25" x14ac:dyDescent="0.2">
      <c r="A2594" s="179"/>
      <c r="B2594" s="178"/>
      <c r="C2594" s="178" t="s">
        <v>193</v>
      </c>
      <c r="D2594" s="177" t="s">
        <v>187</v>
      </c>
      <c r="E2594" s="174">
        <v>74</v>
      </c>
      <c r="F2594" s="176"/>
      <c r="G2594" s="175"/>
      <c r="H2594" s="174"/>
      <c r="I2594" s="173">
        <v>87.5</v>
      </c>
      <c r="J2594" s="174">
        <v>41</v>
      </c>
      <c r="K2594" s="173">
        <v>1131.97</v>
      </c>
    </row>
    <row r="2595" spans="1:16" ht="14.25" x14ac:dyDescent="0.2">
      <c r="A2595" s="242"/>
      <c r="B2595" s="241"/>
      <c r="C2595" s="241" t="s">
        <v>192</v>
      </c>
      <c r="D2595" s="240" t="s">
        <v>191</v>
      </c>
      <c r="E2595" s="238">
        <v>9.25</v>
      </c>
      <c r="F2595" s="253"/>
      <c r="G2595" s="239" t="s">
        <v>2270</v>
      </c>
      <c r="H2595" s="238">
        <v>1</v>
      </c>
      <c r="I2595" s="237">
        <v>7.87</v>
      </c>
      <c r="J2595" s="238"/>
      <c r="K2595" s="237"/>
    </row>
    <row r="2596" spans="1:16" ht="15" x14ac:dyDescent="0.25">
      <c r="A2596" s="235"/>
      <c r="B2596" s="235"/>
      <c r="C2596" s="236" t="s">
        <v>183</v>
      </c>
      <c r="D2596" s="235"/>
      <c r="E2596" s="235"/>
      <c r="F2596" s="235"/>
      <c r="G2596" s="235"/>
      <c r="H2596" s="436">
        <v>356.67</v>
      </c>
      <c r="I2596" s="436"/>
      <c r="J2596" s="436">
        <v>6422.64</v>
      </c>
      <c r="K2596" s="436"/>
      <c r="O2596" s="163">
        <f>I2591+I2592+I2593+I2594</f>
        <v>356.67</v>
      </c>
      <c r="P2596" s="163">
        <f>K2591+K2592+K2593+K2594</f>
        <v>6422.64</v>
      </c>
    </row>
    <row r="2599" spans="1:16" ht="15" x14ac:dyDescent="0.25">
      <c r="A2599" s="417" t="s">
        <v>2976</v>
      </c>
      <c r="B2599" s="417"/>
      <c r="C2599" s="417"/>
      <c r="D2599" s="417"/>
      <c r="E2599" s="417"/>
      <c r="F2599" s="417"/>
      <c r="G2599" s="417"/>
      <c r="H2599" s="415">
        <v>65570.06</v>
      </c>
      <c r="I2599" s="416"/>
      <c r="J2599" s="415">
        <v>515926.21</v>
      </c>
      <c r="K2599" s="416"/>
    </row>
    <row r="2600" spans="1:16" hidden="1" x14ac:dyDescent="0.2">
      <c r="A2600" s="160" t="s">
        <v>182</v>
      </c>
      <c r="I2600" s="160">
        <v>0</v>
      </c>
      <c r="J2600" s="160">
        <v>0</v>
      </c>
    </row>
    <row r="2601" spans="1:16" hidden="1" x14ac:dyDescent="0.2">
      <c r="A2601" s="160" t="s">
        <v>181</v>
      </c>
      <c r="I2601" s="160">
        <v>0</v>
      </c>
      <c r="J2601" s="160">
        <v>0</v>
      </c>
    </row>
    <row r="2603" spans="1:16" ht="15" x14ac:dyDescent="0.25">
      <c r="A2603" s="417" t="s">
        <v>3134</v>
      </c>
      <c r="B2603" s="417"/>
      <c r="C2603" s="417"/>
      <c r="D2603" s="417"/>
      <c r="E2603" s="417"/>
      <c r="F2603" s="417"/>
      <c r="G2603" s="417"/>
      <c r="H2603" s="415">
        <v>5501300.5</v>
      </c>
      <c r="I2603" s="416"/>
      <c r="J2603" s="415">
        <v>29673402.59</v>
      </c>
      <c r="K2603" s="416"/>
    </row>
    <row r="2604" spans="1:16" hidden="1" x14ac:dyDescent="0.2">
      <c r="A2604" s="160" t="s">
        <v>182</v>
      </c>
      <c r="I2604" s="160">
        <v>0</v>
      </c>
      <c r="J2604" s="160">
        <v>0</v>
      </c>
    </row>
    <row r="2605" spans="1:16" ht="15" x14ac:dyDescent="0.25">
      <c r="A2605" s="417" t="s">
        <v>181</v>
      </c>
      <c r="B2605" s="417"/>
      <c r="C2605" s="417"/>
      <c r="D2605" s="417"/>
      <c r="E2605" s="417"/>
      <c r="F2605" s="417"/>
      <c r="G2605" s="417"/>
      <c r="H2605" s="415">
        <v>-16757.310000000001</v>
      </c>
      <c r="I2605" s="416"/>
      <c r="J2605" s="415">
        <v>-86635.29</v>
      </c>
      <c r="K2605" s="416"/>
    </row>
    <row r="2606" spans="1:16" ht="14.25" x14ac:dyDescent="0.2">
      <c r="C2606" s="410" t="s">
        <v>1920</v>
      </c>
      <c r="D2606" s="410"/>
      <c r="E2606" s="410"/>
      <c r="F2606" s="410"/>
      <c r="G2606" s="410"/>
      <c r="H2606" s="411">
        <v>5258051.09</v>
      </c>
      <c r="I2606" s="411"/>
      <c r="J2606" s="411">
        <v>25539909.359999999</v>
      </c>
      <c r="K2606" s="411"/>
    </row>
    <row r="2607" spans="1:16" ht="14.25" x14ac:dyDescent="0.2">
      <c r="C2607" s="410" t="s">
        <v>1933</v>
      </c>
      <c r="D2607" s="410"/>
      <c r="E2607" s="410"/>
      <c r="F2607" s="410"/>
      <c r="G2607" s="410"/>
      <c r="H2607" s="411">
        <v>5093976.62</v>
      </c>
      <c r="I2607" s="411"/>
      <c r="J2607" s="411">
        <v>22070963.98</v>
      </c>
      <c r="K2607" s="411"/>
    </row>
    <row r="2608" spans="1:16" ht="14.25" x14ac:dyDescent="0.2">
      <c r="C2608" s="410" t="s">
        <v>1934</v>
      </c>
      <c r="D2608" s="410"/>
      <c r="E2608" s="410"/>
      <c r="F2608" s="410"/>
      <c r="G2608" s="410"/>
      <c r="H2608" s="411">
        <v>1496216.35</v>
      </c>
      <c r="I2608" s="411"/>
      <c r="J2608" s="411">
        <v>6176898.8099999996</v>
      </c>
      <c r="K2608" s="411"/>
    </row>
    <row r="2609" spans="1:11" ht="14.25" x14ac:dyDescent="0.2">
      <c r="C2609" s="410" t="s">
        <v>1935</v>
      </c>
      <c r="D2609" s="410"/>
      <c r="E2609" s="410"/>
      <c r="F2609" s="410"/>
      <c r="G2609" s="410"/>
      <c r="H2609" s="411">
        <v>3597760.27</v>
      </c>
      <c r="I2609" s="411"/>
      <c r="J2609" s="411">
        <v>15894065.17</v>
      </c>
      <c r="K2609" s="411"/>
    </row>
    <row r="2610" spans="1:11" ht="14.25" x14ac:dyDescent="0.2">
      <c r="C2610" s="410" t="s">
        <v>1936</v>
      </c>
      <c r="D2610" s="410"/>
      <c r="E2610" s="410"/>
      <c r="F2610" s="410"/>
      <c r="G2610" s="410"/>
      <c r="H2610" s="411">
        <v>24716.91</v>
      </c>
      <c r="I2610" s="411"/>
      <c r="J2610" s="411">
        <v>214946.25</v>
      </c>
      <c r="K2610" s="411"/>
    </row>
    <row r="2611" spans="1:11" ht="14.25" x14ac:dyDescent="0.2">
      <c r="C2611" s="410" t="s">
        <v>1937</v>
      </c>
      <c r="D2611" s="410"/>
      <c r="E2611" s="410"/>
      <c r="F2611" s="410"/>
      <c r="G2611" s="410"/>
      <c r="H2611" s="411">
        <v>4417.84</v>
      </c>
      <c r="I2611" s="411"/>
      <c r="J2611" s="411">
        <v>103156.55</v>
      </c>
      <c r="K2611" s="411"/>
    </row>
    <row r="2612" spans="1:11" ht="14.25" x14ac:dyDescent="0.2">
      <c r="C2612" s="410" t="s">
        <v>1938</v>
      </c>
      <c r="D2612" s="410"/>
      <c r="E2612" s="410"/>
      <c r="F2612" s="410"/>
      <c r="G2612" s="410"/>
      <c r="H2612" s="411">
        <v>139357.56</v>
      </c>
      <c r="I2612" s="411"/>
      <c r="J2612" s="411">
        <v>3253999.13</v>
      </c>
      <c r="K2612" s="411"/>
    </row>
    <row r="2613" spans="1:11" ht="14.25" x14ac:dyDescent="0.2">
      <c r="C2613" s="410" t="s">
        <v>1939</v>
      </c>
      <c r="D2613" s="410"/>
      <c r="E2613" s="410"/>
      <c r="F2613" s="410"/>
      <c r="G2613" s="410"/>
      <c r="H2613" s="411">
        <v>1731462.65</v>
      </c>
      <c r="I2613" s="411"/>
      <c r="J2613" s="411">
        <v>11758601.390000001</v>
      </c>
      <c r="K2613" s="411"/>
    </row>
    <row r="2614" spans="1:11" ht="14.25" x14ac:dyDescent="0.2">
      <c r="C2614" s="410" t="s">
        <v>1940</v>
      </c>
      <c r="D2614" s="410"/>
      <c r="E2614" s="410"/>
      <c r="F2614" s="410"/>
      <c r="G2614" s="410"/>
      <c r="H2614" s="411">
        <v>137169.43</v>
      </c>
      <c r="I2614" s="411"/>
      <c r="J2614" s="411">
        <v>1331081.9099999999</v>
      </c>
      <c r="K2614" s="411"/>
    </row>
    <row r="2615" spans="1:11" ht="14.25" x14ac:dyDescent="0.2">
      <c r="C2615" s="410" t="s">
        <v>1941</v>
      </c>
      <c r="D2615" s="410"/>
      <c r="E2615" s="410"/>
      <c r="F2615" s="410"/>
      <c r="G2615" s="410"/>
      <c r="H2615" s="411">
        <v>34908.15</v>
      </c>
      <c r="I2615" s="411"/>
      <c r="J2615" s="411">
        <v>689654.12</v>
      </c>
      <c r="K2615" s="411"/>
    </row>
    <row r="2616" spans="1:11" ht="14.25" x14ac:dyDescent="0.2">
      <c r="C2616" s="410" t="s">
        <v>1942</v>
      </c>
      <c r="D2616" s="410"/>
      <c r="E2616" s="410"/>
      <c r="F2616" s="410"/>
      <c r="G2616" s="410"/>
      <c r="H2616" s="411">
        <v>136656.6</v>
      </c>
      <c r="I2616" s="411"/>
      <c r="J2616" s="411">
        <v>2637397.91</v>
      </c>
      <c r="K2616" s="411"/>
    </row>
    <row r="2617" spans="1:11" ht="14.25" x14ac:dyDescent="0.2">
      <c r="C2617" s="410" t="s">
        <v>1943</v>
      </c>
      <c r="D2617" s="410"/>
      <c r="E2617" s="410"/>
      <c r="F2617" s="410"/>
      <c r="G2617" s="410"/>
      <c r="H2617" s="411">
        <v>98861.4</v>
      </c>
      <c r="I2617" s="411"/>
      <c r="J2617" s="411">
        <v>1334139.6000000001</v>
      </c>
      <c r="K2617" s="411"/>
    </row>
    <row r="2618" spans="1:11" ht="14.25" x14ac:dyDescent="0.2">
      <c r="C2618" s="410" t="s">
        <v>1944</v>
      </c>
      <c r="D2618" s="410"/>
      <c r="E2618" s="410"/>
      <c r="F2618" s="410"/>
      <c r="G2618" s="410"/>
      <c r="H2618" s="411">
        <v>5501300.5</v>
      </c>
      <c r="I2618" s="411"/>
      <c r="J2618" s="411">
        <v>29673402.59</v>
      </c>
      <c r="K2618" s="411"/>
    </row>
    <row r="2621" spans="1:11" ht="14.25" x14ac:dyDescent="0.2">
      <c r="A2621" s="412" t="s">
        <v>180</v>
      </c>
      <c r="B2621" s="412"/>
      <c r="C2621" s="234" t="s">
        <v>107</v>
      </c>
      <c r="D2621" s="234"/>
      <c r="E2621" s="234"/>
      <c r="F2621" s="234"/>
      <c r="G2621" s="234"/>
      <c r="H2621" s="161" t="s">
        <v>107</v>
      </c>
      <c r="I2621" s="161"/>
      <c r="J2621" s="161"/>
      <c r="K2621" s="161"/>
    </row>
    <row r="2622" spans="1:11" ht="14.25" x14ac:dyDescent="0.2">
      <c r="A2622" s="161"/>
      <c r="B2622" s="161"/>
      <c r="C2622" s="432" t="s">
        <v>72</v>
      </c>
      <c r="D2622" s="432"/>
      <c r="E2622" s="432"/>
      <c r="F2622" s="432"/>
      <c r="G2622" s="432"/>
      <c r="H2622" s="161"/>
      <c r="I2622" s="161"/>
      <c r="J2622" s="161"/>
      <c r="K2622" s="161"/>
    </row>
    <row r="2623" spans="1:11" ht="14.25" x14ac:dyDescent="0.2">
      <c r="A2623" s="161"/>
      <c r="B2623" s="161"/>
      <c r="C2623" s="161"/>
      <c r="D2623" s="161"/>
      <c r="E2623" s="161"/>
      <c r="F2623" s="161"/>
      <c r="G2623" s="161"/>
      <c r="H2623" s="161"/>
      <c r="I2623" s="161"/>
      <c r="J2623" s="161"/>
      <c r="K2623" s="161"/>
    </row>
    <row r="2624" spans="1:11" ht="14.25" x14ac:dyDescent="0.2">
      <c r="A2624" s="412" t="s">
        <v>179</v>
      </c>
      <c r="B2624" s="412"/>
      <c r="C2624" s="234" t="s">
        <v>107</v>
      </c>
      <c r="D2624" s="234"/>
      <c r="E2624" s="234"/>
      <c r="F2624" s="234"/>
      <c r="G2624" s="234"/>
      <c r="H2624" s="161" t="s">
        <v>107</v>
      </c>
      <c r="I2624" s="161"/>
      <c r="J2624" s="161"/>
      <c r="K2624" s="161"/>
    </row>
    <row r="2625" spans="1:11" ht="14.25" x14ac:dyDescent="0.2">
      <c r="A2625" s="161"/>
      <c r="B2625" s="161"/>
      <c r="C2625" s="432" t="s">
        <v>72</v>
      </c>
      <c r="D2625" s="432"/>
      <c r="E2625" s="432"/>
      <c r="F2625" s="432"/>
      <c r="G2625" s="432"/>
      <c r="H2625" s="161"/>
      <c r="I2625" s="161"/>
      <c r="J2625" s="161"/>
      <c r="K2625" s="161"/>
    </row>
  </sheetData>
  <mergeCells count="652">
    <mergeCell ref="A2621:B2621"/>
    <mergeCell ref="C2622:G2622"/>
    <mergeCell ref="A2624:B2624"/>
    <mergeCell ref="C2625:G2625"/>
    <mergeCell ref="C2617:G2617"/>
    <mergeCell ref="H2617:I2617"/>
    <mergeCell ref="C2613:G2613"/>
    <mergeCell ref="H2613:I2613"/>
    <mergeCell ref="J2613:K2613"/>
    <mergeCell ref="C2614:G2614"/>
    <mergeCell ref="H2614:I2614"/>
    <mergeCell ref="J2614:K2614"/>
    <mergeCell ref="J2617:K2617"/>
    <mergeCell ref="C2618:G2618"/>
    <mergeCell ref="H2618:I2618"/>
    <mergeCell ref="J2618:K2618"/>
    <mergeCell ref="C2615:G2615"/>
    <mergeCell ref="H2615:I2615"/>
    <mergeCell ref="J2615:K2615"/>
    <mergeCell ref="C2616:G2616"/>
    <mergeCell ref="H2616:I2616"/>
    <mergeCell ref="J2616:K2616"/>
    <mergeCell ref="C2610:G2610"/>
    <mergeCell ref="H2610:I2610"/>
    <mergeCell ref="J2610:K2610"/>
    <mergeCell ref="C2611:G2611"/>
    <mergeCell ref="H2611:I2611"/>
    <mergeCell ref="J2611:K2611"/>
    <mergeCell ref="C2612:G2612"/>
    <mergeCell ref="H2612:I2612"/>
    <mergeCell ref="J2612:K2612"/>
    <mergeCell ref="C2607:G2607"/>
    <mergeCell ref="H2607:I2607"/>
    <mergeCell ref="J2607:K2607"/>
    <mergeCell ref="C2608:G2608"/>
    <mergeCell ref="H2608:I2608"/>
    <mergeCell ref="J2608:K2608"/>
    <mergeCell ref="C2609:G2609"/>
    <mergeCell ref="H2609:I2609"/>
    <mergeCell ref="J2609:K2609"/>
    <mergeCell ref="A2599:G2599"/>
    <mergeCell ref="J2603:K2603"/>
    <mergeCell ref="H2603:I2603"/>
    <mergeCell ref="A2603:G2603"/>
    <mergeCell ref="J2605:K2605"/>
    <mergeCell ref="H2605:I2605"/>
    <mergeCell ref="A2605:G2605"/>
    <mergeCell ref="C2606:G2606"/>
    <mergeCell ref="H2606:I2606"/>
    <mergeCell ref="J2606:K2606"/>
    <mergeCell ref="J2557:K2557"/>
    <mergeCell ref="H2557:I2557"/>
    <mergeCell ref="J2578:K2578"/>
    <mergeCell ref="H2578:I2578"/>
    <mergeCell ref="J2587:K2587"/>
    <mergeCell ref="H2587:I2587"/>
    <mergeCell ref="J2596:K2596"/>
    <mergeCell ref="H2596:I2596"/>
    <mergeCell ref="J2599:K2599"/>
    <mergeCell ref="H2599:I2599"/>
    <mergeCell ref="J2487:K2487"/>
    <mergeCell ref="H2487:I2487"/>
    <mergeCell ref="J2501:K2501"/>
    <mergeCell ref="H2501:I2501"/>
    <mergeCell ref="J2515:K2515"/>
    <mergeCell ref="H2515:I2515"/>
    <mergeCell ref="J2529:K2529"/>
    <mergeCell ref="H2529:I2529"/>
    <mergeCell ref="J2543:K2543"/>
    <mergeCell ref="H2543:I2543"/>
    <mergeCell ref="A2454:K2454"/>
    <mergeCell ref="J2460:K2460"/>
    <mergeCell ref="H2460:I2460"/>
    <mergeCell ref="J2467:K2467"/>
    <mergeCell ref="H2467:I2467"/>
    <mergeCell ref="J2470:K2470"/>
    <mergeCell ref="H2470:I2470"/>
    <mergeCell ref="A2470:G2470"/>
    <mergeCell ref="A2474:K2474"/>
    <mergeCell ref="J2432:K2432"/>
    <mergeCell ref="H2432:I2432"/>
    <mergeCell ref="J2435:K2435"/>
    <mergeCell ref="H2435:I2435"/>
    <mergeCell ref="J2447:K2447"/>
    <mergeCell ref="H2447:I2447"/>
    <mergeCell ref="J2450:K2450"/>
    <mergeCell ref="H2450:I2450"/>
    <mergeCell ref="A2450:G2450"/>
    <mergeCell ref="J2382:K2382"/>
    <mergeCell ref="H2382:I2382"/>
    <mergeCell ref="J2397:K2397"/>
    <mergeCell ref="H2397:I2397"/>
    <mergeCell ref="J2411:K2411"/>
    <mergeCell ref="H2411:I2411"/>
    <mergeCell ref="J2426:K2426"/>
    <mergeCell ref="H2426:I2426"/>
    <mergeCell ref="J2429:K2429"/>
    <mergeCell ref="H2429:I2429"/>
    <mergeCell ref="J2333:K2333"/>
    <mergeCell ref="H2333:I2333"/>
    <mergeCell ref="J2345:K2345"/>
    <mergeCell ref="H2345:I2345"/>
    <mergeCell ref="J2348:K2348"/>
    <mergeCell ref="H2348:I2348"/>
    <mergeCell ref="J2360:K2360"/>
    <mergeCell ref="H2360:I2360"/>
    <mergeCell ref="J2363:K2363"/>
    <mergeCell ref="H2363:I2363"/>
    <mergeCell ref="J2309:K2309"/>
    <mergeCell ref="H2309:I2309"/>
    <mergeCell ref="J2312:K2312"/>
    <mergeCell ref="H2312:I2312"/>
    <mergeCell ref="J2324:K2324"/>
    <mergeCell ref="H2324:I2324"/>
    <mergeCell ref="J2327:K2327"/>
    <mergeCell ref="H2327:I2327"/>
    <mergeCell ref="J2330:K2330"/>
    <mergeCell ref="H2330:I2330"/>
    <mergeCell ref="J2294:K2294"/>
    <mergeCell ref="H2294:I2294"/>
    <mergeCell ref="J2297:K2297"/>
    <mergeCell ref="H2297:I2297"/>
    <mergeCell ref="J2300:K2300"/>
    <mergeCell ref="H2300:I2300"/>
    <mergeCell ref="J2303:K2303"/>
    <mergeCell ref="H2303:I2303"/>
    <mergeCell ref="J2306:K2306"/>
    <mergeCell ref="H2306:I2306"/>
    <mergeCell ref="J2261:K2261"/>
    <mergeCell ref="H2261:I2261"/>
    <mergeCell ref="J2264:K2264"/>
    <mergeCell ref="H2264:I2264"/>
    <mergeCell ref="J2267:K2267"/>
    <mergeCell ref="H2267:I2267"/>
    <mergeCell ref="J2270:K2270"/>
    <mergeCell ref="H2270:I2270"/>
    <mergeCell ref="J2282:K2282"/>
    <mergeCell ref="H2282:I2282"/>
    <mergeCell ref="J2222:K2222"/>
    <mergeCell ref="H2222:I2222"/>
    <mergeCell ref="J2234:K2234"/>
    <mergeCell ref="H2234:I2234"/>
    <mergeCell ref="J2246:K2246"/>
    <mergeCell ref="H2246:I2246"/>
    <mergeCell ref="J2255:K2255"/>
    <mergeCell ref="H2255:I2255"/>
    <mergeCell ref="J2258:K2258"/>
    <mergeCell ref="H2258:I2258"/>
    <mergeCell ref="J2201:K2201"/>
    <mergeCell ref="H2201:I2201"/>
    <mergeCell ref="J2205:K2205"/>
    <mergeCell ref="H2205:I2205"/>
    <mergeCell ref="J2213:K2213"/>
    <mergeCell ref="H2213:I2213"/>
    <mergeCell ref="J2216:K2216"/>
    <mergeCell ref="H2216:I2216"/>
    <mergeCell ref="J2219:K2219"/>
    <mergeCell ref="H2219:I2219"/>
    <mergeCell ref="J2186:K2186"/>
    <mergeCell ref="H2186:I2186"/>
    <mergeCell ref="J2189:K2189"/>
    <mergeCell ref="H2189:I2189"/>
    <mergeCell ref="J2192:K2192"/>
    <mergeCell ref="H2192:I2192"/>
    <mergeCell ref="J2195:K2195"/>
    <mergeCell ref="H2195:I2195"/>
    <mergeCell ref="J2198:K2198"/>
    <mergeCell ref="H2198:I2198"/>
    <mergeCell ref="J2143:K2143"/>
    <mergeCell ref="H2143:I2143"/>
    <mergeCell ref="A2143:G2143"/>
    <mergeCell ref="A2147:K2147"/>
    <mergeCell ref="J2159:K2159"/>
    <mergeCell ref="H2159:I2159"/>
    <mergeCell ref="J2171:K2171"/>
    <mergeCell ref="H2171:I2171"/>
    <mergeCell ref="J2183:K2183"/>
    <mergeCell ref="H2183:I2183"/>
    <mergeCell ref="J2087:K2087"/>
    <mergeCell ref="H2087:I2087"/>
    <mergeCell ref="J2101:K2101"/>
    <mergeCell ref="H2101:I2101"/>
    <mergeCell ref="J2122:K2122"/>
    <mergeCell ref="H2122:I2122"/>
    <mergeCell ref="J2131:K2131"/>
    <mergeCell ref="H2131:I2131"/>
    <mergeCell ref="J2140:K2140"/>
    <mergeCell ref="H2140:I2140"/>
    <mergeCell ref="A2018:K2018"/>
    <mergeCell ref="J2031:K2031"/>
    <mergeCell ref="H2031:I2031"/>
    <mergeCell ref="J2045:K2045"/>
    <mergeCell ref="H2045:I2045"/>
    <mergeCell ref="J2059:K2059"/>
    <mergeCell ref="H2059:I2059"/>
    <mergeCell ref="J2073:K2073"/>
    <mergeCell ref="H2073:I2073"/>
    <mergeCell ref="A1986:G1986"/>
    <mergeCell ref="A1990:K1990"/>
    <mergeCell ref="J1996:K1996"/>
    <mergeCell ref="H1996:I1996"/>
    <mergeCell ref="J2003:K2003"/>
    <mergeCell ref="H2003:I2003"/>
    <mergeCell ref="J2011:K2011"/>
    <mergeCell ref="H2011:I2011"/>
    <mergeCell ref="J2014:K2014"/>
    <mergeCell ref="H2014:I2014"/>
    <mergeCell ref="A2014:G2014"/>
    <mergeCell ref="J1938:K1938"/>
    <mergeCell ref="H1938:I1938"/>
    <mergeCell ref="J1954:K1954"/>
    <mergeCell ref="H1954:I1954"/>
    <mergeCell ref="J1967:K1967"/>
    <mergeCell ref="H1967:I1967"/>
    <mergeCell ref="J1983:K1983"/>
    <mergeCell ref="H1983:I1983"/>
    <mergeCell ref="J1986:K1986"/>
    <mergeCell ref="H1986:I1986"/>
    <mergeCell ref="J1864:K1864"/>
    <mergeCell ref="H1864:I1864"/>
    <mergeCell ref="J1879:K1879"/>
    <mergeCell ref="H1879:I1879"/>
    <mergeCell ref="J1896:K1896"/>
    <mergeCell ref="H1896:I1896"/>
    <mergeCell ref="J1909:K1909"/>
    <mergeCell ref="H1909:I1909"/>
    <mergeCell ref="J1925:K1925"/>
    <mergeCell ref="H1925:I1925"/>
    <mergeCell ref="J1831:K1831"/>
    <mergeCell ref="H1831:I1831"/>
    <mergeCell ref="J1842:K1842"/>
    <mergeCell ref="H1842:I1842"/>
    <mergeCell ref="J1846:K1846"/>
    <mergeCell ref="H1846:I1846"/>
    <mergeCell ref="J1850:K1850"/>
    <mergeCell ref="H1850:I1850"/>
    <mergeCell ref="J1861:K1861"/>
    <mergeCell ref="H1861:I1861"/>
    <mergeCell ref="J1816:K1816"/>
    <mergeCell ref="H1816:I1816"/>
    <mergeCell ref="J1819:K1819"/>
    <mergeCell ref="H1819:I1819"/>
    <mergeCell ref="J1822:K1822"/>
    <mergeCell ref="H1822:I1822"/>
    <mergeCell ref="J1825:K1825"/>
    <mergeCell ref="H1825:I1825"/>
    <mergeCell ref="J1828:K1828"/>
    <mergeCell ref="H1828:I1828"/>
    <mergeCell ref="J1756:K1756"/>
    <mergeCell ref="H1756:I1756"/>
    <mergeCell ref="J1771:K1771"/>
    <mergeCell ref="H1771:I1771"/>
    <mergeCell ref="J1786:K1786"/>
    <mergeCell ref="H1786:I1786"/>
    <mergeCell ref="J1801:K1801"/>
    <mergeCell ref="H1801:I1801"/>
    <mergeCell ref="J1813:K1813"/>
    <mergeCell ref="H1813:I1813"/>
    <mergeCell ref="J1684:K1684"/>
    <mergeCell ref="H1684:I1684"/>
    <mergeCell ref="J1698:K1698"/>
    <mergeCell ref="H1698:I1698"/>
    <mergeCell ref="J1712:K1712"/>
    <mergeCell ref="H1712:I1712"/>
    <mergeCell ref="J1726:K1726"/>
    <mergeCell ref="H1726:I1726"/>
    <mergeCell ref="J1741:K1741"/>
    <mergeCell ref="H1741:I1741"/>
    <mergeCell ref="J1660:K1660"/>
    <mergeCell ref="H1660:I1660"/>
    <mergeCell ref="J1663:K1663"/>
    <mergeCell ref="H1663:I1663"/>
    <mergeCell ref="A1663:G1663"/>
    <mergeCell ref="J1667:K1667"/>
    <mergeCell ref="H1667:I1667"/>
    <mergeCell ref="A1667:G1667"/>
    <mergeCell ref="A1671:K1671"/>
    <mergeCell ref="J1620:K1620"/>
    <mergeCell ref="H1620:I1620"/>
    <mergeCell ref="J1631:K1631"/>
    <mergeCell ref="H1631:I1631"/>
    <mergeCell ref="J1643:K1643"/>
    <mergeCell ref="H1643:I1643"/>
    <mergeCell ref="J1646:K1646"/>
    <mergeCell ref="H1646:I1646"/>
    <mergeCell ref="J1657:K1657"/>
    <mergeCell ref="H1657:I1657"/>
    <mergeCell ref="J1572:K1572"/>
    <mergeCell ref="H1572:I1572"/>
    <mergeCell ref="J1583:K1583"/>
    <mergeCell ref="H1583:I1583"/>
    <mergeCell ref="J1594:K1594"/>
    <mergeCell ref="H1594:I1594"/>
    <mergeCell ref="J1606:K1606"/>
    <mergeCell ref="H1606:I1606"/>
    <mergeCell ref="J1609:K1609"/>
    <mergeCell ref="H1609:I1609"/>
    <mergeCell ref="J1532:K1532"/>
    <mergeCell ref="H1532:I1532"/>
    <mergeCell ref="J1535:K1535"/>
    <mergeCell ref="H1535:I1535"/>
    <mergeCell ref="J1546:K1546"/>
    <mergeCell ref="H1546:I1546"/>
    <mergeCell ref="J1557:K1557"/>
    <mergeCell ref="H1557:I1557"/>
    <mergeCell ref="J1569:K1569"/>
    <mergeCell ref="H1569:I1569"/>
    <mergeCell ref="J1483:K1483"/>
    <mergeCell ref="H1483:I1483"/>
    <mergeCell ref="J1495:K1495"/>
    <mergeCell ref="H1495:I1495"/>
    <mergeCell ref="J1498:K1498"/>
    <mergeCell ref="H1498:I1498"/>
    <mergeCell ref="J1509:K1509"/>
    <mergeCell ref="H1509:I1509"/>
    <mergeCell ref="J1520:K1520"/>
    <mergeCell ref="H1520:I1520"/>
    <mergeCell ref="J1435:K1435"/>
    <mergeCell ref="H1435:I1435"/>
    <mergeCell ref="J1447:K1447"/>
    <mergeCell ref="H1447:I1447"/>
    <mergeCell ref="J1458:K1458"/>
    <mergeCell ref="H1458:I1458"/>
    <mergeCell ref="J1461:K1461"/>
    <mergeCell ref="H1461:I1461"/>
    <mergeCell ref="J1472:K1472"/>
    <mergeCell ref="H1472:I1472"/>
    <mergeCell ref="J1387:K1387"/>
    <mergeCell ref="H1387:I1387"/>
    <mergeCell ref="J1399:K1399"/>
    <mergeCell ref="H1399:I1399"/>
    <mergeCell ref="J1410:K1410"/>
    <mergeCell ref="H1410:I1410"/>
    <mergeCell ref="J1413:K1413"/>
    <mergeCell ref="H1413:I1413"/>
    <mergeCell ref="J1424:K1424"/>
    <mergeCell ref="H1424:I1424"/>
    <mergeCell ref="J1339:K1339"/>
    <mergeCell ref="H1339:I1339"/>
    <mergeCell ref="J1351:K1351"/>
    <mergeCell ref="H1351:I1351"/>
    <mergeCell ref="J1362:K1362"/>
    <mergeCell ref="H1362:I1362"/>
    <mergeCell ref="J1365:K1365"/>
    <mergeCell ref="H1365:I1365"/>
    <mergeCell ref="J1376:K1376"/>
    <mergeCell ref="H1376:I1376"/>
    <mergeCell ref="J1291:K1291"/>
    <mergeCell ref="H1291:I1291"/>
    <mergeCell ref="J1303:K1303"/>
    <mergeCell ref="H1303:I1303"/>
    <mergeCell ref="J1314:K1314"/>
    <mergeCell ref="H1314:I1314"/>
    <mergeCell ref="J1317:K1317"/>
    <mergeCell ref="H1317:I1317"/>
    <mergeCell ref="J1328:K1328"/>
    <mergeCell ref="H1328:I1328"/>
    <mergeCell ref="J1243:K1243"/>
    <mergeCell ref="H1243:I1243"/>
    <mergeCell ref="J1255:K1255"/>
    <mergeCell ref="H1255:I1255"/>
    <mergeCell ref="J1266:K1266"/>
    <mergeCell ref="H1266:I1266"/>
    <mergeCell ref="J1269:K1269"/>
    <mergeCell ref="H1269:I1269"/>
    <mergeCell ref="J1280:K1280"/>
    <mergeCell ref="H1280:I1280"/>
    <mergeCell ref="J1195:K1195"/>
    <mergeCell ref="H1195:I1195"/>
    <mergeCell ref="J1207:K1207"/>
    <mergeCell ref="H1207:I1207"/>
    <mergeCell ref="J1218:K1218"/>
    <mergeCell ref="H1218:I1218"/>
    <mergeCell ref="J1221:K1221"/>
    <mergeCell ref="H1221:I1221"/>
    <mergeCell ref="J1232:K1232"/>
    <mergeCell ref="H1232:I1232"/>
    <mergeCell ref="J1147:K1147"/>
    <mergeCell ref="H1147:I1147"/>
    <mergeCell ref="J1159:K1159"/>
    <mergeCell ref="H1159:I1159"/>
    <mergeCell ref="J1170:K1170"/>
    <mergeCell ref="H1170:I1170"/>
    <mergeCell ref="J1173:K1173"/>
    <mergeCell ref="H1173:I1173"/>
    <mergeCell ref="J1184:K1184"/>
    <mergeCell ref="H1184:I1184"/>
    <mergeCell ref="J1099:K1099"/>
    <mergeCell ref="H1099:I1099"/>
    <mergeCell ref="J1111:K1111"/>
    <mergeCell ref="H1111:I1111"/>
    <mergeCell ref="J1122:K1122"/>
    <mergeCell ref="H1122:I1122"/>
    <mergeCell ref="J1125:K1125"/>
    <mergeCell ref="H1125:I1125"/>
    <mergeCell ref="J1136:K1136"/>
    <mergeCell ref="H1136:I1136"/>
    <mergeCell ref="J1051:K1051"/>
    <mergeCell ref="H1051:I1051"/>
    <mergeCell ref="J1063:K1063"/>
    <mergeCell ref="H1063:I1063"/>
    <mergeCell ref="J1074:K1074"/>
    <mergeCell ref="H1074:I1074"/>
    <mergeCell ref="J1077:K1077"/>
    <mergeCell ref="H1077:I1077"/>
    <mergeCell ref="J1088:K1088"/>
    <mergeCell ref="H1088:I1088"/>
    <mergeCell ref="J1003:K1003"/>
    <mergeCell ref="H1003:I1003"/>
    <mergeCell ref="J1015:K1015"/>
    <mergeCell ref="H1015:I1015"/>
    <mergeCell ref="J1026:K1026"/>
    <mergeCell ref="H1026:I1026"/>
    <mergeCell ref="J1029:K1029"/>
    <mergeCell ref="H1029:I1029"/>
    <mergeCell ref="J1040:K1040"/>
    <mergeCell ref="H1040:I1040"/>
    <mergeCell ref="J956:K956"/>
    <mergeCell ref="H956:I956"/>
    <mergeCell ref="J967:K967"/>
    <mergeCell ref="H967:I967"/>
    <mergeCell ref="J978:K978"/>
    <mergeCell ref="H978:I978"/>
    <mergeCell ref="J981:K981"/>
    <mergeCell ref="H981:I981"/>
    <mergeCell ref="J992:K992"/>
    <mergeCell ref="H992:I992"/>
    <mergeCell ref="J909:K909"/>
    <mergeCell ref="H909:I909"/>
    <mergeCell ref="J920:K920"/>
    <mergeCell ref="H920:I920"/>
    <mergeCell ref="J931:K931"/>
    <mergeCell ref="H931:I931"/>
    <mergeCell ref="J934:K934"/>
    <mergeCell ref="H934:I934"/>
    <mergeCell ref="J945:K945"/>
    <mergeCell ref="H945:I945"/>
    <mergeCell ref="J861:K861"/>
    <mergeCell ref="H861:I861"/>
    <mergeCell ref="J873:K873"/>
    <mergeCell ref="H873:I873"/>
    <mergeCell ref="J884:K884"/>
    <mergeCell ref="H884:I884"/>
    <mergeCell ref="J887:K887"/>
    <mergeCell ref="H887:I887"/>
    <mergeCell ref="J898:K898"/>
    <mergeCell ref="H898:I898"/>
    <mergeCell ref="J813:K813"/>
    <mergeCell ref="H813:I813"/>
    <mergeCell ref="J825:K825"/>
    <mergeCell ref="H825:I825"/>
    <mergeCell ref="J836:K836"/>
    <mergeCell ref="H836:I836"/>
    <mergeCell ref="J839:K839"/>
    <mergeCell ref="H839:I839"/>
    <mergeCell ref="J850:K850"/>
    <mergeCell ref="H850:I850"/>
    <mergeCell ref="J765:K765"/>
    <mergeCell ref="H765:I765"/>
    <mergeCell ref="J777:K777"/>
    <mergeCell ref="H777:I777"/>
    <mergeCell ref="J788:K788"/>
    <mergeCell ref="H788:I788"/>
    <mergeCell ref="J791:K791"/>
    <mergeCell ref="H791:I791"/>
    <mergeCell ref="J802:K802"/>
    <mergeCell ref="H802:I802"/>
    <mergeCell ref="J717:K717"/>
    <mergeCell ref="H717:I717"/>
    <mergeCell ref="J729:K729"/>
    <mergeCell ref="H729:I729"/>
    <mergeCell ref="J740:K740"/>
    <mergeCell ref="H740:I740"/>
    <mergeCell ref="J743:K743"/>
    <mergeCell ref="H743:I743"/>
    <mergeCell ref="J754:K754"/>
    <mergeCell ref="H754:I754"/>
    <mergeCell ref="J669:K669"/>
    <mergeCell ref="H669:I669"/>
    <mergeCell ref="J681:K681"/>
    <mergeCell ref="H681:I681"/>
    <mergeCell ref="J692:K692"/>
    <mergeCell ref="H692:I692"/>
    <mergeCell ref="J695:K695"/>
    <mergeCell ref="H695:I695"/>
    <mergeCell ref="J706:K706"/>
    <mergeCell ref="H706:I706"/>
    <mergeCell ref="J621:K621"/>
    <mergeCell ref="H621:I621"/>
    <mergeCell ref="J633:K633"/>
    <mergeCell ref="H633:I633"/>
    <mergeCell ref="J644:K644"/>
    <mergeCell ref="H644:I644"/>
    <mergeCell ref="J647:K647"/>
    <mergeCell ref="H647:I647"/>
    <mergeCell ref="J658:K658"/>
    <mergeCell ref="H658:I658"/>
    <mergeCell ref="J574:K574"/>
    <mergeCell ref="H574:I574"/>
    <mergeCell ref="J585:K585"/>
    <mergeCell ref="H585:I585"/>
    <mergeCell ref="J596:K596"/>
    <mergeCell ref="H596:I596"/>
    <mergeCell ref="J599:K599"/>
    <mergeCell ref="H599:I599"/>
    <mergeCell ref="J610:K610"/>
    <mergeCell ref="H610:I610"/>
    <mergeCell ref="J526:K526"/>
    <mergeCell ref="H526:I526"/>
    <mergeCell ref="J538:K538"/>
    <mergeCell ref="H538:I538"/>
    <mergeCell ref="J549:K549"/>
    <mergeCell ref="H549:I549"/>
    <mergeCell ref="J552:K552"/>
    <mergeCell ref="H552:I552"/>
    <mergeCell ref="J563:K563"/>
    <mergeCell ref="H563:I563"/>
    <mergeCell ref="J478:K478"/>
    <mergeCell ref="H478:I478"/>
    <mergeCell ref="J490:K490"/>
    <mergeCell ref="H490:I490"/>
    <mergeCell ref="J501:K501"/>
    <mergeCell ref="H501:I501"/>
    <mergeCell ref="J504:K504"/>
    <mergeCell ref="H504:I504"/>
    <mergeCell ref="J515:K515"/>
    <mergeCell ref="H515:I515"/>
    <mergeCell ref="J430:K430"/>
    <mergeCell ref="H430:I430"/>
    <mergeCell ref="J442:K442"/>
    <mergeCell ref="H442:I442"/>
    <mergeCell ref="J453:K453"/>
    <mergeCell ref="H453:I453"/>
    <mergeCell ref="J456:K456"/>
    <mergeCell ref="H456:I456"/>
    <mergeCell ref="J467:K467"/>
    <mergeCell ref="H467:I467"/>
    <mergeCell ref="J390:K390"/>
    <mergeCell ref="H390:I390"/>
    <mergeCell ref="J402:K402"/>
    <mergeCell ref="H402:I402"/>
    <mergeCell ref="J405:K405"/>
    <mergeCell ref="H405:I405"/>
    <mergeCell ref="A405:G405"/>
    <mergeCell ref="A409:K409"/>
    <mergeCell ref="J419:K419"/>
    <mergeCell ref="H419:I419"/>
    <mergeCell ref="A329:K329"/>
    <mergeCell ref="A331:K331"/>
    <mergeCell ref="J342:K342"/>
    <mergeCell ref="H342:I342"/>
    <mergeCell ref="J354:K354"/>
    <mergeCell ref="H354:I354"/>
    <mergeCell ref="J366:K366"/>
    <mergeCell ref="H366:I366"/>
    <mergeCell ref="J378:K378"/>
    <mergeCell ref="H378:I378"/>
    <mergeCell ref="J321:K321"/>
    <mergeCell ref="H321:I321"/>
    <mergeCell ref="A321:G321"/>
    <mergeCell ref="J325:K325"/>
    <mergeCell ref="H325:I325"/>
    <mergeCell ref="A325:G325"/>
    <mergeCell ref="J327:K327"/>
    <mergeCell ref="H327:I327"/>
    <mergeCell ref="A327:G327"/>
    <mergeCell ref="J275:K275"/>
    <mergeCell ref="H275:I275"/>
    <mergeCell ref="J284:K284"/>
    <mergeCell ref="H284:I284"/>
    <mergeCell ref="J293:K293"/>
    <mergeCell ref="H293:I293"/>
    <mergeCell ref="J306:K306"/>
    <mergeCell ref="H306:I306"/>
    <mergeCell ref="J318:K318"/>
    <mergeCell ref="H318:I318"/>
    <mergeCell ref="J255:K255"/>
    <mergeCell ref="H255:I255"/>
    <mergeCell ref="J259:K259"/>
    <mergeCell ref="H259:I259"/>
    <mergeCell ref="J263:K263"/>
    <mergeCell ref="H263:I263"/>
    <mergeCell ref="J267:K267"/>
    <mergeCell ref="H267:I267"/>
    <mergeCell ref="J271:K271"/>
    <mergeCell ref="H271:I271"/>
    <mergeCell ref="J193:K193"/>
    <mergeCell ref="H193:I193"/>
    <mergeCell ref="J208:K208"/>
    <mergeCell ref="H208:I208"/>
    <mergeCell ref="J221:K221"/>
    <mergeCell ref="H221:I221"/>
    <mergeCell ref="J235:K235"/>
    <mergeCell ref="H235:I235"/>
    <mergeCell ref="J251:K251"/>
    <mergeCell ref="H251:I251"/>
    <mergeCell ref="J122:K122"/>
    <mergeCell ref="H122:I122"/>
    <mergeCell ref="J137:K137"/>
    <mergeCell ref="H137:I137"/>
    <mergeCell ref="J152:K152"/>
    <mergeCell ref="H152:I152"/>
    <mergeCell ref="J166:K166"/>
    <mergeCell ref="H166:I166"/>
    <mergeCell ref="J180:K180"/>
    <mergeCell ref="H180:I180"/>
    <mergeCell ref="J89:K89"/>
    <mergeCell ref="H89:I89"/>
    <mergeCell ref="A89:G89"/>
    <mergeCell ref="J91:K91"/>
    <mergeCell ref="H91:I91"/>
    <mergeCell ref="A91:G91"/>
    <mergeCell ref="A93:K93"/>
    <mergeCell ref="J110:K110"/>
    <mergeCell ref="H110:I110"/>
    <mergeCell ref="J59:K59"/>
    <mergeCell ref="H59:I59"/>
    <mergeCell ref="J72:K72"/>
    <mergeCell ref="H72:I72"/>
    <mergeCell ref="J78:K78"/>
    <mergeCell ref="H78:I78"/>
    <mergeCell ref="J82:K82"/>
    <mergeCell ref="H82:I82"/>
    <mergeCell ref="J86:K86"/>
    <mergeCell ref="H86:I86"/>
    <mergeCell ref="F25:H25"/>
    <mergeCell ref="F26:H26"/>
    <mergeCell ref="F27:H27"/>
    <mergeCell ref="F29:H29"/>
    <mergeCell ref="A32:K32"/>
    <mergeCell ref="A36:K36"/>
    <mergeCell ref="A38:K38"/>
    <mergeCell ref="J46:K46"/>
    <mergeCell ref="H46:I46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B3:E3"/>
    <mergeCell ref="G3:K3"/>
    <mergeCell ref="B4:E4"/>
    <mergeCell ref="G4:K4"/>
    <mergeCell ref="B6:E6"/>
    <mergeCell ref="G6:K6"/>
    <mergeCell ref="B7:E7"/>
    <mergeCell ref="G7:K7"/>
    <mergeCell ref="A10:K10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E559"/>
  <sheetViews>
    <sheetView topLeftCell="A507" zoomScaleNormal="100" workbookViewId="0">
      <selection activeCell="G19" sqref="G19"/>
    </sheetView>
  </sheetViews>
  <sheetFormatPr defaultColWidth="9.140625" defaultRowHeight="12.75" x14ac:dyDescent="0.2"/>
  <cols>
    <col min="1" max="1" width="5.7109375" style="160" customWidth="1"/>
    <col min="2" max="2" width="11.7109375" style="160" customWidth="1"/>
    <col min="3" max="3" width="40.7109375" style="160" customWidth="1"/>
    <col min="4" max="6" width="11.7109375" style="160" customWidth="1"/>
    <col min="7" max="7" width="12.7109375" style="160" customWidth="1"/>
    <col min="8" max="8" width="10.7109375" style="160" customWidth="1"/>
    <col min="9" max="11" width="12.7109375" style="160" customWidth="1"/>
    <col min="12" max="14" width="9.140625" style="160"/>
    <col min="15" max="30" width="0" style="160" hidden="1" customWidth="1"/>
    <col min="31" max="31" width="150.7109375" style="160" hidden="1" customWidth="1"/>
    <col min="32" max="36" width="0" style="160" hidden="1" customWidth="1"/>
    <col min="37" max="16384" width="9.140625" style="160"/>
  </cols>
  <sheetData>
    <row r="1" spans="1:31" x14ac:dyDescent="0.2">
      <c r="A1" s="200" t="s">
        <v>1523</v>
      </c>
    </row>
    <row r="2" spans="1:31" ht="14.25" x14ac:dyDescent="0.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61" t="s">
        <v>381</v>
      </c>
    </row>
    <row r="3" spans="1:31" ht="16.5" x14ac:dyDescent="0.25">
      <c r="A3" s="199"/>
      <c r="B3" s="428" t="s">
        <v>380</v>
      </c>
      <c r="C3" s="428"/>
      <c r="D3" s="428"/>
      <c r="E3" s="428"/>
      <c r="F3" s="161"/>
      <c r="G3" s="428" t="s">
        <v>0</v>
      </c>
      <c r="H3" s="428"/>
      <c r="I3" s="428"/>
      <c r="J3" s="428"/>
      <c r="K3" s="428"/>
    </row>
    <row r="4" spans="1:31" ht="14.25" x14ac:dyDescent="0.2">
      <c r="A4" s="161"/>
      <c r="B4" s="418"/>
      <c r="C4" s="418"/>
      <c r="D4" s="418"/>
      <c r="E4" s="418"/>
      <c r="F4" s="161"/>
      <c r="G4" s="418"/>
      <c r="H4" s="418"/>
      <c r="I4" s="418"/>
      <c r="J4" s="418"/>
      <c r="K4" s="418"/>
    </row>
    <row r="5" spans="1:31" ht="14.25" x14ac:dyDescent="0.2">
      <c r="A5" s="198"/>
      <c r="B5" s="198"/>
      <c r="C5" s="197"/>
      <c r="D5" s="197"/>
      <c r="E5" s="197"/>
      <c r="F5" s="161"/>
      <c r="G5" s="187"/>
      <c r="H5" s="197"/>
      <c r="I5" s="197"/>
      <c r="J5" s="197"/>
      <c r="K5" s="187"/>
    </row>
    <row r="6" spans="1:31" ht="14.25" x14ac:dyDescent="0.2">
      <c r="A6" s="187"/>
      <c r="B6" s="418" t="s">
        <v>1524</v>
      </c>
      <c r="C6" s="418"/>
      <c r="D6" s="418"/>
      <c r="E6" s="418"/>
      <c r="F6" s="161"/>
      <c r="G6" s="418" t="s">
        <v>1524</v>
      </c>
      <c r="H6" s="418"/>
      <c r="I6" s="418"/>
      <c r="J6" s="418"/>
      <c r="K6" s="418"/>
    </row>
    <row r="7" spans="1:31" ht="14.25" x14ac:dyDescent="0.2">
      <c r="A7" s="196"/>
      <c r="B7" s="429" t="s">
        <v>379</v>
      </c>
      <c r="C7" s="429"/>
      <c r="D7" s="429"/>
      <c r="E7" s="429"/>
      <c r="F7" s="161"/>
      <c r="G7" s="429" t="s">
        <v>379</v>
      </c>
      <c r="H7" s="429"/>
      <c r="I7" s="429"/>
      <c r="J7" s="429"/>
      <c r="K7" s="429"/>
    </row>
    <row r="9" spans="1:31" ht="14.25" x14ac:dyDescent="0.2">
      <c r="A9" s="161"/>
      <c r="B9" s="161"/>
      <c r="C9" s="161"/>
      <c r="D9" s="161"/>
      <c r="E9" s="161"/>
      <c r="F9" s="161"/>
      <c r="G9" s="161"/>
      <c r="H9" s="161"/>
      <c r="I9" s="161"/>
      <c r="J9" s="161"/>
      <c r="K9" s="161"/>
    </row>
    <row r="10" spans="1:31" ht="47.25" x14ac:dyDescent="0.25">
      <c r="A10" s="422" t="s">
        <v>3850</v>
      </c>
      <c r="B10" s="422"/>
      <c r="C10" s="422"/>
      <c r="D10" s="422"/>
      <c r="E10" s="422"/>
      <c r="F10" s="422"/>
      <c r="G10" s="422"/>
      <c r="H10" s="422"/>
      <c r="I10" s="422"/>
      <c r="J10" s="422"/>
      <c r="K10" s="422"/>
      <c r="AE10" s="194" t="str">
        <f>IF([9]Source!G12&lt;&gt;"Новый объект", [9]Source!G12,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09" t="s">
        <v>75</v>
      </c>
      <c r="B11" s="409"/>
      <c r="C11" s="409"/>
      <c r="D11" s="409"/>
      <c r="E11" s="409"/>
      <c r="F11" s="409"/>
      <c r="G11" s="409"/>
      <c r="H11" s="409"/>
      <c r="I11" s="409"/>
      <c r="J11" s="409"/>
      <c r="K11" s="409"/>
    </row>
    <row r="12" spans="1:31" ht="14.25" x14ac:dyDescent="0.2">
      <c r="A12" s="161"/>
      <c r="B12" s="161"/>
      <c r="C12" s="161"/>
      <c r="D12" s="161"/>
      <c r="E12" s="161"/>
      <c r="F12" s="161"/>
      <c r="G12" s="161"/>
      <c r="H12" s="161"/>
      <c r="I12" s="161"/>
      <c r="J12" s="161"/>
      <c r="K12" s="161"/>
    </row>
    <row r="13" spans="1:31" ht="15.75" x14ac:dyDescent="0.25">
      <c r="A13" s="422" t="s">
        <v>3887</v>
      </c>
      <c r="B13" s="423"/>
      <c r="C13" s="423"/>
      <c r="D13" s="423"/>
      <c r="E13" s="423"/>
      <c r="F13" s="423"/>
      <c r="G13" s="423"/>
      <c r="H13" s="423"/>
      <c r="I13" s="423"/>
      <c r="J13" s="423"/>
      <c r="K13" s="423"/>
    </row>
    <row r="14" spans="1:31" ht="14.25" x14ac:dyDescent="0.2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</row>
    <row r="15" spans="1:31" ht="18" x14ac:dyDescent="0.25">
      <c r="A15" s="424" t="s">
        <v>132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</row>
    <row r="16" spans="1:31" x14ac:dyDescent="0.2">
      <c r="A16" s="425" t="s">
        <v>378</v>
      </c>
      <c r="B16" s="426"/>
      <c r="C16" s="426"/>
      <c r="D16" s="426"/>
      <c r="E16" s="426"/>
      <c r="F16" s="426"/>
      <c r="G16" s="426"/>
      <c r="H16" s="426"/>
      <c r="I16" s="426"/>
      <c r="J16" s="426"/>
      <c r="K16" s="426"/>
    </row>
    <row r="17" spans="1:31" ht="14.25" x14ac:dyDescent="0.2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</row>
    <row r="18" spans="1:31" ht="14.25" x14ac:dyDescent="0.2">
      <c r="A18" s="421" t="s">
        <v>3135</v>
      </c>
      <c r="B18" s="421"/>
      <c r="C18" s="421"/>
      <c r="D18" s="421"/>
      <c r="E18" s="421"/>
      <c r="F18" s="421"/>
      <c r="G18" s="421"/>
      <c r="H18" s="421"/>
      <c r="I18" s="421"/>
      <c r="J18" s="421"/>
      <c r="K18" s="421"/>
    </row>
    <row r="19" spans="1:31" ht="14.25" x14ac:dyDescent="0.2">
      <c r="A19" s="193"/>
      <c r="B19" s="193"/>
      <c r="C19" s="193"/>
      <c r="D19" s="193"/>
      <c r="E19" s="193"/>
      <c r="F19" s="193"/>
      <c r="G19" s="193"/>
      <c r="H19" s="193"/>
      <c r="I19" s="193"/>
      <c r="J19" s="193"/>
      <c r="K19" s="193"/>
    </row>
    <row r="20" spans="1:31" ht="28.5" x14ac:dyDescent="0.2">
      <c r="A20" s="161"/>
      <c r="B20" s="161"/>
      <c r="C20" s="161"/>
      <c r="D20" s="161"/>
      <c r="E20" s="161"/>
      <c r="F20" s="161"/>
      <c r="G20" s="161"/>
      <c r="H20" s="161"/>
      <c r="I20" s="192" t="s">
        <v>377</v>
      </c>
      <c r="J20" s="192" t="s">
        <v>376</v>
      </c>
      <c r="K20" s="161"/>
    </row>
    <row r="21" spans="1:31" ht="15" x14ac:dyDescent="0.25">
      <c r="A21" s="161"/>
      <c r="B21" s="161"/>
      <c r="C21" s="161"/>
      <c r="D21" s="161"/>
      <c r="E21" s="161"/>
      <c r="F21" s="427" t="s">
        <v>375</v>
      </c>
      <c r="G21" s="427"/>
      <c r="H21" s="427"/>
      <c r="I21" s="191">
        <v>187.93</v>
      </c>
      <c r="J21" s="191">
        <v>1478.04</v>
      </c>
      <c r="K21" s="190" t="s">
        <v>366</v>
      </c>
    </row>
    <row r="22" spans="1:31" ht="14.25" x14ac:dyDescent="0.2">
      <c r="A22" s="161"/>
      <c r="B22" s="161"/>
      <c r="C22" s="161"/>
      <c r="D22" s="161"/>
      <c r="E22" s="161"/>
      <c r="F22" s="418" t="s">
        <v>374</v>
      </c>
      <c r="G22" s="418"/>
      <c r="H22" s="418"/>
      <c r="I22" s="186">
        <v>179.69</v>
      </c>
      <c r="J22" s="186">
        <v>1430.11</v>
      </c>
      <c r="K22" s="161" t="s">
        <v>366</v>
      </c>
    </row>
    <row r="23" spans="1:31" ht="14.25" x14ac:dyDescent="0.2">
      <c r="A23" s="161"/>
      <c r="B23" s="161"/>
      <c r="C23" s="161"/>
      <c r="D23" s="161"/>
      <c r="E23" s="161"/>
      <c r="F23" s="418" t="s">
        <v>373</v>
      </c>
      <c r="G23" s="418"/>
      <c r="H23" s="418"/>
      <c r="I23" s="186">
        <v>0</v>
      </c>
      <c r="J23" s="186">
        <v>0</v>
      </c>
      <c r="K23" s="161" t="s">
        <v>366</v>
      </c>
    </row>
    <row r="24" spans="1:31" ht="14.25" x14ac:dyDescent="0.2">
      <c r="A24" s="161"/>
      <c r="B24" s="161"/>
      <c r="C24" s="161"/>
      <c r="D24" s="161"/>
      <c r="E24" s="161"/>
      <c r="F24" s="418" t="s">
        <v>106</v>
      </c>
      <c r="G24" s="418"/>
      <c r="H24" s="418"/>
      <c r="I24" s="186">
        <v>8.24</v>
      </c>
      <c r="J24" s="186">
        <v>47.93</v>
      </c>
      <c r="K24" s="161" t="s">
        <v>366</v>
      </c>
    </row>
    <row r="25" spans="1:31" ht="14.25" x14ac:dyDescent="0.2">
      <c r="A25" s="161"/>
      <c r="B25" s="161"/>
      <c r="C25" s="161"/>
      <c r="D25" s="161"/>
      <c r="E25" s="161"/>
      <c r="F25" s="418" t="s">
        <v>372</v>
      </c>
      <c r="G25" s="418"/>
      <c r="H25" s="418"/>
      <c r="I25" s="186">
        <v>0</v>
      </c>
      <c r="J25" s="186">
        <v>0</v>
      </c>
      <c r="K25" s="161" t="s">
        <v>366</v>
      </c>
    </row>
    <row r="26" spans="1:31" ht="14.25" x14ac:dyDescent="0.2">
      <c r="A26" s="161"/>
      <c r="B26" s="161"/>
      <c r="C26" s="161"/>
      <c r="D26" s="161"/>
      <c r="E26" s="161"/>
      <c r="F26" s="418" t="s">
        <v>371</v>
      </c>
      <c r="G26" s="418"/>
      <c r="H26" s="418"/>
      <c r="I26" s="186">
        <v>13.91</v>
      </c>
      <c r="J26" s="186">
        <v>324.13</v>
      </c>
      <c r="K26" s="161" t="s">
        <v>366</v>
      </c>
    </row>
    <row r="27" spans="1:31" ht="14.25" x14ac:dyDescent="0.2">
      <c r="A27" s="161"/>
      <c r="B27" s="161"/>
      <c r="C27" s="161"/>
      <c r="D27" s="161"/>
      <c r="E27" s="161"/>
      <c r="F27" s="418" t="s">
        <v>370</v>
      </c>
      <c r="G27" s="418"/>
      <c r="H27" s="418"/>
      <c r="I27" s="186">
        <v>1094.77</v>
      </c>
      <c r="J27" s="186"/>
      <c r="K27" s="161" t="s">
        <v>369</v>
      </c>
    </row>
    <row r="28" spans="1:31" ht="14.25" hidden="1" x14ac:dyDescent="0.2">
      <c r="A28" s="161"/>
      <c r="B28" s="161"/>
      <c r="C28" s="161"/>
      <c r="D28" s="161"/>
      <c r="E28" s="161"/>
      <c r="F28" s="188" t="s">
        <v>368</v>
      </c>
      <c r="G28" s="188"/>
      <c r="H28" s="188"/>
      <c r="I28" s="186"/>
      <c r="J28" s="186"/>
      <c r="K28" s="161"/>
    </row>
    <row r="29" spans="1:31" ht="14.25" hidden="1" x14ac:dyDescent="0.2">
      <c r="A29" s="161"/>
      <c r="B29" s="161"/>
      <c r="C29" s="161"/>
      <c r="D29" s="161"/>
      <c r="E29" s="161"/>
      <c r="F29" s="419" t="s">
        <v>367</v>
      </c>
      <c r="G29" s="420"/>
      <c r="H29" s="420"/>
      <c r="I29" s="186">
        <v>0</v>
      </c>
      <c r="J29" s="186">
        <v>0</v>
      </c>
      <c r="K29" s="161" t="s">
        <v>366</v>
      </c>
    </row>
    <row r="30" spans="1:31" ht="14.25" x14ac:dyDescent="0.2">
      <c r="A30" s="161"/>
      <c r="B30" s="161"/>
      <c r="C30" s="161"/>
      <c r="D30" s="161"/>
      <c r="E30" s="161"/>
      <c r="F30" s="187"/>
      <c r="G30" s="187"/>
      <c r="H30" s="187"/>
      <c r="I30" s="186"/>
      <c r="J30" s="186"/>
      <c r="K30" s="161"/>
    </row>
    <row r="31" spans="1:31" ht="14.25" x14ac:dyDescent="0.2">
      <c r="A31" s="161" t="s">
        <v>365</v>
      </c>
      <c r="B31" s="161"/>
      <c r="C31" s="161"/>
      <c r="D31" s="161"/>
      <c r="E31" s="161"/>
      <c r="F31" s="187"/>
      <c r="G31" s="187"/>
      <c r="H31" s="187"/>
      <c r="I31" s="186"/>
      <c r="J31" s="186"/>
      <c r="K31" s="161"/>
    </row>
    <row r="32" spans="1:31" ht="28.5" x14ac:dyDescent="0.2">
      <c r="A32" s="421" t="s">
        <v>364</v>
      </c>
      <c r="B32" s="421"/>
      <c r="C32" s="421"/>
      <c r="D32" s="421"/>
      <c r="E32" s="421"/>
      <c r="F32" s="421"/>
      <c r="G32" s="421"/>
      <c r="H32" s="421"/>
      <c r="I32" s="421"/>
      <c r="J32" s="421"/>
      <c r="K32" s="421"/>
      <c r="AE32" s="185" t="s">
        <v>364</v>
      </c>
    </row>
    <row r="33" spans="1:22" ht="85.5" x14ac:dyDescent="0.2">
      <c r="A33" s="183" t="s">
        <v>81</v>
      </c>
      <c r="B33" s="183" t="s">
        <v>363</v>
      </c>
      <c r="C33" s="183" t="s">
        <v>83</v>
      </c>
      <c r="D33" s="183" t="s">
        <v>362</v>
      </c>
      <c r="E33" s="183" t="s">
        <v>361</v>
      </c>
      <c r="F33" s="183" t="s">
        <v>360</v>
      </c>
      <c r="G33" s="184" t="s">
        <v>359</v>
      </c>
      <c r="H33" s="184" t="s">
        <v>358</v>
      </c>
      <c r="I33" s="183" t="s">
        <v>357</v>
      </c>
      <c r="J33" s="183" t="s">
        <v>356</v>
      </c>
      <c r="K33" s="183" t="s">
        <v>355</v>
      </c>
    </row>
    <row r="34" spans="1:22" ht="14.25" x14ac:dyDescent="0.2">
      <c r="A34" s="183">
        <v>1</v>
      </c>
      <c r="B34" s="183">
        <v>2</v>
      </c>
      <c r="C34" s="183">
        <v>3</v>
      </c>
      <c r="D34" s="183">
        <v>4</v>
      </c>
      <c r="E34" s="183">
        <v>5</v>
      </c>
      <c r="F34" s="183">
        <v>6</v>
      </c>
      <c r="G34" s="183">
        <v>7</v>
      </c>
      <c r="H34" s="183">
        <v>8</v>
      </c>
      <c r="I34" s="183">
        <v>9</v>
      </c>
      <c r="J34" s="183">
        <v>10</v>
      </c>
      <c r="K34" s="183">
        <v>11</v>
      </c>
    </row>
    <row r="36" spans="1:22" ht="16.5" x14ac:dyDescent="0.25">
      <c r="A36" s="413" t="s">
        <v>3136</v>
      </c>
      <c r="B36" s="413"/>
      <c r="C36" s="413"/>
      <c r="D36" s="413"/>
      <c r="E36" s="413"/>
      <c r="F36" s="413"/>
      <c r="G36" s="413"/>
      <c r="H36" s="413"/>
      <c r="I36" s="413"/>
      <c r="J36" s="413"/>
      <c r="K36" s="413"/>
    </row>
    <row r="37" spans="1:22" ht="71.25" x14ac:dyDescent="0.2">
      <c r="A37" s="179" t="s">
        <v>719</v>
      </c>
      <c r="B37" s="178" t="s">
        <v>826</v>
      </c>
      <c r="C37" s="178" t="s">
        <v>825</v>
      </c>
      <c r="D37" s="177" t="s">
        <v>3019</v>
      </c>
      <c r="E37" s="174">
        <v>1</v>
      </c>
      <c r="F37" s="176"/>
      <c r="G37" s="175"/>
      <c r="H37" s="174"/>
      <c r="I37" s="173"/>
      <c r="J37" s="174"/>
      <c r="K37" s="173"/>
      <c r="Q37" s="160">
        <f>[9]Source!X28</f>
        <v>197.2</v>
      </c>
      <c r="R37" s="160">
        <f>[9]Source!X29</f>
        <v>3683.64</v>
      </c>
      <c r="S37" s="160">
        <f>[9]Source!Y28</f>
        <v>132.66</v>
      </c>
      <c r="T37" s="160">
        <f>[9]Source!Y29</f>
        <v>1716.24</v>
      </c>
      <c r="U37" s="160">
        <f>ROUND((175/100)*ROUND([9]Source!R28, 2), 2)</f>
        <v>16.29</v>
      </c>
      <c r="V37" s="160">
        <f>ROUND((157/100)*ROUND([9]Source!R29, 2), 2)</f>
        <v>341.3</v>
      </c>
    </row>
    <row r="38" spans="1:22" ht="14.25" x14ac:dyDescent="0.2">
      <c r="A38" s="179"/>
      <c r="B38" s="178"/>
      <c r="C38" s="178" t="s">
        <v>197</v>
      </c>
      <c r="D38" s="177"/>
      <c r="E38" s="174"/>
      <c r="F38" s="176">
        <v>155.88999999999999</v>
      </c>
      <c r="G38" s="175" t="s">
        <v>1548</v>
      </c>
      <c r="H38" s="174">
        <v>1</v>
      </c>
      <c r="I38" s="173">
        <v>179.27</v>
      </c>
      <c r="J38" s="174">
        <v>23.35</v>
      </c>
      <c r="K38" s="173">
        <v>4185.95</v>
      </c>
    </row>
    <row r="39" spans="1:22" ht="14.25" x14ac:dyDescent="0.2">
      <c r="A39" s="179"/>
      <c r="B39" s="178"/>
      <c r="C39" s="178" t="s">
        <v>184</v>
      </c>
      <c r="D39" s="177"/>
      <c r="E39" s="174"/>
      <c r="F39" s="176">
        <v>36.15</v>
      </c>
      <c r="G39" s="175" t="s">
        <v>1549</v>
      </c>
      <c r="H39" s="174">
        <v>1</v>
      </c>
      <c r="I39" s="173">
        <v>45.19</v>
      </c>
      <c r="J39" s="174">
        <v>9.06</v>
      </c>
      <c r="K39" s="173">
        <v>409.42</v>
      </c>
    </row>
    <row r="40" spans="1:22" ht="14.25" x14ac:dyDescent="0.2">
      <c r="A40" s="179"/>
      <c r="B40" s="178"/>
      <c r="C40" s="178" t="s">
        <v>189</v>
      </c>
      <c r="D40" s="177"/>
      <c r="E40" s="174"/>
      <c r="F40" s="176">
        <v>7.45</v>
      </c>
      <c r="G40" s="175" t="s">
        <v>1549</v>
      </c>
      <c r="H40" s="174">
        <v>1</v>
      </c>
      <c r="I40" s="180">
        <v>9.31</v>
      </c>
      <c r="J40" s="174">
        <v>23.35</v>
      </c>
      <c r="K40" s="180">
        <v>217.39</v>
      </c>
    </row>
    <row r="41" spans="1:22" ht="14.25" x14ac:dyDescent="0.2">
      <c r="A41" s="179"/>
      <c r="B41" s="178"/>
      <c r="C41" s="178" t="s">
        <v>205</v>
      </c>
      <c r="D41" s="177"/>
      <c r="E41" s="174"/>
      <c r="F41" s="176">
        <v>590.91999999999996</v>
      </c>
      <c r="G41" s="175" t="s">
        <v>195</v>
      </c>
      <c r="H41" s="174">
        <v>1</v>
      </c>
      <c r="I41" s="173">
        <v>590.91999999999996</v>
      </c>
      <c r="J41" s="174">
        <v>3.05</v>
      </c>
      <c r="K41" s="173">
        <v>1802.31</v>
      </c>
    </row>
    <row r="42" spans="1:22" ht="71.25" x14ac:dyDescent="0.2">
      <c r="A42" s="179" t="s">
        <v>1531</v>
      </c>
      <c r="B42" s="178" t="s">
        <v>3137</v>
      </c>
      <c r="C42" s="178" t="s">
        <v>824</v>
      </c>
      <c r="D42" s="177" t="s">
        <v>1661</v>
      </c>
      <c r="E42" s="174">
        <v>2</v>
      </c>
      <c r="F42" s="176">
        <v>796.03</v>
      </c>
      <c r="G42" s="182" t="s">
        <v>195</v>
      </c>
      <c r="H42" s="174">
        <v>1</v>
      </c>
      <c r="I42" s="173">
        <v>1592.06</v>
      </c>
      <c r="J42" s="174">
        <v>3.87</v>
      </c>
      <c r="K42" s="173">
        <v>6161.27</v>
      </c>
      <c r="Q42" s="160">
        <f>[9]Source!X30</f>
        <v>0</v>
      </c>
      <c r="R42" s="160">
        <f>[9]Source!X31</f>
        <v>0</v>
      </c>
      <c r="S42" s="160">
        <f>[9]Source!Y30</f>
        <v>0</v>
      </c>
      <c r="T42" s="160">
        <f>[9]Source!Y31</f>
        <v>0</v>
      </c>
      <c r="U42" s="160">
        <f>ROUND((175/100)*ROUND([9]Source!R30, 2), 2)</f>
        <v>0</v>
      </c>
      <c r="V42" s="160">
        <f>ROUND((157/100)*ROUND([9]Source!R31, 2), 2)</f>
        <v>0</v>
      </c>
    </row>
    <row r="43" spans="1:22" ht="114" x14ac:dyDescent="0.2">
      <c r="A43" s="228" t="s">
        <v>3138</v>
      </c>
      <c r="B43" s="227" t="s">
        <v>3139</v>
      </c>
      <c r="C43" s="227" t="s">
        <v>823</v>
      </c>
      <c r="D43" s="226" t="s">
        <v>1661</v>
      </c>
      <c r="E43" s="223">
        <v>1</v>
      </c>
      <c r="F43" s="225">
        <v>5462.2</v>
      </c>
      <c r="G43" s="224" t="s">
        <v>195</v>
      </c>
      <c r="H43" s="223">
        <v>1</v>
      </c>
      <c r="I43" s="222">
        <v>5462.2</v>
      </c>
      <c r="J43" s="223">
        <v>6.49</v>
      </c>
      <c r="K43" s="222">
        <v>35449.68</v>
      </c>
      <c r="Q43" s="160">
        <f>[9]Source!X32</f>
        <v>0</v>
      </c>
      <c r="R43" s="160">
        <f>[9]Source!X33</f>
        <v>0</v>
      </c>
      <c r="S43" s="160">
        <f>[9]Source!Y32</f>
        <v>0</v>
      </c>
      <c r="T43" s="160">
        <f>[9]Source!Y33</f>
        <v>0</v>
      </c>
      <c r="U43" s="160">
        <f>ROUND((175/100)*ROUND([9]Source!R32, 2), 2)</f>
        <v>0</v>
      </c>
      <c r="V43" s="160">
        <f>ROUND((157/100)*ROUND([9]Source!R33, 2), 2)</f>
        <v>0</v>
      </c>
    </row>
    <row r="44" spans="1:22" ht="85.5" x14ac:dyDescent="0.2">
      <c r="A44" s="179" t="s">
        <v>3140</v>
      </c>
      <c r="B44" s="178" t="s">
        <v>3141</v>
      </c>
      <c r="C44" s="178" t="s">
        <v>822</v>
      </c>
      <c r="D44" s="177" t="s">
        <v>1913</v>
      </c>
      <c r="E44" s="174">
        <v>1</v>
      </c>
      <c r="F44" s="176">
        <v>173.99</v>
      </c>
      <c r="G44" s="182" t="s">
        <v>195</v>
      </c>
      <c r="H44" s="174">
        <v>1</v>
      </c>
      <c r="I44" s="173">
        <v>173.99</v>
      </c>
      <c r="J44" s="174">
        <v>3.67</v>
      </c>
      <c r="K44" s="173">
        <v>638.54</v>
      </c>
      <c r="Q44" s="160">
        <f>[9]Source!X34</f>
        <v>0</v>
      </c>
      <c r="R44" s="160">
        <f>[9]Source!X35</f>
        <v>0</v>
      </c>
      <c r="S44" s="160">
        <f>[9]Source!Y34</f>
        <v>0</v>
      </c>
      <c r="T44" s="160">
        <f>[9]Source!Y35</f>
        <v>0</v>
      </c>
      <c r="U44" s="160">
        <f>ROUND((175/100)*ROUND([9]Source!R34, 2), 2)</f>
        <v>0</v>
      </c>
      <c r="V44" s="160">
        <f>ROUND((157/100)*ROUND([9]Source!R35, 2), 2)</f>
        <v>0</v>
      </c>
    </row>
    <row r="45" spans="1:22" ht="42.75" x14ac:dyDescent="0.2">
      <c r="A45" s="179" t="s">
        <v>3142</v>
      </c>
      <c r="B45" s="178" t="s">
        <v>3143</v>
      </c>
      <c r="C45" s="178" t="s">
        <v>821</v>
      </c>
      <c r="D45" s="177" t="s">
        <v>1661</v>
      </c>
      <c r="E45" s="174">
        <v>1</v>
      </c>
      <c r="F45" s="176">
        <v>554.09</v>
      </c>
      <c r="G45" s="182" t="s">
        <v>195</v>
      </c>
      <c r="H45" s="174">
        <v>1</v>
      </c>
      <c r="I45" s="173">
        <v>554.09</v>
      </c>
      <c r="J45" s="174">
        <v>3.03</v>
      </c>
      <c r="K45" s="173">
        <v>1678.89</v>
      </c>
      <c r="Q45" s="160">
        <f>[9]Source!X36</f>
        <v>0</v>
      </c>
      <c r="R45" s="160">
        <f>[9]Source!X37</f>
        <v>0</v>
      </c>
      <c r="S45" s="160">
        <f>[9]Source!Y36</f>
        <v>0</v>
      </c>
      <c r="T45" s="160">
        <f>[9]Source!Y37</f>
        <v>0</v>
      </c>
      <c r="U45" s="160">
        <f>ROUND((175/100)*ROUND([9]Source!R36, 2), 2)</f>
        <v>0</v>
      </c>
      <c r="V45" s="160">
        <f>ROUND((157/100)*ROUND([9]Source!R37, 2), 2)</f>
        <v>0</v>
      </c>
    </row>
    <row r="46" spans="1:22" ht="85.5" x14ac:dyDescent="0.2">
      <c r="A46" s="179" t="s">
        <v>3144</v>
      </c>
      <c r="B46" s="178" t="s">
        <v>3145</v>
      </c>
      <c r="C46" s="178" t="s">
        <v>820</v>
      </c>
      <c r="D46" s="177" t="s">
        <v>1913</v>
      </c>
      <c r="E46" s="174">
        <v>1</v>
      </c>
      <c r="F46" s="176">
        <v>2994.21</v>
      </c>
      <c r="G46" s="182" t="s">
        <v>195</v>
      </c>
      <c r="H46" s="174">
        <v>1</v>
      </c>
      <c r="I46" s="173">
        <v>2994.21</v>
      </c>
      <c r="J46" s="174">
        <v>0.92</v>
      </c>
      <c r="K46" s="173">
        <v>2754.67</v>
      </c>
      <c r="Q46" s="160">
        <f>[9]Source!X38</f>
        <v>0</v>
      </c>
      <c r="R46" s="160">
        <f>[9]Source!X39</f>
        <v>0</v>
      </c>
      <c r="S46" s="160">
        <f>[9]Source!Y38</f>
        <v>0</v>
      </c>
      <c r="T46" s="160">
        <f>[9]Source!Y39</f>
        <v>0</v>
      </c>
      <c r="U46" s="160">
        <f>ROUND((175/100)*ROUND([9]Source!R38, 2), 2)</f>
        <v>0</v>
      </c>
      <c r="V46" s="160">
        <f>ROUND((157/100)*ROUND([9]Source!R39, 2), 2)</f>
        <v>0</v>
      </c>
    </row>
    <row r="47" spans="1:22" ht="42.75" x14ac:dyDescent="0.2">
      <c r="A47" s="179" t="s">
        <v>3146</v>
      </c>
      <c r="B47" s="178" t="s">
        <v>3147</v>
      </c>
      <c r="C47" s="178" t="s">
        <v>819</v>
      </c>
      <c r="D47" s="177" t="s">
        <v>1661</v>
      </c>
      <c r="E47" s="174">
        <v>2</v>
      </c>
      <c r="F47" s="176">
        <v>24.15</v>
      </c>
      <c r="G47" s="182" t="s">
        <v>195</v>
      </c>
      <c r="H47" s="174">
        <v>1</v>
      </c>
      <c r="I47" s="173">
        <v>48.3</v>
      </c>
      <c r="J47" s="174">
        <v>13.27</v>
      </c>
      <c r="K47" s="173">
        <v>640.94000000000005</v>
      </c>
      <c r="Q47" s="160">
        <f>[9]Source!X40</f>
        <v>0</v>
      </c>
      <c r="R47" s="160">
        <f>[9]Source!X41</f>
        <v>0</v>
      </c>
      <c r="S47" s="160">
        <f>[9]Source!Y40</f>
        <v>0</v>
      </c>
      <c r="T47" s="160">
        <f>[9]Source!Y41</f>
        <v>0</v>
      </c>
      <c r="U47" s="160">
        <f>ROUND((175/100)*ROUND([9]Source!R40, 2), 2)</f>
        <v>0</v>
      </c>
      <c r="V47" s="160">
        <f>ROUND((157/100)*ROUND([9]Source!R41, 2), 2)</f>
        <v>0</v>
      </c>
    </row>
    <row r="48" spans="1:22" ht="14.25" x14ac:dyDescent="0.2">
      <c r="A48" s="179" t="s">
        <v>3148</v>
      </c>
      <c r="B48" s="178" t="s">
        <v>3149</v>
      </c>
      <c r="C48" s="178" t="s">
        <v>818</v>
      </c>
      <c r="D48" s="177" t="s">
        <v>1661</v>
      </c>
      <c r="E48" s="174">
        <v>2</v>
      </c>
      <c r="F48" s="176">
        <v>152.25</v>
      </c>
      <c r="G48" s="182" t="s">
        <v>195</v>
      </c>
      <c r="H48" s="174">
        <v>1</v>
      </c>
      <c r="I48" s="173">
        <v>304.5</v>
      </c>
      <c r="J48" s="174">
        <v>3.1</v>
      </c>
      <c r="K48" s="173">
        <v>943.95</v>
      </c>
      <c r="Q48" s="160">
        <f>[9]Source!X42</f>
        <v>0</v>
      </c>
      <c r="R48" s="160">
        <f>[9]Source!X43</f>
        <v>0</v>
      </c>
      <c r="S48" s="160">
        <f>[9]Source!Y42</f>
        <v>0</v>
      </c>
      <c r="T48" s="160">
        <f>[9]Source!Y43</f>
        <v>0</v>
      </c>
      <c r="U48" s="160">
        <f>ROUND((175/100)*ROUND([9]Source!R42, 2), 2)</f>
        <v>0</v>
      </c>
      <c r="V48" s="160">
        <f>ROUND((157/100)*ROUND([9]Source!R43, 2), 2)</f>
        <v>0</v>
      </c>
    </row>
    <row r="49" spans="1:22" ht="57" x14ac:dyDescent="0.2">
      <c r="A49" s="179" t="s">
        <v>3150</v>
      </c>
      <c r="B49" s="178" t="s">
        <v>3151</v>
      </c>
      <c r="C49" s="178" t="s">
        <v>817</v>
      </c>
      <c r="D49" s="177" t="s">
        <v>1661</v>
      </c>
      <c r="E49" s="174">
        <v>1</v>
      </c>
      <c r="F49" s="176">
        <v>11.74</v>
      </c>
      <c r="G49" s="182" t="s">
        <v>195</v>
      </c>
      <c r="H49" s="174">
        <v>1</v>
      </c>
      <c r="I49" s="173">
        <v>11.74</v>
      </c>
      <c r="J49" s="174">
        <v>1.63</v>
      </c>
      <c r="K49" s="173">
        <v>19.14</v>
      </c>
      <c r="Q49" s="160">
        <f>[9]Source!X44</f>
        <v>0</v>
      </c>
      <c r="R49" s="160">
        <f>[9]Source!X45</f>
        <v>0</v>
      </c>
      <c r="S49" s="160">
        <f>[9]Source!Y44</f>
        <v>0</v>
      </c>
      <c r="T49" s="160">
        <f>[9]Source!Y45</f>
        <v>0</v>
      </c>
      <c r="U49" s="160">
        <f>ROUND((175/100)*ROUND([9]Source!R44, 2), 2)</f>
        <v>0</v>
      </c>
      <c r="V49" s="160">
        <f>ROUND((157/100)*ROUND([9]Source!R45, 2), 2)</f>
        <v>0</v>
      </c>
    </row>
    <row r="50" spans="1:22" ht="14.25" x14ac:dyDescent="0.2">
      <c r="A50" s="179"/>
      <c r="B50" s="178"/>
      <c r="C50" s="178" t="s">
        <v>194</v>
      </c>
      <c r="D50" s="177" t="s">
        <v>187</v>
      </c>
      <c r="E50" s="174">
        <v>110</v>
      </c>
      <c r="F50" s="176"/>
      <c r="G50" s="175"/>
      <c r="H50" s="174"/>
      <c r="I50" s="173">
        <v>197.2</v>
      </c>
      <c r="J50" s="174">
        <v>88</v>
      </c>
      <c r="K50" s="173">
        <v>3683.64</v>
      </c>
    </row>
    <row r="51" spans="1:22" ht="14.25" x14ac:dyDescent="0.2">
      <c r="A51" s="179"/>
      <c r="B51" s="178"/>
      <c r="C51" s="178" t="s">
        <v>193</v>
      </c>
      <c r="D51" s="177" t="s">
        <v>187</v>
      </c>
      <c r="E51" s="174">
        <v>74</v>
      </c>
      <c r="F51" s="176"/>
      <c r="G51" s="175"/>
      <c r="H51" s="174"/>
      <c r="I51" s="173">
        <v>132.66</v>
      </c>
      <c r="J51" s="174">
        <v>41</v>
      </c>
      <c r="K51" s="173">
        <v>1716.24</v>
      </c>
    </row>
    <row r="52" spans="1:22" ht="14.25" x14ac:dyDescent="0.2">
      <c r="A52" s="179"/>
      <c r="B52" s="178"/>
      <c r="C52" s="178" t="s">
        <v>188</v>
      </c>
      <c r="D52" s="177" t="s">
        <v>187</v>
      </c>
      <c r="E52" s="174">
        <v>175</v>
      </c>
      <c r="F52" s="176"/>
      <c r="G52" s="175"/>
      <c r="H52" s="174"/>
      <c r="I52" s="173">
        <v>16.29</v>
      </c>
      <c r="J52" s="174">
        <v>157</v>
      </c>
      <c r="K52" s="173">
        <v>341.3</v>
      </c>
    </row>
    <row r="53" spans="1:22" ht="14.25" x14ac:dyDescent="0.2">
      <c r="A53" s="212"/>
      <c r="B53" s="211"/>
      <c r="C53" s="211" t="s">
        <v>192</v>
      </c>
      <c r="D53" s="210" t="s">
        <v>191</v>
      </c>
      <c r="E53" s="207">
        <v>13.1</v>
      </c>
      <c r="F53" s="209"/>
      <c r="G53" s="208" t="s">
        <v>1548</v>
      </c>
      <c r="H53" s="207">
        <v>1</v>
      </c>
      <c r="I53" s="206">
        <v>15.07</v>
      </c>
      <c r="J53" s="207"/>
      <c r="K53" s="206"/>
    </row>
    <row r="54" spans="1:22" ht="15" x14ac:dyDescent="0.25">
      <c r="A54" s="204"/>
      <c r="B54" s="204"/>
      <c r="C54" s="205" t="s">
        <v>183</v>
      </c>
      <c r="D54" s="204"/>
      <c r="E54" s="204"/>
      <c r="F54" s="204"/>
      <c r="G54" s="204"/>
      <c r="H54" s="438">
        <v>12302.62</v>
      </c>
      <c r="I54" s="438"/>
      <c r="J54" s="438">
        <v>60425.94</v>
      </c>
      <c r="K54" s="438"/>
      <c r="O54" s="163">
        <f>I38+I39+I41+I50+I51+I52+SUM(I42:I49)</f>
        <v>12302.62</v>
      </c>
      <c r="P54" s="163">
        <f>K38+K39+K41+K50+K51+K52+SUM(K42:K49)</f>
        <v>60425.94</v>
      </c>
    </row>
    <row r="56" spans="1:22" ht="57" x14ac:dyDescent="0.2">
      <c r="A56" s="179" t="s">
        <v>1534</v>
      </c>
      <c r="B56" s="178" t="s">
        <v>816</v>
      </c>
      <c r="C56" s="178" t="s">
        <v>815</v>
      </c>
      <c r="D56" s="177" t="s">
        <v>1903</v>
      </c>
      <c r="E56" s="174">
        <v>1</v>
      </c>
      <c r="F56" s="176"/>
      <c r="G56" s="175"/>
      <c r="H56" s="174"/>
      <c r="I56" s="173"/>
      <c r="J56" s="174"/>
      <c r="K56" s="173"/>
      <c r="Q56" s="160">
        <f>[9]Source!X46</f>
        <v>40.08</v>
      </c>
      <c r="R56" s="160">
        <f>[9]Source!X47</f>
        <v>748.77</v>
      </c>
      <c r="S56" s="160">
        <f>[9]Source!Y46</f>
        <v>26.97</v>
      </c>
      <c r="T56" s="160">
        <f>[9]Source!Y47</f>
        <v>348.86</v>
      </c>
      <c r="U56" s="160">
        <f>ROUND((175/100)*ROUND([9]Source!R46, 2), 2)</f>
        <v>3.31</v>
      </c>
      <c r="V56" s="160">
        <f>ROUND((157/100)*ROUND([9]Source!R47, 2), 2)</f>
        <v>69.28</v>
      </c>
    </row>
    <row r="57" spans="1:22" ht="14.25" x14ac:dyDescent="0.2">
      <c r="A57" s="179"/>
      <c r="B57" s="178"/>
      <c r="C57" s="178" t="s">
        <v>197</v>
      </c>
      <c r="D57" s="177"/>
      <c r="E57" s="174"/>
      <c r="F57" s="176">
        <v>31.69</v>
      </c>
      <c r="G57" s="175" t="s">
        <v>1548</v>
      </c>
      <c r="H57" s="174">
        <v>1</v>
      </c>
      <c r="I57" s="173">
        <v>36.44</v>
      </c>
      <c r="J57" s="174">
        <v>23.35</v>
      </c>
      <c r="K57" s="173">
        <v>850.87</v>
      </c>
    </row>
    <row r="58" spans="1:22" ht="14.25" x14ac:dyDescent="0.2">
      <c r="A58" s="179"/>
      <c r="B58" s="178"/>
      <c r="C58" s="178" t="s">
        <v>184</v>
      </c>
      <c r="D58" s="177"/>
      <c r="E58" s="174"/>
      <c r="F58" s="176">
        <v>8.85</v>
      </c>
      <c r="G58" s="175" t="s">
        <v>1549</v>
      </c>
      <c r="H58" s="174">
        <v>1</v>
      </c>
      <c r="I58" s="173">
        <v>11.06</v>
      </c>
      <c r="J58" s="174">
        <v>8.42</v>
      </c>
      <c r="K58" s="173">
        <v>93.13</v>
      </c>
    </row>
    <row r="59" spans="1:22" ht="14.25" x14ac:dyDescent="0.2">
      <c r="A59" s="179"/>
      <c r="B59" s="178"/>
      <c r="C59" s="178" t="s">
        <v>189</v>
      </c>
      <c r="D59" s="177"/>
      <c r="E59" s="174"/>
      <c r="F59" s="176">
        <v>1.51</v>
      </c>
      <c r="G59" s="175" t="s">
        <v>1549</v>
      </c>
      <c r="H59" s="174">
        <v>1</v>
      </c>
      <c r="I59" s="180">
        <v>1.89</v>
      </c>
      <c r="J59" s="174">
        <v>23.35</v>
      </c>
      <c r="K59" s="180">
        <v>44.13</v>
      </c>
    </row>
    <row r="60" spans="1:22" ht="14.25" x14ac:dyDescent="0.2">
      <c r="A60" s="179"/>
      <c r="B60" s="178"/>
      <c r="C60" s="178" t="s">
        <v>205</v>
      </c>
      <c r="D60" s="177"/>
      <c r="E60" s="174"/>
      <c r="F60" s="176">
        <v>39.46</v>
      </c>
      <c r="G60" s="175" t="s">
        <v>195</v>
      </c>
      <c r="H60" s="174">
        <v>1</v>
      </c>
      <c r="I60" s="173">
        <v>39.46</v>
      </c>
      <c r="J60" s="174">
        <v>4.43</v>
      </c>
      <c r="K60" s="173">
        <v>174.81</v>
      </c>
    </row>
    <row r="61" spans="1:22" ht="71.25" x14ac:dyDescent="0.2">
      <c r="A61" s="179" t="s">
        <v>1538</v>
      </c>
      <c r="B61" s="178" t="s">
        <v>3152</v>
      </c>
      <c r="C61" s="178" t="s">
        <v>814</v>
      </c>
      <c r="D61" s="177" t="s">
        <v>1661</v>
      </c>
      <c r="E61" s="174">
        <v>2</v>
      </c>
      <c r="F61" s="176">
        <v>170.29</v>
      </c>
      <c r="G61" s="182" t="s">
        <v>195</v>
      </c>
      <c r="H61" s="174">
        <v>1</v>
      </c>
      <c r="I61" s="173">
        <v>340.58</v>
      </c>
      <c r="J61" s="174">
        <v>3.44</v>
      </c>
      <c r="K61" s="173">
        <v>1171.5999999999999</v>
      </c>
      <c r="Q61" s="160">
        <f>[9]Source!X48</f>
        <v>0</v>
      </c>
      <c r="R61" s="160">
        <f>[9]Source!X49</f>
        <v>0</v>
      </c>
      <c r="S61" s="160">
        <f>[9]Source!Y48</f>
        <v>0</v>
      </c>
      <c r="T61" s="160">
        <f>[9]Source!Y49</f>
        <v>0</v>
      </c>
      <c r="U61" s="160">
        <f>ROUND((175/100)*ROUND([9]Source!R48, 2), 2)</f>
        <v>0</v>
      </c>
      <c r="V61" s="160">
        <f>ROUND((157/100)*ROUND([9]Source!R49, 2), 2)</f>
        <v>0</v>
      </c>
    </row>
    <row r="62" spans="1:22" ht="57" x14ac:dyDescent="0.2">
      <c r="A62" s="179" t="s">
        <v>3153</v>
      </c>
      <c r="B62" s="178" t="s">
        <v>3154</v>
      </c>
      <c r="C62" s="178" t="s">
        <v>813</v>
      </c>
      <c r="D62" s="177" t="s">
        <v>1661</v>
      </c>
      <c r="E62" s="174">
        <v>1</v>
      </c>
      <c r="F62" s="176">
        <v>4217.62</v>
      </c>
      <c r="G62" s="182" t="s">
        <v>195</v>
      </c>
      <c r="H62" s="174">
        <v>1</v>
      </c>
      <c r="I62" s="173">
        <v>4217.62</v>
      </c>
      <c r="J62" s="174">
        <v>4.22</v>
      </c>
      <c r="K62" s="173">
        <v>17798.36</v>
      </c>
      <c r="Q62" s="160">
        <f>[9]Source!X50</f>
        <v>0</v>
      </c>
      <c r="R62" s="160">
        <f>[9]Source!X51</f>
        <v>0</v>
      </c>
      <c r="S62" s="160">
        <f>[9]Source!Y50</f>
        <v>0</v>
      </c>
      <c r="T62" s="160">
        <f>[9]Source!Y51</f>
        <v>0</v>
      </c>
      <c r="U62" s="160">
        <f>ROUND((175/100)*ROUND([9]Source!R50, 2), 2)</f>
        <v>0</v>
      </c>
      <c r="V62" s="160">
        <f>ROUND((157/100)*ROUND([9]Source!R51, 2), 2)</f>
        <v>0</v>
      </c>
    </row>
    <row r="63" spans="1:22" ht="14.25" x14ac:dyDescent="0.2">
      <c r="A63" s="179"/>
      <c r="B63" s="178"/>
      <c r="C63" s="178" t="s">
        <v>194</v>
      </c>
      <c r="D63" s="177" t="s">
        <v>187</v>
      </c>
      <c r="E63" s="174">
        <v>110</v>
      </c>
      <c r="F63" s="176"/>
      <c r="G63" s="175"/>
      <c r="H63" s="174"/>
      <c r="I63" s="173">
        <v>40.08</v>
      </c>
      <c r="J63" s="174">
        <v>88</v>
      </c>
      <c r="K63" s="173">
        <v>748.77</v>
      </c>
    </row>
    <row r="64" spans="1:22" ht="14.25" x14ac:dyDescent="0.2">
      <c r="A64" s="179"/>
      <c r="B64" s="178"/>
      <c r="C64" s="178" t="s">
        <v>193</v>
      </c>
      <c r="D64" s="177" t="s">
        <v>187</v>
      </c>
      <c r="E64" s="174">
        <v>74</v>
      </c>
      <c r="F64" s="176"/>
      <c r="G64" s="175"/>
      <c r="H64" s="174"/>
      <c r="I64" s="173">
        <v>26.97</v>
      </c>
      <c r="J64" s="174">
        <v>41</v>
      </c>
      <c r="K64" s="173">
        <v>348.86</v>
      </c>
    </row>
    <row r="65" spans="1:22" ht="14.25" x14ac:dyDescent="0.2">
      <c r="A65" s="179"/>
      <c r="B65" s="178"/>
      <c r="C65" s="178" t="s">
        <v>188</v>
      </c>
      <c r="D65" s="177" t="s">
        <v>187</v>
      </c>
      <c r="E65" s="174">
        <v>175</v>
      </c>
      <c r="F65" s="176"/>
      <c r="G65" s="175"/>
      <c r="H65" s="174"/>
      <c r="I65" s="173">
        <v>3.31</v>
      </c>
      <c r="J65" s="174">
        <v>157</v>
      </c>
      <c r="K65" s="173">
        <v>69.28</v>
      </c>
    </row>
    <row r="66" spans="1:22" ht="14.25" x14ac:dyDescent="0.2">
      <c r="A66" s="212"/>
      <c r="B66" s="211"/>
      <c r="C66" s="211" t="s">
        <v>192</v>
      </c>
      <c r="D66" s="210" t="s">
        <v>191</v>
      </c>
      <c r="E66" s="207">
        <v>2.6</v>
      </c>
      <c r="F66" s="209"/>
      <c r="G66" s="208" t="s">
        <v>1548</v>
      </c>
      <c r="H66" s="207">
        <v>1</v>
      </c>
      <c r="I66" s="206">
        <v>2.99</v>
      </c>
      <c r="J66" s="207"/>
      <c r="K66" s="206"/>
    </row>
    <row r="67" spans="1:22" ht="15" x14ac:dyDescent="0.25">
      <c r="A67" s="204"/>
      <c r="B67" s="204"/>
      <c r="C67" s="205" t="s">
        <v>183</v>
      </c>
      <c r="D67" s="204"/>
      <c r="E67" s="204"/>
      <c r="F67" s="204"/>
      <c r="G67" s="204"/>
      <c r="H67" s="438">
        <v>4715.5200000000004</v>
      </c>
      <c r="I67" s="438"/>
      <c r="J67" s="438">
        <v>21255.68</v>
      </c>
      <c r="K67" s="438"/>
      <c r="O67" s="163">
        <f>I57+I58+I60+I63+I64+I65+SUM(I61:I62)</f>
        <v>4715.5200000000004</v>
      </c>
      <c r="P67" s="163">
        <f>K57+K58+K60+K63+K64+K65+SUM(K61:K62)</f>
        <v>21255.68</v>
      </c>
    </row>
    <row r="69" spans="1:22" ht="52.5" x14ac:dyDescent="0.2">
      <c r="A69" s="179" t="s">
        <v>104</v>
      </c>
      <c r="B69" s="178" t="s">
        <v>812</v>
      </c>
      <c r="C69" s="178" t="s">
        <v>811</v>
      </c>
      <c r="D69" s="177" t="s">
        <v>2094</v>
      </c>
      <c r="E69" s="174">
        <v>1</v>
      </c>
      <c r="F69" s="176"/>
      <c r="G69" s="175"/>
      <c r="H69" s="174"/>
      <c r="I69" s="173"/>
      <c r="J69" s="174"/>
      <c r="K69" s="173"/>
      <c r="Q69" s="160">
        <f>[9]Source!X52</f>
        <v>4.83</v>
      </c>
      <c r="R69" s="160">
        <f>[9]Source!X53</f>
        <v>90.21</v>
      </c>
      <c r="S69" s="160">
        <f>[9]Source!Y52</f>
        <v>3.25</v>
      </c>
      <c r="T69" s="160">
        <f>[9]Source!Y53</f>
        <v>42.03</v>
      </c>
      <c r="U69" s="160">
        <f>ROUND((175/100)*ROUND([9]Source!R52, 2), 2)</f>
        <v>0</v>
      </c>
      <c r="V69" s="160">
        <f>ROUND((157/100)*ROUND([9]Source!R53, 2), 2)</f>
        <v>0</v>
      </c>
    </row>
    <row r="70" spans="1:22" ht="14.25" x14ac:dyDescent="0.2">
      <c r="A70" s="179"/>
      <c r="B70" s="178"/>
      <c r="C70" s="178" t="s">
        <v>197</v>
      </c>
      <c r="D70" s="177"/>
      <c r="E70" s="174"/>
      <c r="F70" s="176">
        <v>3.82</v>
      </c>
      <c r="G70" s="175" t="s">
        <v>1548</v>
      </c>
      <c r="H70" s="174">
        <v>1</v>
      </c>
      <c r="I70" s="173">
        <v>4.3899999999999997</v>
      </c>
      <c r="J70" s="174">
        <v>23.35</v>
      </c>
      <c r="K70" s="173">
        <v>102.51</v>
      </c>
    </row>
    <row r="71" spans="1:22" ht="14.25" x14ac:dyDescent="0.2">
      <c r="A71" s="179"/>
      <c r="B71" s="178"/>
      <c r="C71" s="178" t="s">
        <v>205</v>
      </c>
      <c r="D71" s="177"/>
      <c r="E71" s="174"/>
      <c r="F71" s="176">
        <v>1.48</v>
      </c>
      <c r="G71" s="175" t="s">
        <v>195</v>
      </c>
      <c r="H71" s="174">
        <v>1</v>
      </c>
      <c r="I71" s="173">
        <v>1.48</v>
      </c>
      <c r="J71" s="174">
        <v>7.01</v>
      </c>
      <c r="K71" s="173">
        <v>10.37</v>
      </c>
    </row>
    <row r="72" spans="1:22" ht="28.5" x14ac:dyDescent="0.2">
      <c r="A72" s="179" t="s">
        <v>1542</v>
      </c>
      <c r="B72" s="178" t="s">
        <v>3155</v>
      </c>
      <c r="C72" s="178" t="s">
        <v>810</v>
      </c>
      <c r="D72" s="177" t="s">
        <v>1661</v>
      </c>
      <c r="E72" s="174">
        <v>1</v>
      </c>
      <c r="F72" s="176">
        <v>100.71</v>
      </c>
      <c r="G72" s="182" t="s">
        <v>195</v>
      </c>
      <c r="H72" s="174">
        <v>1</v>
      </c>
      <c r="I72" s="173">
        <v>100.71</v>
      </c>
      <c r="J72" s="174">
        <v>7.09</v>
      </c>
      <c r="K72" s="173">
        <v>714.03</v>
      </c>
      <c r="Q72" s="160">
        <f>[9]Source!X54</f>
        <v>0</v>
      </c>
      <c r="R72" s="160">
        <f>[9]Source!X55</f>
        <v>0</v>
      </c>
      <c r="S72" s="160">
        <f>[9]Source!Y54</f>
        <v>0</v>
      </c>
      <c r="T72" s="160">
        <f>[9]Source!Y55</f>
        <v>0</v>
      </c>
      <c r="U72" s="160">
        <f>ROUND((175/100)*ROUND([9]Source!R54, 2), 2)</f>
        <v>0</v>
      </c>
      <c r="V72" s="160">
        <f>ROUND((157/100)*ROUND([9]Source!R55, 2), 2)</f>
        <v>0</v>
      </c>
    </row>
    <row r="73" spans="1:22" ht="14.25" x14ac:dyDescent="0.2">
      <c r="A73" s="179"/>
      <c r="B73" s="178"/>
      <c r="C73" s="178" t="s">
        <v>194</v>
      </c>
      <c r="D73" s="177" t="s">
        <v>187</v>
      </c>
      <c r="E73" s="174">
        <v>110</v>
      </c>
      <c r="F73" s="176"/>
      <c r="G73" s="175"/>
      <c r="H73" s="174"/>
      <c r="I73" s="173">
        <v>4.83</v>
      </c>
      <c r="J73" s="174">
        <v>88</v>
      </c>
      <c r="K73" s="173">
        <v>90.21</v>
      </c>
    </row>
    <row r="74" spans="1:22" ht="14.25" x14ac:dyDescent="0.2">
      <c r="A74" s="179"/>
      <c r="B74" s="178"/>
      <c r="C74" s="178" t="s">
        <v>193</v>
      </c>
      <c r="D74" s="177" t="s">
        <v>187</v>
      </c>
      <c r="E74" s="174">
        <v>74</v>
      </c>
      <c r="F74" s="176"/>
      <c r="G74" s="175"/>
      <c r="H74" s="174"/>
      <c r="I74" s="173">
        <v>3.25</v>
      </c>
      <c r="J74" s="174">
        <v>41</v>
      </c>
      <c r="K74" s="173">
        <v>42.03</v>
      </c>
    </row>
    <row r="75" spans="1:22" ht="14.25" x14ac:dyDescent="0.2">
      <c r="A75" s="212"/>
      <c r="B75" s="211"/>
      <c r="C75" s="211" t="s">
        <v>192</v>
      </c>
      <c r="D75" s="210" t="s">
        <v>191</v>
      </c>
      <c r="E75" s="207">
        <v>0.31</v>
      </c>
      <c r="F75" s="209"/>
      <c r="G75" s="208" t="s">
        <v>1548</v>
      </c>
      <c r="H75" s="207">
        <v>1</v>
      </c>
      <c r="I75" s="206">
        <v>0.36</v>
      </c>
      <c r="J75" s="207"/>
      <c r="K75" s="206"/>
    </row>
    <row r="76" spans="1:22" ht="15" x14ac:dyDescent="0.25">
      <c r="A76" s="204"/>
      <c r="B76" s="204"/>
      <c r="C76" s="205" t="s">
        <v>183</v>
      </c>
      <c r="D76" s="204"/>
      <c r="E76" s="204"/>
      <c r="F76" s="204"/>
      <c r="G76" s="204"/>
      <c r="H76" s="438">
        <v>114.66</v>
      </c>
      <c r="I76" s="438"/>
      <c r="J76" s="438">
        <v>959.15</v>
      </c>
      <c r="K76" s="438"/>
      <c r="O76" s="163">
        <f>I70+I71+I73+I74+SUM(I72:I72)</f>
        <v>114.66</v>
      </c>
      <c r="P76" s="163">
        <f>K70+K71+K73+K74+SUM(K72:K72)</f>
        <v>959.15</v>
      </c>
    </row>
    <row r="78" spans="1:22" ht="52.5" x14ac:dyDescent="0.2">
      <c r="A78" s="179" t="s">
        <v>1546</v>
      </c>
      <c r="B78" s="178" t="s">
        <v>809</v>
      </c>
      <c r="C78" s="178" t="s">
        <v>808</v>
      </c>
      <c r="D78" s="177" t="s">
        <v>3156</v>
      </c>
      <c r="E78" s="174">
        <v>1</v>
      </c>
      <c r="F78" s="176"/>
      <c r="G78" s="175"/>
      <c r="H78" s="174"/>
      <c r="I78" s="173"/>
      <c r="J78" s="174"/>
      <c r="K78" s="173"/>
      <c r="Q78" s="160">
        <f>[9]Source!X56</f>
        <v>13.85</v>
      </c>
      <c r="R78" s="160">
        <f>[9]Source!X57</f>
        <v>258.7</v>
      </c>
      <c r="S78" s="160">
        <f>[9]Source!Y56</f>
        <v>9.32</v>
      </c>
      <c r="T78" s="160">
        <f>[9]Source!Y57</f>
        <v>120.53</v>
      </c>
      <c r="U78" s="160">
        <f>ROUND((175/100)*ROUND([9]Source!R56, 2), 2)</f>
        <v>1.72</v>
      </c>
      <c r="V78" s="160">
        <f>ROUND((157/100)*ROUND([9]Source!R57, 2), 2)</f>
        <v>35.92</v>
      </c>
    </row>
    <row r="79" spans="1:22" ht="14.25" x14ac:dyDescent="0.2">
      <c r="A79" s="179"/>
      <c r="B79" s="178"/>
      <c r="C79" s="178" t="s">
        <v>197</v>
      </c>
      <c r="D79" s="177"/>
      <c r="E79" s="174"/>
      <c r="F79" s="176">
        <v>10.95</v>
      </c>
      <c r="G79" s="175" t="s">
        <v>1548</v>
      </c>
      <c r="H79" s="174">
        <v>1</v>
      </c>
      <c r="I79" s="173">
        <v>12.59</v>
      </c>
      <c r="J79" s="174">
        <v>23.35</v>
      </c>
      <c r="K79" s="173">
        <v>293.98</v>
      </c>
    </row>
    <row r="80" spans="1:22" ht="14.25" x14ac:dyDescent="0.2">
      <c r="A80" s="179"/>
      <c r="B80" s="178"/>
      <c r="C80" s="178" t="s">
        <v>184</v>
      </c>
      <c r="D80" s="177"/>
      <c r="E80" s="174"/>
      <c r="F80" s="176">
        <v>5.94</v>
      </c>
      <c r="G80" s="175" t="s">
        <v>1549</v>
      </c>
      <c r="H80" s="174">
        <v>1</v>
      </c>
      <c r="I80" s="173">
        <v>7.43</v>
      </c>
      <c r="J80" s="174">
        <v>7.92</v>
      </c>
      <c r="K80" s="173">
        <v>58.85</v>
      </c>
    </row>
    <row r="81" spans="1:22" ht="14.25" x14ac:dyDescent="0.2">
      <c r="A81" s="179"/>
      <c r="B81" s="178"/>
      <c r="C81" s="178" t="s">
        <v>189</v>
      </c>
      <c r="D81" s="177"/>
      <c r="E81" s="174"/>
      <c r="F81" s="176">
        <v>0.78</v>
      </c>
      <c r="G81" s="175" t="s">
        <v>1549</v>
      </c>
      <c r="H81" s="174">
        <v>1</v>
      </c>
      <c r="I81" s="180">
        <v>0.98</v>
      </c>
      <c r="J81" s="174">
        <v>23.35</v>
      </c>
      <c r="K81" s="180">
        <v>22.88</v>
      </c>
    </row>
    <row r="82" spans="1:22" ht="14.25" x14ac:dyDescent="0.2">
      <c r="A82" s="179"/>
      <c r="B82" s="178"/>
      <c r="C82" s="178" t="s">
        <v>205</v>
      </c>
      <c r="D82" s="177"/>
      <c r="E82" s="174"/>
      <c r="F82" s="176">
        <v>0.65</v>
      </c>
      <c r="G82" s="175" t="s">
        <v>195</v>
      </c>
      <c r="H82" s="174">
        <v>1</v>
      </c>
      <c r="I82" s="173">
        <v>0.65</v>
      </c>
      <c r="J82" s="174">
        <v>11.37</v>
      </c>
      <c r="K82" s="173">
        <v>7.39</v>
      </c>
    </row>
    <row r="83" spans="1:22" ht="71.25" x14ac:dyDescent="0.2">
      <c r="A83" s="179" t="s">
        <v>1550</v>
      </c>
      <c r="B83" s="178" t="s">
        <v>3157</v>
      </c>
      <c r="C83" s="178" t="s">
        <v>807</v>
      </c>
      <c r="D83" s="177" t="s">
        <v>1661</v>
      </c>
      <c r="E83" s="174">
        <v>1</v>
      </c>
      <c r="F83" s="176">
        <v>438.15</v>
      </c>
      <c r="G83" s="182" t="s">
        <v>195</v>
      </c>
      <c r="H83" s="174">
        <v>1</v>
      </c>
      <c r="I83" s="173">
        <v>438.15</v>
      </c>
      <c r="J83" s="174">
        <v>1.97</v>
      </c>
      <c r="K83" s="173">
        <v>863.16</v>
      </c>
      <c r="Q83" s="160">
        <f>[9]Source!X58</f>
        <v>0</v>
      </c>
      <c r="R83" s="160">
        <f>[9]Source!X59</f>
        <v>0</v>
      </c>
      <c r="S83" s="160">
        <f>[9]Source!Y58</f>
        <v>0</v>
      </c>
      <c r="T83" s="160">
        <f>[9]Source!Y59</f>
        <v>0</v>
      </c>
      <c r="U83" s="160">
        <f>ROUND((175/100)*ROUND([9]Source!R58, 2), 2)</f>
        <v>0</v>
      </c>
      <c r="V83" s="160">
        <f>ROUND((157/100)*ROUND([9]Source!R59, 2), 2)</f>
        <v>0</v>
      </c>
    </row>
    <row r="84" spans="1:22" ht="14.25" x14ac:dyDescent="0.2">
      <c r="A84" s="179"/>
      <c r="B84" s="178"/>
      <c r="C84" s="178" t="s">
        <v>194</v>
      </c>
      <c r="D84" s="177" t="s">
        <v>187</v>
      </c>
      <c r="E84" s="174">
        <v>110</v>
      </c>
      <c r="F84" s="176"/>
      <c r="G84" s="175"/>
      <c r="H84" s="174"/>
      <c r="I84" s="173">
        <v>13.85</v>
      </c>
      <c r="J84" s="174">
        <v>88</v>
      </c>
      <c r="K84" s="173">
        <v>258.7</v>
      </c>
    </row>
    <row r="85" spans="1:22" ht="14.25" x14ac:dyDescent="0.2">
      <c r="A85" s="179"/>
      <c r="B85" s="178"/>
      <c r="C85" s="178" t="s">
        <v>193</v>
      </c>
      <c r="D85" s="177" t="s">
        <v>187</v>
      </c>
      <c r="E85" s="174">
        <v>74</v>
      </c>
      <c r="F85" s="176"/>
      <c r="G85" s="175"/>
      <c r="H85" s="174"/>
      <c r="I85" s="173">
        <v>9.32</v>
      </c>
      <c r="J85" s="174">
        <v>41</v>
      </c>
      <c r="K85" s="173">
        <v>120.53</v>
      </c>
    </row>
    <row r="86" spans="1:22" ht="14.25" x14ac:dyDescent="0.2">
      <c r="A86" s="179"/>
      <c r="B86" s="178"/>
      <c r="C86" s="178" t="s">
        <v>188</v>
      </c>
      <c r="D86" s="177" t="s">
        <v>187</v>
      </c>
      <c r="E86" s="174">
        <v>175</v>
      </c>
      <c r="F86" s="176"/>
      <c r="G86" s="175"/>
      <c r="H86" s="174"/>
      <c r="I86" s="173">
        <v>1.72</v>
      </c>
      <c r="J86" s="174">
        <v>157</v>
      </c>
      <c r="K86" s="173">
        <v>35.92</v>
      </c>
    </row>
    <row r="87" spans="1:22" ht="14.25" x14ac:dyDescent="0.2">
      <c r="A87" s="212"/>
      <c r="B87" s="211"/>
      <c r="C87" s="211" t="s">
        <v>192</v>
      </c>
      <c r="D87" s="210" t="s">
        <v>191</v>
      </c>
      <c r="E87" s="207">
        <v>0.91</v>
      </c>
      <c r="F87" s="209"/>
      <c r="G87" s="208" t="s">
        <v>1548</v>
      </c>
      <c r="H87" s="207">
        <v>1</v>
      </c>
      <c r="I87" s="206">
        <v>1.05</v>
      </c>
      <c r="J87" s="207"/>
      <c r="K87" s="206"/>
    </row>
    <row r="88" spans="1:22" ht="15" x14ac:dyDescent="0.25">
      <c r="A88" s="204"/>
      <c r="B88" s="204"/>
      <c r="C88" s="205" t="s">
        <v>183</v>
      </c>
      <c r="D88" s="204"/>
      <c r="E88" s="204"/>
      <c r="F88" s="204"/>
      <c r="G88" s="204"/>
      <c r="H88" s="438">
        <v>483.71</v>
      </c>
      <c r="I88" s="438"/>
      <c r="J88" s="438">
        <v>1638.53</v>
      </c>
      <c r="K88" s="438"/>
      <c r="O88" s="163">
        <f>I79+I80+I82+I84+I85+I86+SUM(I83:I83)</f>
        <v>483.71</v>
      </c>
      <c r="P88" s="163">
        <f>K79+K80+K82+K84+K85+K86+SUM(K83:K83)</f>
        <v>1638.53</v>
      </c>
    </row>
    <row r="90" spans="1:22" ht="57" x14ac:dyDescent="0.2">
      <c r="A90" s="179" t="s">
        <v>105</v>
      </c>
      <c r="B90" s="178" t="s">
        <v>806</v>
      </c>
      <c r="C90" s="178" t="s">
        <v>805</v>
      </c>
      <c r="D90" s="177" t="s">
        <v>1903</v>
      </c>
      <c r="E90" s="174">
        <v>1</v>
      </c>
      <c r="F90" s="176"/>
      <c r="G90" s="175"/>
      <c r="H90" s="174"/>
      <c r="I90" s="173"/>
      <c r="J90" s="174"/>
      <c r="K90" s="173"/>
      <c r="Q90" s="160">
        <f>[9]Source!X60</f>
        <v>22.67</v>
      </c>
      <c r="R90" s="160">
        <f>[9]Source!X61</f>
        <v>423.49</v>
      </c>
      <c r="S90" s="160">
        <f>[9]Source!Y60</f>
        <v>15.25</v>
      </c>
      <c r="T90" s="160">
        <f>[9]Source!Y61</f>
        <v>197.31</v>
      </c>
      <c r="U90" s="160">
        <f>ROUND((175/100)*ROUND([9]Source!R60, 2), 2)</f>
        <v>0.96</v>
      </c>
      <c r="V90" s="160">
        <f>ROUND((157/100)*ROUND([9]Source!R61, 2), 2)</f>
        <v>20.16</v>
      </c>
    </row>
    <row r="91" spans="1:22" ht="14.25" x14ac:dyDescent="0.2">
      <c r="A91" s="179"/>
      <c r="B91" s="178"/>
      <c r="C91" s="178" t="s">
        <v>197</v>
      </c>
      <c r="D91" s="177"/>
      <c r="E91" s="174"/>
      <c r="F91" s="176">
        <v>17.920000000000002</v>
      </c>
      <c r="G91" s="175" t="s">
        <v>1548</v>
      </c>
      <c r="H91" s="174">
        <v>1</v>
      </c>
      <c r="I91" s="173">
        <v>20.61</v>
      </c>
      <c r="J91" s="174">
        <v>23.35</v>
      </c>
      <c r="K91" s="173">
        <v>481.24</v>
      </c>
    </row>
    <row r="92" spans="1:22" ht="14.25" x14ac:dyDescent="0.2">
      <c r="A92" s="179"/>
      <c r="B92" s="178"/>
      <c r="C92" s="178" t="s">
        <v>184</v>
      </c>
      <c r="D92" s="177"/>
      <c r="E92" s="174"/>
      <c r="F92" s="176">
        <v>3.35</v>
      </c>
      <c r="G92" s="175" t="s">
        <v>1549</v>
      </c>
      <c r="H92" s="174">
        <v>1</v>
      </c>
      <c r="I92" s="173">
        <v>4.1900000000000004</v>
      </c>
      <c r="J92" s="174">
        <v>7.71</v>
      </c>
      <c r="K92" s="173">
        <v>32.299999999999997</v>
      </c>
    </row>
    <row r="93" spans="1:22" ht="14.25" x14ac:dyDescent="0.2">
      <c r="A93" s="179"/>
      <c r="B93" s="178"/>
      <c r="C93" s="178" t="s">
        <v>189</v>
      </c>
      <c r="D93" s="177"/>
      <c r="E93" s="174"/>
      <c r="F93" s="176">
        <v>0.44</v>
      </c>
      <c r="G93" s="175" t="s">
        <v>1549</v>
      </c>
      <c r="H93" s="174">
        <v>1</v>
      </c>
      <c r="I93" s="180">
        <v>0.55000000000000004</v>
      </c>
      <c r="J93" s="174">
        <v>23.35</v>
      </c>
      <c r="K93" s="180">
        <v>12.84</v>
      </c>
    </row>
    <row r="94" spans="1:22" ht="14.25" x14ac:dyDescent="0.2">
      <c r="A94" s="179"/>
      <c r="B94" s="178"/>
      <c r="C94" s="178" t="s">
        <v>205</v>
      </c>
      <c r="D94" s="177"/>
      <c r="E94" s="174"/>
      <c r="F94" s="176">
        <v>20.5</v>
      </c>
      <c r="G94" s="175" t="s">
        <v>195</v>
      </c>
      <c r="H94" s="174">
        <v>1</v>
      </c>
      <c r="I94" s="173">
        <v>20.5</v>
      </c>
      <c r="J94" s="174">
        <v>4.41</v>
      </c>
      <c r="K94" s="173">
        <v>90.41</v>
      </c>
    </row>
    <row r="95" spans="1:22" ht="57" x14ac:dyDescent="0.2">
      <c r="A95" s="179" t="s">
        <v>1558</v>
      </c>
      <c r="B95" s="178" t="s">
        <v>3158</v>
      </c>
      <c r="C95" s="178" t="s">
        <v>804</v>
      </c>
      <c r="D95" s="177" t="s">
        <v>1661</v>
      </c>
      <c r="E95" s="174">
        <v>1</v>
      </c>
      <c r="F95" s="176">
        <v>18.25</v>
      </c>
      <c r="G95" s="182" t="s">
        <v>195</v>
      </c>
      <c r="H95" s="174">
        <v>1</v>
      </c>
      <c r="I95" s="173">
        <v>18.25</v>
      </c>
      <c r="J95" s="174">
        <v>5.24</v>
      </c>
      <c r="K95" s="173">
        <v>95.63</v>
      </c>
      <c r="Q95" s="160">
        <f>[9]Source!X62</f>
        <v>0</v>
      </c>
      <c r="R95" s="160">
        <f>[9]Source!X63</f>
        <v>0</v>
      </c>
      <c r="S95" s="160">
        <f>[9]Source!Y62</f>
        <v>0</v>
      </c>
      <c r="T95" s="160">
        <f>[9]Source!Y63</f>
        <v>0</v>
      </c>
      <c r="U95" s="160">
        <f>ROUND((175/100)*ROUND([9]Source!R62, 2), 2)</f>
        <v>0</v>
      </c>
      <c r="V95" s="160">
        <f>ROUND((157/100)*ROUND([9]Source!R63, 2), 2)</f>
        <v>0</v>
      </c>
    </row>
    <row r="96" spans="1:22" ht="14.25" x14ac:dyDescent="0.2">
      <c r="A96" s="179"/>
      <c r="B96" s="178"/>
      <c r="C96" s="178" t="s">
        <v>194</v>
      </c>
      <c r="D96" s="177" t="s">
        <v>187</v>
      </c>
      <c r="E96" s="174">
        <v>110</v>
      </c>
      <c r="F96" s="176"/>
      <c r="G96" s="175"/>
      <c r="H96" s="174"/>
      <c r="I96" s="173">
        <v>22.67</v>
      </c>
      <c r="J96" s="174">
        <v>88</v>
      </c>
      <c r="K96" s="173">
        <v>423.49</v>
      </c>
    </row>
    <row r="97" spans="1:22" ht="14.25" x14ac:dyDescent="0.2">
      <c r="A97" s="179"/>
      <c r="B97" s="178"/>
      <c r="C97" s="178" t="s">
        <v>193</v>
      </c>
      <c r="D97" s="177" t="s">
        <v>187</v>
      </c>
      <c r="E97" s="174">
        <v>74</v>
      </c>
      <c r="F97" s="176"/>
      <c r="G97" s="175"/>
      <c r="H97" s="174"/>
      <c r="I97" s="173">
        <v>15.25</v>
      </c>
      <c r="J97" s="174">
        <v>41</v>
      </c>
      <c r="K97" s="173">
        <v>197.31</v>
      </c>
    </row>
    <row r="98" spans="1:22" ht="14.25" x14ac:dyDescent="0.2">
      <c r="A98" s="179"/>
      <c r="B98" s="178"/>
      <c r="C98" s="178" t="s">
        <v>188</v>
      </c>
      <c r="D98" s="177" t="s">
        <v>187</v>
      </c>
      <c r="E98" s="174">
        <v>175</v>
      </c>
      <c r="F98" s="176"/>
      <c r="G98" s="175"/>
      <c r="H98" s="174"/>
      <c r="I98" s="173">
        <v>0.96</v>
      </c>
      <c r="J98" s="174">
        <v>157</v>
      </c>
      <c r="K98" s="173">
        <v>20.16</v>
      </c>
    </row>
    <row r="99" spans="1:22" ht="14.25" x14ac:dyDescent="0.2">
      <c r="A99" s="212"/>
      <c r="B99" s="211"/>
      <c r="C99" s="211" t="s">
        <v>192</v>
      </c>
      <c r="D99" s="210" t="s">
        <v>191</v>
      </c>
      <c r="E99" s="207">
        <v>1.47</v>
      </c>
      <c r="F99" s="209"/>
      <c r="G99" s="208" t="s">
        <v>1548</v>
      </c>
      <c r="H99" s="207">
        <v>1</v>
      </c>
      <c r="I99" s="206">
        <v>1.69</v>
      </c>
      <c r="J99" s="207"/>
      <c r="K99" s="206"/>
    </row>
    <row r="100" spans="1:22" ht="15" x14ac:dyDescent="0.25">
      <c r="A100" s="204"/>
      <c r="B100" s="204"/>
      <c r="C100" s="205" t="s">
        <v>183</v>
      </c>
      <c r="D100" s="204"/>
      <c r="E100" s="204"/>
      <c r="F100" s="204"/>
      <c r="G100" s="204"/>
      <c r="H100" s="438">
        <v>102.43</v>
      </c>
      <c r="I100" s="438"/>
      <c r="J100" s="438">
        <v>1340.54</v>
      </c>
      <c r="K100" s="438"/>
      <c r="O100" s="163">
        <f>I91+I92+I94+I96+I97+I98+SUM(I95:I95)</f>
        <v>102.43</v>
      </c>
      <c r="P100" s="163">
        <f>K91+K92+K94+K96+K97+K98+SUM(K95:K95)</f>
        <v>1340.54</v>
      </c>
    </row>
    <row r="103" spans="1:22" ht="15" x14ac:dyDescent="0.25">
      <c r="A103" s="417" t="s">
        <v>3159</v>
      </c>
      <c r="B103" s="417"/>
      <c r="C103" s="417"/>
      <c r="D103" s="417"/>
      <c r="E103" s="417"/>
      <c r="F103" s="417"/>
      <c r="G103" s="417"/>
      <c r="H103" s="415">
        <v>17718.939999999999</v>
      </c>
      <c r="I103" s="416"/>
      <c r="J103" s="415">
        <v>85619.839999999997</v>
      </c>
      <c r="K103" s="416"/>
    </row>
    <row r="104" spans="1:22" hidden="1" x14ac:dyDescent="0.2">
      <c r="A104" s="160" t="s">
        <v>182</v>
      </c>
      <c r="I104" s="160">
        <v>0</v>
      </c>
      <c r="J104" s="160">
        <v>0</v>
      </c>
    </row>
    <row r="105" spans="1:22" hidden="1" x14ac:dyDescent="0.2">
      <c r="A105" s="160" t="s">
        <v>181</v>
      </c>
      <c r="I105" s="160">
        <v>0</v>
      </c>
      <c r="J105" s="160">
        <v>0</v>
      </c>
    </row>
    <row r="107" spans="1:22" ht="16.5" x14ac:dyDescent="0.25">
      <c r="A107" s="413" t="s">
        <v>3160</v>
      </c>
      <c r="B107" s="413"/>
      <c r="C107" s="413"/>
      <c r="D107" s="413"/>
      <c r="E107" s="413"/>
      <c r="F107" s="413"/>
      <c r="G107" s="413"/>
      <c r="H107" s="413"/>
      <c r="I107" s="413"/>
      <c r="J107" s="413"/>
      <c r="K107" s="413"/>
    </row>
    <row r="108" spans="1:22" ht="57" x14ac:dyDescent="0.2">
      <c r="A108" s="179" t="s">
        <v>1560</v>
      </c>
      <c r="B108" s="178" t="s">
        <v>782</v>
      </c>
      <c r="C108" s="178" t="s">
        <v>781</v>
      </c>
      <c r="D108" s="177" t="s">
        <v>2599</v>
      </c>
      <c r="E108" s="174">
        <v>2.2999999999999998</v>
      </c>
      <c r="F108" s="176"/>
      <c r="G108" s="175"/>
      <c r="H108" s="174"/>
      <c r="I108" s="173"/>
      <c r="J108" s="174"/>
      <c r="K108" s="173"/>
      <c r="Q108" s="160">
        <f>[9]Source!X99</f>
        <v>1282.3699999999999</v>
      </c>
      <c r="R108" s="160">
        <f>[9]Source!X100</f>
        <v>23114.240000000002</v>
      </c>
      <c r="S108" s="160">
        <f>[9]Source!Y99</f>
        <v>753.68</v>
      </c>
      <c r="T108" s="160">
        <f>[9]Source!Y100</f>
        <v>10769.13</v>
      </c>
      <c r="U108" s="160">
        <f>ROUND((175/100)*ROUND([9]Source!R99, 2), 2)</f>
        <v>46.34</v>
      </c>
      <c r="V108" s="160">
        <f>ROUND((157/100)*ROUND([9]Source!R100, 2), 2)</f>
        <v>758.86</v>
      </c>
    </row>
    <row r="109" spans="1:22" x14ac:dyDescent="0.2">
      <c r="C109" s="181" t="s">
        <v>3161</v>
      </c>
    </row>
    <row r="110" spans="1:22" ht="14.25" x14ac:dyDescent="0.2">
      <c r="A110" s="179"/>
      <c r="B110" s="178"/>
      <c r="C110" s="178" t="s">
        <v>197</v>
      </c>
      <c r="D110" s="177"/>
      <c r="E110" s="174"/>
      <c r="F110" s="176">
        <v>425.29</v>
      </c>
      <c r="G110" s="175" t="s">
        <v>1548</v>
      </c>
      <c r="H110" s="174">
        <v>1</v>
      </c>
      <c r="I110" s="173">
        <v>1124.8900000000001</v>
      </c>
      <c r="J110" s="174">
        <v>23.35</v>
      </c>
      <c r="K110" s="173">
        <v>26266.18</v>
      </c>
    </row>
    <row r="111" spans="1:22" ht="14.25" x14ac:dyDescent="0.2">
      <c r="A111" s="179"/>
      <c r="B111" s="178"/>
      <c r="C111" s="178" t="s">
        <v>184</v>
      </c>
      <c r="D111" s="177"/>
      <c r="E111" s="174"/>
      <c r="F111" s="176">
        <v>44.24</v>
      </c>
      <c r="G111" s="175" t="s">
        <v>1549</v>
      </c>
      <c r="H111" s="174">
        <v>1</v>
      </c>
      <c r="I111" s="173">
        <v>127.19</v>
      </c>
      <c r="J111" s="174">
        <v>8.9700000000000006</v>
      </c>
      <c r="K111" s="173">
        <v>1302.8900000000001</v>
      </c>
    </row>
    <row r="112" spans="1:22" ht="14.25" x14ac:dyDescent="0.2">
      <c r="A112" s="179"/>
      <c r="B112" s="178"/>
      <c r="C112" s="178" t="s">
        <v>189</v>
      </c>
      <c r="D112" s="177"/>
      <c r="E112" s="174"/>
      <c r="F112" s="176">
        <v>9.2100000000000009</v>
      </c>
      <c r="G112" s="175" t="s">
        <v>1549</v>
      </c>
      <c r="H112" s="174">
        <v>1</v>
      </c>
      <c r="I112" s="180">
        <v>26.48</v>
      </c>
      <c r="J112" s="174">
        <v>23.35</v>
      </c>
      <c r="K112" s="180">
        <v>483.35</v>
      </c>
    </row>
    <row r="113" spans="1:22" ht="14.25" x14ac:dyDescent="0.2">
      <c r="A113" s="179"/>
      <c r="B113" s="178"/>
      <c r="C113" s="178" t="s">
        <v>205</v>
      </c>
      <c r="D113" s="177"/>
      <c r="E113" s="174"/>
      <c r="F113" s="176">
        <v>44.65</v>
      </c>
      <c r="G113" s="175" t="s">
        <v>195</v>
      </c>
      <c r="H113" s="174">
        <v>1</v>
      </c>
      <c r="I113" s="173">
        <v>102.7</v>
      </c>
      <c r="J113" s="174">
        <v>3.65</v>
      </c>
      <c r="K113" s="173">
        <v>374.75</v>
      </c>
    </row>
    <row r="114" spans="1:22" ht="28.5" x14ac:dyDescent="0.2">
      <c r="A114" s="179" t="s">
        <v>1562</v>
      </c>
      <c r="B114" s="178" t="s">
        <v>3162</v>
      </c>
      <c r="C114" s="178" t="s">
        <v>754</v>
      </c>
      <c r="D114" s="177" t="s">
        <v>1533</v>
      </c>
      <c r="E114" s="174">
        <v>8.5099999999999995E-2</v>
      </c>
      <c r="F114" s="176">
        <v>26732.5</v>
      </c>
      <c r="G114" s="182" t="s">
        <v>195</v>
      </c>
      <c r="H114" s="174">
        <v>1</v>
      </c>
      <c r="I114" s="173">
        <v>2274.94</v>
      </c>
      <c r="J114" s="174">
        <v>1.96</v>
      </c>
      <c r="K114" s="173">
        <v>4458.88</v>
      </c>
      <c r="Q114" s="160">
        <f>[9]Source!X101</f>
        <v>0</v>
      </c>
      <c r="R114" s="160">
        <f>[9]Source!X102</f>
        <v>0</v>
      </c>
      <c r="S114" s="160">
        <f>[9]Source!Y101</f>
        <v>0</v>
      </c>
      <c r="T114" s="160">
        <f>[9]Source!Y102</f>
        <v>0</v>
      </c>
      <c r="U114" s="160">
        <f>ROUND((175/100)*ROUND([9]Source!R101, 2), 2)</f>
        <v>0</v>
      </c>
      <c r="V114" s="160">
        <f>ROUND((157/100)*ROUND([9]Source!R102, 2), 2)</f>
        <v>0</v>
      </c>
    </row>
    <row r="115" spans="1:22" ht="57" x14ac:dyDescent="0.2">
      <c r="A115" s="179" t="s">
        <v>1563</v>
      </c>
      <c r="B115" s="178" t="s">
        <v>2602</v>
      </c>
      <c r="C115" s="178" t="s">
        <v>780</v>
      </c>
      <c r="D115" s="177" t="s">
        <v>1661</v>
      </c>
      <c r="E115" s="174">
        <v>60</v>
      </c>
      <c r="F115" s="176">
        <v>34.97</v>
      </c>
      <c r="G115" s="182" t="s">
        <v>195</v>
      </c>
      <c r="H115" s="174">
        <v>1</v>
      </c>
      <c r="I115" s="173">
        <v>2098.1999999999998</v>
      </c>
      <c r="J115" s="174">
        <v>11.3</v>
      </c>
      <c r="K115" s="173">
        <v>23709.66</v>
      </c>
      <c r="Q115" s="160">
        <f>[9]Source!X103</f>
        <v>0</v>
      </c>
      <c r="R115" s="160">
        <f>[9]Source!X104</f>
        <v>0</v>
      </c>
      <c r="S115" s="160">
        <f>[9]Source!Y103</f>
        <v>0</v>
      </c>
      <c r="T115" s="160">
        <f>[9]Source!Y104</f>
        <v>0</v>
      </c>
      <c r="U115" s="160">
        <f>ROUND((175/100)*ROUND([9]Source!R103, 2), 2)</f>
        <v>0</v>
      </c>
      <c r="V115" s="160">
        <f>ROUND((157/100)*ROUND([9]Source!R104, 2), 2)</f>
        <v>0</v>
      </c>
    </row>
    <row r="116" spans="1:22" ht="71.25" x14ac:dyDescent="0.2">
      <c r="A116" s="179" t="s">
        <v>2137</v>
      </c>
      <c r="B116" s="178" t="s">
        <v>3163</v>
      </c>
      <c r="C116" s="178" t="s">
        <v>779</v>
      </c>
      <c r="D116" s="177" t="s">
        <v>1661</v>
      </c>
      <c r="E116" s="174">
        <v>9</v>
      </c>
      <c r="F116" s="176">
        <v>38.950000000000003</v>
      </c>
      <c r="G116" s="182" t="s">
        <v>195</v>
      </c>
      <c r="H116" s="174">
        <v>1</v>
      </c>
      <c r="I116" s="173">
        <v>350.55</v>
      </c>
      <c r="J116" s="174">
        <v>16.71</v>
      </c>
      <c r="K116" s="173">
        <v>5857.69</v>
      </c>
      <c r="Q116" s="160">
        <f>[9]Source!X105</f>
        <v>0</v>
      </c>
      <c r="R116" s="160">
        <f>[9]Source!X106</f>
        <v>0</v>
      </c>
      <c r="S116" s="160">
        <f>[9]Source!Y105</f>
        <v>0</v>
      </c>
      <c r="T116" s="160">
        <f>[9]Source!Y106</f>
        <v>0</v>
      </c>
      <c r="U116" s="160">
        <f>ROUND((175/100)*ROUND([9]Source!R105, 2), 2)</f>
        <v>0</v>
      </c>
      <c r="V116" s="160">
        <f>ROUND((157/100)*ROUND([9]Source!R106, 2), 2)</f>
        <v>0</v>
      </c>
    </row>
    <row r="117" spans="1:22" ht="57" x14ac:dyDescent="0.2">
      <c r="A117" s="179" t="s">
        <v>2139</v>
      </c>
      <c r="B117" s="178" t="s">
        <v>3164</v>
      </c>
      <c r="C117" s="178" t="s">
        <v>778</v>
      </c>
      <c r="D117" s="177" t="s">
        <v>1552</v>
      </c>
      <c r="E117" s="174">
        <v>230</v>
      </c>
      <c r="F117" s="176">
        <v>28.11</v>
      </c>
      <c r="G117" s="182" t="s">
        <v>195</v>
      </c>
      <c r="H117" s="174">
        <v>1</v>
      </c>
      <c r="I117" s="173">
        <v>6465.3</v>
      </c>
      <c r="J117" s="174">
        <v>7.69</v>
      </c>
      <c r="K117" s="173">
        <v>49718.16</v>
      </c>
      <c r="Q117" s="160">
        <f>[9]Source!X107</f>
        <v>0</v>
      </c>
      <c r="R117" s="160">
        <f>[9]Source!X108</f>
        <v>0</v>
      </c>
      <c r="S117" s="160">
        <f>[9]Source!Y107</f>
        <v>0</v>
      </c>
      <c r="T117" s="160">
        <f>[9]Source!Y108</f>
        <v>0</v>
      </c>
      <c r="U117" s="160">
        <f>ROUND((175/100)*ROUND([9]Source!R107, 2), 2)</f>
        <v>0</v>
      </c>
      <c r="V117" s="160">
        <f>ROUND((157/100)*ROUND([9]Source!R108, 2), 2)</f>
        <v>0</v>
      </c>
    </row>
    <row r="118" spans="1:22" ht="14.25" x14ac:dyDescent="0.2">
      <c r="A118" s="179"/>
      <c r="B118" s="178"/>
      <c r="C118" s="178" t="s">
        <v>194</v>
      </c>
      <c r="D118" s="177" t="s">
        <v>187</v>
      </c>
      <c r="E118" s="174">
        <v>110</v>
      </c>
      <c r="F118" s="176"/>
      <c r="G118" s="175"/>
      <c r="H118" s="174"/>
      <c r="I118" s="173">
        <v>1282.3699999999999</v>
      </c>
      <c r="J118" s="174">
        <v>88</v>
      </c>
      <c r="K118" s="173">
        <v>23114.240000000002</v>
      </c>
    </row>
    <row r="119" spans="1:22" ht="14.25" x14ac:dyDescent="0.2">
      <c r="A119" s="179"/>
      <c r="B119" s="178"/>
      <c r="C119" s="178" t="s">
        <v>193</v>
      </c>
      <c r="D119" s="177" t="s">
        <v>187</v>
      </c>
      <c r="E119" s="174">
        <v>74</v>
      </c>
      <c r="F119" s="176"/>
      <c r="G119" s="175"/>
      <c r="H119" s="174"/>
      <c r="I119" s="173">
        <v>753.68</v>
      </c>
      <c r="J119" s="174">
        <v>41</v>
      </c>
      <c r="K119" s="173">
        <v>10769.13</v>
      </c>
    </row>
    <row r="120" spans="1:22" ht="14.25" x14ac:dyDescent="0.2">
      <c r="A120" s="179"/>
      <c r="B120" s="178"/>
      <c r="C120" s="178" t="s">
        <v>188</v>
      </c>
      <c r="D120" s="177" t="s">
        <v>187</v>
      </c>
      <c r="E120" s="174">
        <v>175</v>
      </c>
      <c r="F120" s="176"/>
      <c r="G120" s="175"/>
      <c r="H120" s="174"/>
      <c r="I120" s="173">
        <v>46.34</v>
      </c>
      <c r="J120" s="174">
        <v>157</v>
      </c>
      <c r="K120" s="173">
        <v>758.86</v>
      </c>
    </row>
    <row r="121" spans="1:22" ht="14.25" x14ac:dyDescent="0.2">
      <c r="A121" s="212"/>
      <c r="B121" s="211"/>
      <c r="C121" s="211" t="s">
        <v>192</v>
      </c>
      <c r="D121" s="210" t="s">
        <v>191</v>
      </c>
      <c r="E121" s="207">
        <v>33.700000000000003</v>
      </c>
      <c r="F121" s="209"/>
      <c r="G121" s="208" t="s">
        <v>1548</v>
      </c>
      <c r="H121" s="207">
        <v>1</v>
      </c>
      <c r="I121" s="206">
        <v>89.14</v>
      </c>
      <c r="J121" s="207"/>
      <c r="K121" s="206"/>
    </row>
    <row r="122" spans="1:22" ht="15" x14ac:dyDescent="0.25">
      <c r="A122" s="204"/>
      <c r="B122" s="204"/>
      <c r="C122" s="205" t="s">
        <v>183</v>
      </c>
      <c r="D122" s="204"/>
      <c r="E122" s="204"/>
      <c r="F122" s="204"/>
      <c r="G122" s="204"/>
      <c r="H122" s="438">
        <v>14626.16</v>
      </c>
      <c r="I122" s="438"/>
      <c r="J122" s="438">
        <v>146330.44</v>
      </c>
      <c r="K122" s="438"/>
      <c r="O122" s="163">
        <f>I110+I111+I113+I118+I119+I120+SUM(I114:I117)</f>
        <v>14626.16</v>
      </c>
      <c r="P122" s="163">
        <f>K110+K111+K113+K118+K119+K120+SUM(K114:K117)</f>
        <v>146330.44</v>
      </c>
    </row>
    <row r="124" spans="1:22" ht="57" x14ac:dyDescent="0.2">
      <c r="A124" s="179" t="s">
        <v>1565</v>
      </c>
      <c r="B124" s="178" t="s">
        <v>777</v>
      </c>
      <c r="C124" s="178" t="s">
        <v>776</v>
      </c>
      <c r="D124" s="177" t="s">
        <v>2599</v>
      </c>
      <c r="E124" s="174">
        <v>0.5</v>
      </c>
      <c r="F124" s="176"/>
      <c r="G124" s="175"/>
      <c r="H124" s="174"/>
      <c r="I124" s="173"/>
      <c r="J124" s="174"/>
      <c r="K124" s="173"/>
      <c r="Q124" s="160">
        <f>[9]Source!X109</f>
        <v>278.77999999999997</v>
      </c>
      <c r="R124" s="160">
        <f>[9]Source!X110</f>
        <v>5024.8100000000004</v>
      </c>
      <c r="S124" s="160">
        <f>[9]Source!Y109</f>
        <v>163.84</v>
      </c>
      <c r="T124" s="160">
        <f>[9]Source!Y110</f>
        <v>2341.1</v>
      </c>
      <c r="U124" s="160">
        <f>ROUND((175/100)*ROUND([9]Source!R109, 2), 2)</f>
        <v>10.08</v>
      </c>
      <c r="V124" s="160">
        <f>ROUND((157/100)*ROUND([9]Source!R110, 2), 2)</f>
        <v>164.98</v>
      </c>
    </row>
    <row r="125" spans="1:22" x14ac:dyDescent="0.2">
      <c r="C125" s="181" t="s">
        <v>3081</v>
      </c>
    </row>
    <row r="126" spans="1:22" ht="14.25" x14ac:dyDescent="0.2">
      <c r="A126" s="179"/>
      <c r="B126" s="178"/>
      <c r="C126" s="178" t="s">
        <v>197</v>
      </c>
      <c r="D126" s="177"/>
      <c r="E126" s="174"/>
      <c r="F126" s="176">
        <v>425.29</v>
      </c>
      <c r="G126" s="175" t="s">
        <v>1548</v>
      </c>
      <c r="H126" s="174">
        <v>1</v>
      </c>
      <c r="I126" s="173">
        <v>244.54</v>
      </c>
      <c r="J126" s="174">
        <v>23.35</v>
      </c>
      <c r="K126" s="173">
        <v>5710.01</v>
      </c>
    </row>
    <row r="127" spans="1:22" ht="14.25" x14ac:dyDescent="0.2">
      <c r="A127" s="179"/>
      <c r="B127" s="178"/>
      <c r="C127" s="178" t="s">
        <v>184</v>
      </c>
      <c r="D127" s="177"/>
      <c r="E127" s="174"/>
      <c r="F127" s="176">
        <v>44.24</v>
      </c>
      <c r="G127" s="175" t="s">
        <v>1549</v>
      </c>
      <c r="H127" s="174">
        <v>1</v>
      </c>
      <c r="I127" s="173">
        <v>27.65</v>
      </c>
      <c r="J127" s="174">
        <v>8.9700000000000006</v>
      </c>
      <c r="K127" s="173">
        <v>283.27</v>
      </c>
    </row>
    <row r="128" spans="1:22" ht="14.25" x14ac:dyDescent="0.2">
      <c r="A128" s="179"/>
      <c r="B128" s="178"/>
      <c r="C128" s="178" t="s">
        <v>189</v>
      </c>
      <c r="D128" s="177"/>
      <c r="E128" s="174"/>
      <c r="F128" s="176">
        <v>9.2100000000000009</v>
      </c>
      <c r="G128" s="175" t="s">
        <v>1549</v>
      </c>
      <c r="H128" s="174">
        <v>1</v>
      </c>
      <c r="I128" s="180">
        <v>5.76</v>
      </c>
      <c r="J128" s="174">
        <v>23.35</v>
      </c>
      <c r="K128" s="180">
        <v>105.08</v>
      </c>
    </row>
    <row r="129" spans="1:22" ht="14.25" x14ac:dyDescent="0.2">
      <c r="A129" s="179"/>
      <c r="B129" s="178"/>
      <c r="C129" s="178" t="s">
        <v>205</v>
      </c>
      <c r="D129" s="177"/>
      <c r="E129" s="174"/>
      <c r="F129" s="176">
        <v>44.83</v>
      </c>
      <c r="G129" s="175" t="s">
        <v>195</v>
      </c>
      <c r="H129" s="174">
        <v>1</v>
      </c>
      <c r="I129" s="173">
        <v>22.42</v>
      </c>
      <c r="J129" s="174">
        <v>3.65</v>
      </c>
      <c r="K129" s="173">
        <v>81.83</v>
      </c>
    </row>
    <row r="130" spans="1:22" ht="28.5" x14ac:dyDescent="0.2">
      <c r="A130" s="179" t="s">
        <v>1568</v>
      </c>
      <c r="B130" s="178" t="s">
        <v>3162</v>
      </c>
      <c r="C130" s="178" t="s">
        <v>754</v>
      </c>
      <c r="D130" s="177" t="s">
        <v>1533</v>
      </c>
      <c r="E130" s="174">
        <v>1.8499999999999999E-2</v>
      </c>
      <c r="F130" s="176">
        <v>26732.5</v>
      </c>
      <c r="G130" s="182" t="s">
        <v>195</v>
      </c>
      <c r="H130" s="174">
        <v>1</v>
      </c>
      <c r="I130" s="173">
        <v>494.55</v>
      </c>
      <c r="J130" s="174">
        <v>1.96</v>
      </c>
      <c r="K130" s="173">
        <v>969.32</v>
      </c>
      <c r="Q130" s="160">
        <f>[9]Source!X111</f>
        <v>0</v>
      </c>
      <c r="R130" s="160">
        <f>[9]Source!X112</f>
        <v>0</v>
      </c>
      <c r="S130" s="160">
        <f>[9]Source!Y111</f>
        <v>0</v>
      </c>
      <c r="T130" s="160">
        <f>[9]Source!Y112</f>
        <v>0</v>
      </c>
      <c r="U130" s="160">
        <f>ROUND((175/100)*ROUND([9]Source!R111, 2), 2)</f>
        <v>0</v>
      </c>
      <c r="V130" s="160">
        <f>ROUND((157/100)*ROUND([9]Source!R112, 2), 2)</f>
        <v>0</v>
      </c>
    </row>
    <row r="131" spans="1:22" ht="57" x14ac:dyDescent="0.2">
      <c r="A131" s="179" t="s">
        <v>1570</v>
      </c>
      <c r="B131" s="178" t="s">
        <v>2606</v>
      </c>
      <c r="C131" s="178" t="s">
        <v>775</v>
      </c>
      <c r="D131" s="177" t="s">
        <v>1661</v>
      </c>
      <c r="E131" s="174">
        <v>18</v>
      </c>
      <c r="F131" s="176">
        <v>47.24</v>
      </c>
      <c r="G131" s="182" t="s">
        <v>195</v>
      </c>
      <c r="H131" s="174">
        <v>1</v>
      </c>
      <c r="I131" s="173">
        <v>850.32</v>
      </c>
      <c r="J131" s="174">
        <v>12.35</v>
      </c>
      <c r="K131" s="173">
        <v>10501.45</v>
      </c>
      <c r="Q131" s="160">
        <f>[9]Source!X113</f>
        <v>0</v>
      </c>
      <c r="R131" s="160">
        <f>[9]Source!X114</f>
        <v>0</v>
      </c>
      <c r="S131" s="160">
        <f>[9]Source!Y113</f>
        <v>0</v>
      </c>
      <c r="T131" s="160">
        <f>[9]Source!Y114</f>
        <v>0</v>
      </c>
      <c r="U131" s="160">
        <f>ROUND((175/100)*ROUND([9]Source!R113, 2), 2)</f>
        <v>0</v>
      </c>
      <c r="V131" s="160">
        <f>ROUND((157/100)*ROUND([9]Source!R114, 2), 2)</f>
        <v>0</v>
      </c>
    </row>
    <row r="132" spans="1:22" ht="57" x14ac:dyDescent="0.2">
      <c r="A132" s="179" t="s">
        <v>2467</v>
      </c>
      <c r="B132" s="178" t="s">
        <v>3165</v>
      </c>
      <c r="C132" s="178" t="s">
        <v>773</v>
      </c>
      <c r="D132" s="177" t="s">
        <v>1552</v>
      </c>
      <c r="E132" s="174">
        <v>50</v>
      </c>
      <c r="F132" s="176">
        <v>31.42</v>
      </c>
      <c r="G132" s="182" t="s">
        <v>195</v>
      </c>
      <c r="H132" s="174">
        <v>1</v>
      </c>
      <c r="I132" s="173">
        <v>1571</v>
      </c>
      <c r="J132" s="174">
        <v>8.74</v>
      </c>
      <c r="K132" s="173">
        <v>13730.54</v>
      </c>
      <c r="Q132" s="160">
        <f>[9]Source!X115</f>
        <v>0</v>
      </c>
      <c r="R132" s="160">
        <f>[9]Source!X116</f>
        <v>0</v>
      </c>
      <c r="S132" s="160">
        <f>[9]Source!Y115</f>
        <v>0</v>
      </c>
      <c r="T132" s="160">
        <f>[9]Source!Y116</f>
        <v>0</v>
      </c>
      <c r="U132" s="160">
        <f>ROUND((175/100)*ROUND([9]Source!R115, 2), 2)</f>
        <v>0</v>
      </c>
      <c r="V132" s="160">
        <f>ROUND((157/100)*ROUND([9]Source!R116, 2), 2)</f>
        <v>0</v>
      </c>
    </row>
    <row r="133" spans="1:22" ht="14.25" x14ac:dyDescent="0.2">
      <c r="A133" s="179"/>
      <c r="B133" s="178"/>
      <c r="C133" s="178" t="s">
        <v>194</v>
      </c>
      <c r="D133" s="177" t="s">
        <v>187</v>
      </c>
      <c r="E133" s="174">
        <v>110</v>
      </c>
      <c r="F133" s="176"/>
      <c r="G133" s="175"/>
      <c r="H133" s="174"/>
      <c r="I133" s="173">
        <v>278.77999999999997</v>
      </c>
      <c r="J133" s="174">
        <v>88</v>
      </c>
      <c r="K133" s="173">
        <v>5024.8100000000004</v>
      </c>
    </row>
    <row r="134" spans="1:22" ht="14.25" x14ac:dyDescent="0.2">
      <c r="A134" s="179"/>
      <c r="B134" s="178"/>
      <c r="C134" s="178" t="s">
        <v>193</v>
      </c>
      <c r="D134" s="177" t="s">
        <v>187</v>
      </c>
      <c r="E134" s="174">
        <v>74</v>
      </c>
      <c r="F134" s="176"/>
      <c r="G134" s="175"/>
      <c r="H134" s="174"/>
      <c r="I134" s="173">
        <v>163.84</v>
      </c>
      <c r="J134" s="174">
        <v>41</v>
      </c>
      <c r="K134" s="173">
        <v>2341.1</v>
      </c>
    </row>
    <row r="135" spans="1:22" ht="14.25" x14ac:dyDescent="0.2">
      <c r="A135" s="179"/>
      <c r="B135" s="178"/>
      <c r="C135" s="178" t="s">
        <v>188</v>
      </c>
      <c r="D135" s="177" t="s">
        <v>187</v>
      </c>
      <c r="E135" s="174">
        <v>175</v>
      </c>
      <c r="F135" s="176"/>
      <c r="G135" s="175"/>
      <c r="H135" s="174"/>
      <c r="I135" s="173">
        <v>10.08</v>
      </c>
      <c r="J135" s="174">
        <v>157</v>
      </c>
      <c r="K135" s="173">
        <v>164.98</v>
      </c>
    </row>
    <row r="136" spans="1:22" ht="14.25" x14ac:dyDescent="0.2">
      <c r="A136" s="212"/>
      <c r="B136" s="211"/>
      <c r="C136" s="211" t="s">
        <v>192</v>
      </c>
      <c r="D136" s="210" t="s">
        <v>191</v>
      </c>
      <c r="E136" s="207">
        <v>33.700000000000003</v>
      </c>
      <c r="F136" s="209"/>
      <c r="G136" s="208" t="s">
        <v>1548</v>
      </c>
      <c r="H136" s="207">
        <v>1</v>
      </c>
      <c r="I136" s="206">
        <v>19.38</v>
      </c>
      <c r="J136" s="207"/>
      <c r="K136" s="206"/>
    </row>
    <row r="137" spans="1:22" ht="15" x14ac:dyDescent="0.25">
      <c r="A137" s="204"/>
      <c r="B137" s="204"/>
      <c r="C137" s="205" t="s">
        <v>183</v>
      </c>
      <c r="D137" s="204"/>
      <c r="E137" s="204"/>
      <c r="F137" s="204"/>
      <c r="G137" s="204"/>
      <c r="H137" s="438">
        <v>3663.18</v>
      </c>
      <c r="I137" s="438"/>
      <c r="J137" s="438">
        <v>38807.31</v>
      </c>
      <c r="K137" s="438"/>
      <c r="O137" s="163">
        <f>I126+I127+I129+I133+I134+I135+SUM(I130:I132)</f>
        <v>3663.18</v>
      </c>
      <c r="P137" s="163">
        <f>K126+K127+K129+K133+K134+K135+SUM(K130:K132)</f>
        <v>38807.31</v>
      </c>
    </row>
    <row r="139" spans="1:22" ht="57" x14ac:dyDescent="0.2">
      <c r="A139" s="179" t="s">
        <v>1572</v>
      </c>
      <c r="B139" s="178" t="s">
        <v>772</v>
      </c>
      <c r="C139" s="178" t="s">
        <v>771</v>
      </c>
      <c r="D139" s="177" t="s">
        <v>2599</v>
      </c>
      <c r="E139" s="174">
        <v>0.35</v>
      </c>
      <c r="F139" s="176"/>
      <c r="G139" s="175"/>
      <c r="H139" s="174"/>
      <c r="I139" s="173"/>
      <c r="J139" s="174"/>
      <c r="K139" s="173"/>
      <c r="Q139" s="160">
        <f>[9]Source!X117</f>
        <v>195.15</v>
      </c>
      <c r="R139" s="160">
        <f>[9]Source!X118</f>
        <v>3517.4</v>
      </c>
      <c r="S139" s="160">
        <f>[9]Source!Y117</f>
        <v>114.69</v>
      </c>
      <c r="T139" s="160">
        <f>[9]Source!Y118</f>
        <v>1638.79</v>
      </c>
      <c r="U139" s="160">
        <f>ROUND((175/100)*ROUND([9]Source!R117, 2), 2)</f>
        <v>7.05</v>
      </c>
      <c r="V139" s="160">
        <f>ROUND((157/100)*ROUND([9]Source!R118, 2), 2)</f>
        <v>115.47</v>
      </c>
    </row>
    <row r="140" spans="1:22" x14ac:dyDescent="0.2">
      <c r="C140" s="181" t="s">
        <v>3166</v>
      </c>
    </row>
    <row r="141" spans="1:22" ht="14.25" x14ac:dyDescent="0.2">
      <c r="A141" s="179"/>
      <c r="B141" s="178"/>
      <c r="C141" s="178" t="s">
        <v>197</v>
      </c>
      <c r="D141" s="177"/>
      <c r="E141" s="174"/>
      <c r="F141" s="176">
        <v>425.29</v>
      </c>
      <c r="G141" s="175" t="s">
        <v>1548</v>
      </c>
      <c r="H141" s="174">
        <v>1</v>
      </c>
      <c r="I141" s="173">
        <v>171.18</v>
      </c>
      <c r="J141" s="174">
        <v>23.35</v>
      </c>
      <c r="K141" s="173">
        <v>3997.05</v>
      </c>
    </row>
    <row r="142" spans="1:22" ht="14.25" x14ac:dyDescent="0.2">
      <c r="A142" s="179"/>
      <c r="B142" s="178"/>
      <c r="C142" s="178" t="s">
        <v>184</v>
      </c>
      <c r="D142" s="177"/>
      <c r="E142" s="174"/>
      <c r="F142" s="176">
        <v>44.24</v>
      </c>
      <c r="G142" s="175" t="s">
        <v>1549</v>
      </c>
      <c r="H142" s="174">
        <v>1</v>
      </c>
      <c r="I142" s="173">
        <v>19.36</v>
      </c>
      <c r="J142" s="174">
        <v>8.9700000000000006</v>
      </c>
      <c r="K142" s="173">
        <v>198.24</v>
      </c>
    </row>
    <row r="143" spans="1:22" ht="14.25" x14ac:dyDescent="0.2">
      <c r="A143" s="179"/>
      <c r="B143" s="178"/>
      <c r="C143" s="178" t="s">
        <v>189</v>
      </c>
      <c r="D143" s="177"/>
      <c r="E143" s="174"/>
      <c r="F143" s="176">
        <v>9.2100000000000009</v>
      </c>
      <c r="G143" s="175" t="s">
        <v>1549</v>
      </c>
      <c r="H143" s="174">
        <v>1</v>
      </c>
      <c r="I143" s="180">
        <v>4.03</v>
      </c>
      <c r="J143" s="174">
        <v>23.35</v>
      </c>
      <c r="K143" s="180">
        <v>73.55</v>
      </c>
    </row>
    <row r="144" spans="1:22" ht="14.25" x14ac:dyDescent="0.2">
      <c r="A144" s="179"/>
      <c r="B144" s="178"/>
      <c r="C144" s="178" t="s">
        <v>205</v>
      </c>
      <c r="D144" s="177"/>
      <c r="E144" s="174"/>
      <c r="F144" s="176">
        <v>45.07</v>
      </c>
      <c r="G144" s="175" t="s">
        <v>195</v>
      </c>
      <c r="H144" s="174">
        <v>1</v>
      </c>
      <c r="I144" s="173">
        <v>15.77</v>
      </c>
      <c r="J144" s="174">
        <v>3.66</v>
      </c>
      <c r="K144" s="173">
        <v>57.72</v>
      </c>
    </row>
    <row r="145" spans="1:22" ht="28.5" x14ac:dyDescent="0.2">
      <c r="A145" s="179" t="s">
        <v>1574</v>
      </c>
      <c r="B145" s="178" t="s">
        <v>3162</v>
      </c>
      <c r="C145" s="178" t="s">
        <v>754</v>
      </c>
      <c r="D145" s="177" t="s">
        <v>1533</v>
      </c>
      <c r="E145" s="174">
        <v>1.295E-2</v>
      </c>
      <c r="F145" s="176">
        <v>26732.5</v>
      </c>
      <c r="G145" s="182" t="s">
        <v>195</v>
      </c>
      <c r="H145" s="174">
        <v>1</v>
      </c>
      <c r="I145" s="173">
        <v>346.19</v>
      </c>
      <c r="J145" s="174">
        <v>1.96</v>
      </c>
      <c r="K145" s="173">
        <v>678.53</v>
      </c>
      <c r="Q145" s="160">
        <f>[9]Source!X119</f>
        <v>0</v>
      </c>
      <c r="R145" s="160">
        <f>[9]Source!X120</f>
        <v>0</v>
      </c>
      <c r="S145" s="160">
        <f>[9]Source!Y119</f>
        <v>0</v>
      </c>
      <c r="T145" s="160">
        <f>[9]Source!Y120</f>
        <v>0</v>
      </c>
      <c r="U145" s="160">
        <f>ROUND((175/100)*ROUND([9]Source!R119, 2), 2)</f>
        <v>0</v>
      </c>
      <c r="V145" s="160">
        <f>ROUND((157/100)*ROUND([9]Source!R120, 2), 2)</f>
        <v>0</v>
      </c>
    </row>
    <row r="146" spans="1:22" ht="57" x14ac:dyDescent="0.2">
      <c r="A146" s="179" t="s">
        <v>1575</v>
      </c>
      <c r="B146" s="178" t="s">
        <v>2611</v>
      </c>
      <c r="C146" s="178" t="s">
        <v>735</v>
      </c>
      <c r="D146" s="177" t="s">
        <v>1661</v>
      </c>
      <c r="E146" s="174">
        <v>4</v>
      </c>
      <c r="F146" s="176">
        <v>74.37</v>
      </c>
      <c r="G146" s="182" t="s">
        <v>195</v>
      </c>
      <c r="H146" s="174">
        <v>1</v>
      </c>
      <c r="I146" s="173">
        <v>297.48</v>
      </c>
      <c r="J146" s="174">
        <v>11.27</v>
      </c>
      <c r="K146" s="173">
        <v>3352.6</v>
      </c>
      <c r="Q146" s="160">
        <f>[9]Source!X121</f>
        <v>0</v>
      </c>
      <c r="R146" s="160">
        <f>[9]Source!X122</f>
        <v>0</v>
      </c>
      <c r="S146" s="160">
        <f>[9]Source!Y121</f>
        <v>0</v>
      </c>
      <c r="T146" s="160">
        <f>[9]Source!Y122</f>
        <v>0</v>
      </c>
      <c r="U146" s="160">
        <f>ROUND((175/100)*ROUND([9]Source!R121, 2), 2)</f>
        <v>0</v>
      </c>
      <c r="V146" s="160">
        <f>ROUND((157/100)*ROUND([9]Source!R122, 2), 2)</f>
        <v>0</v>
      </c>
    </row>
    <row r="147" spans="1:22" ht="57" x14ac:dyDescent="0.2">
      <c r="A147" s="179" t="s">
        <v>2471</v>
      </c>
      <c r="B147" s="178" t="s">
        <v>3167</v>
      </c>
      <c r="C147" s="178" t="s">
        <v>770</v>
      </c>
      <c r="D147" s="177" t="s">
        <v>1552</v>
      </c>
      <c r="E147" s="174">
        <v>35</v>
      </c>
      <c r="F147" s="176">
        <v>41.59</v>
      </c>
      <c r="G147" s="182" t="s">
        <v>195</v>
      </c>
      <c r="H147" s="174">
        <v>1</v>
      </c>
      <c r="I147" s="173">
        <v>1455.65</v>
      </c>
      <c r="J147" s="174">
        <v>9.0299999999999994</v>
      </c>
      <c r="K147" s="173">
        <v>13144.52</v>
      </c>
      <c r="Q147" s="160">
        <f>[9]Source!X125</f>
        <v>0</v>
      </c>
      <c r="R147" s="160">
        <f>[9]Source!X126</f>
        <v>0</v>
      </c>
      <c r="S147" s="160">
        <f>[9]Source!Y125</f>
        <v>0</v>
      </c>
      <c r="T147" s="160">
        <f>[9]Source!Y126</f>
        <v>0</v>
      </c>
      <c r="U147" s="160">
        <f>ROUND((175/100)*ROUND([9]Source!R125, 2), 2)</f>
        <v>0</v>
      </c>
      <c r="V147" s="160">
        <f>ROUND((157/100)*ROUND([9]Source!R126, 2), 2)</f>
        <v>0</v>
      </c>
    </row>
    <row r="148" spans="1:22" ht="14.25" x14ac:dyDescent="0.2">
      <c r="A148" s="179"/>
      <c r="B148" s="178"/>
      <c r="C148" s="178" t="s">
        <v>194</v>
      </c>
      <c r="D148" s="177" t="s">
        <v>187</v>
      </c>
      <c r="E148" s="174">
        <v>110</v>
      </c>
      <c r="F148" s="176"/>
      <c r="G148" s="175"/>
      <c r="H148" s="174"/>
      <c r="I148" s="173">
        <v>195.15</v>
      </c>
      <c r="J148" s="174">
        <v>88</v>
      </c>
      <c r="K148" s="173">
        <v>3517.4</v>
      </c>
    </row>
    <row r="149" spans="1:22" ht="14.25" x14ac:dyDescent="0.2">
      <c r="A149" s="179"/>
      <c r="B149" s="178"/>
      <c r="C149" s="178" t="s">
        <v>193</v>
      </c>
      <c r="D149" s="177" t="s">
        <v>187</v>
      </c>
      <c r="E149" s="174">
        <v>74</v>
      </c>
      <c r="F149" s="176"/>
      <c r="G149" s="175"/>
      <c r="H149" s="174"/>
      <c r="I149" s="173">
        <v>114.69</v>
      </c>
      <c r="J149" s="174">
        <v>41</v>
      </c>
      <c r="K149" s="173">
        <v>1638.79</v>
      </c>
    </row>
    <row r="150" spans="1:22" ht="14.25" x14ac:dyDescent="0.2">
      <c r="A150" s="179"/>
      <c r="B150" s="178"/>
      <c r="C150" s="178" t="s">
        <v>188</v>
      </c>
      <c r="D150" s="177" t="s">
        <v>187</v>
      </c>
      <c r="E150" s="174">
        <v>175</v>
      </c>
      <c r="F150" s="176"/>
      <c r="G150" s="175"/>
      <c r="H150" s="174"/>
      <c r="I150" s="173">
        <v>7.05</v>
      </c>
      <c r="J150" s="174">
        <v>157</v>
      </c>
      <c r="K150" s="173">
        <v>115.47</v>
      </c>
    </row>
    <row r="151" spans="1:22" ht="14.25" x14ac:dyDescent="0.2">
      <c r="A151" s="212"/>
      <c r="B151" s="211"/>
      <c r="C151" s="211" t="s">
        <v>192</v>
      </c>
      <c r="D151" s="210" t="s">
        <v>191</v>
      </c>
      <c r="E151" s="207">
        <v>33.700000000000003</v>
      </c>
      <c r="F151" s="209"/>
      <c r="G151" s="208" t="s">
        <v>1548</v>
      </c>
      <c r="H151" s="207">
        <v>1</v>
      </c>
      <c r="I151" s="206">
        <v>13.56</v>
      </c>
      <c r="J151" s="207"/>
      <c r="K151" s="206"/>
    </row>
    <row r="152" spans="1:22" ht="15" x14ac:dyDescent="0.25">
      <c r="A152" s="204"/>
      <c r="B152" s="204"/>
      <c r="C152" s="205" t="s">
        <v>183</v>
      </c>
      <c r="D152" s="204"/>
      <c r="E152" s="204"/>
      <c r="F152" s="204"/>
      <c r="G152" s="204"/>
      <c r="H152" s="438">
        <v>2622.52</v>
      </c>
      <c r="I152" s="438"/>
      <c r="J152" s="438">
        <v>26700.32</v>
      </c>
      <c r="K152" s="438"/>
      <c r="O152" s="163">
        <f>I141+I142+I144+I148+I149+I150+SUM(I145:I147)</f>
        <v>2622.52</v>
      </c>
      <c r="P152" s="163">
        <f>K141+K142+K144+K148+K149+K150+SUM(K145:K147)</f>
        <v>26700.32</v>
      </c>
    </row>
    <row r="154" spans="1:22" ht="57" x14ac:dyDescent="0.2">
      <c r="A154" s="179" t="s">
        <v>1578</v>
      </c>
      <c r="B154" s="178" t="s">
        <v>760</v>
      </c>
      <c r="C154" s="178" t="s">
        <v>759</v>
      </c>
      <c r="D154" s="177" t="s">
        <v>2599</v>
      </c>
      <c r="E154" s="174">
        <v>1.35</v>
      </c>
      <c r="F154" s="176"/>
      <c r="G154" s="175"/>
      <c r="H154" s="174"/>
      <c r="I154" s="173"/>
      <c r="J154" s="174"/>
      <c r="K154" s="173"/>
      <c r="Q154" s="160">
        <f>[9]Source!X127</f>
        <v>967.13</v>
      </c>
      <c r="R154" s="160">
        <f>[9]Source!X128</f>
        <v>17432.099999999999</v>
      </c>
      <c r="S154" s="160">
        <f>[9]Source!Y127</f>
        <v>568.4</v>
      </c>
      <c r="T154" s="160">
        <f>[9]Source!Y128</f>
        <v>8121.78</v>
      </c>
      <c r="U154" s="160">
        <f>ROUND((175/100)*ROUND([9]Source!R127, 2), 2)</f>
        <v>47.9</v>
      </c>
      <c r="V154" s="160">
        <f>ROUND((157/100)*ROUND([9]Source!R128, 2), 2)</f>
        <v>801.74</v>
      </c>
    </row>
    <row r="155" spans="1:22" x14ac:dyDescent="0.2">
      <c r="C155" s="181" t="s">
        <v>3168</v>
      </c>
    </row>
    <row r="156" spans="1:22" ht="14.25" x14ac:dyDescent="0.2">
      <c r="A156" s="179"/>
      <c r="B156" s="178"/>
      <c r="C156" s="178" t="s">
        <v>197</v>
      </c>
      <c r="D156" s="177"/>
      <c r="E156" s="174"/>
      <c r="F156" s="176">
        <v>546.45000000000005</v>
      </c>
      <c r="G156" s="175" t="s">
        <v>1548</v>
      </c>
      <c r="H156" s="174">
        <v>1</v>
      </c>
      <c r="I156" s="173">
        <v>848.36</v>
      </c>
      <c r="J156" s="174">
        <v>23.35</v>
      </c>
      <c r="K156" s="173">
        <v>19809.21</v>
      </c>
    </row>
    <row r="157" spans="1:22" ht="14.25" x14ac:dyDescent="0.2">
      <c r="A157" s="179"/>
      <c r="B157" s="178"/>
      <c r="C157" s="178" t="s">
        <v>184</v>
      </c>
      <c r="D157" s="177"/>
      <c r="E157" s="174"/>
      <c r="F157" s="176">
        <v>76.78</v>
      </c>
      <c r="G157" s="175" t="s">
        <v>1549</v>
      </c>
      <c r="H157" s="174">
        <v>1</v>
      </c>
      <c r="I157" s="173">
        <v>129.57</v>
      </c>
      <c r="J157" s="174">
        <v>9.02</v>
      </c>
      <c r="K157" s="173">
        <v>1278.31</v>
      </c>
    </row>
    <row r="158" spans="1:22" ht="14.25" x14ac:dyDescent="0.2">
      <c r="A158" s="179"/>
      <c r="B158" s="178"/>
      <c r="C158" s="178" t="s">
        <v>189</v>
      </c>
      <c r="D158" s="177"/>
      <c r="E158" s="174"/>
      <c r="F158" s="176">
        <v>16.22</v>
      </c>
      <c r="G158" s="175" t="s">
        <v>1549</v>
      </c>
      <c r="H158" s="174">
        <v>1</v>
      </c>
      <c r="I158" s="180">
        <v>27.37</v>
      </c>
      <c r="J158" s="174">
        <v>23.35</v>
      </c>
      <c r="K158" s="180">
        <v>510.66</v>
      </c>
    </row>
    <row r="159" spans="1:22" ht="14.25" x14ac:dyDescent="0.2">
      <c r="A159" s="179"/>
      <c r="B159" s="178"/>
      <c r="C159" s="178" t="s">
        <v>205</v>
      </c>
      <c r="D159" s="177"/>
      <c r="E159" s="174"/>
      <c r="F159" s="176">
        <v>61.03</v>
      </c>
      <c r="G159" s="175" t="s">
        <v>195</v>
      </c>
      <c r="H159" s="174">
        <v>1</v>
      </c>
      <c r="I159" s="173">
        <v>82.39</v>
      </c>
      <c r="J159" s="174">
        <v>4.26</v>
      </c>
      <c r="K159" s="173">
        <v>350.98</v>
      </c>
    </row>
    <row r="160" spans="1:22" ht="28.5" x14ac:dyDescent="0.2">
      <c r="A160" s="179" t="s">
        <v>1581</v>
      </c>
      <c r="B160" s="178" t="s">
        <v>3162</v>
      </c>
      <c r="C160" s="178" t="s">
        <v>754</v>
      </c>
      <c r="D160" s="177" t="s">
        <v>1533</v>
      </c>
      <c r="E160" s="174">
        <v>4.9950000000000001E-2</v>
      </c>
      <c r="F160" s="176">
        <v>26732.5</v>
      </c>
      <c r="G160" s="182" t="s">
        <v>195</v>
      </c>
      <c r="H160" s="174">
        <v>1</v>
      </c>
      <c r="I160" s="173">
        <v>1335.29</v>
      </c>
      <c r="J160" s="174">
        <v>1.96</v>
      </c>
      <c r="K160" s="173">
        <v>2617.17</v>
      </c>
      <c r="Q160" s="160">
        <f>[9]Source!X129</f>
        <v>0</v>
      </c>
      <c r="R160" s="160">
        <f>[9]Source!X130</f>
        <v>0</v>
      </c>
      <c r="S160" s="160">
        <f>[9]Source!Y129</f>
        <v>0</v>
      </c>
      <c r="T160" s="160">
        <f>[9]Source!Y130</f>
        <v>0</v>
      </c>
      <c r="U160" s="160">
        <f>ROUND((175/100)*ROUND([9]Source!R129, 2), 2)</f>
        <v>0</v>
      </c>
      <c r="V160" s="160">
        <f>ROUND((157/100)*ROUND([9]Source!R130, 2), 2)</f>
        <v>0</v>
      </c>
    </row>
    <row r="161" spans="1:22" ht="42.75" x14ac:dyDescent="0.2">
      <c r="A161" s="179" t="s">
        <v>1582</v>
      </c>
      <c r="B161" s="178" t="s">
        <v>3169</v>
      </c>
      <c r="C161" s="178" t="s">
        <v>803</v>
      </c>
      <c r="D161" s="177" t="s">
        <v>1661</v>
      </c>
      <c r="E161" s="174">
        <v>2</v>
      </c>
      <c r="F161" s="176">
        <v>256.39999999999998</v>
      </c>
      <c r="G161" s="182" t="s">
        <v>195</v>
      </c>
      <c r="H161" s="174">
        <v>1</v>
      </c>
      <c r="I161" s="173">
        <v>512.79999999999995</v>
      </c>
      <c r="J161" s="174">
        <v>4.3099999999999996</v>
      </c>
      <c r="K161" s="173">
        <v>2210.17</v>
      </c>
      <c r="Q161" s="160">
        <f>[9]Source!X131</f>
        <v>0</v>
      </c>
      <c r="R161" s="160">
        <f>[9]Source!X132</f>
        <v>0</v>
      </c>
      <c r="S161" s="160">
        <f>[9]Source!Y131</f>
        <v>0</v>
      </c>
      <c r="T161" s="160">
        <f>[9]Source!Y132</f>
        <v>0</v>
      </c>
      <c r="U161" s="160">
        <f>ROUND((175/100)*ROUND([9]Source!R131, 2), 2)</f>
        <v>0</v>
      </c>
      <c r="V161" s="160">
        <f>ROUND((157/100)*ROUND([9]Source!R132, 2), 2)</f>
        <v>0</v>
      </c>
    </row>
    <row r="162" spans="1:22" ht="57" x14ac:dyDescent="0.2">
      <c r="A162" s="179" t="s">
        <v>1585</v>
      </c>
      <c r="B162" s="178" t="s">
        <v>3170</v>
      </c>
      <c r="C162" s="178" t="s">
        <v>757</v>
      </c>
      <c r="D162" s="177" t="s">
        <v>1552</v>
      </c>
      <c r="E162" s="174">
        <v>135</v>
      </c>
      <c r="F162" s="176">
        <v>76.13</v>
      </c>
      <c r="G162" s="182" t="s">
        <v>195</v>
      </c>
      <c r="H162" s="174">
        <v>1</v>
      </c>
      <c r="I162" s="173">
        <v>10277.549999999999</v>
      </c>
      <c r="J162" s="174">
        <v>8.82</v>
      </c>
      <c r="K162" s="173">
        <v>90647.99</v>
      </c>
      <c r="Q162" s="160">
        <f>[9]Source!X133</f>
        <v>0</v>
      </c>
      <c r="R162" s="160">
        <f>[9]Source!X134</f>
        <v>0</v>
      </c>
      <c r="S162" s="160">
        <f>[9]Source!Y133</f>
        <v>0</v>
      </c>
      <c r="T162" s="160">
        <f>[9]Source!Y134</f>
        <v>0</v>
      </c>
      <c r="U162" s="160">
        <f>ROUND((175/100)*ROUND([9]Source!R133, 2), 2)</f>
        <v>0</v>
      </c>
      <c r="V162" s="160">
        <f>ROUND((157/100)*ROUND([9]Source!R134, 2), 2)</f>
        <v>0</v>
      </c>
    </row>
    <row r="163" spans="1:22" ht="14.25" x14ac:dyDescent="0.2">
      <c r="A163" s="179"/>
      <c r="B163" s="178"/>
      <c r="C163" s="178" t="s">
        <v>194</v>
      </c>
      <c r="D163" s="177" t="s">
        <v>187</v>
      </c>
      <c r="E163" s="174">
        <v>110</v>
      </c>
      <c r="F163" s="176"/>
      <c r="G163" s="175"/>
      <c r="H163" s="174"/>
      <c r="I163" s="173">
        <v>967.13</v>
      </c>
      <c r="J163" s="174">
        <v>88</v>
      </c>
      <c r="K163" s="173">
        <v>17432.099999999999</v>
      </c>
    </row>
    <row r="164" spans="1:22" ht="14.25" x14ac:dyDescent="0.2">
      <c r="A164" s="179"/>
      <c r="B164" s="178"/>
      <c r="C164" s="178" t="s">
        <v>193</v>
      </c>
      <c r="D164" s="177" t="s">
        <v>187</v>
      </c>
      <c r="E164" s="174">
        <v>74</v>
      </c>
      <c r="F164" s="176"/>
      <c r="G164" s="175"/>
      <c r="H164" s="174"/>
      <c r="I164" s="173">
        <v>568.4</v>
      </c>
      <c r="J164" s="174">
        <v>41</v>
      </c>
      <c r="K164" s="173">
        <v>8121.78</v>
      </c>
    </row>
    <row r="165" spans="1:22" ht="14.25" x14ac:dyDescent="0.2">
      <c r="A165" s="179"/>
      <c r="B165" s="178"/>
      <c r="C165" s="178" t="s">
        <v>188</v>
      </c>
      <c r="D165" s="177" t="s">
        <v>187</v>
      </c>
      <c r="E165" s="174">
        <v>175</v>
      </c>
      <c r="F165" s="176"/>
      <c r="G165" s="175"/>
      <c r="H165" s="174"/>
      <c r="I165" s="173">
        <v>47.9</v>
      </c>
      <c r="J165" s="174">
        <v>157</v>
      </c>
      <c r="K165" s="173">
        <v>801.74</v>
      </c>
    </row>
    <row r="166" spans="1:22" ht="14.25" x14ac:dyDescent="0.2">
      <c r="A166" s="212"/>
      <c r="B166" s="211"/>
      <c r="C166" s="211" t="s">
        <v>192</v>
      </c>
      <c r="D166" s="210" t="s">
        <v>191</v>
      </c>
      <c r="E166" s="207">
        <v>43.3</v>
      </c>
      <c r="F166" s="209"/>
      <c r="G166" s="208" t="s">
        <v>1548</v>
      </c>
      <c r="H166" s="207">
        <v>1</v>
      </c>
      <c r="I166" s="206">
        <v>67.22</v>
      </c>
      <c r="J166" s="207"/>
      <c r="K166" s="206"/>
    </row>
    <row r="167" spans="1:22" ht="15" x14ac:dyDescent="0.25">
      <c r="A167" s="204"/>
      <c r="B167" s="204"/>
      <c r="C167" s="205" t="s">
        <v>183</v>
      </c>
      <c r="D167" s="204"/>
      <c r="E167" s="204"/>
      <c r="F167" s="204"/>
      <c r="G167" s="204"/>
      <c r="H167" s="438">
        <v>14769.39</v>
      </c>
      <c r="I167" s="438"/>
      <c r="J167" s="438">
        <v>143269.45000000001</v>
      </c>
      <c r="K167" s="438"/>
      <c r="O167" s="163">
        <f>I156+I157+I159+I163+I164+I165+SUM(I160:I162)</f>
        <v>14769.39</v>
      </c>
      <c r="P167" s="163">
        <f>K156+K157+K159+K163+K164+K165+SUM(K160:K162)</f>
        <v>143269.45000000001</v>
      </c>
    </row>
    <row r="169" spans="1:22" ht="57" x14ac:dyDescent="0.2">
      <c r="A169" s="179" t="s">
        <v>1587</v>
      </c>
      <c r="B169" s="178" t="s">
        <v>802</v>
      </c>
      <c r="C169" s="178" t="s">
        <v>801</v>
      </c>
      <c r="D169" s="177" t="s">
        <v>2599</v>
      </c>
      <c r="E169" s="174">
        <v>0.05</v>
      </c>
      <c r="F169" s="176"/>
      <c r="G169" s="175"/>
      <c r="H169" s="174"/>
      <c r="I169" s="173"/>
      <c r="J169" s="174"/>
      <c r="K169" s="173"/>
      <c r="Q169" s="160">
        <f>[9]Source!X135</f>
        <v>54.41</v>
      </c>
      <c r="R169" s="160">
        <f>[9]Source!X136</f>
        <v>980.76</v>
      </c>
      <c r="S169" s="160">
        <f>[9]Source!Y135</f>
        <v>31.98</v>
      </c>
      <c r="T169" s="160">
        <f>[9]Source!Y136</f>
        <v>456.95</v>
      </c>
      <c r="U169" s="160">
        <f>ROUND((175/100)*ROUND([9]Source!R135, 2), 2)</f>
        <v>2.94</v>
      </c>
      <c r="V169" s="160">
        <f>ROUND((157/100)*ROUND([9]Source!R136, 2), 2)</f>
        <v>58.66</v>
      </c>
    </row>
    <row r="170" spans="1:22" x14ac:dyDescent="0.2">
      <c r="C170" s="181" t="s">
        <v>3171</v>
      </c>
    </row>
    <row r="171" spans="1:22" ht="14.25" x14ac:dyDescent="0.2">
      <c r="A171" s="179"/>
      <c r="B171" s="178"/>
      <c r="C171" s="178" t="s">
        <v>197</v>
      </c>
      <c r="D171" s="177"/>
      <c r="E171" s="174"/>
      <c r="F171" s="176">
        <v>830.07</v>
      </c>
      <c r="G171" s="175" t="s">
        <v>1548</v>
      </c>
      <c r="H171" s="174">
        <v>1</v>
      </c>
      <c r="I171" s="173">
        <v>47.73</v>
      </c>
      <c r="J171" s="174">
        <v>23.35</v>
      </c>
      <c r="K171" s="173">
        <v>1114.5</v>
      </c>
    </row>
    <row r="172" spans="1:22" ht="14.25" x14ac:dyDescent="0.2">
      <c r="A172" s="179"/>
      <c r="B172" s="178"/>
      <c r="C172" s="178" t="s">
        <v>184</v>
      </c>
      <c r="D172" s="177"/>
      <c r="E172" s="174"/>
      <c r="F172" s="176">
        <v>166.84</v>
      </c>
      <c r="G172" s="175" t="s">
        <v>1549</v>
      </c>
      <c r="H172" s="174">
        <v>1</v>
      </c>
      <c r="I172" s="173">
        <v>10.43</v>
      </c>
      <c r="J172" s="174">
        <v>9.18</v>
      </c>
      <c r="K172" s="173">
        <v>99.6</v>
      </c>
    </row>
    <row r="173" spans="1:22" ht="14.25" x14ac:dyDescent="0.2">
      <c r="A173" s="179"/>
      <c r="B173" s="178"/>
      <c r="C173" s="178" t="s">
        <v>189</v>
      </c>
      <c r="D173" s="177"/>
      <c r="E173" s="174"/>
      <c r="F173" s="176">
        <v>26.86</v>
      </c>
      <c r="G173" s="175" t="s">
        <v>1549</v>
      </c>
      <c r="H173" s="174">
        <v>1</v>
      </c>
      <c r="I173" s="180">
        <v>1.68</v>
      </c>
      <c r="J173" s="174">
        <v>23.35</v>
      </c>
      <c r="K173" s="180">
        <v>37.36</v>
      </c>
    </row>
    <row r="174" spans="1:22" ht="14.25" x14ac:dyDescent="0.2">
      <c r="A174" s="179"/>
      <c r="B174" s="178"/>
      <c r="C174" s="178" t="s">
        <v>205</v>
      </c>
      <c r="D174" s="177"/>
      <c r="E174" s="174"/>
      <c r="F174" s="176">
        <v>199.72</v>
      </c>
      <c r="G174" s="175" t="s">
        <v>195</v>
      </c>
      <c r="H174" s="174">
        <v>1</v>
      </c>
      <c r="I174" s="173">
        <v>9.99</v>
      </c>
      <c r="J174" s="174">
        <v>5.61</v>
      </c>
      <c r="K174" s="173">
        <v>56.04</v>
      </c>
    </row>
    <row r="175" spans="1:22" ht="28.5" x14ac:dyDescent="0.2">
      <c r="A175" s="179" t="s">
        <v>1588</v>
      </c>
      <c r="B175" s="178" t="s">
        <v>3162</v>
      </c>
      <c r="C175" s="178" t="s">
        <v>754</v>
      </c>
      <c r="D175" s="177" t="s">
        <v>1533</v>
      </c>
      <c r="E175" s="174">
        <v>1.8500000000000001E-3</v>
      </c>
      <c r="F175" s="176">
        <v>26732.5</v>
      </c>
      <c r="G175" s="182" t="s">
        <v>195</v>
      </c>
      <c r="H175" s="174">
        <v>1</v>
      </c>
      <c r="I175" s="173">
        <v>49.46</v>
      </c>
      <c r="J175" s="174">
        <v>1.96</v>
      </c>
      <c r="K175" s="173">
        <v>96.94</v>
      </c>
      <c r="Q175" s="160">
        <f>[9]Source!X137</f>
        <v>0</v>
      </c>
      <c r="R175" s="160">
        <f>[9]Source!X138</f>
        <v>0</v>
      </c>
      <c r="S175" s="160">
        <f>[9]Source!Y137</f>
        <v>0</v>
      </c>
      <c r="T175" s="160">
        <f>[9]Source!Y138</f>
        <v>0</v>
      </c>
      <c r="U175" s="160">
        <f>ROUND((175/100)*ROUND([9]Source!R137, 2), 2)</f>
        <v>0</v>
      </c>
      <c r="V175" s="160">
        <f>ROUND((157/100)*ROUND([9]Source!R138, 2), 2)</f>
        <v>0</v>
      </c>
    </row>
    <row r="176" spans="1:22" ht="57" x14ac:dyDescent="0.2">
      <c r="A176" s="179" t="s">
        <v>1967</v>
      </c>
      <c r="B176" s="178" t="s">
        <v>3172</v>
      </c>
      <c r="C176" s="178" t="s">
        <v>800</v>
      </c>
      <c r="D176" s="177" t="s">
        <v>1552</v>
      </c>
      <c r="E176" s="174">
        <v>5</v>
      </c>
      <c r="F176" s="176">
        <v>137.55000000000001</v>
      </c>
      <c r="G176" s="182" t="s">
        <v>195</v>
      </c>
      <c r="H176" s="174">
        <v>1</v>
      </c>
      <c r="I176" s="173">
        <v>687.75</v>
      </c>
      <c r="J176" s="174">
        <v>11.82</v>
      </c>
      <c r="K176" s="173">
        <v>8129.21</v>
      </c>
      <c r="Q176" s="160">
        <f>[9]Source!X139</f>
        <v>0</v>
      </c>
      <c r="R176" s="160">
        <f>[9]Source!X140</f>
        <v>0</v>
      </c>
      <c r="S176" s="160">
        <f>[9]Source!Y139</f>
        <v>0</v>
      </c>
      <c r="T176" s="160">
        <f>[9]Source!Y140</f>
        <v>0</v>
      </c>
      <c r="U176" s="160">
        <f>ROUND((175/100)*ROUND([9]Source!R139, 2), 2)</f>
        <v>0</v>
      </c>
      <c r="V176" s="160">
        <f>ROUND((157/100)*ROUND([9]Source!R140, 2), 2)</f>
        <v>0</v>
      </c>
    </row>
    <row r="177" spans="1:22" ht="14.25" x14ac:dyDescent="0.2">
      <c r="A177" s="179"/>
      <c r="B177" s="178"/>
      <c r="C177" s="178" t="s">
        <v>194</v>
      </c>
      <c r="D177" s="177" t="s">
        <v>187</v>
      </c>
      <c r="E177" s="174">
        <v>110</v>
      </c>
      <c r="F177" s="176"/>
      <c r="G177" s="175"/>
      <c r="H177" s="174"/>
      <c r="I177" s="173">
        <v>54.41</v>
      </c>
      <c r="J177" s="174">
        <v>88</v>
      </c>
      <c r="K177" s="173">
        <v>980.76</v>
      </c>
    </row>
    <row r="178" spans="1:22" ht="14.25" x14ac:dyDescent="0.2">
      <c r="A178" s="179"/>
      <c r="B178" s="178"/>
      <c r="C178" s="178" t="s">
        <v>193</v>
      </c>
      <c r="D178" s="177" t="s">
        <v>187</v>
      </c>
      <c r="E178" s="174">
        <v>74</v>
      </c>
      <c r="F178" s="176"/>
      <c r="G178" s="175"/>
      <c r="H178" s="174"/>
      <c r="I178" s="173">
        <v>31.98</v>
      </c>
      <c r="J178" s="174">
        <v>41</v>
      </c>
      <c r="K178" s="173">
        <v>456.95</v>
      </c>
    </row>
    <row r="179" spans="1:22" ht="14.25" x14ac:dyDescent="0.2">
      <c r="A179" s="179"/>
      <c r="B179" s="178"/>
      <c r="C179" s="178" t="s">
        <v>188</v>
      </c>
      <c r="D179" s="177" t="s">
        <v>187</v>
      </c>
      <c r="E179" s="174">
        <v>175</v>
      </c>
      <c r="F179" s="176"/>
      <c r="G179" s="175"/>
      <c r="H179" s="174"/>
      <c r="I179" s="173">
        <v>2.94</v>
      </c>
      <c r="J179" s="174">
        <v>157</v>
      </c>
      <c r="K179" s="173">
        <v>58.66</v>
      </c>
    </row>
    <row r="180" spans="1:22" ht="14.25" x14ac:dyDescent="0.2">
      <c r="A180" s="212"/>
      <c r="B180" s="211"/>
      <c r="C180" s="211" t="s">
        <v>192</v>
      </c>
      <c r="D180" s="210" t="s">
        <v>191</v>
      </c>
      <c r="E180" s="207">
        <v>69</v>
      </c>
      <c r="F180" s="209"/>
      <c r="G180" s="208" t="s">
        <v>1548</v>
      </c>
      <c r="H180" s="207">
        <v>1</v>
      </c>
      <c r="I180" s="206">
        <v>3.97</v>
      </c>
      <c r="J180" s="207"/>
      <c r="K180" s="206"/>
    </row>
    <row r="181" spans="1:22" ht="15" x14ac:dyDescent="0.25">
      <c r="A181" s="204"/>
      <c r="B181" s="204"/>
      <c r="C181" s="205" t="s">
        <v>183</v>
      </c>
      <c r="D181" s="204"/>
      <c r="E181" s="204"/>
      <c r="F181" s="204"/>
      <c r="G181" s="204"/>
      <c r="H181" s="438">
        <v>894.69</v>
      </c>
      <c r="I181" s="438"/>
      <c r="J181" s="438">
        <v>10992.66</v>
      </c>
      <c r="K181" s="438"/>
      <c r="O181" s="163">
        <f>I171+I172+I174+I177+I178+I179+SUM(I175:I176)</f>
        <v>894.69</v>
      </c>
      <c r="P181" s="163">
        <f>K171+K172+K174+K177+K178+K179+SUM(K175:K176)</f>
        <v>10992.66</v>
      </c>
    </row>
    <row r="183" spans="1:22" ht="57" x14ac:dyDescent="0.2">
      <c r="A183" s="179" t="s">
        <v>1589</v>
      </c>
      <c r="B183" s="178" t="s">
        <v>752</v>
      </c>
      <c r="C183" s="178" t="s">
        <v>751</v>
      </c>
      <c r="D183" s="177" t="s">
        <v>2599</v>
      </c>
      <c r="E183" s="174">
        <v>4.5</v>
      </c>
      <c r="F183" s="176"/>
      <c r="G183" s="175"/>
      <c r="H183" s="174"/>
      <c r="I183" s="173"/>
      <c r="J183" s="174"/>
      <c r="K183" s="173"/>
      <c r="Q183" s="160">
        <f>[9]Source!X141</f>
        <v>790.91</v>
      </c>
      <c r="R183" s="160">
        <f>[9]Source!X142</f>
        <v>14774.21</v>
      </c>
      <c r="S183" s="160">
        <f>[9]Source!Y141</f>
        <v>532.07000000000005</v>
      </c>
      <c r="T183" s="160">
        <f>[9]Source!Y142</f>
        <v>6883.44</v>
      </c>
      <c r="U183" s="160">
        <f>ROUND((175/100)*ROUND([9]Source!R141, 2), 2)</f>
        <v>0</v>
      </c>
      <c r="V183" s="160">
        <f>ROUND((157/100)*ROUND([9]Source!R142, 2), 2)</f>
        <v>0</v>
      </c>
    </row>
    <row r="184" spans="1:22" x14ac:dyDescent="0.2">
      <c r="C184" s="181" t="s">
        <v>3173</v>
      </c>
    </row>
    <row r="185" spans="1:22" ht="14.25" x14ac:dyDescent="0.2">
      <c r="A185" s="179"/>
      <c r="B185" s="178"/>
      <c r="C185" s="178" t="s">
        <v>197</v>
      </c>
      <c r="D185" s="177"/>
      <c r="E185" s="174"/>
      <c r="F185" s="176">
        <v>138.94</v>
      </c>
      <c r="G185" s="175" t="s">
        <v>1548</v>
      </c>
      <c r="H185" s="174">
        <v>1</v>
      </c>
      <c r="I185" s="173">
        <v>719.01</v>
      </c>
      <c r="J185" s="174">
        <v>23.35</v>
      </c>
      <c r="K185" s="173">
        <v>16788.88</v>
      </c>
    </row>
    <row r="186" spans="1:22" ht="14.25" x14ac:dyDescent="0.2">
      <c r="A186" s="179"/>
      <c r="B186" s="178"/>
      <c r="C186" s="178" t="s">
        <v>205</v>
      </c>
      <c r="D186" s="177"/>
      <c r="E186" s="174"/>
      <c r="F186" s="176">
        <v>8.4</v>
      </c>
      <c r="G186" s="175" t="s">
        <v>195</v>
      </c>
      <c r="H186" s="174">
        <v>1</v>
      </c>
      <c r="I186" s="173">
        <v>37.799999999999997</v>
      </c>
      <c r="J186" s="174">
        <v>4.87</v>
      </c>
      <c r="K186" s="173">
        <v>184.09</v>
      </c>
    </row>
    <row r="187" spans="1:22" ht="14.25" x14ac:dyDescent="0.2">
      <c r="A187" s="179"/>
      <c r="B187" s="178"/>
      <c r="C187" s="178" t="s">
        <v>194</v>
      </c>
      <c r="D187" s="177" t="s">
        <v>187</v>
      </c>
      <c r="E187" s="174">
        <v>110</v>
      </c>
      <c r="F187" s="176"/>
      <c r="G187" s="175"/>
      <c r="H187" s="174"/>
      <c r="I187" s="173">
        <v>790.91</v>
      </c>
      <c r="J187" s="174">
        <v>88</v>
      </c>
      <c r="K187" s="173">
        <v>14774.21</v>
      </c>
    </row>
    <row r="188" spans="1:22" ht="14.25" x14ac:dyDescent="0.2">
      <c r="A188" s="179"/>
      <c r="B188" s="178"/>
      <c r="C188" s="178" t="s">
        <v>193</v>
      </c>
      <c r="D188" s="177" t="s">
        <v>187</v>
      </c>
      <c r="E188" s="174">
        <v>74</v>
      </c>
      <c r="F188" s="176"/>
      <c r="G188" s="175"/>
      <c r="H188" s="174"/>
      <c r="I188" s="173">
        <v>532.07000000000005</v>
      </c>
      <c r="J188" s="174">
        <v>41</v>
      </c>
      <c r="K188" s="173">
        <v>6883.44</v>
      </c>
    </row>
    <row r="189" spans="1:22" ht="14.25" x14ac:dyDescent="0.2">
      <c r="A189" s="212"/>
      <c r="B189" s="211"/>
      <c r="C189" s="211" t="s">
        <v>192</v>
      </c>
      <c r="D189" s="210" t="s">
        <v>191</v>
      </c>
      <c r="E189" s="207">
        <v>9.25</v>
      </c>
      <c r="F189" s="209"/>
      <c r="G189" s="208" t="s">
        <v>1548</v>
      </c>
      <c r="H189" s="207">
        <v>1</v>
      </c>
      <c r="I189" s="206">
        <v>47.87</v>
      </c>
      <c r="J189" s="207"/>
      <c r="K189" s="206"/>
    </row>
    <row r="190" spans="1:22" ht="15" x14ac:dyDescent="0.25">
      <c r="A190" s="204"/>
      <c r="B190" s="204"/>
      <c r="C190" s="205" t="s">
        <v>183</v>
      </c>
      <c r="D190" s="204"/>
      <c r="E190" s="204"/>
      <c r="F190" s="204"/>
      <c r="G190" s="204"/>
      <c r="H190" s="438">
        <v>2079.79</v>
      </c>
      <c r="I190" s="438"/>
      <c r="J190" s="438">
        <v>38630.620000000003</v>
      </c>
      <c r="K190" s="438"/>
      <c r="O190" s="163">
        <f>I185+I186+I187+I188</f>
        <v>2079.79</v>
      </c>
      <c r="P190" s="163">
        <f>K185+K186+K187+K188</f>
        <v>38630.620000000003</v>
      </c>
    </row>
    <row r="192" spans="1:22" ht="57" x14ac:dyDescent="0.2">
      <c r="A192" s="179" t="s">
        <v>1599</v>
      </c>
      <c r="B192" s="178" t="s">
        <v>750</v>
      </c>
      <c r="C192" s="178" t="s">
        <v>749</v>
      </c>
      <c r="D192" s="177" t="s">
        <v>2599</v>
      </c>
      <c r="E192" s="174">
        <v>0.05</v>
      </c>
      <c r="F192" s="176"/>
      <c r="G192" s="175"/>
      <c r="H192" s="174"/>
      <c r="I192" s="173"/>
      <c r="J192" s="174"/>
      <c r="K192" s="173"/>
      <c r="Q192" s="160">
        <f>[9]Source!X143</f>
        <v>8.7899999999999991</v>
      </c>
      <c r="R192" s="160">
        <f>[9]Source!X144</f>
        <v>164.18</v>
      </c>
      <c r="S192" s="160">
        <f>[9]Source!Y143</f>
        <v>5.91</v>
      </c>
      <c r="T192" s="160">
        <f>[9]Source!Y144</f>
        <v>76.489999999999995</v>
      </c>
      <c r="U192" s="160">
        <f>ROUND((175/100)*ROUND([9]Source!R143, 2), 2)</f>
        <v>0</v>
      </c>
      <c r="V192" s="160">
        <f>ROUND((157/100)*ROUND([9]Source!R144, 2), 2)</f>
        <v>0</v>
      </c>
    </row>
    <row r="193" spans="1:22" x14ac:dyDescent="0.2">
      <c r="C193" s="181" t="s">
        <v>3171</v>
      </c>
    </row>
    <row r="194" spans="1:22" ht="14.25" x14ac:dyDescent="0.2">
      <c r="A194" s="179"/>
      <c r="B194" s="178"/>
      <c r="C194" s="178" t="s">
        <v>197</v>
      </c>
      <c r="D194" s="177"/>
      <c r="E194" s="174"/>
      <c r="F194" s="176">
        <v>138.94</v>
      </c>
      <c r="G194" s="175" t="s">
        <v>1548</v>
      </c>
      <c r="H194" s="174">
        <v>1</v>
      </c>
      <c r="I194" s="173">
        <v>7.99</v>
      </c>
      <c r="J194" s="174">
        <v>23.35</v>
      </c>
      <c r="K194" s="173">
        <v>186.57</v>
      </c>
    </row>
    <row r="195" spans="1:22" ht="14.25" x14ac:dyDescent="0.2">
      <c r="A195" s="179"/>
      <c r="B195" s="178"/>
      <c r="C195" s="178" t="s">
        <v>205</v>
      </c>
      <c r="D195" s="177"/>
      <c r="E195" s="174"/>
      <c r="F195" s="176">
        <v>28.2</v>
      </c>
      <c r="G195" s="175" t="s">
        <v>195</v>
      </c>
      <c r="H195" s="174">
        <v>1</v>
      </c>
      <c r="I195" s="173">
        <v>1.41</v>
      </c>
      <c r="J195" s="174">
        <v>4.8</v>
      </c>
      <c r="K195" s="173">
        <v>6.77</v>
      </c>
    </row>
    <row r="196" spans="1:22" ht="14.25" x14ac:dyDescent="0.2">
      <c r="A196" s="179"/>
      <c r="B196" s="178"/>
      <c r="C196" s="178" t="s">
        <v>194</v>
      </c>
      <c r="D196" s="177" t="s">
        <v>187</v>
      </c>
      <c r="E196" s="174">
        <v>110</v>
      </c>
      <c r="F196" s="176"/>
      <c r="G196" s="175"/>
      <c r="H196" s="174"/>
      <c r="I196" s="173">
        <v>8.7899999999999991</v>
      </c>
      <c r="J196" s="174">
        <v>88</v>
      </c>
      <c r="K196" s="173">
        <v>164.18</v>
      </c>
    </row>
    <row r="197" spans="1:22" ht="14.25" x14ac:dyDescent="0.2">
      <c r="A197" s="179"/>
      <c r="B197" s="178"/>
      <c r="C197" s="178" t="s">
        <v>193</v>
      </c>
      <c r="D197" s="177" t="s">
        <v>187</v>
      </c>
      <c r="E197" s="174">
        <v>74</v>
      </c>
      <c r="F197" s="176"/>
      <c r="G197" s="175"/>
      <c r="H197" s="174"/>
      <c r="I197" s="173">
        <v>5.91</v>
      </c>
      <c r="J197" s="174">
        <v>41</v>
      </c>
      <c r="K197" s="173">
        <v>76.489999999999995</v>
      </c>
    </row>
    <row r="198" spans="1:22" ht="14.25" x14ac:dyDescent="0.2">
      <c r="A198" s="212"/>
      <c r="B198" s="211"/>
      <c r="C198" s="211" t="s">
        <v>192</v>
      </c>
      <c r="D198" s="210" t="s">
        <v>191</v>
      </c>
      <c r="E198" s="207">
        <v>9.25</v>
      </c>
      <c r="F198" s="209"/>
      <c r="G198" s="208" t="s">
        <v>1548</v>
      </c>
      <c r="H198" s="207">
        <v>1</v>
      </c>
      <c r="I198" s="206">
        <v>0.53</v>
      </c>
      <c r="J198" s="207"/>
      <c r="K198" s="206"/>
    </row>
    <row r="199" spans="1:22" ht="15" x14ac:dyDescent="0.25">
      <c r="A199" s="204"/>
      <c r="B199" s="204"/>
      <c r="C199" s="205" t="s">
        <v>183</v>
      </c>
      <c r="D199" s="204"/>
      <c r="E199" s="204"/>
      <c r="F199" s="204"/>
      <c r="G199" s="204"/>
      <c r="H199" s="438">
        <v>24.1</v>
      </c>
      <c r="I199" s="438"/>
      <c r="J199" s="438">
        <v>434.01</v>
      </c>
      <c r="K199" s="438"/>
      <c r="O199" s="163">
        <f>I194+I195+I196+I197</f>
        <v>24.1</v>
      </c>
      <c r="P199" s="163">
        <f>K194+K195+K196+K197</f>
        <v>434.01</v>
      </c>
    </row>
    <row r="201" spans="1:22" ht="52.5" x14ac:dyDescent="0.2">
      <c r="A201" s="179" t="s">
        <v>1602</v>
      </c>
      <c r="B201" s="178" t="s">
        <v>748</v>
      </c>
      <c r="C201" s="178" t="s">
        <v>747</v>
      </c>
      <c r="D201" s="177" t="s">
        <v>2634</v>
      </c>
      <c r="E201" s="174">
        <v>22.5</v>
      </c>
      <c r="F201" s="176"/>
      <c r="G201" s="175"/>
      <c r="H201" s="174"/>
      <c r="I201" s="173"/>
      <c r="J201" s="174"/>
      <c r="K201" s="173"/>
      <c r="Q201" s="160">
        <f>[9]Source!X145</f>
        <v>673.43</v>
      </c>
      <c r="R201" s="160">
        <f>[9]Source!X146</f>
        <v>12614.18</v>
      </c>
      <c r="S201" s="160">
        <f>[9]Source!Y145</f>
        <v>518.02</v>
      </c>
      <c r="T201" s="160">
        <f>[9]Source!Y146</f>
        <v>7084.68</v>
      </c>
      <c r="U201" s="160">
        <f>ROUND((175/100)*ROUND([9]Source!R145, 2), 2)</f>
        <v>129.94</v>
      </c>
      <c r="V201" s="160">
        <f>ROUND((157/100)*ROUND([9]Source!R146, 2), 2)</f>
        <v>2721.97</v>
      </c>
    </row>
    <row r="202" spans="1:22" x14ac:dyDescent="0.2">
      <c r="C202" s="181" t="s">
        <v>3174</v>
      </c>
    </row>
    <row r="203" spans="1:22" ht="14.25" x14ac:dyDescent="0.2">
      <c r="A203" s="179"/>
      <c r="B203" s="178"/>
      <c r="C203" s="178" t="s">
        <v>197</v>
      </c>
      <c r="D203" s="177"/>
      <c r="E203" s="174"/>
      <c r="F203" s="176">
        <v>28.6</v>
      </c>
      <c r="G203" s="175" t="s">
        <v>1548</v>
      </c>
      <c r="H203" s="174">
        <v>1</v>
      </c>
      <c r="I203" s="173">
        <v>740.03</v>
      </c>
      <c r="J203" s="174">
        <v>23.35</v>
      </c>
      <c r="K203" s="173">
        <v>17279.7</v>
      </c>
    </row>
    <row r="204" spans="1:22" ht="14.25" x14ac:dyDescent="0.2">
      <c r="A204" s="179"/>
      <c r="B204" s="178"/>
      <c r="C204" s="178" t="s">
        <v>184</v>
      </c>
      <c r="D204" s="177"/>
      <c r="E204" s="174"/>
      <c r="F204" s="176">
        <v>13.2</v>
      </c>
      <c r="G204" s="175" t="s">
        <v>1549</v>
      </c>
      <c r="H204" s="174">
        <v>1</v>
      </c>
      <c r="I204" s="173">
        <v>371.25</v>
      </c>
      <c r="J204" s="174">
        <v>8.9499999999999993</v>
      </c>
      <c r="K204" s="173">
        <v>3322.69</v>
      </c>
    </row>
    <row r="205" spans="1:22" ht="14.25" x14ac:dyDescent="0.2">
      <c r="A205" s="179"/>
      <c r="B205" s="178"/>
      <c r="C205" s="178" t="s">
        <v>189</v>
      </c>
      <c r="D205" s="177"/>
      <c r="E205" s="174"/>
      <c r="F205" s="176">
        <v>2.64</v>
      </c>
      <c r="G205" s="175" t="s">
        <v>1549</v>
      </c>
      <c r="H205" s="174">
        <v>1</v>
      </c>
      <c r="I205" s="180">
        <v>74.25</v>
      </c>
      <c r="J205" s="174">
        <v>23.35</v>
      </c>
      <c r="K205" s="180">
        <v>1733.74</v>
      </c>
    </row>
    <row r="206" spans="1:22" ht="14.25" x14ac:dyDescent="0.2">
      <c r="A206" s="179"/>
      <c r="B206" s="178"/>
      <c r="C206" s="178" t="s">
        <v>205</v>
      </c>
      <c r="D206" s="177"/>
      <c r="E206" s="174"/>
      <c r="F206" s="176">
        <v>59.82</v>
      </c>
      <c r="G206" s="175" t="s">
        <v>195</v>
      </c>
      <c r="H206" s="174">
        <v>1</v>
      </c>
      <c r="I206" s="173">
        <v>1345.95</v>
      </c>
      <c r="J206" s="174">
        <v>19.829999999999998</v>
      </c>
      <c r="K206" s="173">
        <v>26690.19</v>
      </c>
    </row>
    <row r="207" spans="1:22" ht="114" x14ac:dyDescent="0.2">
      <c r="A207" s="179" t="s">
        <v>1604</v>
      </c>
      <c r="B207" s="178" t="s">
        <v>3175</v>
      </c>
      <c r="C207" s="178" t="s">
        <v>746</v>
      </c>
      <c r="D207" s="177" t="s">
        <v>1552</v>
      </c>
      <c r="E207" s="174">
        <v>337.5</v>
      </c>
      <c r="F207" s="176">
        <v>11.88</v>
      </c>
      <c r="G207" s="182" t="s">
        <v>195</v>
      </c>
      <c r="H207" s="174">
        <v>1</v>
      </c>
      <c r="I207" s="173">
        <v>4009.5</v>
      </c>
      <c r="J207" s="174">
        <v>3.22</v>
      </c>
      <c r="K207" s="173">
        <v>12910.59</v>
      </c>
      <c r="Q207" s="160">
        <f>[9]Source!X147</f>
        <v>0</v>
      </c>
      <c r="R207" s="160">
        <f>[9]Source!X148</f>
        <v>0</v>
      </c>
      <c r="S207" s="160">
        <f>[9]Source!Y147</f>
        <v>0</v>
      </c>
      <c r="T207" s="160">
        <f>[9]Source!Y148</f>
        <v>0</v>
      </c>
      <c r="U207" s="160">
        <f>ROUND((175/100)*ROUND([9]Source!R147, 2), 2)</f>
        <v>0</v>
      </c>
      <c r="V207" s="160">
        <f>ROUND((157/100)*ROUND([9]Source!R148, 2), 2)</f>
        <v>0</v>
      </c>
    </row>
    <row r="208" spans="1:22" ht="114" x14ac:dyDescent="0.2">
      <c r="A208" s="179" t="s">
        <v>1605</v>
      </c>
      <c r="B208" s="178" t="s">
        <v>3176</v>
      </c>
      <c r="C208" s="178" t="s">
        <v>799</v>
      </c>
      <c r="D208" s="177" t="s">
        <v>1552</v>
      </c>
      <c r="E208" s="174">
        <v>52.5</v>
      </c>
      <c r="F208" s="176">
        <v>7.22</v>
      </c>
      <c r="G208" s="182" t="s">
        <v>195</v>
      </c>
      <c r="H208" s="174">
        <v>1</v>
      </c>
      <c r="I208" s="173">
        <v>379.05</v>
      </c>
      <c r="J208" s="174">
        <v>6.56</v>
      </c>
      <c r="K208" s="173">
        <v>2486.5700000000002</v>
      </c>
      <c r="Q208" s="160">
        <f>[9]Source!X149</f>
        <v>0</v>
      </c>
      <c r="R208" s="160">
        <f>[9]Source!X150</f>
        <v>0</v>
      </c>
      <c r="S208" s="160">
        <f>[9]Source!Y149</f>
        <v>0</v>
      </c>
      <c r="T208" s="160">
        <f>[9]Source!Y150</f>
        <v>0</v>
      </c>
      <c r="U208" s="160">
        <f>ROUND((175/100)*ROUND([9]Source!R149, 2), 2)</f>
        <v>0</v>
      </c>
      <c r="V208" s="160">
        <f>ROUND((157/100)*ROUND([9]Source!R150, 2), 2)</f>
        <v>0</v>
      </c>
    </row>
    <row r="209" spans="1:22" ht="114" x14ac:dyDescent="0.2">
      <c r="A209" s="179" t="s">
        <v>1606</v>
      </c>
      <c r="B209" s="178" t="s">
        <v>3177</v>
      </c>
      <c r="C209" s="178" t="s">
        <v>798</v>
      </c>
      <c r="D209" s="177" t="s">
        <v>1552</v>
      </c>
      <c r="E209" s="174">
        <v>36.75</v>
      </c>
      <c r="F209" s="176">
        <v>9.2100000000000009</v>
      </c>
      <c r="G209" s="182" t="s">
        <v>195</v>
      </c>
      <c r="H209" s="174">
        <v>1</v>
      </c>
      <c r="I209" s="173">
        <v>338.47</v>
      </c>
      <c r="J209" s="174">
        <v>6.61</v>
      </c>
      <c r="K209" s="173">
        <v>2237.29</v>
      </c>
      <c r="Q209" s="160">
        <f>[9]Source!X151</f>
        <v>0</v>
      </c>
      <c r="R209" s="160">
        <f>[9]Source!X152</f>
        <v>0</v>
      </c>
      <c r="S209" s="160">
        <f>[9]Source!Y151</f>
        <v>0</v>
      </c>
      <c r="T209" s="160">
        <f>[9]Source!Y152</f>
        <v>0</v>
      </c>
      <c r="U209" s="160">
        <f>ROUND((175/100)*ROUND([9]Source!R151, 2), 2)</f>
        <v>0</v>
      </c>
      <c r="V209" s="160">
        <f>ROUND((157/100)*ROUND([9]Source!R152, 2), 2)</f>
        <v>0</v>
      </c>
    </row>
    <row r="210" spans="1:22" ht="114" x14ac:dyDescent="0.2">
      <c r="A210" s="179" t="s">
        <v>2148</v>
      </c>
      <c r="B210" s="178" t="s">
        <v>3178</v>
      </c>
      <c r="C210" s="178" t="s">
        <v>742</v>
      </c>
      <c r="D210" s="177" t="s">
        <v>1552</v>
      </c>
      <c r="E210" s="174">
        <v>141.75</v>
      </c>
      <c r="F210" s="176">
        <v>32.17</v>
      </c>
      <c r="G210" s="182" t="s">
        <v>195</v>
      </c>
      <c r="H210" s="174">
        <v>1</v>
      </c>
      <c r="I210" s="173">
        <v>4560.1000000000004</v>
      </c>
      <c r="J210" s="174">
        <v>2.46</v>
      </c>
      <c r="K210" s="173">
        <v>11217.85</v>
      </c>
      <c r="Q210" s="160">
        <f>[9]Source!X153</f>
        <v>0</v>
      </c>
      <c r="R210" s="160">
        <f>[9]Source!X154</f>
        <v>0</v>
      </c>
      <c r="S210" s="160">
        <f>[9]Source!Y153</f>
        <v>0</v>
      </c>
      <c r="T210" s="160">
        <f>[9]Source!Y154</f>
        <v>0</v>
      </c>
      <c r="U210" s="160">
        <f>ROUND((175/100)*ROUND([9]Source!R153, 2), 2)</f>
        <v>0</v>
      </c>
      <c r="V210" s="160">
        <f>ROUND((157/100)*ROUND([9]Source!R154, 2), 2)</f>
        <v>0</v>
      </c>
    </row>
    <row r="211" spans="1:22" ht="114" x14ac:dyDescent="0.2">
      <c r="A211" s="179" t="s">
        <v>3179</v>
      </c>
      <c r="B211" s="178" t="s">
        <v>3180</v>
      </c>
      <c r="C211" s="178" t="s">
        <v>797</v>
      </c>
      <c r="D211" s="177" t="s">
        <v>1552</v>
      </c>
      <c r="E211" s="174">
        <v>5.25</v>
      </c>
      <c r="F211" s="176">
        <v>118.18</v>
      </c>
      <c r="G211" s="182" t="s">
        <v>195</v>
      </c>
      <c r="H211" s="174">
        <v>1</v>
      </c>
      <c r="I211" s="173">
        <v>620.45000000000005</v>
      </c>
      <c r="J211" s="174">
        <v>2.39</v>
      </c>
      <c r="K211" s="173">
        <v>1482.88</v>
      </c>
      <c r="Q211" s="160">
        <f>[9]Source!X155</f>
        <v>0</v>
      </c>
      <c r="R211" s="160">
        <f>[9]Source!X156</f>
        <v>0</v>
      </c>
      <c r="S211" s="160">
        <f>[9]Source!Y155</f>
        <v>0</v>
      </c>
      <c r="T211" s="160">
        <f>[9]Source!Y156</f>
        <v>0</v>
      </c>
      <c r="U211" s="160">
        <f>ROUND((175/100)*ROUND([9]Source!R155, 2), 2)</f>
        <v>0</v>
      </c>
      <c r="V211" s="160">
        <f>ROUND((157/100)*ROUND([9]Source!R156, 2), 2)</f>
        <v>0</v>
      </c>
    </row>
    <row r="212" spans="1:22" ht="57" x14ac:dyDescent="0.2">
      <c r="A212" s="179" t="s">
        <v>3181</v>
      </c>
      <c r="B212" s="178" t="s">
        <v>2638</v>
      </c>
      <c r="C212" s="178" t="s">
        <v>741</v>
      </c>
      <c r="D212" s="177" t="s">
        <v>2639</v>
      </c>
      <c r="E212" s="174">
        <v>3.7349999999999999</v>
      </c>
      <c r="F212" s="176">
        <v>231.64</v>
      </c>
      <c r="G212" s="182" t="s">
        <v>195</v>
      </c>
      <c r="H212" s="174">
        <v>1</v>
      </c>
      <c r="I212" s="173">
        <v>865.18</v>
      </c>
      <c r="J212" s="174">
        <v>2.88</v>
      </c>
      <c r="K212" s="173">
        <v>2491.7199999999998</v>
      </c>
      <c r="Q212" s="160">
        <f>[9]Source!X157</f>
        <v>0</v>
      </c>
      <c r="R212" s="160">
        <f>[9]Source!X158</f>
        <v>0</v>
      </c>
      <c r="S212" s="160">
        <f>[9]Source!Y157</f>
        <v>0</v>
      </c>
      <c r="T212" s="160">
        <f>[9]Source!Y158</f>
        <v>0</v>
      </c>
      <c r="U212" s="160">
        <f>ROUND((175/100)*ROUND([9]Source!R157, 2), 2)</f>
        <v>0</v>
      </c>
      <c r="V212" s="160">
        <f>ROUND((157/100)*ROUND([9]Source!R158, 2), 2)</f>
        <v>0</v>
      </c>
    </row>
    <row r="213" spans="1:22" ht="57" x14ac:dyDescent="0.2">
      <c r="A213" s="179" t="s">
        <v>3182</v>
      </c>
      <c r="B213" s="178" t="s">
        <v>2641</v>
      </c>
      <c r="C213" s="178" t="s">
        <v>740</v>
      </c>
      <c r="D213" s="177" t="s">
        <v>2639</v>
      </c>
      <c r="E213" s="174">
        <v>-20.925000000000001</v>
      </c>
      <c r="F213" s="176">
        <v>34.75</v>
      </c>
      <c r="G213" s="182" t="s">
        <v>195</v>
      </c>
      <c r="H213" s="174">
        <v>1</v>
      </c>
      <c r="I213" s="173">
        <v>-727.14</v>
      </c>
      <c r="J213" s="174">
        <v>34.270000000000003</v>
      </c>
      <c r="K213" s="173">
        <v>-24919.09</v>
      </c>
      <c r="Q213" s="160">
        <f>[9]Source!X159</f>
        <v>0</v>
      </c>
      <c r="R213" s="160">
        <f>[9]Source!X160</f>
        <v>0</v>
      </c>
      <c r="S213" s="160">
        <f>[9]Source!Y159</f>
        <v>0</v>
      </c>
      <c r="T213" s="160">
        <f>[9]Source!Y160</f>
        <v>0</v>
      </c>
      <c r="U213" s="160">
        <f>ROUND((175/100)*ROUND([9]Source!R159, 2), 2)</f>
        <v>0</v>
      </c>
      <c r="V213" s="160">
        <f>ROUND((157/100)*ROUND([9]Source!R160, 2), 2)</f>
        <v>0</v>
      </c>
    </row>
    <row r="214" spans="1:22" ht="14.25" x14ac:dyDescent="0.2">
      <c r="A214" s="179"/>
      <c r="B214" s="178"/>
      <c r="C214" s="178" t="s">
        <v>194</v>
      </c>
      <c r="D214" s="177" t="s">
        <v>187</v>
      </c>
      <c r="E214" s="174">
        <v>91</v>
      </c>
      <c r="F214" s="176"/>
      <c r="G214" s="175"/>
      <c r="H214" s="174"/>
      <c r="I214" s="173">
        <v>673.43</v>
      </c>
      <c r="J214" s="174">
        <v>73</v>
      </c>
      <c r="K214" s="173">
        <v>12614.18</v>
      </c>
    </row>
    <row r="215" spans="1:22" ht="14.25" x14ac:dyDescent="0.2">
      <c r="A215" s="179"/>
      <c r="B215" s="178"/>
      <c r="C215" s="178" t="s">
        <v>193</v>
      </c>
      <c r="D215" s="177" t="s">
        <v>187</v>
      </c>
      <c r="E215" s="174">
        <v>70</v>
      </c>
      <c r="F215" s="176"/>
      <c r="G215" s="175"/>
      <c r="H215" s="174"/>
      <c r="I215" s="173">
        <v>518.02</v>
      </c>
      <c r="J215" s="174">
        <v>41</v>
      </c>
      <c r="K215" s="173">
        <v>7084.68</v>
      </c>
    </row>
    <row r="216" spans="1:22" ht="14.25" x14ac:dyDescent="0.2">
      <c r="A216" s="179"/>
      <c r="B216" s="178"/>
      <c r="C216" s="178" t="s">
        <v>188</v>
      </c>
      <c r="D216" s="177" t="s">
        <v>187</v>
      </c>
      <c r="E216" s="174">
        <v>175</v>
      </c>
      <c r="F216" s="176"/>
      <c r="G216" s="175"/>
      <c r="H216" s="174"/>
      <c r="I216" s="173">
        <v>129.94</v>
      </c>
      <c r="J216" s="174">
        <v>157</v>
      </c>
      <c r="K216" s="173">
        <v>2721.97</v>
      </c>
    </row>
    <row r="217" spans="1:22" ht="14.25" x14ac:dyDescent="0.2">
      <c r="A217" s="212"/>
      <c r="B217" s="211"/>
      <c r="C217" s="211" t="s">
        <v>192</v>
      </c>
      <c r="D217" s="210" t="s">
        <v>191</v>
      </c>
      <c r="E217" s="207">
        <v>2.2000000000000002</v>
      </c>
      <c r="F217" s="209"/>
      <c r="G217" s="208" t="s">
        <v>1548</v>
      </c>
      <c r="H217" s="207">
        <v>1</v>
      </c>
      <c r="I217" s="206">
        <v>56.93</v>
      </c>
      <c r="J217" s="207"/>
      <c r="K217" s="206"/>
    </row>
    <row r="218" spans="1:22" ht="15" x14ac:dyDescent="0.25">
      <c r="A218" s="204"/>
      <c r="B218" s="204"/>
      <c r="C218" s="205" t="s">
        <v>183</v>
      </c>
      <c r="D218" s="204"/>
      <c r="E218" s="204"/>
      <c r="F218" s="204"/>
      <c r="G218" s="204"/>
      <c r="H218" s="438">
        <v>13824.23</v>
      </c>
      <c r="I218" s="438"/>
      <c r="J218" s="438">
        <v>77621.22</v>
      </c>
      <c r="K218" s="438"/>
      <c r="O218" s="163">
        <f>I203+I204+I206+I214+I215+I216+SUM(I207:I213)</f>
        <v>13824.23</v>
      </c>
      <c r="P218" s="163">
        <f>K203+K204+K206+K214+K215+K216+SUM(K207:K213)</f>
        <v>77621.22</v>
      </c>
    </row>
    <row r="220" spans="1:22" ht="52.5" x14ac:dyDescent="0.2">
      <c r="A220" s="179" t="s">
        <v>1607</v>
      </c>
      <c r="B220" s="178" t="s">
        <v>796</v>
      </c>
      <c r="C220" s="178" t="s">
        <v>795</v>
      </c>
      <c r="D220" s="177" t="s">
        <v>3183</v>
      </c>
      <c r="E220" s="174">
        <v>2</v>
      </c>
      <c r="F220" s="176"/>
      <c r="G220" s="175"/>
      <c r="H220" s="174"/>
      <c r="I220" s="173"/>
      <c r="J220" s="174"/>
      <c r="K220" s="173"/>
      <c r="Q220" s="160">
        <f>[9]Source!X161</f>
        <v>9.49</v>
      </c>
      <c r="R220" s="160">
        <f>[9]Source!X162</f>
        <v>177.33</v>
      </c>
      <c r="S220" s="160">
        <f>[9]Source!Y161</f>
        <v>6.39</v>
      </c>
      <c r="T220" s="160">
        <f>[9]Source!Y162</f>
        <v>82.62</v>
      </c>
      <c r="U220" s="160">
        <f>ROUND((175/100)*ROUND([9]Source!R161, 2), 2)</f>
        <v>0.49</v>
      </c>
      <c r="V220" s="160">
        <f>ROUND((157/100)*ROUND([9]Source!R162, 2), 2)</f>
        <v>10.27</v>
      </c>
    </row>
    <row r="221" spans="1:22" ht="14.25" x14ac:dyDescent="0.2">
      <c r="A221" s="179"/>
      <c r="B221" s="178"/>
      <c r="C221" s="178" t="s">
        <v>197</v>
      </c>
      <c r="D221" s="177"/>
      <c r="E221" s="174"/>
      <c r="F221" s="176">
        <v>3.75</v>
      </c>
      <c r="G221" s="175" t="s">
        <v>1548</v>
      </c>
      <c r="H221" s="174">
        <v>1</v>
      </c>
      <c r="I221" s="173">
        <v>8.6300000000000008</v>
      </c>
      <c r="J221" s="174">
        <v>23.35</v>
      </c>
      <c r="K221" s="173">
        <v>201.51</v>
      </c>
    </row>
    <row r="222" spans="1:22" ht="14.25" x14ac:dyDescent="0.2">
      <c r="A222" s="179"/>
      <c r="B222" s="178"/>
      <c r="C222" s="178" t="s">
        <v>184</v>
      </c>
      <c r="D222" s="177"/>
      <c r="E222" s="174"/>
      <c r="F222" s="176">
        <v>0.45</v>
      </c>
      <c r="G222" s="175" t="s">
        <v>1549</v>
      </c>
      <c r="H222" s="174">
        <v>1</v>
      </c>
      <c r="I222" s="173">
        <v>1.1299999999999999</v>
      </c>
      <c r="J222" s="174">
        <v>9.76</v>
      </c>
      <c r="K222" s="173">
        <v>11.03</v>
      </c>
    </row>
    <row r="223" spans="1:22" ht="14.25" x14ac:dyDescent="0.2">
      <c r="A223" s="179"/>
      <c r="B223" s="178"/>
      <c r="C223" s="178" t="s">
        <v>189</v>
      </c>
      <c r="D223" s="177"/>
      <c r="E223" s="174"/>
      <c r="F223" s="176">
        <v>0.11</v>
      </c>
      <c r="G223" s="175" t="s">
        <v>1549</v>
      </c>
      <c r="H223" s="174">
        <v>1</v>
      </c>
      <c r="I223" s="180">
        <v>0.28000000000000003</v>
      </c>
      <c r="J223" s="174">
        <v>23.35</v>
      </c>
      <c r="K223" s="180">
        <v>6.54</v>
      </c>
    </row>
    <row r="224" spans="1:22" ht="14.25" x14ac:dyDescent="0.2">
      <c r="A224" s="179"/>
      <c r="B224" s="178"/>
      <c r="C224" s="178" t="s">
        <v>205</v>
      </c>
      <c r="D224" s="177"/>
      <c r="E224" s="174"/>
      <c r="F224" s="176">
        <v>25.31</v>
      </c>
      <c r="G224" s="175" t="s">
        <v>195</v>
      </c>
      <c r="H224" s="174">
        <v>1</v>
      </c>
      <c r="I224" s="173">
        <v>50.62</v>
      </c>
      <c r="J224" s="174">
        <v>7.6</v>
      </c>
      <c r="K224" s="173">
        <v>384.71</v>
      </c>
    </row>
    <row r="225" spans="1:22" ht="57" x14ac:dyDescent="0.2">
      <c r="A225" s="179" t="s">
        <v>1608</v>
      </c>
      <c r="B225" s="178" t="s">
        <v>3184</v>
      </c>
      <c r="C225" s="178" t="s">
        <v>794</v>
      </c>
      <c r="D225" s="177" t="s">
        <v>1661</v>
      </c>
      <c r="E225" s="174">
        <v>2</v>
      </c>
      <c r="F225" s="176">
        <v>45.46</v>
      </c>
      <c r="G225" s="182" t="s">
        <v>195</v>
      </c>
      <c r="H225" s="174">
        <v>1</v>
      </c>
      <c r="I225" s="173">
        <v>90.92</v>
      </c>
      <c r="J225" s="174">
        <v>5.32</v>
      </c>
      <c r="K225" s="173">
        <v>483.69</v>
      </c>
      <c r="Q225" s="160">
        <f>[9]Source!X163</f>
        <v>0</v>
      </c>
      <c r="R225" s="160">
        <f>[9]Source!X164</f>
        <v>0</v>
      </c>
      <c r="S225" s="160">
        <f>[9]Source!Y163</f>
        <v>0</v>
      </c>
      <c r="T225" s="160">
        <f>[9]Source!Y164</f>
        <v>0</v>
      </c>
      <c r="U225" s="160">
        <f>ROUND((175/100)*ROUND([9]Source!R163, 2), 2)</f>
        <v>0</v>
      </c>
      <c r="V225" s="160">
        <f>ROUND((157/100)*ROUND([9]Source!R164, 2), 2)</f>
        <v>0</v>
      </c>
    </row>
    <row r="226" spans="1:22" ht="28.5" x14ac:dyDescent="0.2">
      <c r="A226" s="179" t="s">
        <v>2483</v>
      </c>
      <c r="B226" s="178" t="s">
        <v>3185</v>
      </c>
      <c r="C226" s="178" t="s">
        <v>787</v>
      </c>
      <c r="D226" s="177" t="s">
        <v>1552</v>
      </c>
      <c r="E226" s="174">
        <v>35</v>
      </c>
      <c r="F226" s="176">
        <v>27.84</v>
      </c>
      <c r="G226" s="182" t="s">
        <v>195</v>
      </c>
      <c r="H226" s="174">
        <v>1</v>
      </c>
      <c r="I226" s="173">
        <v>974.4</v>
      </c>
      <c r="J226" s="174">
        <v>1.36</v>
      </c>
      <c r="K226" s="173">
        <v>1325.18</v>
      </c>
      <c r="Q226" s="160">
        <f>[9]Source!X165</f>
        <v>0</v>
      </c>
      <c r="R226" s="160">
        <f>[9]Source!X166</f>
        <v>0</v>
      </c>
      <c r="S226" s="160">
        <f>[9]Source!Y165</f>
        <v>0</v>
      </c>
      <c r="T226" s="160">
        <f>[9]Source!Y166</f>
        <v>0</v>
      </c>
      <c r="U226" s="160">
        <f>ROUND((175/100)*ROUND([9]Source!R165, 2), 2)</f>
        <v>0</v>
      </c>
      <c r="V226" s="160">
        <f>ROUND((157/100)*ROUND([9]Source!R166, 2), 2)</f>
        <v>0</v>
      </c>
    </row>
    <row r="227" spans="1:22" ht="14.25" x14ac:dyDescent="0.2">
      <c r="A227" s="179"/>
      <c r="B227" s="178"/>
      <c r="C227" s="178" t="s">
        <v>194</v>
      </c>
      <c r="D227" s="177" t="s">
        <v>187</v>
      </c>
      <c r="E227" s="174">
        <v>110</v>
      </c>
      <c r="F227" s="176"/>
      <c r="G227" s="175"/>
      <c r="H227" s="174"/>
      <c r="I227" s="173">
        <v>9.49</v>
      </c>
      <c r="J227" s="174">
        <v>88</v>
      </c>
      <c r="K227" s="173">
        <v>177.33</v>
      </c>
    </row>
    <row r="228" spans="1:22" ht="14.25" x14ac:dyDescent="0.2">
      <c r="A228" s="179"/>
      <c r="B228" s="178"/>
      <c r="C228" s="178" t="s">
        <v>193</v>
      </c>
      <c r="D228" s="177" t="s">
        <v>187</v>
      </c>
      <c r="E228" s="174">
        <v>74</v>
      </c>
      <c r="F228" s="176"/>
      <c r="G228" s="175"/>
      <c r="H228" s="174"/>
      <c r="I228" s="173">
        <v>6.39</v>
      </c>
      <c r="J228" s="174">
        <v>41</v>
      </c>
      <c r="K228" s="173">
        <v>82.62</v>
      </c>
    </row>
    <row r="229" spans="1:22" ht="14.25" x14ac:dyDescent="0.2">
      <c r="A229" s="179"/>
      <c r="B229" s="178"/>
      <c r="C229" s="178" t="s">
        <v>188</v>
      </c>
      <c r="D229" s="177" t="s">
        <v>187</v>
      </c>
      <c r="E229" s="174">
        <v>175</v>
      </c>
      <c r="F229" s="176"/>
      <c r="G229" s="175"/>
      <c r="H229" s="174"/>
      <c r="I229" s="173">
        <v>0.49</v>
      </c>
      <c r="J229" s="174">
        <v>157</v>
      </c>
      <c r="K229" s="173">
        <v>10.27</v>
      </c>
    </row>
    <row r="230" spans="1:22" ht="14.25" x14ac:dyDescent="0.2">
      <c r="A230" s="212"/>
      <c r="B230" s="211"/>
      <c r="C230" s="211" t="s">
        <v>192</v>
      </c>
      <c r="D230" s="210" t="s">
        <v>191</v>
      </c>
      <c r="E230" s="207">
        <v>0.3</v>
      </c>
      <c r="F230" s="209"/>
      <c r="G230" s="208" t="s">
        <v>1548</v>
      </c>
      <c r="H230" s="207">
        <v>1</v>
      </c>
      <c r="I230" s="206">
        <v>0.69</v>
      </c>
      <c r="J230" s="207"/>
      <c r="K230" s="206"/>
    </row>
    <row r="231" spans="1:22" ht="15" x14ac:dyDescent="0.25">
      <c r="A231" s="204"/>
      <c r="B231" s="204"/>
      <c r="C231" s="205" t="s">
        <v>183</v>
      </c>
      <c r="D231" s="204"/>
      <c r="E231" s="204"/>
      <c r="F231" s="204"/>
      <c r="G231" s="204"/>
      <c r="H231" s="438">
        <v>1142.07</v>
      </c>
      <c r="I231" s="438"/>
      <c r="J231" s="438">
        <v>2676.34</v>
      </c>
      <c r="K231" s="438"/>
      <c r="O231" s="163">
        <f>I221+I222+I224+I227+I228+I229+SUM(I225:I226)</f>
        <v>1142.07</v>
      </c>
      <c r="P231" s="163">
        <f>K221+K222+K224+K227+K228+K229+SUM(K225:K226)</f>
        <v>2676.34</v>
      </c>
    </row>
    <row r="233" spans="1:22" ht="52.5" x14ac:dyDescent="0.2">
      <c r="A233" s="179" t="s">
        <v>1609</v>
      </c>
      <c r="B233" s="178" t="s">
        <v>793</v>
      </c>
      <c r="C233" s="178" t="s">
        <v>792</v>
      </c>
      <c r="D233" s="177" t="s">
        <v>3186</v>
      </c>
      <c r="E233" s="174">
        <v>1</v>
      </c>
      <c r="F233" s="176"/>
      <c r="G233" s="175"/>
      <c r="H233" s="174"/>
      <c r="I233" s="173"/>
      <c r="J233" s="174"/>
      <c r="K233" s="173"/>
      <c r="Q233" s="160">
        <f>[9]Source!X167</f>
        <v>106.33</v>
      </c>
      <c r="R233" s="160">
        <f>[9]Source!X168</f>
        <v>1986.17</v>
      </c>
      <c r="S233" s="160">
        <f>[9]Source!Y167</f>
        <v>71.53</v>
      </c>
      <c r="T233" s="160">
        <f>[9]Source!Y168</f>
        <v>925.37</v>
      </c>
      <c r="U233" s="160">
        <f>ROUND((175/100)*ROUND([9]Source!R167, 2), 2)</f>
        <v>4.34</v>
      </c>
      <c r="V233" s="160">
        <f>ROUND((157/100)*ROUND([9]Source!R168, 2), 2)</f>
        <v>90.92</v>
      </c>
    </row>
    <row r="234" spans="1:22" ht="14.25" x14ac:dyDescent="0.2">
      <c r="A234" s="179"/>
      <c r="B234" s="178"/>
      <c r="C234" s="178" t="s">
        <v>197</v>
      </c>
      <c r="D234" s="177"/>
      <c r="E234" s="174"/>
      <c r="F234" s="176">
        <v>84.05</v>
      </c>
      <c r="G234" s="175" t="s">
        <v>1548</v>
      </c>
      <c r="H234" s="174">
        <v>1</v>
      </c>
      <c r="I234" s="173">
        <v>96.66</v>
      </c>
      <c r="J234" s="174">
        <v>23.35</v>
      </c>
      <c r="K234" s="173">
        <v>2257.0100000000002</v>
      </c>
    </row>
    <row r="235" spans="1:22" ht="14.25" x14ac:dyDescent="0.2">
      <c r="A235" s="179"/>
      <c r="B235" s="178"/>
      <c r="C235" s="178" t="s">
        <v>184</v>
      </c>
      <c r="D235" s="177"/>
      <c r="E235" s="174"/>
      <c r="F235" s="176">
        <v>13.07</v>
      </c>
      <c r="G235" s="175" t="s">
        <v>1549</v>
      </c>
      <c r="H235" s="174">
        <v>1</v>
      </c>
      <c r="I235" s="173">
        <v>16.34</v>
      </c>
      <c r="J235" s="174">
        <v>8.08</v>
      </c>
      <c r="K235" s="173">
        <v>132.03</v>
      </c>
    </row>
    <row r="236" spans="1:22" ht="14.25" x14ac:dyDescent="0.2">
      <c r="A236" s="179"/>
      <c r="B236" s="178"/>
      <c r="C236" s="178" t="s">
        <v>189</v>
      </c>
      <c r="D236" s="177"/>
      <c r="E236" s="174"/>
      <c r="F236" s="176">
        <v>1.98</v>
      </c>
      <c r="G236" s="175" t="s">
        <v>1549</v>
      </c>
      <c r="H236" s="174">
        <v>1</v>
      </c>
      <c r="I236" s="180">
        <v>2.48</v>
      </c>
      <c r="J236" s="174">
        <v>23.35</v>
      </c>
      <c r="K236" s="180">
        <v>57.91</v>
      </c>
    </row>
    <row r="237" spans="1:22" ht="14.25" x14ac:dyDescent="0.2">
      <c r="A237" s="179"/>
      <c r="B237" s="178"/>
      <c r="C237" s="178" t="s">
        <v>205</v>
      </c>
      <c r="D237" s="177"/>
      <c r="E237" s="174"/>
      <c r="F237" s="176">
        <v>78.22</v>
      </c>
      <c r="G237" s="175" t="s">
        <v>195</v>
      </c>
      <c r="H237" s="174">
        <v>1</v>
      </c>
      <c r="I237" s="173">
        <v>78.22</v>
      </c>
      <c r="J237" s="174">
        <v>5.35</v>
      </c>
      <c r="K237" s="173">
        <v>418.48</v>
      </c>
    </row>
    <row r="238" spans="1:22" ht="71.25" x14ac:dyDescent="0.2">
      <c r="A238" s="179" t="s">
        <v>1611</v>
      </c>
      <c r="B238" s="178" t="s">
        <v>3187</v>
      </c>
      <c r="C238" s="178" t="s">
        <v>791</v>
      </c>
      <c r="D238" s="177" t="s">
        <v>1661</v>
      </c>
      <c r="E238" s="174">
        <v>1</v>
      </c>
      <c r="F238" s="176">
        <v>107.26</v>
      </c>
      <c r="G238" s="182" t="s">
        <v>195</v>
      </c>
      <c r="H238" s="174">
        <v>1</v>
      </c>
      <c r="I238" s="173">
        <v>107.26</v>
      </c>
      <c r="J238" s="174">
        <v>4.21</v>
      </c>
      <c r="K238" s="173">
        <v>451.56</v>
      </c>
      <c r="Q238" s="160">
        <f>[9]Source!X169</f>
        <v>0</v>
      </c>
      <c r="R238" s="160">
        <f>[9]Source!X170</f>
        <v>0</v>
      </c>
      <c r="S238" s="160">
        <f>[9]Source!Y169</f>
        <v>0</v>
      </c>
      <c r="T238" s="160">
        <f>[9]Source!Y170</f>
        <v>0</v>
      </c>
      <c r="U238" s="160">
        <f>ROUND((175/100)*ROUND([9]Source!R169, 2), 2)</f>
        <v>0</v>
      </c>
      <c r="V238" s="160">
        <f>ROUND((157/100)*ROUND([9]Source!R170, 2), 2)</f>
        <v>0</v>
      </c>
    </row>
    <row r="239" spans="1:22" ht="14.25" x14ac:dyDescent="0.2">
      <c r="A239" s="179"/>
      <c r="B239" s="178"/>
      <c r="C239" s="178" t="s">
        <v>194</v>
      </c>
      <c r="D239" s="177" t="s">
        <v>187</v>
      </c>
      <c r="E239" s="174">
        <v>110</v>
      </c>
      <c r="F239" s="176"/>
      <c r="G239" s="175"/>
      <c r="H239" s="174"/>
      <c r="I239" s="173">
        <v>106.33</v>
      </c>
      <c r="J239" s="174">
        <v>88</v>
      </c>
      <c r="K239" s="173">
        <v>1986.17</v>
      </c>
    </row>
    <row r="240" spans="1:22" ht="14.25" x14ac:dyDescent="0.2">
      <c r="A240" s="179"/>
      <c r="B240" s="178"/>
      <c r="C240" s="178" t="s">
        <v>193</v>
      </c>
      <c r="D240" s="177" t="s">
        <v>187</v>
      </c>
      <c r="E240" s="174">
        <v>74</v>
      </c>
      <c r="F240" s="176"/>
      <c r="G240" s="175"/>
      <c r="H240" s="174"/>
      <c r="I240" s="173">
        <v>71.53</v>
      </c>
      <c r="J240" s="174">
        <v>41</v>
      </c>
      <c r="K240" s="173">
        <v>925.37</v>
      </c>
    </row>
    <row r="241" spans="1:22" ht="14.25" x14ac:dyDescent="0.2">
      <c r="A241" s="179"/>
      <c r="B241" s="178"/>
      <c r="C241" s="178" t="s">
        <v>188</v>
      </c>
      <c r="D241" s="177" t="s">
        <v>187</v>
      </c>
      <c r="E241" s="174">
        <v>175</v>
      </c>
      <c r="F241" s="176"/>
      <c r="G241" s="175"/>
      <c r="H241" s="174"/>
      <c r="I241" s="173">
        <v>4.34</v>
      </c>
      <c r="J241" s="174">
        <v>157</v>
      </c>
      <c r="K241" s="173">
        <v>90.92</v>
      </c>
    </row>
    <row r="242" spans="1:22" ht="14.25" x14ac:dyDescent="0.2">
      <c r="A242" s="212"/>
      <c r="B242" s="211"/>
      <c r="C242" s="211" t="s">
        <v>192</v>
      </c>
      <c r="D242" s="210" t="s">
        <v>191</v>
      </c>
      <c r="E242" s="207">
        <v>6.66</v>
      </c>
      <c r="F242" s="209"/>
      <c r="G242" s="208" t="s">
        <v>1548</v>
      </c>
      <c r="H242" s="207">
        <v>1</v>
      </c>
      <c r="I242" s="206">
        <v>7.66</v>
      </c>
      <c r="J242" s="207"/>
      <c r="K242" s="206"/>
    </row>
    <row r="243" spans="1:22" ht="15" x14ac:dyDescent="0.25">
      <c r="A243" s="204"/>
      <c r="B243" s="204"/>
      <c r="C243" s="205" t="s">
        <v>183</v>
      </c>
      <c r="D243" s="204"/>
      <c r="E243" s="204"/>
      <c r="F243" s="204"/>
      <c r="G243" s="204"/>
      <c r="H243" s="438">
        <v>480.68</v>
      </c>
      <c r="I243" s="438"/>
      <c r="J243" s="438">
        <v>6261.54</v>
      </c>
      <c r="K243" s="438"/>
      <c r="O243" s="163">
        <f>I234+I235+I237+I239+I240+I241+SUM(I238:I238)</f>
        <v>480.68</v>
      </c>
      <c r="P243" s="163">
        <f>K234+K235+K237+K239+K240+K241+SUM(K238:K238)</f>
        <v>6261.54</v>
      </c>
    </row>
    <row r="246" spans="1:22" ht="15" x14ac:dyDescent="0.25">
      <c r="A246" s="417" t="s">
        <v>3188</v>
      </c>
      <c r="B246" s="417"/>
      <c r="C246" s="417"/>
      <c r="D246" s="417"/>
      <c r="E246" s="417"/>
      <c r="F246" s="417"/>
      <c r="G246" s="417"/>
      <c r="H246" s="415">
        <v>54126.81</v>
      </c>
      <c r="I246" s="416"/>
      <c r="J246" s="415">
        <v>491723.91</v>
      </c>
      <c r="K246" s="416"/>
    </row>
    <row r="247" spans="1:22" hidden="1" x14ac:dyDescent="0.2">
      <c r="A247" s="160" t="s">
        <v>182</v>
      </c>
      <c r="I247" s="160">
        <v>0</v>
      </c>
      <c r="J247" s="160">
        <v>0</v>
      </c>
    </row>
    <row r="248" spans="1:22" hidden="1" x14ac:dyDescent="0.2">
      <c r="A248" s="160" t="s">
        <v>181</v>
      </c>
      <c r="I248" s="160">
        <v>0</v>
      </c>
      <c r="J248" s="160">
        <v>0</v>
      </c>
    </row>
    <row r="250" spans="1:22" ht="16.5" x14ac:dyDescent="0.25">
      <c r="A250" s="413" t="s">
        <v>3189</v>
      </c>
      <c r="B250" s="413"/>
      <c r="C250" s="413"/>
      <c r="D250" s="413"/>
      <c r="E250" s="413"/>
      <c r="F250" s="413"/>
      <c r="G250" s="413"/>
      <c r="H250" s="413"/>
      <c r="I250" s="413"/>
      <c r="J250" s="413"/>
      <c r="K250" s="413"/>
    </row>
    <row r="251" spans="1:22" ht="52.5" x14ac:dyDescent="0.2">
      <c r="A251" s="179" t="s">
        <v>1617</v>
      </c>
      <c r="B251" s="178" t="s">
        <v>790</v>
      </c>
      <c r="C251" s="178" t="s">
        <v>789</v>
      </c>
      <c r="D251" s="177" t="s">
        <v>3183</v>
      </c>
      <c r="E251" s="174">
        <v>9</v>
      </c>
      <c r="F251" s="176"/>
      <c r="G251" s="175"/>
      <c r="H251" s="174"/>
      <c r="I251" s="173"/>
      <c r="J251" s="174"/>
      <c r="K251" s="173"/>
      <c r="Q251" s="160">
        <f>[9]Source!X206</f>
        <v>127.96</v>
      </c>
      <c r="R251" s="160">
        <f>[9]Source!X207</f>
        <v>2390.35</v>
      </c>
      <c r="S251" s="160">
        <f>[9]Source!Y206</f>
        <v>86.08</v>
      </c>
      <c r="T251" s="160">
        <f>[9]Source!Y207</f>
        <v>1113.69</v>
      </c>
      <c r="U251" s="160">
        <f>ROUND((175/100)*ROUND([9]Source!R206, 2), 2)</f>
        <v>10.43</v>
      </c>
      <c r="V251" s="160">
        <f>ROUND((157/100)*ROUND([9]Source!R207, 2), 2)</f>
        <v>218.5</v>
      </c>
    </row>
    <row r="252" spans="1:22" ht="14.25" x14ac:dyDescent="0.2">
      <c r="A252" s="179"/>
      <c r="B252" s="178"/>
      <c r="C252" s="178" t="s">
        <v>197</v>
      </c>
      <c r="D252" s="177"/>
      <c r="E252" s="174"/>
      <c r="F252" s="176">
        <v>11.24</v>
      </c>
      <c r="G252" s="175" t="s">
        <v>1548</v>
      </c>
      <c r="H252" s="174">
        <v>1</v>
      </c>
      <c r="I252" s="173">
        <v>116.33</v>
      </c>
      <c r="J252" s="174">
        <v>23.35</v>
      </c>
      <c r="K252" s="173">
        <v>2716.31</v>
      </c>
    </row>
    <row r="253" spans="1:22" ht="14.25" x14ac:dyDescent="0.2">
      <c r="A253" s="179"/>
      <c r="B253" s="178"/>
      <c r="C253" s="178" t="s">
        <v>184</v>
      </c>
      <c r="D253" s="177"/>
      <c r="E253" s="174"/>
      <c r="F253" s="176">
        <v>2.23</v>
      </c>
      <c r="G253" s="175" t="s">
        <v>1549</v>
      </c>
      <c r="H253" s="174">
        <v>1</v>
      </c>
      <c r="I253" s="173">
        <v>25.09</v>
      </c>
      <c r="J253" s="174">
        <v>9.6300000000000008</v>
      </c>
      <c r="K253" s="173">
        <v>241.62</v>
      </c>
    </row>
    <row r="254" spans="1:22" ht="14.25" x14ac:dyDescent="0.2">
      <c r="A254" s="179"/>
      <c r="B254" s="178"/>
      <c r="C254" s="178" t="s">
        <v>189</v>
      </c>
      <c r="D254" s="177"/>
      <c r="E254" s="174"/>
      <c r="F254" s="176">
        <v>0.53</v>
      </c>
      <c r="G254" s="175" t="s">
        <v>1549</v>
      </c>
      <c r="H254" s="174">
        <v>1</v>
      </c>
      <c r="I254" s="180">
        <v>5.96</v>
      </c>
      <c r="J254" s="174">
        <v>23.35</v>
      </c>
      <c r="K254" s="180">
        <v>139.16999999999999</v>
      </c>
    </row>
    <row r="255" spans="1:22" ht="14.25" x14ac:dyDescent="0.2">
      <c r="A255" s="179"/>
      <c r="B255" s="178"/>
      <c r="C255" s="178" t="s">
        <v>205</v>
      </c>
      <c r="D255" s="177"/>
      <c r="E255" s="174"/>
      <c r="F255" s="176">
        <v>211.41</v>
      </c>
      <c r="G255" s="175" t="s">
        <v>195</v>
      </c>
      <c r="H255" s="174">
        <v>1</v>
      </c>
      <c r="I255" s="173">
        <v>1902.69</v>
      </c>
      <c r="J255" s="174">
        <v>1.68</v>
      </c>
      <c r="K255" s="173">
        <v>3196.52</v>
      </c>
    </row>
    <row r="256" spans="1:22" ht="57" x14ac:dyDescent="0.2">
      <c r="A256" s="179" t="s">
        <v>1619</v>
      </c>
      <c r="B256" s="178" t="s">
        <v>3190</v>
      </c>
      <c r="C256" s="178" t="s">
        <v>788</v>
      </c>
      <c r="D256" s="177" t="s">
        <v>1661</v>
      </c>
      <c r="E256" s="174">
        <v>9</v>
      </c>
      <c r="F256" s="176">
        <v>174.42</v>
      </c>
      <c r="G256" s="182" t="s">
        <v>195</v>
      </c>
      <c r="H256" s="174">
        <v>1</v>
      </c>
      <c r="I256" s="173">
        <v>1569.78</v>
      </c>
      <c r="J256" s="174">
        <v>3.59</v>
      </c>
      <c r="K256" s="173">
        <v>5635.51</v>
      </c>
      <c r="Q256" s="160">
        <f>[9]Source!X208</f>
        <v>0</v>
      </c>
      <c r="R256" s="160">
        <f>[9]Source!X209</f>
        <v>0</v>
      </c>
      <c r="S256" s="160">
        <f>[9]Source!Y208</f>
        <v>0</v>
      </c>
      <c r="T256" s="160">
        <f>[9]Source!Y209</f>
        <v>0</v>
      </c>
      <c r="U256" s="160">
        <f>ROUND((175/100)*ROUND([9]Source!R208, 2), 2)</f>
        <v>0</v>
      </c>
      <c r="V256" s="160">
        <f>ROUND((157/100)*ROUND([9]Source!R209, 2), 2)</f>
        <v>0</v>
      </c>
    </row>
    <row r="257" spans="1:22" ht="28.5" x14ac:dyDescent="0.2">
      <c r="A257" s="179" t="s">
        <v>1620</v>
      </c>
      <c r="B257" s="178" t="s">
        <v>3185</v>
      </c>
      <c r="C257" s="178" t="s">
        <v>787</v>
      </c>
      <c r="D257" s="177" t="s">
        <v>1552</v>
      </c>
      <c r="E257" s="174">
        <v>180</v>
      </c>
      <c r="F257" s="176">
        <v>27.84</v>
      </c>
      <c r="G257" s="182" t="s">
        <v>195</v>
      </c>
      <c r="H257" s="174">
        <v>1</v>
      </c>
      <c r="I257" s="173">
        <v>5011.2</v>
      </c>
      <c r="J257" s="174">
        <v>1.36</v>
      </c>
      <c r="K257" s="173">
        <v>6815.23</v>
      </c>
      <c r="Q257" s="160">
        <f>[9]Source!X210</f>
        <v>0</v>
      </c>
      <c r="R257" s="160">
        <f>[9]Source!X211</f>
        <v>0</v>
      </c>
      <c r="S257" s="160">
        <f>[9]Source!Y210</f>
        <v>0</v>
      </c>
      <c r="T257" s="160">
        <f>[9]Source!Y211</f>
        <v>0</v>
      </c>
      <c r="U257" s="160">
        <f>ROUND((175/100)*ROUND([9]Source!R210, 2), 2)</f>
        <v>0</v>
      </c>
      <c r="V257" s="160">
        <f>ROUND((157/100)*ROUND([9]Source!R211, 2), 2)</f>
        <v>0</v>
      </c>
    </row>
    <row r="258" spans="1:22" ht="14.25" x14ac:dyDescent="0.2">
      <c r="A258" s="179"/>
      <c r="B258" s="178"/>
      <c r="C258" s="178" t="s">
        <v>194</v>
      </c>
      <c r="D258" s="177" t="s">
        <v>187</v>
      </c>
      <c r="E258" s="174">
        <v>110</v>
      </c>
      <c r="F258" s="176"/>
      <c r="G258" s="175"/>
      <c r="H258" s="174"/>
      <c r="I258" s="173">
        <v>127.96</v>
      </c>
      <c r="J258" s="174">
        <v>88</v>
      </c>
      <c r="K258" s="173">
        <v>2390.35</v>
      </c>
    </row>
    <row r="259" spans="1:22" ht="14.25" x14ac:dyDescent="0.2">
      <c r="A259" s="179"/>
      <c r="B259" s="178"/>
      <c r="C259" s="178" t="s">
        <v>193</v>
      </c>
      <c r="D259" s="177" t="s">
        <v>187</v>
      </c>
      <c r="E259" s="174">
        <v>74</v>
      </c>
      <c r="F259" s="176"/>
      <c r="G259" s="175"/>
      <c r="H259" s="174"/>
      <c r="I259" s="173">
        <v>86.08</v>
      </c>
      <c r="J259" s="174">
        <v>41</v>
      </c>
      <c r="K259" s="173">
        <v>1113.69</v>
      </c>
    </row>
    <row r="260" spans="1:22" ht="14.25" x14ac:dyDescent="0.2">
      <c r="A260" s="179"/>
      <c r="B260" s="178"/>
      <c r="C260" s="178" t="s">
        <v>188</v>
      </c>
      <c r="D260" s="177" t="s">
        <v>187</v>
      </c>
      <c r="E260" s="174">
        <v>175</v>
      </c>
      <c r="F260" s="176"/>
      <c r="G260" s="175"/>
      <c r="H260" s="174"/>
      <c r="I260" s="173">
        <v>10.43</v>
      </c>
      <c r="J260" s="174">
        <v>157</v>
      </c>
      <c r="K260" s="173">
        <v>218.5</v>
      </c>
    </row>
    <row r="261" spans="1:22" ht="14.25" x14ac:dyDescent="0.2">
      <c r="A261" s="212"/>
      <c r="B261" s="211"/>
      <c r="C261" s="211" t="s">
        <v>192</v>
      </c>
      <c r="D261" s="210" t="s">
        <v>191</v>
      </c>
      <c r="E261" s="207">
        <v>0.9</v>
      </c>
      <c r="F261" s="209"/>
      <c r="G261" s="208" t="s">
        <v>1548</v>
      </c>
      <c r="H261" s="207">
        <v>1</v>
      </c>
      <c r="I261" s="206">
        <v>9.32</v>
      </c>
      <c r="J261" s="207"/>
      <c r="K261" s="206"/>
    </row>
    <row r="262" spans="1:22" ht="15" x14ac:dyDescent="0.25">
      <c r="A262" s="204"/>
      <c r="B262" s="204"/>
      <c r="C262" s="205" t="s">
        <v>183</v>
      </c>
      <c r="D262" s="204"/>
      <c r="E262" s="204"/>
      <c r="F262" s="204"/>
      <c r="G262" s="204"/>
      <c r="H262" s="438">
        <v>8849.56</v>
      </c>
      <c r="I262" s="438"/>
      <c r="J262" s="438">
        <v>22327.73</v>
      </c>
      <c r="K262" s="438"/>
      <c r="O262" s="163">
        <f>I252+I253+I255+I258+I259+I260+SUM(I256:I257)</f>
        <v>8849.56</v>
      </c>
      <c r="P262" s="163">
        <f>K252+K253+K255+K258+K259+K260+SUM(K256:K257)</f>
        <v>22327.73</v>
      </c>
    </row>
    <row r="264" spans="1:22" ht="57" x14ac:dyDescent="0.2">
      <c r="A264" s="179" t="s">
        <v>1622</v>
      </c>
      <c r="B264" s="178" t="s">
        <v>786</v>
      </c>
      <c r="C264" s="178" t="s">
        <v>785</v>
      </c>
      <c r="D264" s="177" t="s">
        <v>1903</v>
      </c>
      <c r="E264" s="174">
        <v>9</v>
      </c>
      <c r="F264" s="176"/>
      <c r="G264" s="175"/>
      <c r="H264" s="174"/>
      <c r="I264" s="173"/>
      <c r="J264" s="174"/>
      <c r="K264" s="173"/>
      <c r="Q264" s="160">
        <f>[9]Source!X218</f>
        <v>242.62</v>
      </c>
      <c r="R264" s="160">
        <f>[9]Source!X219</f>
        <v>4532.07</v>
      </c>
      <c r="S264" s="160">
        <f>[9]Source!Y218</f>
        <v>163.21</v>
      </c>
      <c r="T264" s="160">
        <f>[9]Source!Y219</f>
        <v>2111.5300000000002</v>
      </c>
      <c r="U264" s="160">
        <f>ROUND((175/100)*ROUND([9]Source!R218, 2), 2)</f>
        <v>9.64</v>
      </c>
      <c r="V264" s="160">
        <f>ROUND((157/100)*ROUND([9]Source!R219, 2), 2)</f>
        <v>140.41</v>
      </c>
    </row>
    <row r="265" spans="1:22" ht="14.25" x14ac:dyDescent="0.2">
      <c r="A265" s="179"/>
      <c r="B265" s="178"/>
      <c r="C265" s="178" t="s">
        <v>197</v>
      </c>
      <c r="D265" s="177"/>
      <c r="E265" s="174"/>
      <c r="F265" s="176">
        <v>21.31</v>
      </c>
      <c r="G265" s="175" t="s">
        <v>1548</v>
      </c>
      <c r="H265" s="174">
        <v>1</v>
      </c>
      <c r="I265" s="173">
        <v>220.56</v>
      </c>
      <c r="J265" s="174">
        <v>23.35</v>
      </c>
      <c r="K265" s="173">
        <v>5150.08</v>
      </c>
    </row>
    <row r="266" spans="1:22" ht="14.25" x14ac:dyDescent="0.2">
      <c r="A266" s="179"/>
      <c r="B266" s="178"/>
      <c r="C266" s="178" t="s">
        <v>184</v>
      </c>
      <c r="D266" s="177"/>
      <c r="E266" s="174"/>
      <c r="F266" s="176">
        <v>2.16</v>
      </c>
      <c r="G266" s="175" t="s">
        <v>1549</v>
      </c>
      <c r="H266" s="174">
        <v>1</v>
      </c>
      <c r="I266" s="173">
        <v>24.3</v>
      </c>
      <c r="J266" s="174">
        <v>7.65</v>
      </c>
      <c r="K266" s="173">
        <v>265.07</v>
      </c>
    </row>
    <row r="267" spans="1:22" ht="14.25" x14ac:dyDescent="0.2">
      <c r="A267" s="179"/>
      <c r="B267" s="178"/>
      <c r="C267" s="178" t="s">
        <v>189</v>
      </c>
      <c r="D267" s="177"/>
      <c r="E267" s="174"/>
      <c r="F267" s="176">
        <v>0.49</v>
      </c>
      <c r="G267" s="175" t="s">
        <v>1549</v>
      </c>
      <c r="H267" s="174">
        <v>1</v>
      </c>
      <c r="I267" s="180">
        <v>5.51</v>
      </c>
      <c r="J267" s="174">
        <v>23.35</v>
      </c>
      <c r="K267" s="180">
        <v>89.43</v>
      </c>
    </row>
    <row r="268" spans="1:22" ht="14.25" x14ac:dyDescent="0.2">
      <c r="A268" s="179"/>
      <c r="B268" s="178"/>
      <c r="C268" s="178" t="s">
        <v>205</v>
      </c>
      <c r="D268" s="177"/>
      <c r="E268" s="174"/>
      <c r="F268" s="176">
        <v>6.53</v>
      </c>
      <c r="G268" s="175" t="s">
        <v>195</v>
      </c>
      <c r="H268" s="174">
        <v>1</v>
      </c>
      <c r="I268" s="173">
        <v>58.77</v>
      </c>
      <c r="J268" s="174">
        <v>2.11</v>
      </c>
      <c r="K268" s="173">
        <v>124</v>
      </c>
    </row>
    <row r="269" spans="1:22" ht="99.75" x14ac:dyDescent="0.2">
      <c r="A269" s="179" t="s">
        <v>1623</v>
      </c>
      <c r="B269" s="178" t="s">
        <v>3191</v>
      </c>
      <c r="C269" s="178" t="s">
        <v>784</v>
      </c>
      <c r="D269" s="177" t="s">
        <v>1661</v>
      </c>
      <c r="E269" s="174">
        <v>9</v>
      </c>
      <c r="F269" s="176">
        <v>1583.81</v>
      </c>
      <c r="G269" s="182" t="s">
        <v>195</v>
      </c>
      <c r="H269" s="174">
        <v>1</v>
      </c>
      <c r="I269" s="173">
        <v>14254.29</v>
      </c>
      <c r="J269" s="174">
        <v>1.4</v>
      </c>
      <c r="K269" s="173">
        <v>19956.009999999998</v>
      </c>
      <c r="Q269" s="160">
        <f>[9]Source!X220</f>
        <v>0</v>
      </c>
      <c r="R269" s="160">
        <f>[9]Source!X221</f>
        <v>0</v>
      </c>
      <c r="S269" s="160">
        <f>[9]Source!Y220</f>
        <v>0</v>
      </c>
      <c r="T269" s="160">
        <f>[9]Source!Y221</f>
        <v>0</v>
      </c>
      <c r="U269" s="160">
        <f>ROUND((175/100)*ROUND([9]Source!R220, 2), 2)</f>
        <v>0</v>
      </c>
      <c r="V269" s="160">
        <f>ROUND((157/100)*ROUND([9]Source!R221, 2), 2)</f>
        <v>0</v>
      </c>
    </row>
    <row r="270" spans="1:22" ht="14.25" x14ac:dyDescent="0.2">
      <c r="A270" s="179"/>
      <c r="B270" s="178"/>
      <c r="C270" s="178" t="s">
        <v>194</v>
      </c>
      <c r="D270" s="177" t="s">
        <v>187</v>
      </c>
      <c r="E270" s="174">
        <v>110</v>
      </c>
      <c r="F270" s="176"/>
      <c r="G270" s="175"/>
      <c r="H270" s="174"/>
      <c r="I270" s="173">
        <v>242.62</v>
      </c>
      <c r="J270" s="174">
        <v>88</v>
      </c>
      <c r="K270" s="173">
        <v>4532.07</v>
      </c>
    </row>
    <row r="271" spans="1:22" ht="14.25" x14ac:dyDescent="0.2">
      <c r="A271" s="179"/>
      <c r="B271" s="178"/>
      <c r="C271" s="178" t="s">
        <v>193</v>
      </c>
      <c r="D271" s="177" t="s">
        <v>187</v>
      </c>
      <c r="E271" s="174">
        <v>74</v>
      </c>
      <c r="F271" s="176"/>
      <c r="G271" s="175"/>
      <c r="H271" s="174"/>
      <c r="I271" s="173">
        <v>163.21</v>
      </c>
      <c r="J271" s="174">
        <v>41</v>
      </c>
      <c r="K271" s="173">
        <v>2111.5300000000002</v>
      </c>
    </row>
    <row r="272" spans="1:22" ht="14.25" x14ac:dyDescent="0.2">
      <c r="A272" s="179"/>
      <c r="B272" s="178"/>
      <c r="C272" s="178" t="s">
        <v>188</v>
      </c>
      <c r="D272" s="177" t="s">
        <v>187</v>
      </c>
      <c r="E272" s="174">
        <v>175</v>
      </c>
      <c r="F272" s="176"/>
      <c r="G272" s="175"/>
      <c r="H272" s="174"/>
      <c r="I272" s="173">
        <v>9.64</v>
      </c>
      <c r="J272" s="174">
        <v>157</v>
      </c>
      <c r="K272" s="173">
        <v>140.41</v>
      </c>
    </row>
    <row r="273" spans="1:22" ht="14.25" x14ac:dyDescent="0.2">
      <c r="A273" s="212"/>
      <c r="B273" s="211"/>
      <c r="C273" s="211" t="s">
        <v>192</v>
      </c>
      <c r="D273" s="210" t="s">
        <v>191</v>
      </c>
      <c r="E273" s="207">
        <v>2.0099999999999998</v>
      </c>
      <c r="F273" s="209"/>
      <c r="G273" s="208" t="s">
        <v>1548</v>
      </c>
      <c r="H273" s="207">
        <v>1</v>
      </c>
      <c r="I273" s="206">
        <v>20.8</v>
      </c>
      <c r="J273" s="207"/>
      <c r="K273" s="206"/>
    </row>
    <row r="274" spans="1:22" ht="15" x14ac:dyDescent="0.25">
      <c r="A274" s="204"/>
      <c r="B274" s="204"/>
      <c r="C274" s="205" t="s">
        <v>183</v>
      </c>
      <c r="D274" s="204"/>
      <c r="E274" s="204"/>
      <c r="F274" s="204"/>
      <c r="G274" s="204"/>
      <c r="H274" s="438">
        <v>14973.39</v>
      </c>
      <c r="I274" s="438"/>
      <c r="J274" s="438">
        <v>32279.17</v>
      </c>
      <c r="K274" s="438"/>
      <c r="O274" s="163">
        <f>I265+I266+I268+I270+I271+I272+SUM(I269:I269)</f>
        <v>14973.39</v>
      </c>
      <c r="P274" s="163">
        <f>K265+K266+K268+K270+K271+K272+SUM(K269:K269)</f>
        <v>32279.17</v>
      </c>
    </row>
    <row r="276" spans="1:22" ht="71.25" x14ac:dyDescent="0.2">
      <c r="A276" s="221" t="s">
        <v>1625</v>
      </c>
      <c r="B276" s="220" t="s">
        <v>3192</v>
      </c>
      <c r="C276" s="220" t="s">
        <v>783</v>
      </c>
      <c r="D276" s="219" t="s">
        <v>1661</v>
      </c>
      <c r="E276" s="216">
        <v>8</v>
      </c>
      <c r="F276" s="218">
        <v>346.6</v>
      </c>
      <c r="G276" s="217" t="s">
        <v>195</v>
      </c>
      <c r="H276" s="216">
        <v>1</v>
      </c>
      <c r="I276" s="215">
        <v>2772.8</v>
      </c>
      <c r="J276" s="216">
        <v>4.5</v>
      </c>
      <c r="K276" s="215">
        <v>12477.6</v>
      </c>
      <c r="Q276" s="160">
        <f>[9]Source!X222</f>
        <v>0</v>
      </c>
      <c r="R276" s="160">
        <f>[9]Source!X223</f>
        <v>0</v>
      </c>
      <c r="S276" s="160">
        <f>[9]Source!Y222</f>
        <v>0</v>
      </c>
      <c r="T276" s="160">
        <f>[9]Source!Y223</f>
        <v>0</v>
      </c>
      <c r="U276" s="160">
        <f>ROUND((175/100)*ROUND([9]Source!R222, 2), 2)</f>
        <v>0</v>
      </c>
      <c r="V276" s="160">
        <f>ROUND((157/100)*ROUND([9]Source!R223, 2), 2)</f>
        <v>0</v>
      </c>
    </row>
    <row r="277" spans="1:22" ht="15" x14ac:dyDescent="0.25">
      <c r="A277" s="213"/>
      <c r="B277" s="213"/>
      <c r="C277" s="214" t="s">
        <v>183</v>
      </c>
      <c r="D277" s="213"/>
      <c r="E277" s="213"/>
      <c r="F277" s="213"/>
      <c r="G277" s="213"/>
      <c r="H277" s="439">
        <v>2772.8</v>
      </c>
      <c r="I277" s="439"/>
      <c r="J277" s="439">
        <v>12477.6</v>
      </c>
      <c r="K277" s="439"/>
      <c r="O277" s="163">
        <f>I276</f>
        <v>2772.8</v>
      </c>
      <c r="P277" s="163">
        <f>K276</f>
        <v>12477.6</v>
      </c>
    </row>
    <row r="280" spans="1:22" ht="15" x14ac:dyDescent="0.25">
      <c r="A280" s="417" t="s">
        <v>3193</v>
      </c>
      <c r="B280" s="417"/>
      <c r="C280" s="417"/>
      <c r="D280" s="417"/>
      <c r="E280" s="417"/>
      <c r="F280" s="417"/>
      <c r="G280" s="417"/>
      <c r="H280" s="415">
        <v>26595.75</v>
      </c>
      <c r="I280" s="416"/>
      <c r="J280" s="415">
        <v>67084.5</v>
      </c>
      <c r="K280" s="416"/>
    </row>
    <row r="281" spans="1:22" hidden="1" x14ac:dyDescent="0.2">
      <c r="A281" s="160" t="s">
        <v>182</v>
      </c>
      <c r="I281" s="160">
        <v>0</v>
      </c>
      <c r="J281" s="160">
        <v>0</v>
      </c>
    </row>
    <row r="282" spans="1:22" hidden="1" x14ac:dyDescent="0.2">
      <c r="A282" s="160" t="s">
        <v>181</v>
      </c>
      <c r="I282" s="160">
        <v>0</v>
      </c>
      <c r="J282" s="160">
        <v>0</v>
      </c>
    </row>
    <row r="284" spans="1:22" ht="16.5" x14ac:dyDescent="0.25">
      <c r="A284" s="413" t="s">
        <v>3194</v>
      </c>
      <c r="B284" s="413"/>
      <c r="C284" s="413"/>
      <c r="D284" s="413"/>
      <c r="E284" s="413"/>
      <c r="F284" s="413"/>
      <c r="G284" s="413"/>
      <c r="H284" s="413"/>
      <c r="I284" s="413"/>
      <c r="J284" s="413"/>
      <c r="K284" s="413"/>
    </row>
    <row r="285" spans="1:22" ht="57" x14ac:dyDescent="0.2">
      <c r="A285" s="179" t="s">
        <v>1629</v>
      </c>
      <c r="B285" s="178" t="s">
        <v>782</v>
      </c>
      <c r="C285" s="178" t="s">
        <v>781</v>
      </c>
      <c r="D285" s="177" t="s">
        <v>2599</v>
      </c>
      <c r="E285" s="174">
        <v>2.38</v>
      </c>
      <c r="F285" s="176"/>
      <c r="G285" s="175"/>
      <c r="H285" s="174"/>
      <c r="I285" s="173"/>
      <c r="J285" s="174"/>
      <c r="K285" s="173"/>
      <c r="Q285" s="160">
        <f>[9]Source!X259</f>
        <v>1326.98</v>
      </c>
      <c r="R285" s="160">
        <f>[9]Source!X260</f>
        <v>23918.29</v>
      </c>
      <c r="S285" s="160">
        <f>[9]Source!Y259</f>
        <v>779.89</v>
      </c>
      <c r="T285" s="160">
        <f>[9]Source!Y260</f>
        <v>11143.75</v>
      </c>
      <c r="U285" s="160">
        <f>ROUND((175/100)*ROUND([9]Source!R259, 2), 2)</f>
        <v>47.95</v>
      </c>
      <c r="V285" s="160">
        <f>ROUND((157/100)*ROUND([9]Source!R260, 2), 2)</f>
        <v>785.25</v>
      </c>
    </row>
    <row r="286" spans="1:22" x14ac:dyDescent="0.2">
      <c r="C286" s="181" t="s">
        <v>3195</v>
      </c>
    </row>
    <row r="287" spans="1:22" ht="14.25" x14ac:dyDescent="0.2">
      <c r="A287" s="179"/>
      <c r="B287" s="178"/>
      <c r="C287" s="178" t="s">
        <v>197</v>
      </c>
      <c r="D287" s="177"/>
      <c r="E287" s="174"/>
      <c r="F287" s="176">
        <v>425.29</v>
      </c>
      <c r="G287" s="175" t="s">
        <v>1548</v>
      </c>
      <c r="H287" s="174">
        <v>1</v>
      </c>
      <c r="I287" s="173">
        <v>1164.02</v>
      </c>
      <c r="J287" s="174">
        <v>23.35</v>
      </c>
      <c r="K287" s="173">
        <v>27179.87</v>
      </c>
    </row>
    <row r="288" spans="1:22" ht="14.25" x14ac:dyDescent="0.2">
      <c r="A288" s="179"/>
      <c r="B288" s="178"/>
      <c r="C288" s="178" t="s">
        <v>184</v>
      </c>
      <c r="D288" s="177"/>
      <c r="E288" s="174"/>
      <c r="F288" s="176">
        <v>44.24</v>
      </c>
      <c r="G288" s="175" t="s">
        <v>1549</v>
      </c>
      <c r="H288" s="174">
        <v>1</v>
      </c>
      <c r="I288" s="173">
        <v>131.61000000000001</v>
      </c>
      <c r="J288" s="174">
        <v>8.9700000000000006</v>
      </c>
      <c r="K288" s="173">
        <v>1348.19</v>
      </c>
    </row>
    <row r="289" spans="1:22" ht="14.25" x14ac:dyDescent="0.2">
      <c r="A289" s="179"/>
      <c r="B289" s="178"/>
      <c r="C289" s="178" t="s">
        <v>189</v>
      </c>
      <c r="D289" s="177"/>
      <c r="E289" s="174"/>
      <c r="F289" s="176">
        <v>9.2100000000000009</v>
      </c>
      <c r="G289" s="175" t="s">
        <v>1549</v>
      </c>
      <c r="H289" s="174">
        <v>1</v>
      </c>
      <c r="I289" s="180">
        <v>27.4</v>
      </c>
      <c r="J289" s="174">
        <v>23.35</v>
      </c>
      <c r="K289" s="180">
        <v>500.16</v>
      </c>
    </row>
    <row r="290" spans="1:22" ht="14.25" x14ac:dyDescent="0.2">
      <c r="A290" s="179"/>
      <c r="B290" s="178"/>
      <c r="C290" s="178" t="s">
        <v>205</v>
      </c>
      <c r="D290" s="177"/>
      <c r="E290" s="174"/>
      <c r="F290" s="176">
        <v>44.65</v>
      </c>
      <c r="G290" s="175" t="s">
        <v>195</v>
      </c>
      <c r="H290" s="174">
        <v>1</v>
      </c>
      <c r="I290" s="173">
        <v>106.27</v>
      </c>
      <c r="J290" s="174">
        <v>3.65</v>
      </c>
      <c r="K290" s="173">
        <v>387.78</v>
      </c>
    </row>
    <row r="291" spans="1:22" ht="28.5" x14ac:dyDescent="0.2">
      <c r="A291" s="179" t="s">
        <v>1630</v>
      </c>
      <c r="B291" s="178" t="s">
        <v>3162</v>
      </c>
      <c r="C291" s="178" t="s">
        <v>754</v>
      </c>
      <c r="D291" s="177" t="s">
        <v>1533</v>
      </c>
      <c r="E291" s="174">
        <v>8.8059999999999999E-2</v>
      </c>
      <c r="F291" s="176">
        <v>26732.5</v>
      </c>
      <c r="G291" s="182" t="s">
        <v>195</v>
      </c>
      <c r="H291" s="174">
        <v>1</v>
      </c>
      <c r="I291" s="173">
        <v>2354.06</v>
      </c>
      <c r="J291" s="174">
        <v>1.96</v>
      </c>
      <c r="K291" s="173">
        <v>4613.96</v>
      </c>
      <c r="Q291" s="160">
        <f>[9]Source!X261</f>
        <v>0</v>
      </c>
      <c r="R291" s="160">
        <f>[9]Source!X262</f>
        <v>0</v>
      </c>
      <c r="S291" s="160">
        <f>[9]Source!Y261</f>
        <v>0</v>
      </c>
      <c r="T291" s="160">
        <f>[9]Source!Y262</f>
        <v>0</v>
      </c>
      <c r="U291" s="160">
        <f>ROUND((175/100)*ROUND([9]Source!R261, 2), 2)</f>
        <v>0</v>
      </c>
      <c r="V291" s="160">
        <f>ROUND((157/100)*ROUND([9]Source!R262, 2), 2)</f>
        <v>0</v>
      </c>
    </row>
    <row r="292" spans="1:22" ht="57" x14ac:dyDescent="0.2">
      <c r="A292" s="179" t="s">
        <v>1631</v>
      </c>
      <c r="B292" s="178" t="s">
        <v>2602</v>
      </c>
      <c r="C292" s="178" t="s">
        <v>780</v>
      </c>
      <c r="D292" s="177" t="s">
        <v>1661</v>
      </c>
      <c r="E292" s="174">
        <v>60</v>
      </c>
      <c r="F292" s="176">
        <v>34.97</v>
      </c>
      <c r="G292" s="182" t="s">
        <v>195</v>
      </c>
      <c r="H292" s="174">
        <v>1</v>
      </c>
      <c r="I292" s="173">
        <v>2098.1999999999998</v>
      </c>
      <c r="J292" s="174">
        <v>11.3</v>
      </c>
      <c r="K292" s="173">
        <v>23709.66</v>
      </c>
      <c r="Q292" s="160">
        <f>[9]Source!X263</f>
        <v>0</v>
      </c>
      <c r="R292" s="160">
        <f>[9]Source!X264</f>
        <v>0</v>
      </c>
      <c r="S292" s="160">
        <f>[9]Source!Y263</f>
        <v>0</v>
      </c>
      <c r="T292" s="160">
        <f>[9]Source!Y264</f>
        <v>0</v>
      </c>
      <c r="U292" s="160">
        <f>ROUND((175/100)*ROUND([9]Source!R263, 2), 2)</f>
        <v>0</v>
      </c>
      <c r="V292" s="160">
        <f>ROUND((157/100)*ROUND([9]Source!R264, 2), 2)</f>
        <v>0</v>
      </c>
    </row>
    <row r="293" spans="1:22" ht="71.25" x14ac:dyDescent="0.2">
      <c r="A293" s="179" t="s">
        <v>1632</v>
      </c>
      <c r="B293" s="178" t="s">
        <v>3163</v>
      </c>
      <c r="C293" s="178" t="s">
        <v>779</v>
      </c>
      <c r="D293" s="177" t="s">
        <v>1661</v>
      </c>
      <c r="E293" s="174">
        <v>9</v>
      </c>
      <c r="F293" s="176">
        <v>38.950000000000003</v>
      </c>
      <c r="G293" s="182" t="s">
        <v>195</v>
      </c>
      <c r="H293" s="174">
        <v>1</v>
      </c>
      <c r="I293" s="173">
        <v>350.55</v>
      </c>
      <c r="J293" s="174">
        <v>16.71</v>
      </c>
      <c r="K293" s="173">
        <v>5857.69</v>
      </c>
      <c r="Q293" s="160">
        <f>[9]Source!X265</f>
        <v>0</v>
      </c>
      <c r="R293" s="160">
        <f>[9]Source!X266</f>
        <v>0</v>
      </c>
      <c r="S293" s="160">
        <f>[9]Source!Y265</f>
        <v>0</v>
      </c>
      <c r="T293" s="160">
        <f>[9]Source!Y266</f>
        <v>0</v>
      </c>
      <c r="U293" s="160">
        <f>ROUND((175/100)*ROUND([9]Source!R265, 2), 2)</f>
        <v>0</v>
      </c>
      <c r="V293" s="160">
        <f>ROUND((157/100)*ROUND([9]Source!R266, 2), 2)</f>
        <v>0</v>
      </c>
    </row>
    <row r="294" spans="1:22" ht="57" x14ac:dyDescent="0.2">
      <c r="A294" s="179" t="s">
        <v>2640</v>
      </c>
      <c r="B294" s="178" t="s">
        <v>3164</v>
      </c>
      <c r="C294" s="178" t="s">
        <v>778</v>
      </c>
      <c r="D294" s="177" t="s">
        <v>1552</v>
      </c>
      <c r="E294" s="174">
        <v>238</v>
      </c>
      <c r="F294" s="176">
        <v>28.11</v>
      </c>
      <c r="G294" s="182" t="s">
        <v>195</v>
      </c>
      <c r="H294" s="174">
        <v>1</v>
      </c>
      <c r="I294" s="173">
        <v>6690.18</v>
      </c>
      <c r="J294" s="174">
        <v>7.69</v>
      </c>
      <c r="K294" s="173">
        <v>51447.48</v>
      </c>
      <c r="Q294" s="160">
        <f>[9]Source!X267</f>
        <v>0</v>
      </c>
      <c r="R294" s="160">
        <f>[9]Source!X268</f>
        <v>0</v>
      </c>
      <c r="S294" s="160">
        <f>[9]Source!Y267</f>
        <v>0</v>
      </c>
      <c r="T294" s="160">
        <f>[9]Source!Y268</f>
        <v>0</v>
      </c>
      <c r="U294" s="160">
        <f>ROUND((175/100)*ROUND([9]Source!R267, 2), 2)</f>
        <v>0</v>
      </c>
      <c r="V294" s="160">
        <f>ROUND((157/100)*ROUND([9]Source!R268, 2), 2)</f>
        <v>0</v>
      </c>
    </row>
    <row r="295" spans="1:22" ht="14.25" x14ac:dyDescent="0.2">
      <c r="A295" s="179"/>
      <c r="B295" s="178"/>
      <c r="C295" s="178" t="s">
        <v>194</v>
      </c>
      <c r="D295" s="177" t="s">
        <v>187</v>
      </c>
      <c r="E295" s="174">
        <v>110</v>
      </c>
      <c r="F295" s="176"/>
      <c r="G295" s="175"/>
      <c r="H295" s="174"/>
      <c r="I295" s="173">
        <v>1326.98</v>
      </c>
      <c r="J295" s="174">
        <v>88</v>
      </c>
      <c r="K295" s="173">
        <v>23918.29</v>
      </c>
    </row>
    <row r="296" spans="1:22" ht="14.25" x14ac:dyDescent="0.2">
      <c r="A296" s="179"/>
      <c r="B296" s="178"/>
      <c r="C296" s="178" t="s">
        <v>193</v>
      </c>
      <c r="D296" s="177" t="s">
        <v>187</v>
      </c>
      <c r="E296" s="174">
        <v>74</v>
      </c>
      <c r="F296" s="176"/>
      <c r="G296" s="175"/>
      <c r="H296" s="174"/>
      <c r="I296" s="173">
        <v>779.89</v>
      </c>
      <c r="J296" s="174">
        <v>41</v>
      </c>
      <c r="K296" s="173">
        <v>11143.75</v>
      </c>
    </row>
    <row r="297" spans="1:22" ht="14.25" x14ac:dyDescent="0.2">
      <c r="A297" s="179"/>
      <c r="B297" s="178"/>
      <c r="C297" s="178" t="s">
        <v>188</v>
      </c>
      <c r="D297" s="177" t="s">
        <v>187</v>
      </c>
      <c r="E297" s="174">
        <v>175</v>
      </c>
      <c r="F297" s="176"/>
      <c r="G297" s="175"/>
      <c r="H297" s="174"/>
      <c r="I297" s="173">
        <v>47.95</v>
      </c>
      <c r="J297" s="174">
        <v>157</v>
      </c>
      <c r="K297" s="173">
        <v>785.25</v>
      </c>
    </row>
    <row r="298" spans="1:22" ht="14.25" x14ac:dyDescent="0.2">
      <c r="A298" s="212"/>
      <c r="B298" s="211"/>
      <c r="C298" s="211" t="s">
        <v>192</v>
      </c>
      <c r="D298" s="210" t="s">
        <v>191</v>
      </c>
      <c r="E298" s="207">
        <v>33.700000000000003</v>
      </c>
      <c r="F298" s="209"/>
      <c r="G298" s="208" t="s">
        <v>1548</v>
      </c>
      <c r="H298" s="207">
        <v>1</v>
      </c>
      <c r="I298" s="206">
        <v>92.24</v>
      </c>
      <c r="J298" s="207"/>
      <c r="K298" s="206"/>
    </row>
    <row r="299" spans="1:22" ht="15" x14ac:dyDescent="0.25">
      <c r="A299" s="204"/>
      <c r="B299" s="204"/>
      <c r="C299" s="205" t="s">
        <v>183</v>
      </c>
      <c r="D299" s="204"/>
      <c r="E299" s="204"/>
      <c r="F299" s="204"/>
      <c r="G299" s="204"/>
      <c r="H299" s="438">
        <v>15049.71</v>
      </c>
      <c r="I299" s="438"/>
      <c r="J299" s="438">
        <v>150391.92000000001</v>
      </c>
      <c r="K299" s="438"/>
      <c r="O299" s="163">
        <f>I287+I288+I290+I295+I296+I297+SUM(I291:I294)</f>
        <v>15049.71</v>
      </c>
      <c r="P299" s="163">
        <f>K287+K288+K290+K295+K296+K297+SUM(K291:K294)</f>
        <v>150391.92000000001</v>
      </c>
    </row>
    <row r="301" spans="1:22" ht="57" x14ac:dyDescent="0.2">
      <c r="A301" s="179" t="s">
        <v>1633</v>
      </c>
      <c r="B301" s="178" t="s">
        <v>777</v>
      </c>
      <c r="C301" s="178" t="s">
        <v>776</v>
      </c>
      <c r="D301" s="177" t="s">
        <v>2599</v>
      </c>
      <c r="E301" s="174">
        <v>0.65</v>
      </c>
      <c r="F301" s="176"/>
      <c r="G301" s="175"/>
      <c r="H301" s="174"/>
      <c r="I301" s="173"/>
      <c r="J301" s="174"/>
      <c r="K301" s="173"/>
      <c r="Q301" s="160">
        <f>[9]Source!X269</f>
        <v>362.41</v>
      </c>
      <c r="R301" s="160">
        <f>[9]Source!X270</f>
        <v>6532.21</v>
      </c>
      <c r="S301" s="160">
        <f>[9]Source!Y269</f>
        <v>212.99</v>
      </c>
      <c r="T301" s="160">
        <f>[9]Source!Y270</f>
        <v>3043.42</v>
      </c>
      <c r="U301" s="160">
        <f>ROUND((175/100)*ROUND([9]Source!R269, 2), 2)</f>
        <v>13.09</v>
      </c>
      <c r="V301" s="160">
        <f>ROUND((157/100)*ROUND([9]Source!R270, 2), 2)</f>
        <v>214.46</v>
      </c>
    </row>
    <row r="302" spans="1:22" x14ac:dyDescent="0.2">
      <c r="C302" s="181" t="s">
        <v>2932</v>
      </c>
    </row>
    <row r="303" spans="1:22" ht="14.25" x14ac:dyDescent="0.2">
      <c r="A303" s="179"/>
      <c r="B303" s="178"/>
      <c r="C303" s="178" t="s">
        <v>197</v>
      </c>
      <c r="D303" s="177"/>
      <c r="E303" s="174"/>
      <c r="F303" s="176">
        <v>425.29</v>
      </c>
      <c r="G303" s="175" t="s">
        <v>1548</v>
      </c>
      <c r="H303" s="174">
        <v>1</v>
      </c>
      <c r="I303" s="173">
        <v>317.89999999999998</v>
      </c>
      <c r="J303" s="174">
        <v>23.35</v>
      </c>
      <c r="K303" s="173">
        <v>7422.97</v>
      </c>
    </row>
    <row r="304" spans="1:22" ht="14.25" x14ac:dyDescent="0.2">
      <c r="A304" s="179"/>
      <c r="B304" s="178"/>
      <c r="C304" s="178" t="s">
        <v>184</v>
      </c>
      <c r="D304" s="177"/>
      <c r="E304" s="174"/>
      <c r="F304" s="176">
        <v>44.24</v>
      </c>
      <c r="G304" s="175" t="s">
        <v>1549</v>
      </c>
      <c r="H304" s="174">
        <v>1</v>
      </c>
      <c r="I304" s="173">
        <v>35.950000000000003</v>
      </c>
      <c r="J304" s="174">
        <v>8.9700000000000006</v>
      </c>
      <c r="K304" s="173">
        <v>368.22</v>
      </c>
    </row>
    <row r="305" spans="1:22" ht="14.25" x14ac:dyDescent="0.2">
      <c r="A305" s="179"/>
      <c r="B305" s="178"/>
      <c r="C305" s="178" t="s">
        <v>189</v>
      </c>
      <c r="D305" s="177"/>
      <c r="E305" s="174"/>
      <c r="F305" s="176">
        <v>9.2100000000000009</v>
      </c>
      <c r="G305" s="175" t="s">
        <v>1549</v>
      </c>
      <c r="H305" s="174">
        <v>1</v>
      </c>
      <c r="I305" s="180">
        <v>7.48</v>
      </c>
      <c r="J305" s="174">
        <v>23.35</v>
      </c>
      <c r="K305" s="180">
        <v>136.6</v>
      </c>
    </row>
    <row r="306" spans="1:22" ht="14.25" x14ac:dyDescent="0.2">
      <c r="A306" s="179"/>
      <c r="B306" s="178"/>
      <c r="C306" s="178" t="s">
        <v>205</v>
      </c>
      <c r="D306" s="177"/>
      <c r="E306" s="174"/>
      <c r="F306" s="176">
        <v>44.83</v>
      </c>
      <c r="G306" s="175" t="s">
        <v>195</v>
      </c>
      <c r="H306" s="174">
        <v>1</v>
      </c>
      <c r="I306" s="173">
        <v>29.14</v>
      </c>
      <c r="J306" s="174">
        <v>3.65</v>
      </c>
      <c r="K306" s="173">
        <v>106.36</v>
      </c>
    </row>
    <row r="307" spans="1:22" ht="28.5" x14ac:dyDescent="0.2">
      <c r="A307" s="179" t="s">
        <v>1634</v>
      </c>
      <c r="B307" s="178" t="s">
        <v>3162</v>
      </c>
      <c r="C307" s="178" t="s">
        <v>754</v>
      </c>
      <c r="D307" s="177" t="s">
        <v>1533</v>
      </c>
      <c r="E307" s="174">
        <v>2.4049999999999998E-2</v>
      </c>
      <c r="F307" s="176">
        <v>26732.5</v>
      </c>
      <c r="G307" s="182" t="s">
        <v>195</v>
      </c>
      <c r="H307" s="174">
        <v>1</v>
      </c>
      <c r="I307" s="173">
        <v>642.91999999999996</v>
      </c>
      <c r="J307" s="174">
        <v>1.96</v>
      </c>
      <c r="K307" s="173">
        <v>1260.1199999999999</v>
      </c>
      <c r="Q307" s="160">
        <f>[9]Source!X271</f>
        <v>0</v>
      </c>
      <c r="R307" s="160">
        <f>[9]Source!X272</f>
        <v>0</v>
      </c>
      <c r="S307" s="160">
        <f>[9]Source!Y271</f>
        <v>0</v>
      </c>
      <c r="T307" s="160">
        <f>[9]Source!Y272</f>
        <v>0</v>
      </c>
      <c r="U307" s="160">
        <f>ROUND((175/100)*ROUND([9]Source!R271, 2), 2)</f>
        <v>0</v>
      </c>
      <c r="V307" s="160">
        <f>ROUND((157/100)*ROUND([9]Source!R272, 2), 2)</f>
        <v>0</v>
      </c>
    </row>
    <row r="308" spans="1:22" ht="57" x14ac:dyDescent="0.2">
      <c r="A308" s="179" t="s">
        <v>3196</v>
      </c>
      <c r="B308" s="178" t="s">
        <v>2606</v>
      </c>
      <c r="C308" s="178" t="s">
        <v>775</v>
      </c>
      <c r="D308" s="177" t="s">
        <v>1661</v>
      </c>
      <c r="E308" s="174">
        <v>22</v>
      </c>
      <c r="F308" s="176">
        <v>47.24</v>
      </c>
      <c r="G308" s="182" t="s">
        <v>195</v>
      </c>
      <c r="H308" s="174">
        <v>1</v>
      </c>
      <c r="I308" s="173">
        <v>1039.28</v>
      </c>
      <c r="J308" s="174">
        <v>12.35</v>
      </c>
      <c r="K308" s="173">
        <v>12835.11</v>
      </c>
      <c r="Q308" s="160">
        <f>[9]Source!X273</f>
        <v>0</v>
      </c>
      <c r="R308" s="160">
        <f>[9]Source!X274</f>
        <v>0</v>
      </c>
      <c r="S308" s="160">
        <f>[9]Source!Y273</f>
        <v>0</v>
      </c>
      <c r="T308" s="160">
        <f>[9]Source!Y274</f>
        <v>0</v>
      </c>
      <c r="U308" s="160">
        <f>ROUND((175/100)*ROUND([9]Source!R273, 2), 2)</f>
        <v>0</v>
      </c>
      <c r="V308" s="160">
        <f>ROUND((157/100)*ROUND([9]Source!R274, 2), 2)</f>
        <v>0</v>
      </c>
    </row>
    <row r="309" spans="1:22" ht="99.75" x14ac:dyDescent="0.2">
      <c r="A309" s="179" t="s">
        <v>3197</v>
      </c>
      <c r="B309" s="178" t="s">
        <v>2607</v>
      </c>
      <c r="C309" s="178" t="s">
        <v>774</v>
      </c>
      <c r="D309" s="177" t="s">
        <v>1661</v>
      </c>
      <c r="E309" s="174">
        <v>1</v>
      </c>
      <c r="F309" s="176">
        <v>510.16</v>
      </c>
      <c r="G309" s="182" t="s">
        <v>195</v>
      </c>
      <c r="H309" s="174">
        <v>1</v>
      </c>
      <c r="I309" s="173">
        <v>510.16</v>
      </c>
      <c r="J309" s="174">
        <v>4.3099999999999996</v>
      </c>
      <c r="K309" s="173">
        <v>2198.79</v>
      </c>
      <c r="Q309" s="160">
        <f>[9]Source!X275</f>
        <v>0</v>
      </c>
      <c r="R309" s="160">
        <f>[9]Source!X276</f>
        <v>0</v>
      </c>
      <c r="S309" s="160">
        <f>[9]Source!Y275</f>
        <v>0</v>
      </c>
      <c r="T309" s="160">
        <f>[9]Source!Y276</f>
        <v>0</v>
      </c>
      <c r="U309" s="160">
        <f>ROUND((175/100)*ROUND([9]Source!R275, 2), 2)</f>
        <v>0</v>
      </c>
      <c r="V309" s="160">
        <f>ROUND((157/100)*ROUND([9]Source!R276, 2), 2)</f>
        <v>0</v>
      </c>
    </row>
    <row r="310" spans="1:22" ht="57" x14ac:dyDescent="0.2">
      <c r="A310" s="179" t="s">
        <v>3198</v>
      </c>
      <c r="B310" s="178" t="s">
        <v>3165</v>
      </c>
      <c r="C310" s="178" t="s">
        <v>773</v>
      </c>
      <c r="D310" s="177" t="s">
        <v>1552</v>
      </c>
      <c r="E310" s="174">
        <v>65</v>
      </c>
      <c r="F310" s="176">
        <v>31.42</v>
      </c>
      <c r="G310" s="182" t="s">
        <v>195</v>
      </c>
      <c r="H310" s="174">
        <v>1</v>
      </c>
      <c r="I310" s="173">
        <v>2042.3</v>
      </c>
      <c r="J310" s="174">
        <v>8.74</v>
      </c>
      <c r="K310" s="173">
        <v>17849.7</v>
      </c>
      <c r="Q310" s="160">
        <f>[9]Source!X277</f>
        <v>0</v>
      </c>
      <c r="R310" s="160">
        <f>[9]Source!X278</f>
        <v>0</v>
      </c>
      <c r="S310" s="160">
        <f>[9]Source!Y277</f>
        <v>0</v>
      </c>
      <c r="T310" s="160">
        <f>[9]Source!Y278</f>
        <v>0</v>
      </c>
      <c r="U310" s="160">
        <f>ROUND((175/100)*ROUND([9]Source!R277, 2), 2)</f>
        <v>0</v>
      </c>
      <c r="V310" s="160">
        <f>ROUND((157/100)*ROUND([9]Source!R278, 2), 2)</f>
        <v>0</v>
      </c>
    </row>
    <row r="311" spans="1:22" ht="14.25" x14ac:dyDescent="0.2">
      <c r="A311" s="179"/>
      <c r="B311" s="178"/>
      <c r="C311" s="178" t="s">
        <v>194</v>
      </c>
      <c r="D311" s="177" t="s">
        <v>187</v>
      </c>
      <c r="E311" s="174">
        <v>110</v>
      </c>
      <c r="F311" s="176"/>
      <c r="G311" s="175"/>
      <c r="H311" s="174"/>
      <c r="I311" s="173">
        <v>362.41</v>
      </c>
      <c r="J311" s="174">
        <v>88</v>
      </c>
      <c r="K311" s="173">
        <v>6532.21</v>
      </c>
    </row>
    <row r="312" spans="1:22" ht="14.25" x14ac:dyDescent="0.2">
      <c r="A312" s="179"/>
      <c r="B312" s="178"/>
      <c r="C312" s="178" t="s">
        <v>193</v>
      </c>
      <c r="D312" s="177" t="s">
        <v>187</v>
      </c>
      <c r="E312" s="174">
        <v>74</v>
      </c>
      <c r="F312" s="176"/>
      <c r="G312" s="175"/>
      <c r="H312" s="174"/>
      <c r="I312" s="173">
        <v>212.99</v>
      </c>
      <c r="J312" s="174">
        <v>41</v>
      </c>
      <c r="K312" s="173">
        <v>3043.42</v>
      </c>
    </row>
    <row r="313" spans="1:22" ht="14.25" x14ac:dyDescent="0.2">
      <c r="A313" s="179"/>
      <c r="B313" s="178"/>
      <c r="C313" s="178" t="s">
        <v>188</v>
      </c>
      <c r="D313" s="177" t="s">
        <v>187</v>
      </c>
      <c r="E313" s="174">
        <v>175</v>
      </c>
      <c r="F313" s="176"/>
      <c r="G313" s="175"/>
      <c r="H313" s="174"/>
      <c r="I313" s="173">
        <v>13.09</v>
      </c>
      <c r="J313" s="174">
        <v>157</v>
      </c>
      <c r="K313" s="173">
        <v>214.46</v>
      </c>
    </row>
    <row r="314" spans="1:22" ht="14.25" x14ac:dyDescent="0.2">
      <c r="A314" s="212"/>
      <c r="B314" s="211"/>
      <c r="C314" s="211" t="s">
        <v>192</v>
      </c>
      <c r="D314" s="210" t="s">
        <v>191</v>
      </c>
      <c r="E314" s="207">
        <v>33.700000000000003</v>
      </c>
      <c r="F314" s="209"/>
      <c r="G314" s="208" t="s">
        <v>1548</v>
      </c>
      <c r="H314" s="207">
        <v>1</v>
      </c>
      <c r="I314" s="206">
        <v>25.19</v>
      </c>
      <c r="J314" s="207"/>
      <c r="K314" s="206"/>
    </row>
    <row r="315" spans="1:22" ht="15" x14ac:dyDescent="0.25">
      <c r="A315" s="204"/>
      <c r="B315" s="204"/>
      <c r="C315" s="205" t="s">
        <v>183</v>
      </c>
      <c r="D315" s="204"/>
      <c r="E315" s="204"/>
      <c r="F315" s="204"/>
      <c r="G315" s="204"/>
      <c r="H315" s="438">
        <v>5206.1400000000003</v>
      </c>
      <c r="I315" s="438"/>
      <c r="J315" s="438">
        <v>51831.360000000001</v>
      </c>
      <c r="K315" s="438"/>
      <c r="O315" s="163">
        <f>I303+I304+I306+I311+I312+I313+SUM(I307:I310)</f>
        <v>5206.1400000000003</v>
      </c>
      <c r="P315" s="163">
        <f>K303+K304+K306+K311+K312+K313+SUM(K307:K310)</f>
        <v>51831.360000000001</v>
      </c>
    </row>
    <row r="317" spans="1:22" ht="57" x14ac:dyDescent="0.2">
      <c r="A317" s="179" t="s">
        <v>1635</v>
      </c>
      <c r="B317" s="178" t="s">
        <v>772</v>
      </c>
      <c r="C317" s="178" t="s">
        <v>771</v>
      </c>
      <c r="D317" s="177" t="s">
        <v>2599</v>
      </c>
      <c r="E317" s="174">
        <v>1.35</v>
      </c>
      <c r="F317" s="176"/>
      <c r="G317" s="175"/>
      <c r="H317" s="174"/>
      <c r="I317" s="173"/>
      <c r="J317" s="174"/>
      <c r="K317" s="173"/>
      <c r="Q317" s="160">
        <f>[9]Source!X279</f>
        <v>752.7</v>
      </c>
      <c r="R317" s="160">
        <f>[9]Source!X280</f>
        <v>13567.02</v>
      </c>
      <c r="S317" s="160">
        <f>[9]Source!Y279</f>
        <v>442.37</v>
      </c>
      <c r="T317" s="160">
        <f>[9]Source!Y280</f>
        <v>6321</v>
      </c>
      <c r="U317" s="160">
        <f>ROUND((175/100)*ROUND([9]Source!R279, 2), 2)</f>
        <v>27.2</v>
      </c>
      <c r="V317" s="160">
        <f>ROUND((157/100)*ROUND([9]Source!R280, 2), 2)</f>
        <v>445.41</v>
      </c>
    </row>
    <row r="318" spans="1:22" x14ac:dyDescent="0.2">
      <c r="C318" s="181" t="s">
        <v>3168</v>
      </c>
    </row>
    <row r="319" spans="1:22" ht="14.25" x14ac:dyDescent="0.2">
      <c r="A319" s="179"/>
      <c r="B319" s="178"/>
      <c r="C319" s="178" t="s">
        <v>197</v>
      </c>
      <c r="D319" s="177"/>
      <c r="E319" s="174"/>
      <c r="F319" s="176">
        <v>425.29</v>
      </c>
      <c r="G319" s="175" t="s">
        <v>1548</v>
      </c>
      <c r="H319" s="174">
        <v>1</v>
      </c>
      <c r="I319" s="173">
        <v>660.26</v>
      </c>
      <c r="J319" s="174">
        <v>23.35</v>
      </c>
      <c r="K319" s="173">
        <v>15417.07</v>
      </c>
    </row>
    <row r="320" spans="1:22" ht="14.25" x14ac:dyDescent="0.2">
      <c r="A320" s="179"/>
      <c r="B320" s="178"/>
      <c r="C320" s="178" t="s">
        <v>184</v>
      </c>
      <c r="D320" s="177"/>
      <c r="E320" s="174"/>
      <c r="F320" s="176">
        <v>44.24</v>
      </c>
      <c r="G320" s="175" t="s">
        <v>1549</v>
      </c>
      <c r="H320" s="174">
        <v>1</v>
      </c>
      <c r="I320" s="173">
        <v>74.66</v>
      </c>
      <c r="J320" s="174">
        <v>8.9700000000000006</v>
      </c>
      <c r="K320" s="173">
        <v>764.69</v>
      </c>
    </row>
    <row r="321" spans="1:22" ht="14.25" x14ac:dyDescent="0.2">
      <c r="A321" s="179"/>
      <c r="B321" s="178"/>
      <c r="C321" s="178" t="s">
        <v>189</v>
      </c>
      <c r="D321" s="177"/>
      <c r="E321" s="174"/>
      <c r="F321" s="176">
        <v>9.2100000000000009</v>
      </c>
      <c r="G321" s="175" t="s">
        <v>1549</v>
      </c>
      <c r="H321" s="174">
        <v>1</v>
      </c>
      <c r="I321" s="180">
        <v>15.54</v>
      </c>
      <c r="J321" s="174">
        <v>23.35</v>
      </c>
      <c r="K321" s="180">
        <v>283.7</v>
      </c>
    </row>
    <row r="322" spans="1:22" ht="14.25" x14ac:dyDescent="0.2">
      <c r="A322" s="179"/>
      <c r="B322" s="178"/>
      <c r="C322" s="178" t="s">
        <v>205</v>
      </c>
      <c r="D322" s="177"/>
      <c r="E322" s="174"/>
      <c r="F322" s="176">
        <v>45.07</v>
      </c>
      <c r="G322" s="175" t="s">
        <v>195</v>
      </c>
      <c r="H322" s="174">
        <v>1</v>
      </c>
      <c r="I322" s="173">
        <v>60.84</v>
      </c>
      <c r="J322" s="174">
        <v>3.66</v>
      </c>
      <c r="K322" s="173">
        <v>222.67</v>
      </c>
    </row>
    <row r="323" spans="1:22" ht="28.5" x14ac:dyDescent="0.2">
      <c r="A323" s="179" t="s">
        <v>1638</v>
      </c>
      <c r="B323" s="178" t="s">
        <v>3162</v>
      </c>
      <c r="C323" s="178" t="s">
        <v>754</v>
      </c>
      <c r="D323" s="177" t="s">
        <v>1533</v>
      </c>
      <c r="E323" s="174">
        <v>4.9950000000000001E-2</v>
      </c>
      <c r="F323" s="176">
        <v>26732.5</v>
      </c>
      <c r="G323" s="182" t="s">
        <v>195</v>
      </c>
      <c r="H323" s="174">
        <v>1</v>
      </c>
      <c r="I323" s="173">
        <v>1335.29</v>
      </c>
      <c r="J323" s="174">
        <v>1.96</v>
      </c>
      <c r="K323" s="173">
        <v>2617.17</v>
      </c>
      <c r="Q323" s="160">
        <f>[9]Source!X281</f>
        <v>0</v>
      </c>
      <c r="R323" s="160">
        <f>[9]Source!X282</f>
        <v>0</v>
      </c>
      <c r="S323" s="160">
        <f>[9]Source!Y281</f>
        <v>0</v>
      </c>
      <c r="T323" s="160">
        <f>[9]Source!Y282</f>
        <v>0</v>
      </c>
      <c r="U323" s="160">
        <f>ROUND((175/100)*ROUND([9]Source!R281, 2), 2)</f>
        <v>0</v>
      </c>
      <c r="V323" s="160">
        <f>ROUND((157/100)*ROUND([9]Source!R282, 2), 2)</f>
        <v>0</v>
      </c>
    </row>
    <row r="324" spans="1:22" ht="57" x14ac:dyDescent="0.2">
      <c r="A324" s="179" t="s">
        <v>1639</v>
      </c>
      <c r="B324" s="178" t="s">
        <v>2611</v>
      </c>
      <c r="C324" s="178" t="s">
        <v>735</v>
      </c>
      <c r="D324" s="177" t="s">
        <v>1661</v>
      </c>
      <c r="E324" s="174">
        <v>5</v>
      </c>
      <c r="F324" s="176">
        <v>74.37</v>
      </c>
      <c r="G324" s="182" t="s">
        <v>195</v>
      </c>
      <c r="H324" s="174">
        <v>1</v>
      </c>
      <c r="I324" s="173">
        <v>371.85</v>
      </c>
      <c r="J324" s="174">
        <v>11.27</v>
      </c>
      <c r="K324" s="173">
        <v>4190.75</v>
      </c>
      <c r="Q324" s="160">
        <f>[9]Source!X283</f>
        <v>0</v>
      </c>
      <c r="R324" s="160">
        <f>[9]Source!X284</f>
        <v>0</v>
      </c>
      <c r="S324" s="160">
        <f>[9]Source!Y283</f>
        <v>0</v>
      </c>
      <c r="T324" s="160">
        <f>[9]Source!Y284</f>
        <v>0</v>
      </c>
      <c r="U324" s="160">
        <f>ROUND((175/100)*ROUND([9]Source!R283, 2), 2)</f>
        <v>0</v>
      </c>
      <c r="V324" s="160">
        <f>ROUND((157/100)*ROUND([9]Source!R284, 2), 2)</f>
        <v>0</v>
      </c>
    </row>
    <row r="325" spans="1:22" ht="57" x14ac:dyDescent="0.2">
      <c r="A325" s="179" t="s">
        <v>1641</v>
      </c>
      <c r="B325" s="178" t="s">
        <v>3167</v>
      </c>
      <c r="C325" s="178" t="s">
        <v>770</v>
      </c>
      <c r="D325" s="177" t="s">
        <v>1552</v>
      </c>
      <c r="E325" s="174">
        <v>135</v>
      </c>
      <c r="F325" s="176">
        <v>41.59</v>
      </c>
      <c r="G325" s="182" t="s">
        <v>195</v>
      </c>
      <c r="H325" s="174">
        <v>1</v>
      </c>
      <c r="I325" s="173">
        <v>5614.65</v>
      </c>
      <c r="J325" s="174">
        <v>9.0299999999999994</v>
      </c>
      <c r="K325" s="173">
        <v>50700.29</v>
      </c>
      <c r="Q325" s="160">
        <f>[9]Source!X285</f>
        <v>0</v>
      </c>
      <c r="R325" s="160">
        <f>[9]Source!X286</f>
        <v>0</v>
      </c>
      <c r="S325" s="160">
        <f>[9]Source!Y285</f>
        <v>0</v>
      </c>
      <c r="T325" s="160">
        <f>[9]Source!Y286</f>
        <v>0</v>
      </c>
      <c r="U325" s="160">
        <f>ROUND((175/100)*ROUND([9]Source!R285, 2), 2)</f>
        <v>0</v>
      </c>
      <c r="V325" s="160">
        <f>ROUND((157/100)*ROUND([9]Source!R286, 2), 2)</f>
        <v>0</v>
      </c>
    </row>
    <row r="326" spans="1:22" ht="14.25" x14ac:dyDescent="0.2">
      <c r="A326" s="179"/>
      <c r="B326" s="178"/>
      <c r="C326" s="178" t="s">
        <v>194</v>
      </c>
      <c r="D326" s="177" t="s">
        <v>187</v>
      </c>
      <c r="E326" s="174">
        <v>110</v>
      </c>
      <c r="F326" s="176"/>
      <c r="G326" s="175"/>
      <c r="H326" s="174"/>
      <c r="I326" s="173">
        <v>752.7</v>
      </c>
      <c r="J326" s="174">
        <v>88</v>
      </c>
      <c r="K326" s="173">
        <v>13567.02</v>
      </c>
    </row>
    <row r="327" spans="1:22" ht="14.25" x14ac:dyDescent="0.2">
      <c r="A327" s="179"/>
      <c r="B327" s="178"/>
      <c r="C327" s="178" t="s">
        <v>193</v>
      </c>
      <c r="D327" s="177" t="s">
        <v>187</v>
      </c>
      <c r="E327" s="174">
        <v>74</v>
      </c>
      <c r="F327" s="176"/>
      <c r="G327" s="175"/>
      <c r="H327" s="174"/>
      <c r="I327" s="173">
        <v>442.37</v>
      </c>
      <c r="J327" s="174">
        <v>41</v>
      </c>
      <c r="K327" s="173">
        <v>6321</v>
      </c>
    </row>
    <row r="328" spans="1:22" ht="14.25" x14ac:dyDescent="0.2">
      <c r="A328" s="179"/>
      <c r="B328" s="178"/>
      <c r="C328" s="178" t="s">
        <v>188</v>
      </c>
      <c r="D328" s="177" t="s">
        <v>187</v>
      </c>
      <c r="E328" s="174">
        <v>175</v>
      </c>
      <c r="F328" s="176"/>
      <c r="G328" s="175"/>
      <c r="H328" s="174"/>
      <c r="I328" s="173">
        <v>27.2</v>
      </c>
      <c r="J328" s="174">
        <v>157</v>
      </c>
      <c r="K328" s="173">
        <v>445.41</v>
      </c>
    </row>
    <row r="329" spans="1:22" ht="14.25" x14ac:dyDescent="0.2">
      <c r="A329" s="212"/>
      <c r="B329" s="211"/>
      <c r="C329" s="211" t="s">
        <v>192</v>
      </c>
      <c r="D329" s="210" t="s">
        <v>191</v>
      </c>
      <c r="E329" s="207">
        <v>33.700000000000003</v>
      </c>
      <c r="F329" s="209"/>
      <c r="G329" s="208" t="s">
        <v>1548</v>
      </c>
      <c r="H329" s="207">
        <v>1</v>
      </c>
      <c r="I329" s="206">
        <v>52.32</v>
      </c>
      <c r="J329" s="207"/>
      <c r="K329" s="206"/>
    </row>
    <row r="330" spans="1:22" ht="15" x14ac:dyDescent="0.25">
      <c r="A330" s="204"/>
      <c r="B330" s="204"/>
      <c r="C330" s="205" t="s">
        <v>183</v>
      </c>
      <c r="D330" s="204"/>
      <c r="E330" s="204"/>
      <c r="F330" s="204"/>
      <c r="G330" s="204"/>
      <c r="H330" s="438">
        <v>9339.82</v>
      </c>
      <c r="I330" s="438"/>
      <c r="J330" s="438">
        <v>94246.07</v>
      </c>
      <c r="K330" s="438"/>
      <c r="O330" s="163">
        <f>I319+I320+I322+I326+I327+I328+SUM(I323:I325)</f>
        <v>9339.82</v>
      </c>
      <c r="P330" s="163">
        <f>K319+K320+K322+K326+K327+K328+SUM(K323:K325)</f>
        <v>94246.07</v>
      </c>
    </row>
    <row r="332" spans="1:22" ht="57" x14ac:dyDescent="0.2">
      <c r="A332" s="179" t="s">
        <v>1645</v>
      </c>
      <c r="B332" s="178" t="s">
        <v>769</v>
      </c>
      <c r="C332" s="178" t="s">
        <v>768</v>
      </c>
      <c r="D332" s="177" t="s">
        <v>2599</v>
      </c>
      <c r="E332" s="174">
        <v>0.72</v>
      </c>
      <c r="F332" s="176"/>
      <c r="G332" s="175"/>
      <c r="H332" s="174"/>
      <c r="I332" s="173"/>
      <c r="J332" s="174"/>
      <c r="K332" s="173"/>
      <c r="Q332" s="160">
        <f>[9]Source!X287</f>
        <v>401.44</v>
      </c>
      <c r="R332" s="160">
        <f>[9]Source!X288</f>
        <v>7235.77</v>
      </c>
      <c r="S332" s="160">
        <f>[9]Source!Y287</f>
        <v>235.93</v>
      </c>
      <c r="T332" s="160">
        <f>[9]Source!Y288</f>
        <v>3371.21</v>
      </c>
      <c r="U332" s="160">
        <f>ROUND((175/100)*ROUND([9]Source!R287, 2), 2)</f>
        <v>14.51</v>
      </c>
      <c r="V332" s="160">
        <f>ROUND((157/100)*ROUND([9]Source!R288, 2), 2)</f>
        <v>237.56</v>
      </c>
    </row>
    <row r="333" spans="1:22" x14ac:dyDescent="0.2">
      <c r="C333" s="181" t="s">
        <v>3199</v>
      </c>
    </row>
    <row r="334" spans="1:22" ht="14.25" x14ac:dyDescent="0.2">
      <c r="A334" s="179"/>
      <c r="B334" s="178"/>
      <c r="C334" s="178" t="s">
        <v>197</v>
      </c>
      <c r="D334" s="177"/>
      <c r="E334" s="174"/>
      <c r="F334" s="176">
        <v>425.29</v>
      </c>
      <c r="G334" s="175" t="s">
        <v>1548</v>
      </c>
      <c r="H334" s="174">
        <v>1</v>
      </c>
      <c r="I334" s="173">
        <v>352.14</v>
      </c>
      <c r="J334" s="174">
        <v>23.35</v>
      </c>
      <c r="K334" s="173">
        <v>8222.4699999999993</v>
      </c>
    </row>
    <row r="335" spans="1:22" ht="14.25" x14ac:dyDescent="0.2">
      <c r="A335" s="179"/>
      <c r="B335" s="178"/>
      <c r="C335" s="178" t="s">
        <v>184</v>
      </c>
      <c r="D335" s="177"/>
      <c r="E335" s="174"/>
      <c r="F335" s="176">
        <v>44.24</v>
      </c>
      <c r="G335" s="175" t="s">
        <v>1549</v>
      </c>
      <c r="H335" s="174">
        <v>1</v>
      </c>
      <c r="I335" s="173">
        <v>39.82</v>
      </c>
      <c r="J335" s="174">
        <v>8.9700000000000006</v>
      </c>
      <c r="K335" s="173">
        <v>407.87</v>
      </c>
    </row>
    <row r="336" spans="1:22" ht="14.25" x14ac:dyDescent="0.2">
      <c r="A336" s="179"/>
      <c r="B336" s="178"/>
      <c r="C336" s="178" t="s">
        <v>189</v>
      </c>
      <c r="D336" s="177"/>
      <c r="E336" s="174"/>
      <c r="F336" s="176">
        <v>9.2100000000000009</v>
      </c>
      <c r="G336" s="175" t="s">
        <v>1549</v>
      </c>
      <c r="H336" s="174">
        <v>1</v>
      </c>
      <c r="I336" s="180">
        <v>8.2899999999999991</v>
      </c>
      <c r="J336" s="174">
        <v>23.35</v>
      </c>
      <c r="K336" s="180">
        <v>151.31</v>
      </c>
    </row>
    <row r="337" spans="1:22" ht="14.25" x14ac:dyDescent="0.2">
      <c r="A337" s="179"/>
      <c r="B337" s="178"/>
      <c r="C337" s="178" t="s">
        <v>205</v>
      </c>
      <c r="D337" s="177"/>
      <c r="E337" s="174"/>
      <c r="F337" s="176">
        <v>45.49</v>
      </c>
      <c r="G337" s="175" t="s">
        <v>195</v>
      </c>
      <c r="H337" s="174">
        <v>1</v>
      </c>
      <c r="I337" s="173">
        <v>32.75</v>
      </c>
      <c r="J337" s="174">
        <v>3.67</v>
      </c>
      <c r="K337" s="173">
        <v>120.19</v>
      </c>
    </row>
    <row r="338" spans="1:22" ht="28.5" x14ac:dyDescent="0.2">
      <c r="A338" s="179" t="s">
        <v>1647</v>
      </c>
      <c r="B338" s="178" t="s">
        <v>3162</v>
      </c>
      <c r="C338" s="178" t="s">
        <v>754</v>
      </c>
      <c r="D338" s="177" t="s">
        <v>1533</v>
      </c>
      <c r="E338" s="174">
        <v>2.664E-2</v>
      </c>
      <c r="F338" s="176">
        <v>26732.5</v>
      </c>
      <c r="G338" s="182" t="s">
        <v>195</v>
      </c>
      <c r="H338" s="174">
        <v>1</v>
      </c>
      <c r="I338" s="173">
        <v>712.15</v>
      </c>
      <c r="J338" s="174">
        <v>1.96</v>
      </c>
      <c r="K338" s="173">
        <v>1395.81</v>
      </c>
      <c r="Q338" s="160">
        <f>[9]Source!X289</f>
        <v>0</v>
      </c>
      <c r="R338" s="160">
        <f>[9]Source!X290</f>
        <v>0</v>
      </c>
      <c r="S338" s="160">
        <f>[9]Source!Y289</f>
        <v>0</v>
      </c>
      <c r="T338" s="160">
        <f>[9]Source!Y290</f>
        <v>0</v>
      </c>
      <c r="U338" s="160">
        <f>ROUND((175/100)*ROUND([9]Source!R289, 2), 2)</f>
        <v>0</v>
      </c>
      <c r="V338" s="160">
        <f>ROUND((157/100)*ROUND([9]Source!R290, 2), 2)</f>
        <v>0</v>
      </c>
    </row>
    <row r="339" spans="1:22" ht="57" x14ac:dyDescent="0.2">
      <c r="A339" s="179" t="s">
        <v>1648</v>
      </c>
      <c r="B339" s="178" t="s">
        <v>2938</v>
      </c>
      <c r="C339" s="178" t="s">
        <v>767</v>
      </c>
      <c r="D339" s="177" t="s">
        <v>1661</v>
      </c>
      <c r="E339" s="174">
        <v>3</v>
      </c>
      <c r="F339" s="176">
        <v>113.32</v>
      </c>
      <c r="G339" s="182" t="s">
        <v>195</v>
      </c>
      <c r="H339" s="174">
        <v>1</v>
      </c>
      <c r="I339" s="173">
        <v>339.96</v>
      </c>
      <c r="J339" s="174">
        <v>11.93</v>
      </c>
      <c r="K339" s="173">
        <v>4055.72</v>
      </c>
      <c r="Q339" s="160">
        <f>[9]Source!X291</f>
        <v>0</v>
      </c>
      <c r="R339" s="160">
        <f>[9]Source!X292</f>
        <v>0</v>
      </c>
      <c r="S339" s="160">
        <f>[9]Source!Y291</f>
        <v>0</v>
      </c>
      <c r="T339" s="160">
        <f>[9]Source!Y292</f>
        <v>0</v>
      </c>
      <c r="U339" s="160">
        <f>ROUND((175/100)*ROUND([9]Source!R291, 2), 2)</f>
        <v>0</v>
      </c>
      <c r="V339" s="160">
        <f>ROUND((157/100)*ROUND([9]Source!R292, 2), 2)</f>
        <v>0</v>
      </c>
    </row>
    <row r="340" spans="1:22" ht="99.75" x14ac:dyDescent="0.2">
      <c r="A340" s="179" t="s">
        <v>1649</v>
      </c>
      <c r="B340" s="178" t="s">
        <v>2616</v>
      </c>
      <c r="C340" s="178" t="s">
        <v>766</v>
      </c>
      <c r="D340" s="177" t="s">
        <v>1661</v>
      </c>
      <c r="E340" s="174">
        <v>1</v>
      </c>
      <c r="F340" s="176">
        <v>985.51</v>
      </c>
      <c r="G340" s="182" t="s">
        <v>195</v>
      </c>
      <c r="H340" s="174">
        <v>1</v>
      </c>
      <c r="I340" s="173">
        <v>985.51</v>
      </c>
      <c r="J340" s="174">
        <v>4.26</v>
      </c>
      <c r="K340" s="173">
        <v>4198.2700000000004</v>
      </c>
      <c r="Q340" s="160">
        <f>[9]Source!X293</f>
        <v>0</v>
      </c>
      <c r="R340" s="160">
        <f>[9]Source!X294</f>
        <v>0</v>
      </c>
      <c r="S340" s="160">
        <f>[9]Source!Y293</f>
        <v>0</v>
      </c>
      <c r="T340" s="160">
        <f>[9]Source!Y294</f>
        <v>0</v>
      </c>
      <c r="U340" s="160">
        <f>ROUND((175/100)*ROUND([9]Source!R293, 2), 2)</f>
        <v>0</v>
      </c>
      <c r="V340" s="160">
        <f>ROUND((157/100)*ROUND([9]Source!R294, 2), 2)</f>
        <v>0</v>
      </c>
    </row>
    <row r="341" spans="1:22" ht="57" x14ac:dyDescent="0.2">
      <c r="A341" s="179" t="s">
        <v>3200</v>
      </c>
      <c r="B341" s="178" t="s">
        <v>3201</v>
      </c>
      <c r="C341" s="178" t="s">
        <v>765</v>
      </c>
      <c r="D341" s="177" t="s">
        <v>1552</v>
      </c>
      <c r="E341" s="174">
        <v>72</v>
      </c>
      <c r="F341" s="176">
        <v>51.31</v>
      </c>
      <c r="G341" s="182" t="s">
        <v>195</v>
      </c>
      <c r="H341" s="174">
        <v>1</v>
      </c>
      <c r="I341" s="173">
        <v>3694.32</v>
      </c>
      <c r="J341" s="174">
        <v>8.2100000000000009</v>
      </c>
      <c r="K341" s="173">
        <v>30330.37</v>
      </c>
      <c r="Q341" s="160">
        <f>[9]Source!X295</f>
        <v>0</v>
      </c>
      <c r="R341" s="160">
        <f>[9]Source!X296</f>
        <v>0</v>
      </c>
      <c r="S341" s="160">
        <f>[9]Source!Y295</f>
        <v>0</v>
      </c>
      <c r="T341" s="160">
        <f>[9]Source!Y296</f>
        <v>0</v>
      </c>
      <c r="U341" s="160">
        <f>ROUND((175/100)*ROUND([9]Source!R295, 2), 2)</f>
        <v>0</v>
      </c>
      <c r="V341" s="160">
        <f>ROUND((157/100)*ROUND([9]Source!R296, 2), 2)</f>
        <v>0</v>
      </c>
    </row>
    <row r="342" spans="1:22" ht="14.25" x14ac:dyDescent="0.2">
      <c r="A342" s="179"/>
      <c r="B342" s="178"/>
      <c r="C342" s="178" t="s">
        <v>194</v>
      </c>
      <c r="D342" s="177" t="s">
        <v>187</v>
      </c>
      <c r="E342" s="174">
        <v>110</v>
      </c>
      <c r="F342" s="176"/>
      <c r="G342" s="175"/>
      <c r="H342" s="174"/>
      <c r="I342" s="173">
        <v>401.44</v>
      </c>
      <c r="J342" s="174">
        <v>88</v>
      </c>
      <c r="K342" s="173">
        <v>7235.77</v>
      </c>
    </row>
    <row r="343" spans="1:22" ht="14.25" x14ac:dyDescent="0.2">
      <c r="A343" s="179"/>
      <c r="B343" s="178"/>
      <c r="C343" s="178" t="s">
        <v>193</v>
      </c>
      <c r="D343" s="177" t="s">
        <v>187</v>
      </c>
      <c r="E343" s="174">
        <v>74</v>
      </c>
      <c r="F343" s="176"/>
      <c r="G343" s="175"/>
      <c r="H343" s="174"/>
      <c r="I343" s="173">
        <v>235.93</v>
      </c>
      <c r="J343" s="174">
        <v>41</v>
      </c>
      <c r="K343" s="173">
        <v>3371.21</v>
      </c>
    </row>
    <row r="344" spans="1:22" ht="14.25" x14ac:dyDescent="0.2">
      <c r="A344" s="179"/>
      <c r="B344" s="178"/>
      <c r="C344" s="178" t="s">
        <v>188</v>
      </c>
      <c r="D344" s="177" t="s">
        <v>187</v>
      </c>
      <c r="E344" s="174">
        <v>175</v>
      </c>
      <c r="F344" s="176"/>
      <c r="G344" s="175"/>
      <c r="H344" s="174"/>
      <c r="I344" s="173">
        <v>14.51</v>
      </c>
      <c r="J344" s="174">
        <v>157</v>
      </c>
      <c r="K344" s="173">
        <v>237.56</v>
      </c>
    </row>
    <row r="345" spans="1:22" ht="14.25" x14ac:dyDescent="0.2">
      <c r="A345" s="212"/>
      <c r="B345" s="211"/>
      <c r="C345" s="211" t="s">
        <v>192</v>
      </c>
      <c r="D345" s="210" t="s">
        <v>191</v>
      </c>
      <c r="E345" s="207">
        <v>33.700000000000003</v>
      </c>
      <c r="F345" s="209"/>
      <c r="G345" s="208" t="s">
        <v>1548</v>
      </c>
      <c r="H345" s="207">
        <v>1</v>
      </c>
      <c r="I345" s="206">
        <v>27.9</v>
      </c>
      <c r="J345" s="207"/>
      <c r="K345" s="206"/>
    </row>
    <row r="346" spans="1:22" ht="15" x14ac:dyDescent="0.25">
      <c r="A346" s="204"/>
      <c r="B346" s="204"/>
      <c r="C346" s="205" t="s">
        <v>183</v>
      </c>
      <c r="D346" s="204"/>
      <c r="E346" s="204"/>
      <c r="F346" s="204"/>
      <c r="G346" s="204"/>
      <c r="H346" s="438">
        <v>6808.53</v>
      </c>
      <c r="I346" s="438"/>
      <c r="J346" s="438">
        <v>59575.24</v>
      </c>
      <c r="K346" s="438"/>
      <c r="O346" s="163">
        <f>I334+I335+I337+I342+I343+I344+SUM(I338:I341)</f>
        <v>6808.53</v>
      </c>
      <c r="P346" s="163">
        <f>K334+K335+K337+K342+K343+K344+SUM(K338:K341)</f>
        <v>59575.24</v>
      </c>
    </row>
    <row r="348" spans="1:22" ht="57" x14ac:dyDescent="0.2">
      <c r="A348" s="179" t="s">
        <v>1652</v>
      </c>
      <c r="B348" s="178" t="s">
        <v>764</v>
      </c>
      <c r="C348" s="178" t="s">
        <v>763</v>
      </c>
      <c r="D348" s="177" t="s">
        <v>2599</v>
      </c>
      <c r="E348" s="174">
        <v>0.04</v>
      </c>
      <c r="F348" s="176"/>
      <c r="G348" s="175"/>
      <c r="H348" s="174"/>
      <c r="I348" s="173"/>
      <c r="J348" s="174"/>
      <c r="K348" s="173"/>
      <c r="Q348" s="160">
        <f>[9]Source!X297</f>
        <v>22.3</v>
      </c>
      <c r="R348" s="160">
        <f>[9]Source!X298</f>
        <v>401.92</v>
      </c>
      <c r="S348" s="160">
        <f>[9]Source!Y297</f>
        <v>13.11</v>
      </c>
      <c r="T348" s="160">
        <f>[9]Source!Y298</f>
        <v>187.26</v>
      </c>
      <c r="U348" s="160">
        <f>ROUND((175/100)*ROUND([9]Source!R297, 2), 2)</f>
        <v>0.81</v>
      </c>
      <c r="V348" s="160">
        <f>ROUND((157/100)*ROUND([9]Source!R298, 2), 2)</f>
        <v>13.2</v>
      </c>
    </row>
    <row r="349" spans="1:22" x14ac:dyDescent="0.2">
      <c r="C349" s="181" t="s">
        <v>3202</v>
      </c>
    </row>
    <row r="350" spans="1:22" ht="14.25" x14ac:dyDescent="0.2">
      <c r="A350" s="179"/>
      <c r="B350" s="178"/>
      <c r="C350" s="178" t="s">
        <v>197</v>
      </c>
      <c r="D350" s="177"/>
      <c r="E350" s="174"/>
      <c r="F350" s="176">
        <v>425.29</v>
      </c>
      <c r="G350" s="175" t="s">
        <v>1548</v>
      </c>
      <c r="H350" s="174">
        <v>1</v>
      </c>
      <c r="I350" s="173">
        <v>19.559999999999999</v>
      </c>
      <c r="J350" s="174">
        <v>23.35</v>
      </c>
      <c r="K350" s="173">
        <v>456.73</v>
      </c>
    </row>
    <row r="351" spans="1:22" ht="14.25" x14ac:dyDescent="0.2">
      <c r="A351" s="179"/>
      <c r="B351" s="178"/>
      <c r="C351" s="178" t="s">
        <v>184</v>
      </c>
      <c r="D351" s="177"/>
      <c r="E351" s="174"/>
      <c r="F351" s="176">
        <v>44.24</v>
      </c>
      <c r="G351" s="175" t="s">
        <v>1549</v>
      </c>
      <c r="H351" s="174">
        <v>1</v>
      </c>
      <c r="I351" s="173">
        <v>2.21</v>
      </c>
      <c r="J351" s="174">
        <v>8.9700000000000006</v>
      </c>
      <c r="K351" s="173">
        <v>22.69</v>
      </c>
    </row>
    <row r="352" spans="1:22" ht="14.25" x14ac:dyDescent="0.2">
      <c r="A352" s="179"/>
      <c r="B352" s="178"/>
      <c r="C352" s="178" t="s">
        <v>189</v>
      </c>
      <c r="D352" s="177"/>
      <c r="E352" s="174"/>
      <c r="F352" s="176">
        <v>9.2100000000000009</v>
      </c>
      <c r="G352" s="175" t="s">
        <v>1549</v>
      </c>
      <c r="H352" s="174">
        <v>1</v>
      </c>
      <c r="I352" s="180">
        <v>0.46</v>
      </c>
      <c r="J352" s="174">
        <v>23.35</v>
      </c>
      <c r="K352" s="180">
        <v>8.41</v>
      </c>
    </row>
    <row r="353" spans="1:22" ht="14.25" x14ac:dyDescent="0.2">
      <c r="A353" s="179"/>
      <c r="B353" s="178"/>
      <c r="C353" s="178" t="s">
        <v>205</v>
      </c>
      <c r="D353" s="177"/>
      <c r="E353" s="174"/>
      <c r="F353" s="176">
        <v>46.09</v>
      </c>
      <c r="G353" s="175" t="s">
        <v>195</v>
      </c>
      <c r="H353" s="174">
        <v>1</v>
      </c>
      <c r="I353" s="173">
        <v>1.84</v>
      </c>
      <c r="J353" s="174">
        <v>3.69</v>
      </c>
      <c r="K353" s="173">
        <v>6.79</v>
      </c>
    </row>
    <row r="354" spans="1:22" ht="28.5" x14ac:dyDescent="0.2">
      <c r="A354" s="179" t="s">
        <v>1655</v>
      </c>
      <c r="B354" s="178" t="s">
        <v>3162</v>
      </c>
      <c r="C354" s="178" t="s">
        <v>754</v>
      </c>
      <c r="D354" s="177" t="s">
        <v>1533</v>
      </c>
      <c r="E354" s="174">
        <v>1.48E-3</v>
      </c>
      <c r="F354" s="176">
        <v>26732.5</v>
      </c>
      <c r="G354" s="182" t="s">
        <v>195</v>
      </c>
      <c r="H354" s="174">
        <v>1</v>
      </c>
      <c r="I354" s="173">
        <v>39.56</v>
      </c>
      <c r="J354" s="174">
        <v>1.96</v>
      </c>
      <c r="K354" s="173">
        <v>77.540000000000006</v>
      </c>
      <c r="Q354" s="160">
        <f>[9]Source!X299</f>
        <v>0</v>
      </c>
      <c r="R354" s="160">
        <f>[9]Source!X300</f>
        <v>0</v>
      </c>
      <c r="S354" s="160">
        <f>[9]Source!Y299</f>
        <v>0</v>
      </c>
      <c r="T354" s="160">
        <f>[9]Source!Y300</f>
        <v>0</v>
      </c>
      <c r="U354" s="160">
        <f>ROUND((175/100)*ROUND([9]Source!R299, 2), 2)</f>
        <v>0</v>
      </c>
      <c r="V354" s="160">
        <f>ROUND((157/100)*ROUND([9]Source!R300, 2), 2)</f>
        <v>0</v>
      </c>
    </row>
    <row r="355" spans="1:22" ht="57" x14ac:dyDescent="0.2">
      <c r="A355" s="179" t="s">
        <v>1656</v>
      </c>
      <c r="B355" s="178" t="s">
        <v>2943</v>
      </c>
      <c r="C355" s="178" t="s">
        <v>762</v>
      </c>
      <c r="D355" s="177" t="s">
        <v>1661</v>
      </c>
      <c r="E355" s="174">
        <v>1</v>
      </c>
      <c r="F355" s="176">
        <v>169.99</v>
      </c>
      <c r="G355" s="182" t="s">
        <v>195</v>
      </c>
      <c r="H355" s="174">
        <v>1</v>
      </c>
      <c r="I355" s="173">
        <v>169.99</v>
      </c>
      <c r="J355" s="174">
        <v>11.27</v>
      </c>
      <c r="K355" s="173">
        <v>1915.79</v>
      </c>
      <c r="Q355" s="160">
        <f>[9]Source!X301</f>
        <v>0</v>
      </c>
      <c r="R355" s="160">
        <f>[9]Source!X302</f>
        <v>0</v>
      </c>
      <c r="S355" s="160">
        <f>[9]Source!Y301</f>
        <v>0</v>
      </c>
      <c r="T355" s="160">
        <f>[9]Source!Y302</f>
        <v>0</v>
      </c>
      <c r="U355" s="160">
        <f>ROUND((175/100)*ROUND([9]Source!R301, 2), 2)</f>
        <v>0</v>
      </c>
      <c r="V355" s="160">
        <f>ROUND((157/100)*ROUND([9]Source!R302, 2), 2)</f>
        <v>0</v>
      </c>
    </row>
    <row r="356" spans="1:22" ht="57" x14ac:dyDescent="0.2">
      <c r="A356" s="179" t="s">
        <v>1658</v>
      </c>
      <c r="B356" s="178" t="s">
        <v>3203</v>
      </c>
      <c r="C356" s="178" t="s">
        <v>761</v>
      </c>
      <c r="D356" s="177" t="s">
        <v>1552</v>
      </c>
      <c r="E356" s="174">
        <v>4</v>
      </c>
      <c r="F356" s="176">
        <v>61.62</v>
      </c>
      <c r="G356" s="182" t="s">
        <v>195</v>
      </c>
      <c r="H356" s="174">
        <v>1</v>
      </c>
      <c r="I356" s="173">
        <v>246.48</v>
      </c>
      <c r="J356" s="174">
        <v>8.3000000000000007</v>
      </c>
      <c r="K356" s="173">
        <v>2045.78</v>
      </c>
      <c r="Q356" s="160">
        <f>[9]Source!X303</f>
        <v>0</v>
      </c>
      <c r="R356" s="160">
        <f>[9]Source!X304</f>
        <v>0</v>
      </c>
      <c r="S356" s="160">
        <f>[9]Source!Y303</f>
        <v>0</v>
      </c>
      <c r="T356" s="160">
        <f>[9]Source!Y304</f>
        <v>0</v>
      </c>
      <c r="U356" s="160">
        <f>ROUND((175/100)*ROUND([9]Source!R303, 2), 2)</f>
        <v>0</v>
      </c>
      <c r="V356" s="160">
        <f>ROUND((157/100)*ROUND([9]Source!R304, 2), 2)</f>
        <v>0</v>
      </c>
    </row>
    <row r="357" spans="1:22" ht="14.25" x14ac:dyDescent="0.2">
      <c r="A357" s="179"/>
      <c r="B357" s="178"/>
      <c r="C357" s="178" t="s">
        <v>194</v>
      </c>
      <c r="D357" s="177" t="s">
        <v>187</v>
      </c>
      <c r="E357" s="174">
        <v>110</v>
      </c>
      <c r="F357" s="176"/>
      <c r="G357" s="175"/>
      <c r="H357" s="174"/>
      <c r="I357" s="173">
        <v>22.3</v>
      </c>
      <c r="J357" s="174">
        <v>88</v>
      </c>
      <c r="K357" s="173">
        <v>401.92</v>
      </c>
    </row>
    <row r="358" spans="1:22" ht="14.25" x14ac:dyDescent="0.2">
      <c r="A358" s="179"/>
      <c r="B358" s="178"/>
      <c r="C358" s="178" t="s">
        <v>193</v>
      </c>
      <c r="D358" s="177" t="s">
        <v>187</v>
      </c>
      <c r="E358" s="174">
        <v>74</v>
      </c>
      <c r="F358" s="176"/>
      <c r="G358" s="175"/>
      <c r="H358" s="174"/>
      <c r="I358" s="173">
        <v>13.11</v>
      </c>
      <c r="J358" s="174">
        <v>41</v>
      </c>
      <c r="K358" s="173">
        <v>187.26</v>
      </c>
    </row>
    <row r="359" spans="1:22" ht="14.25" x14ac:dyDescent="0.2">
      <c r="A359" s="179"/>
      <c r="B359" s="178"/>
      <c r="C359" s="178" t="s">
        <v>188</v>
      </c>
      <c r="D359" s="177" t="s">
        <v>187</v>
      </c>
      <c r="E359" s="174">
        <v>175</v>
      </c>
      <c r="F359" s="176"/>
      <c r="G359" s="175"/>
      <c r="H359" s="174"/>
      <c r="I359" s="173">
        <v>0.81</v>
      </c>
      <c r="J359" s="174">
        <v>157</v>
      </c>
      <c r="K359" s="173">
        <v>13.2</v>
      </c>
    </row>
    <row r="360" spans="1:22" ht="14.25" x14ac:dyDescent="0.2">
      <c r="A360" s="212"/>
      <c r="B360" s="211"/>
      <c r="C360" s="211" t="s">
        <v>192</v>
      </c>
      <c r="D360" s="210" t="s">
        <v>191</v>
      </c>
      <c r="E360" s="207">
        <v>33.700000000000003</v>
      </c>
      <c r="F360" s="209"/>
      <c r="G360" s="208" t="s">
        <v>1548</v>
      </c>
      <c r="H360" s="207">
        <v>1</v>
      </c>
      <c r="I360" s="206">
        <v>1.55</v>
      </c>
      <c r="J360" s="207"/>
      <c r="K360" s="206"/>
    </row>
    <row r="361" spans="1:22" ht="15" x14ac:dyDescent="0.25">
      <c r="A361" s="204"/>
      <c r="B361" s="204"/>
      <c r="C361" s="205" t="s">
        <v>183</v>
      </c>
      <c r="D361" s="204"/>
      <c r="E361" s="204"/>
      <c r="F361" s="204"/>
      <c r="G361" s="204"/>
      <c r="H361" s="438">
        <v>515.86</v>
      </c>
      <c r="I361" s="438"/>
      <c r="J361" s="438">
        <v>5127.7</v>
      </c>
      <c r="K361" s="438"/>
      <c r="O361" s="163">
        <f>I350+I351+I353+I357+I358+I359+SUM(I354:I356)</f>
        <v>515.86</v>
      </c>
      <c r="P361" s="163">
        <f>K350+K351+K353+K357+K358+K359+SUM(K354:K356)</f>
        <v>5127.7</v>
      </c>
    </row>
    <row r="363" spans="1:22" ht="57" x14ac:dyDescent="0.2">
      <c r="A363" s="179" t="s">
        <v>1665</v>
      </c>
      <c r="B363" s="178" t="s">
        <v>760</v>
      </c>
      <c r="C363" s="178" t="s">
        <v>759</v>
      </c>
      <c r="D363" s="177" t="s">
        <v>2599</v>
      </c>
      <c r="E363" s="174">
        <v>0.12</v>
      </c>
      <c r="F363" s="176"/>
      <c r="G363" s="175"/>
      <c r="H363" s="174"/>
      <c r="I363" s="173"/>
      <c r="J363" s="174"/>
      <c r="K363" s="173"/>
      <c r="Q363" s="160">
        <f>[9]Source!X305</f>
        <v>85.97</v>
      </c>
      <c r="R363" s="160">
        <f>[9]Source!X306</f>
        <v>1549.52</v>
      </c>
      <c r="S363" s="160">
        <f>[9]Source!Y305</f>
        <v>50.52</v>
      </c>
      <c r="T363" s="160">
        <f>[9]Source!Y306</f>
        <v>721.94</v>
      </c>
      <c r="U363" s="160">
        <f>ROUND((175/100)*ROUND([9]Source!R305, 2), 2)</f>
        <v>4.25</v>
      </c>
      <c r="V363" s="160">
        <f>ROUND((157/100)*ROUND([9]Source!R306, 2), 2)</f>
        <v>71.12</v>
      </c>
    </row>
    <row r="364" spans="1:22" x14ac:dyDescent="0.2">
      <c r="C364" s="181" t="s">
        <v>3204</v>
      </c>
    </row>
    <row r="365" spans="1:22" ht="14.25" x14ac:dyDescent="0.2">
      <c r="A365" s="179"/>
      <c r="B365" s="178"/>
      <c r="C365" s="178" t="s">
        <v>197</v>
      </c>
      <c r="D365" s="177"/>
      <c r="E365" s="174"/>
      <c r="F365" s="176">
        <v>546.45000000000005</v>
      </c>
      <c r="G365" s="175" t="s">
        <v>1548</v>
      </c>
      <c r="H365" s="174">
        <v>1</v>
      </c>
      <c r="I365" s="173">
        <v>75.41</v>
      </c>
      <c r="J365" s="174">
        <v>23.35</v>
      </c>
      <c r="K365" s="173">
        <v>1760.82</v>
      </c>
    </row>
    <row r="366" spans="1:22" ht="14.25" x14ac:dyDescent="0.2">
      <c r="A366" s="179"/>
      <c r="B366" s="178"/>
      <c r="C366" s="178" t="s">
        <v>184</v>
      </c>
      <c r="D366" s="177"/>
      <c r="E366" s="174"/>
      <c r="F366" s="176">
        <v>76.78</v>
      </c>
      <c r="G366" s="175" t="s">
        <v>1549</v>
      </c>
      <c r="H366" s="174">
        <v>1</v>
      </c>
      <c r="I366" s="173">
        <v>11.52</v>
      </c>
      <c r="J366" s="174">
        <v>9.02</v>
      </c>
      <c r="K366" s="173">
        <v>113.65</v>
      </c>
    </row>
    <row r="367" spans="1:22" ht="14.25" x14ac:dyDescent="0.2">
      <c r="A367" s="179"/>
      <c r="B367" s="178"/>
      <c r="C367" s="178" t="s">
        <v>189</v>
      </c>
      <c r="D367" s="177"/>
      <c r="E367" s="174"/>
      <c r="F367" s="176">
        <v>16.22</v>
      </c>
      <c r="G367" s="175" t="s">
        <v>1549</v>
      </c>
      <c r="H367" s="174">
        <v>1</v>
      </c>
      <c r="I367" s="180">
        <v>2.4300000000000002</v>
      </c>
      <c r="J367" s="174">
        <v>23.35</v>
      </c>
      <c r="K367" s="180">
        <v>45.3</v>
      </c>
    </row>
    <row r="368" spans="1:22" ht="14.25" x14ac:dyDescent="0.2">
      <c r="A368" s="179"/>
      <c r="B368" s="178"/>
      <c r="C368" s="178" t="s">
        <v>205</v>
      </c>
      <c r="D368" s="177"/>
      <c r="E368" s="174"/>
      <c r="F368" s="176">
        <v>61.03</v>
      </c>
      <c r="G368" s="175" t="s">
        <v>195</v>
      </c>
      <c r="H368" s="174">
        <v>1</v>
      </c>
      <c r="I368" s="173">
        <v>7.32</v>
      </c>
      <c r="J368" s="174">
        <v>4.26</v>
      </c>
      <c r="K368" s="173">
        <v>31.18</v>
      </c>
    </row>
    <row r="369" spans="1:22" ht="28.5" x14ac:dyDescent="0.2">
      <c r="A369" s="179" t="s">
        <v>1667</v>
      </c>
      <c r="B369" s="178" t="s">
        <v>3162</v>
      </c>
      <c r="C369" s="178" t="s">
        <v>754</v>
      </c>
      <c r="D369" s="177" t="s">
        <v>1533</v>
      </c>
      <c r="E369" s="174">
        <v>4.4400000000000004E-3</v>
      </c>
      <c r="F369" s="176">
        <v>26732.5</v>
      </c>
      <c r="G369" s="182" t="s">
        <v>195</v>
      </c>
      <c r="H369" s="174">
        <v>1</v>
      </c>
      <c r="I369" s="173">
        <v>118.69</v>
      </c>
      <c r="J369" s="174">
        <v>1.96</v>
      </c>
      <c r="K369" s="173">
        <v>232.63</v>
      </c>
      <c r="Q369" s="160">
        <f>[9]Source!X307</f>
        <v>0</v>
      </c>
      <c r="R369" s="160">
        <f>[9]Source!X308</f>
        <v>0</v>
      </c>
      <c r="S369" s="160">
        <f>[9]Source!Y307</f>
        <v>0</v>
      </c>
      <c r="T369" s="160">
        <f>[9]Source!Y308</f>
        <v>0</v>
      </c>
      <c r="U369" s="160">
        <f>ROUND((175/100)*ROUND([9]Source!R307, 2), 2)</f>
        <v>0</v>
      </c>
      <c r="V369" s="160">
        <f>ROUND((157/100)*ROUND([9]Source!R308, 2), 2)</f>
        <v>0</v>
      </c>
    </row>
    <row r="370" spans="1:22" ht="57" x14ac:dyDescent="0.2">
      <c r="A370" s="179" t="s">
        <v>1668</v>
      </c>
      <c r="B370" s="178" t="s">
        <v>2623</v>
      </c>
      <c r="C370" s="178" t="s">
        <v>758</v>
      </c>
      <c r="D370" s="177" t="s">
        <v>1661</v>
      </c>
      <c r="E370" s="174">
        <v>2</v>
      </c>
      <c r="F370" s="176">
        <v>255</v>
      </c>
      <c r="G370" s="182" t="s">
        <v>195</v>
      </c>
      <c r="H370" s="174">
        <v>1</v>
      </c>
      <c r="I370" s="173">
        <v>510</v>
      </c>
      <c r="J370" s="174">
        <v>11.85</v>
      </c>
      <c r="K370" s="173">
        <v>6043.5</v>
      </c>
      <c r="Q370" s="160">
        <f>[9]Source!X309</f>
        <v>0</v>
      </c>
      <c r="R370" s="160">
        <f>[9]Source!X310</f>
        <v>0</v>
      </c>
      <c r="S370" s="160">
        <f>[9]Source!Y309</f>
        <v>0</v>
      </c>
      <c r="T370" s="160">
        <f>[9]Source!Y310</f>
        <v>0</v>
      </c>
      <c r="U370" s="160">
        <f>ROUND((175/100)*ROUND([9]Source!R309, 2), 2)</f>
        <v>0</v>
      </c>
      <c r="V370" s="160">
        <f>ROUND((157/100)*ROUND([9]Source!R310, 2), 2)</f>
        <v>0</v>
      </c>
    </row>
    <row r="371" spans="1:22" ht="57" x14ac:dyDescent="0.2">
      <c r="A371" s="179" t="s">
        <v>3205</v>
      </c>
      <c r="B371" s="178" t="s">
        <v>3170</v>
      </c>
      <c r="C371" s="178" t="s">
        <v>757</v>
      </c>
      <c r="D371" s="177" t="s">
        <v>1552</v>
      </c>
      <c r="E371" s="174">
        <v>12</v>
      </c>
      <c r="F371" s="176">
        <v>76.13</v>
      </c>
      <c r="G371" s="182" t="s">
        <v>195</v>
      </c>
      <c r="H371" s="174">
        <v>1</v>
      </c>
      <c r="I371" s="173">
        <v>913.56</v>
      </c>
      <c r="J371" s="174">
        <v>8.82</v>
      </c>
      <c r="K371" s="173">
        <v>8057.6</v>
      </c>
      <c r="Q371" s="160">
        <f>[9]Source!X311</f>
        <v>0</v>
      </c>
      <c r="R371" s="160">
        <f>[9]Source!X312</f>
        <v>0</v>
      </c>
      <c r="S371" s="160">
        <f>[9]Source!Y311</f>
        <v>0</v>
      </c>
      <c r="T371" s="160">
        <f>[9]Source!Y312</f>
        <v>0</v>
      </c>
      <c r="U371" s="160">
        <f>ROUND((175/100)*ROUND([9]Source!R311, 2), 2)</f>
        <v>0</v>
      </c>
      <c r="V371" s="160">
        <f>ROUND((157/100)*ROUND([9]Source!R312, 2), 2)</f>
        <v>0</v>
      </c>
    </row>
    <row r="372" spans="1:22" ht="14.25" x14ac:dyDescent="0.2">
      <c r="A372" s="179"/>
      <c r="B372" s="178"/>
      <c r="C372" s="178" t="s">
        <v>194</v>
      </c>
      <c r="D372" s="177" t="s">
        <v>187</v>
      </c>
      <c r="E372" s="174">
        <v>110</v>
      </c>
      <c r="F372" s="176"/>
      <c r="G372" s="175"/>
      <c r="H372" s="174"/>
      <c r="I372" s="173">
        <v>85.97</v>
      </c>
      <c r="J372" s="174">
        <v>88</v>
      </c>
      <c r="K372" s="173">
        <v>1549.52</v>
      </c>
    </row>
    <row r="373" spans="1:22" ht="14.25" x14ac:dyDescent="0.2">
      <c r="A373" s="179"/>
      <c r="B373" s="178"/>
      <c r="C373" s="178" t="s">
        <v>193</v>
      </c>
      <c r="D373" s="177" t="s">
        <v>187</v>
      </c>
      <c r="E373" s="174">
        <v>74</v>
      </c>
      <c r="F373" s="176"/>
      <c r="G373" s="175"/>
      <c r="H373" s="174"/>
      <c r="I373" s="173">
        <v>50.52</v>
      </c>
      <c r="J373" s="174">
        <v>41</v>
      </c>
      <c r="K373" s="173">
        <v>721.94</v>
      </c>
    </row>
    <row r="374" spans="1:22" ht="14.25" x14ac:dyDescent="0.2">
      <c r="A374" s="179"/>
      <c r="B374" s="178"/>
      <c r="C374" s="178" t="s">
        <v>188</v>
      </c>
      <c r="D374" s="177" t="s">
        <v>187</v>
      </c>
      <c r="E374" s="174">
        <v>175</v>
      </c>
      <c r="F374" s="176"/>
      <c r="G374" s="175"/>
      <c r="H374" s="174"/>
      <c r="I374" s="173">
        <v>4.25</v>
      </c>
      <c r="J374" s="174">
        <v>157</v>
      </c>
      <c r="K374" s="173">
        <v>71.12</v>
      </c>
    </row>
    <row r="375" spans="1:22" ht="14.25" x14ac:dyDescent="0.2">
      <c r="A375" s="212"/>
      <c r="B375" s="211"/>
      <c r="C375" s="211" t="s">
        <v>192</v>
      </c>
      <c r="D375" s="210" t="s">
        <v>191</v>
      </c>
      <c r="E375" s="207">
        <v>43.3</v>
      </c>
      <c r="F375" s="209"/>
      <c r="G375" s="208" t="s">
        <v>1548</v>
      </c>
      <c r="H375" s="207">
        <v>1</v>
      </c>
      <c r="I375" s="206">
        <v>5.98</v>
      </c>
      <c r="J375" s="207"/>
      <c r="K375" s="206"/>
    </row>
    <row r="376" spans="1:22" ht="15" x14ac:dyDescent="0.25">
      <c r="A376" s="204"/>
      <c r="B376" s="204"/>
      <c r="C376" s="205" t="s">
        <v>183</v>
      </c>
      <c r="D376" s="204"/>
      <c r="E376" s="204"/>
      <c r="F376" s="204"/>
      <c r="G376" s="204"/>
      <c r="H376" s="438">
        <v>1777.24</v>
      </c>
      <c r="I376" s="438"/>
      <c r="J376" s="438">
        <v>18581.96</v>
      </c>
      <c r="K376" s="438"/>
      <c r="O376" s="163">
        <f>I365+I366+I368+I372+I373+I374+SUM(I369:I371)</f>
        <v>1777.24</v>
      </c>
      <c r="P376" s="163">
        <f>K365+K366+K368+K372+K373+K374+SUM(K369:K371)</f>
        <v>18581.96</v>
      </c>
    </row>
    <row r="378" spans="1:22" ht="57" x14ac:dyDescent="0.2">
      <c r="A378" s="179" t="s">
        <v>1672</v>
      </c>
      <c r="B378" s="178" t="s">
        <v>756</v>
      </c>
      <c r="C378" s="178" t="s">
        <v>755</v>
      </c>
      <c r="D378" s="177" t="s">
        <v>2599</v>
      </c>
      <c r="E378" s="174">
        <v>0.12</v>
      </c>
      <c r="F378" s="176"/>
      <c r="G378" s="175"/>
      <c r="H378" s="174"/>
      <c r="I378" s="173"/>
      <c r="J378" s="174"/>
      <c r="K378" s="173"/>
      <c r="Q378" s="160">
        <f>[9]Source!X313</f>
        <v>105.04</v>
      </c>
      <c r="R378" s="160">
        <f>[9]Source!X314</f>
        <v>1893.29</v>
      </c>
      <c r="S378" s="160">
        <f>[9]Source!Y313</f>
        <v>61.73</v>
      </c>
      <c r="T378" s="160">
        <f>[9]Source!Y314</f>
        <v>882.1</v>
      </c>
      <c r="U378" s="160">
        <f>ROUND((175/100)*ROUND([9]Source!R313, 2), 2)</f>
        <v>4.92</v>
      </c>
      <c r="V378" s="160">
        <f>ROUND((157/100)*ROUND([9]Source!R314, 2), 2)</f>
        <v>97.15</v>
      </c>
    </row>
    <row r="379" spans="1:22" x14ac:dyDescent="0.2">
      <c r="C379" s="181" t="s">
        <v>3204</v>
      </c>
    </row>
    <row r="380" spans="1:22" ht="14.25" x14ac:dyDescent="0.2">
      <c r="A380" s="179"/>
      <c r="B380" s="178"/>
      <c r="C380" s="178" t="s">
        <v>197</v>
      </c>
      <c r="D380" s="177"/>
      <c r="E380" s="174"/>
      <c r="F380" s="176">
        <v>667.66</v>
      </c>
      <c r="G380" s="175" t="s">
        <v>1548</v>
      </c>
      <c r="H380" s="174">
        <v>1</v>
      </c>
      <c r="I380" s="173">
        <v>92.14</v>
      </c>
      <c r="J380" s="174">
        <v>23.35</v>
      </c>
      <c r="K380" s="173">
        <v>2151.4699999999998</v>
      </c>
    </row>
    <row r="381" spans="1:22" ht="14.25" x14ac:dyDescent="0.2">
      <c r="A381" s="179"/>
      <c r="B381" s="178"/>
      <c r="C381" s="178" t="s">
        <v>184</v>
      </c>
      <c r="D381" s="177"/>
      <c r="E381" s="174"/>
      <c r="F381" s="176">
        <v>115.57</v>
      </c>
      <c r="G381" s="175" t="s">
        <v>1549</v>
      </c>
      <c r="H381" s="174">
        <v>1</v>
      </c>
      <c r="I381" s="173">
        <v>17.34</v>
      </c>
      <c r="J381" s="174">
        <v>9.14</v>
      </c>
      <c r="K381" s="173">
        <v>166.71</v>
      </c>
    </row>
    <row r="382" spans="1:22" ht="14.25" x14ac:dyDescent="0.2">
      <c r="A382" s="179"/>
      <c r="B382" s="178"/>
      <c r="C382" s="178" t="s">
        <v>189</v>
      </c>
      <c r="D382" s="177"/>
      <c r="E382" s="174"/>
      <c r="F382" s="176">
        <v>18.760000000000002</v>
      </c>
      <c r="G382" s="175" t="s">
        <v>1549</v>
      </c>
      <c r="H382" s="174">
        <v>1</v>
      </c>
      <c r="I382" s="180">
        <v>2.81</v>
      </c>
      <c r="J382" s="174">
        <v>23.35</v>
      </c>
      <c r="K382" s="180">
        <v>61.88</v>
      </c>
    </row>
    <row r="383" spans="1:22" ht="14.25" x14ac:dyDescent="0.2">
      <c r="A383" s="179"/>
      <c r="B383" s="178"/>
      <c r="C383" s="178" t="s">
        <v>205</v>
      </c>
      <c r="D383" s="177"/>
      <c r="E383" s="174"/>
      <c r="F383" s="176">
        <v>144.03</v>
      </c>
      <c r="G383" s="175" t="s">
        <v>195</v>
      </c>
      <c r="H383" s="174">
        <v>1</v>
      </c>
      <c r="I383" s="173">
        <v>17.28</v>
      </c>
      <c r="J383" s="174">
        <v>5.52</v>
      </c>
      <c r="K383" s="173">
        <v>95.39</v>
      </c>
    </row>
    <row r="384" spans="1:22" ht="28.5" x14ac:dyDescent="0.2">
      <c r="A384" s="179" t="s">
        <v>1675</v>
      </c>
      <c r="B384" s="178" t="s">
        <v>3162</v>
      </c>
      <c r="C384" s="178" t="s">
        <v>754</v>
      </c>
      <c r="D384" s="177" t="s">
        <v>1533</v>
      </c>
      <c r="E384" s="174">
        <v>4.4400000000000004E-3</v>
      </c>
      <c r="F384" s="176">
        <v>26732.5</v>
      </c>
      <c r="G384" s="182" t="s">
        <v>195</v>
      </c>
      <c r="H384" s="174">
        <v>1</v>
      </c>
      <c r="I384" s="173">
        <v>118.69</v>
      </c>
      <c r="J384" s="174">
        <v>1.96</v>
      </c>
      <c r="K384" s="173">
        <v>232.63</v>
      </c>
      <c r="Q384" s="160">
        <f>[9]Source!X315</f>
        <v>0</v>
      </c>
      <c r="R384" s="160">
        <f>[9]Source!X316</f>
        <v>0</v>
      </c>
      <c r="S384" s="160">
        <f>[9]Source!Y315</f>
        <v>0</v>
      </c>
      <c r="T384" s="160">
        <f>[9]Source!Y316</f>
        <v>0</v>
      </c>
      <c r="U384" s="160">
        <f>ROUND((175/100)*ROUND([9]Source!R315, 2), 2)</f>
        <v>0</v>
      </c>
      <c r="V384" s="160">
        <f>ROUND((157/100)*ROUND([9]Source!R316, 2), 2)</f>
        <v>0</v>
      </c>
    </row>
    <row r="385" spans="1:22" ht="57" x14ac:dyDescent="0.2">
      <c r="A385" s="179" t="s">
        <v>1677</v>
      </c>
      <c r="B385" s="178" t="s">
        <v>2950</v>
      </c>
      <c r="C385" s="178" t="s">
        <v>753</v>
      </c>
      <c r="D385" s="177" t="s">
        <v>1552</v>
      </c>
      <c r="E385" s="174">
        <v>12</v>
      </c>
      <c r="F385" s="176">
        <v>99.45</v>
      </c>
      <c r="G385" s="182" t="s">
        <v>195</v>
      </c>
      <c r="H385" s="174">
        <v>1</v>
      </c>
      <c r="I385" s="173">
        <v>1193.4000000000001</v>
      </c>
      <c r="J385" s="174">
        <v>9.59</v>
      </c>
      <c r="K385" s="173">
        <v>11444.71</v>
      </c>
      <c r="Q385" s="160">
        <f>[9]Source!X317</f>
        <v>0</v>
      </c>
      <c r="R385" s="160">
        <f>[9]Source!X318</f>
        <v>0</v>
      </c>
      <c r="S385" s="160">
        <f>[9]Source!Y317</f>
        <v>0</v>
      </c>
      <c r="T385" s="160">
        <f>[9]Source!Y318</f>
        <v>0</v>
      </c>
      <c r="U385" s="160">
        <f>ROUND((175/100)*ROUND([9]Source!R317, 2), 2)</f>
        <v>0</v>
      </c>
      <c r="V385" s="160">
        <f>ROUND((157/100)*ROUND([9]Source!R318, 2), 2)</f>
        <v>0</v>
      </c>
    </row>
    <row r="386" spans="1:22" ht="14.25" x14ac:dyDescent="0.2">
      <c r="A386" s="179"/>
      <c r="B386" s="178"/>
      <c r="C386" s="178" t="s">
        <v>194</v>
      </c>
      <c r="D386" s="177" t="s">
        <v>187</v>
      </c>
      <c r="E386" s="174">
        <v>110</v>
      </c>
      <c r="F386" s="176"/>
      <c r="G386" s="175"/>
      <c r="H386" s="174"/>
      <c r="I386" s="173">
        <v>105.04</v>
      </c>
      <c r="J386" s="174">
        <v>88</v>
      </c>
      <c r="K386" s="173">
        <v>1893.29</v>
      </c>
    </row>
    <row r="387" spans="1:22" ht="14.25" x14ac:dyDescent="0.2">
      <c r="A387" s="179"/>
      <c r="B387" s="178"/>
      <c r="C387" s="178" t="s">
        <v>193</v>
      </c>
      <c r="D387" s="177" t="s">
        <v>187</v>
      </c>
      <c r="E387" s="174">
        <v>74</v>
      </c>
      <c r="F387" s="176"/>
      <c r="G387" s="175"/>
      <c r="H387" s="174"/>
      <c r="I387" s="173">
        <v>61.73</v>
      </c>
      <c r="J387" s="174">
        <v>41</v>
      </c>
      <c r="K387" s="173">
        <v>882.1</v>
      </c>
    </row>
    <row r="388" spans="1:22" ht="14.25" x14ac:dyDescent="0.2">
      <c r="A388" s="179"/>
      <c r="B388" s="178"/>
      <c r="C388" s="178" t="s">
        <v>188</v>
      </c>
      <c r="D388" s="177" t="s">
        <v>187</v>
      </c>
      <c r="E388" s="174">
        <v>175</v>
      </c>
      <c r="F388" s="176"/>
      <c r="G388" s="175"/>
      <c r="H388" s="174"/>
      <c r="I388" s="173">
        <v>4.92</v>
      </c>
      <c r="J388" s="174">
        <v>157</v>
      </c>
      <c r="K388" s="173">
        <v>97.15</v>
      </c>
    </row>
    <row r="389" spans="1:22" ht="14.25" x14ac:dyDescent="0.2">
      <c r="A389" s="212"/>
      <c r="B389" s="211"/>
      <c r="C389" s="211" t="s">
        <v>192</v>
      </c>
      <c r="D389" s="210" t="s">
        <v>191</v>
      </c>
      <c r="E389" s="207">
        <v>55.5</v>
      </c>
      <c r="F389" s="209"/>
      <c r="G389" s="208" t="s">
        <v>1548</v>
      </c>
      <c r="H389" s="207">
        <v>1</v>
      </c>
      <c r="I389" s="206">
        <v>7.66</v>
      </c>
      <c r="J389" s="207"/>
      <c r="K389" s="206"/>
    </row>
    <row r="390" spans="1:22" ht="15" x14ac:dyDescent="0.25">
      <c r="A390" s="204"/>
      <c r="B390" s="204"/>
      <c r="C390" s="205" t="s">
        <v>183</v>
      </c>
      <c r="D390" s="204"/>
      <c r="E390" s="204"/>
      <c r="F390" s="204"/>
      <c r="G390" s="204"/>
      <c r="H390" s="438">
        <v>1610.54</v>
      </c>
      <c r="I390" s="438"/>
      <c r="J390" s="438">
        <v>16963.45</v>
      </c>
      <c r="K390" s="438"/>
      <c r="O390" s="163">
        <f>I380+I381+I383+I386+I387+I388+SUM(I384:I385)</f>
        <v>1610.54</v>
      </c>
      <c r="P390" s="163">
        <f>K380+K381+K383+K386+K387+K388+SUM(K384:K385)</f>
        <v>16963.45</v>
      </c>
    </row>
    <row r="392" spans="1:22" ht="57" x14ac:dyDescent="0.2">
      <c r="A392" s="179" t="s">
        <v>1685</v>
      </c>
      <c r="B392" s="178" t="s">
        <v>752</v>
      </c>
      <c r="C392" s="178" t="s">
        <v>751</v>
      </c>
      <c r="D392" s="177" t="s">
        <v>2599</v>
      </c>
      <c r="E392" s="174">
        <v>5.26</v>
      </c>
      <c r="F392" s="176"/>
      <c r="G392" s="175"/>
      <c r="H392" s="174"/>
      <c r="I392" s="173"/>
      <c r="J392" s="174"/>
      <c r="K392" s="173"/>
      <c r="Q392" s="160">
        <f>[9]Source!X319</f>
        <v>924.5</v>
      </c>
      <c r="R392" s="160">
        <f>[9]Source!X320</f>
        <v>17269.57</v>
      </c>
      <c r="S392" s="160">
        <f>[9]Source!Y319</f>
        <v>621.92999999999995</v>
      </c>
      <c r="T392" s="160">
        <f>[9]Source!Y320</f>
        <v>8046.05</v>
      </c>
      <c r="U392" s="160">
        <f>ROUND((175/100)*ROUND([9]Source!R319, 2), 2)</f>
        <v>0</v>
      </c>
      <c r="V392" s="160">
        <f>ROUND((157/100)*ROUND([9]Source!R320, 2), 2)</f>
        <v>0</v>
      </c>
    </row>
    <row r="393" spans="1:22" x14ac:dyDescent="0.2">
      <c r="C393" s="181" t="s">
        <v>3206</v>
      </c>
    </row>
    <row r="394" spans="1:22" ht="14.25" x14ac:dyDescent="0.2">
      <c r="A394" s="179"/>
      <c r="B394" s="178"/>
      <c r="C394" s="178" t="s">
        <v>197</v>
      </c>
      <c r="D394" s="177"/>
      <c r="E394" s="174"/>
      <c r="F394" s="176">
        <v>138.94</v>
      </c>
      <c r="G394" s="175" t="s">
        <v>1548</v>
      </c>
      <c r="H394" s="174">
        <v>1</v>
      </c>
      <c r="I394" s="173">
        <v>840.45</v>
      </c>
      <c r="J394" s="174">
        <v>23.35</v>
      </c>
      <c r="K394" s="173">
        <v>19624.509999999998</v>
      </c>
    </row>
    <row r="395" spans="1:22" ht="14.25" x14ac:dyDescent="0.2">
      <c r="A395" s="179"/>
      <c r="B395" s="178"/>
      <c r="C395" s="178" t="s">
        <v>205</v>
      </c>
      <c r="D395" s="177"/>
      <c r="E395" s="174"/>
      <c r="F395" s="176">
        <v>8.4</v>
      </c>
      <c r="G395" s="175" t="s">
        <v>195</v>
      </c>
      <c r="H395" s="174">
        <v>1</v>
      </c>
      <c r="I395" s="173">
        <v>44.18</v>
      </c>
      <c r="J395" s="174">
        <v>4.87</v>
      </c>
      <c r="K395" s="173">
        <v>215.16</v>
      </c>
    </row>
    <row r="396" spans="1:22" ht="14.25" x14ac:dyDescent="0.2">
      <c r="A396" s="179"/>
      <c r="B396" s="178"/>
      <c r="C396" s="178" t="s">
        <v>194</v>
      </c>
      <c r="D396" s="177" t="s">
        <v>187</v>
      </c>
      <c r="E396" s="174">
        <v>110</v>
      </c>
      <c r="F396" s="176"/>
      <c r="G396" s="175"/>
      <c r="H396" s="174"/>
      <c r="I396" s="173">
        <v>924.5</v>
      </c>
      <c r="J396" s="174">
        <v>88</v>
      </c>
      <c r="K396" s="173">
        <v>17269.57</v>
      </c>
    </row>
    <row r="397" spans="1:22" ht="14.25" x14ac:dyDescent="0.2">
      <c r="A397" s="179"/>
      <c r="B397" s="178"/>
      <c r="C397" s="178" t="s">
        <v>193</v>
      </c>
      <c r="D397" s="177" t="s">
        <v>187</v>
      </c>
      <c r="E397" s="174">
        <v>74</v>
      </c>
      <c r="F397" s="176"/>
      <c r="G397" s="175"/>
      <c r="H397" s="174"/>
      <c r="I397" s="173">
        <v>621.92999999999995</v>
      </c>
      <c r="J397" s="174">
        <v>41</v>
      </c>
      <c r="K397" s="173">
        <v>8046.05</v>
      </c>
    </row>
    <row r="398" spans="1:22" ht="14.25" x14ac:dyDescent="0.2">
      <c r="A398" s="212"/>
      <c r="B398" s="211"/>
      <c r="C398" s="211" t="s">
        <v>192</v>
      </c>
      <c r="D398" s="210" t="s">
        <v>191</v>
      </c>
      <c r="E398" s="207">
        <v>9.25</v>
      </c>
      <c r="F398" s="209"/>
      <c r="G398" s="208" t="s">
        <v>1548</v>
      </c>
      <c r="H398" s="207">
        <v>1</v>
      </c>
      <c r="I398" s="206">
        <v>55.95</v>
      </c>
      <c r="J398" s="207"/>
      <c r="K398" s="206"/>
    </row>
    <row r="399" spans="1:22" ht="15" x14ac:dyDescent="0.25">
      <c r="A399" s="204"/>
      <c r="B399" s="204"/>
      <c r="C399" s="205" t="s">
        <v>183</v>
      </c>
      <c r="D399" s="204"/>
      <c r="E399" s="204"/>
      <c r="F399" s="204"/>
      <c r="G399" s="204"/>
      <c r="H399" s="438">
        <v>2431.06</v>
      </c>
      <c r="I399" s="438"/>
      <c r="J399" s="438">
        <v>45155.29</v>
      </c>
      <c r="K399" s="438"/>
      <c r="O399" s="163">
        <f>I394+I395+I396+I397</f>
        <v>2431.06</v>
      </c>
      <c r="P399" s="163">
        <f>K394+K395+K396+K397</f>
        <v>45155.29</v>
      </c>
    </row>
    <row r="401" spans="1:22" ht="57" x14ac:dyDescent="0.2">
      <c r="A401" s="179" t="s">
        <v>1696</v>
      </c>
      <c r="B401" s="178" t="s">
        <v>750</v>
      </c>
      <c r="C401" s="178" t="s">
        <v>749</v>
      </c>
      <c r="D401" s="177" t="s">
        <v>2599</v>
      </c>
      <c r="E401" s="174">
        <v>0.12</v>
      </c>
      <c r="F401" s="176"/>
      <c r="G401" s="175"/>
      <c r="H401" s="174"/>
      <c r="I401" s="173"/>
      <c r="J401" s="174"/>
      <c r="K401" s="173"/>
      <c r="Q401" s="160">
        <f>[9]Source!X321</f>
        <v>21.09</v>
      </c>
      <c r="R401" s="160">
        <f>[9]Source!X322</f>
        <v>393.91</v>
      </c>
      <c r="S401" s="160">
        <f>[9]Source!Y321</f>
        <v>14.19</v>
      </c>
      <c r="T401" s="160">
        <f>[9]Source!Y322</f>
        <v>183.52</v>
      </c>
      <c r="U401" s="160">
        <f>ROUND((175/100)*ROUND([9]Source!R321, 2), 2)</f>
        <v>0</v>
      </c>
      <c r="V401" s="160">
        <f>ROUND((157/100)*ROUND([9]Source!R322, 2), 2)</f>
        <v>0</v>
      </c>
    </row>
    <row r="402" spans="1:22" x14ac:dyDescent="0.2">
      <c r="C402" s="181" t="s">
        <v>3204</v>
      </c>
    </row>
    <row r="403" spans="1:22" ht="14.25" x14ac:dyDescent="0.2">
      <c r="A403" s="179"/>
      <c r="B403" s="178"/>
      <c r="C403" s="178" t="s">
        <v>197</v>
      </c>
      <c r="D403" s="177"/>
      <c r="E403" s="174"/>
      <c r="F403" s="176">
        <v>138.94</v>
      </c>
      <c r="G403" s="175" t="s">
        <v>1548</v>
      </c>
      <c r="H403" s="174">
        <v>1</v>
      </c>
      <c r="I403" s="173">
        <v>19.170000000000002</v>
      </c>
      <c r="J403" s="174">
        <v>23.35</v>
      </c>
      <c r="K403" s="173">
        <v>447.62</v>
      </c>
    </row>
    <row r="404" spans="1:22" ht="14.25" x14ac:dyDescent="0.2">
      <c r="A404" s="179"/>
      <c r="B404" s="178"/>
      <c r="C404" s="178" t="s">
        <v>205</v>
      </c>
      <c r="D404" s="177"/>
      <c r="E404" s="174"/>
      <c r="F404" s="176">
        <v>28.2</v>
      </c>
      <c r="G404" s="175" t="s">
        <v>195</v>
      </c>
      <c r="H404" s="174">
        <v>1</v>
      </c>
      <c r="I404" s="173">
        <v>3.38</v>
      </c>
      <c r="J404" s="174">
        <v>4.8</v>
      </c>
      <c r="K404" s="173">
        <v>16.22</v>
      </c>
    </row>
    <row r="405" spans="1:22" ht="14.25" x14ac:dyDescent="0.2">
      <c r="A405" s="179"/>
      <c r="B405" s="178"/>
      <c r="C405" s="178" t="s">
        <v>194</v>
      </c>
      <c r="D405" s="177" t="s">
        <v>187</v>
      </c>
      <c r="E405" s="174">
        <v>110</v>
      </c>
      <c r="F405" s="176"/>
      <c r="G405" s="175"/>
      <c r="H405" s="174"/>
      <c r="I405" s="173">
        <v>21.09</v>
      </c>
      <c r="J405" s="174">
        <v>88</v>
      </c>
      <c r="K405" s="173">
        <v>393.91</v>
      </c>
    </row>
    <row r="406" spans="1:22" ht="14.25" x14ac:dyDescent="0.2">
      <c r="A406" s="179"/>
      <c r="B406" s="178"/>
      <c r="C406" s="178" t="s">
        <v>193</v>
      </c>
      <c r="D406" s="177" t="s">
        <v>187</v>
      </c>
      <c r="E406" s="174">
        <v>74</v>
      </c>
      <c r="F406" s="176"/>
      <c r="G406" s="175"/>
      <c r="H406" s="174"/>
      <c r="I406" s="173">
        <v>14.19</v>
      </c>
      <c r="J406" s="174">
        <v>41</v>
      </c>
      <c r="K406" s="173">
        <v>183.52</v>
      </c>
    </row>
    <row r="407" spans="1:22" ht="14.25" x14ac:dyDescent="0.2">
      <c r="A407" s="212"/>
      <c r="B407" s="211"/>
      <c r="C407" s="211" t="s">
        <v>192</v>
      </c>
      <c r="D407" s="210" t="s">
        <v>191</v>
      </c>
      <c r="E407" s="207">
        <v>9.25</v>
      </c>
      <c r="F407" s="209"/>
      <c r="G407" s="208" t="s">
        <v>1548</v>
      </c>
      <c r="H407" s="207">
        <v>1</v>
      </c>
      <c r="I407" s="206">
        <v>1.28</v>
      </c>
      <c r="J407" s="207"/>
      <c r="K407" s="206"/>
    </row>
    <row r="408" spans="1:22" ht="15" x14ac:dyDescent="0.25">
      <c r="A408" s="204"/>
      <c r="B408" s="204"/>
      <c r="C408" s="205" t="s">
        <v>183</v>
      </c>
      <c r="D408" s="204"/>
      <c r="E408" s="204"/>
      <c r="F408" s="204"/>
      <c r="G408" s="204"/>
      <c r="H408" s="438">
        <v>57.83</v>
      </c>
      <c r="I408" s="438"/>
      <c r="J408" s="438">
        <v>1041.27</v>
      </c>
      <c r="K408" s="438"/>
      <c r="O408" s="163">
        <f>I403+I404+I405+I406</f>
        <v>57.83</v>
      </c>
      <c r="P408" s="163">
        <f>K403+K404+K405+K406</f>
        <v>1041.27</v>
      </c>
    </row>
    <row r="410" spans="1:22" ht="52.5" x14ac:dyDescent="0.2">
      <c r="A410" s="179" t="s">
        <v>1705</v>
      </c>
      <c r="B410" s="178" t="s">
        <v>748</v>
      </c>
      <c r="C410" s="178" t="s">
        <v>747</v>
      </c>
      <c r="D410" s="177" t="s">
        <v>2634</v>
      </c>
      <c r="E410" s="174">
        <v>40.9</v>
      </c>
      <c r="F410" s="176"/>
      <c r="G410" s="175"/>
      <c r="H410" s="174"/>
      <c r="I410" s="173"/>
      <c r="J410" s="174"/>
      <c r="K410" s="173"/>
      <c r="Q410" s="160">
        <f>[9]Source!X323</f>
        <v>1224.1300000000001</v>
      </c>
      <c r="R410" s="160">
        <f>[9]Source!X324</f>
        <v>22929.61</v>
      </c>
      <c r="S410" s="160">
        <f>[9]Source!Y323</f>
        <v>941.64</v>
      </c>
      <c r="T410" s="160">
        <f>[9]Source!Y324</f>
        <v>12878.27</v>
      </c>
      <c r="U410" s="160">
        <f>ROUND((175/100)*ROUND([9]Source!R323, 2), 2)</f>
        <v>236.2</v>
      </c>
      <c r="V410" s="160">
        <f>ROUND((157/100)*ROUND([9]Source!R324, 2), 2)</f>
        <v>4947.93</v>
      </c>
    </row>
    <row r="411" spans="1:22" x14ac:dyDescent="0.2">
      <c r="C411" s="181" t="s">
        <v>3207</v>
      </c>
    </row>
    <row r="412" spans="1:22" ht="14.25" x14ac:dyDescent="0.2">
      <c r="A412" s="179"/>
      <c r="B412" s="178"/>
      <c r="C412" s="178" t="s">
        <v>197</v>
      </c>
      <c r="D412" s="177"/>
      <c r="E412" s="174"/>
      <c r="F412" s="176">
        <v>28.6</v>
      </c>
      <c r="G412" s="175" t="s">
        <v>1548</v>
      </c>
      <c r="H412" s="174">
        <v>1</v>
      </c>
      <c r="I412" s="173">
        <v>1345.2</v>
      </c>
      <c r="J412" s="174">
        <v>23.35</v>
      </c>
      <c r="K412" s="173">
        <v>31410.42</v>
      </c>
    </row>
    <row r="413" spans="1:22" ht="14.25" x14ac:dyDescent="0.2">
      <c r="A413" s="179"/>
      <c r="B413" s="178"/>
      <c r="C413" s="178" t="s">
        <v>184</v>
      </c>
      <c r="D413" s="177"/>
      <c r="E413" s="174"/>
      <c r="F413" s="176">
        <v>13.2</v>
      </c>
      <c r="G413" s="175" t="s">
        <v>1549</v>
      </c>
      <c r="H413" s="174">
        <v>1</v>
      </c>
      <c r="I413" s="173">
        <v>674.85</v>
      </c>
      <c r="J413" s="174">
        <v>8.9499999999999993</v>
      </c>
      <c r="K413" s="173">
        <v>6039.91</v>
      </c>
    </row>
    <row r="414" spans="1:22" ht="14.25" x14ac:dyDescent="0.2">
      <c r="A414" s="179"/>
      <c r="B414" s="178"/>
      <c r="C414" s="178" t="s">
        <v>189</v>
      </c>
      <c r="D414" s="177"/>
      <c r="E414" s="174"/>
      <c r="F414" s="176">
        <v>2.64</v>
      </c>
      <c r="G414" s="175" t="s">
        <v>1549</v>
      </c>
      <c r="H414" s="174">
        <v>1</v>
      </c>
      <c r="I414" s="180">
        <v>134.97</v>
      </c>
      <c r="J414" s="174">
        <v>23.35</v>
      </c>
      <c r="K414" s="180">
        <v>3151.55</v>
      </c>
    </row>
    <row r="415" spans="1:22" ht="14.25" x14ac:dyDescent="0.2">
      <c r="A415" s="179"/>
      <c r="B415" s="178"/>
      <c r="C415" s="178" t="s">
        <v>205</v>
      </c>
      <c r="D415" s="177"/>
      <c r="E415" s="174"/>
      <c r="F415" s="176">
        <v>59.82</v>
      </c>
      <c r="G415" s="175" t="s">
        <v>195</v>
      </c>
      <c r="H415" s="174">
        <v>1</v>
      </c>
      <c r="I415" s="173">
        <v>2446.64</v>
      </c>
      <c r="J415" s="174">
        <v>19.829999999999998</v>
      </c>
      <c r="K415" s="173">
        <v>48516.87</v>
      </c>
    </row>
    <row r="416" spans="1:22" ht="114" x14ac:dyDescent="0.2">
      <c r="A416" s="179" t="s">
        <v>1707</v>
      </c>
      <c r="B416" s="178" t="s">
        <v>3175</v>
      </c>
      <c r="C416" s="178" t="s">
        <v>746</v>
      </c>
      <c r="D416" s="177" t="s">
        <v>1552</v>
      </c>
      <c r="E416" s="174">
        <v>613.5</v>
      </c>
      <c r="F416" s="176">
        <v>11.88</v>
      </c>
      <c r="G416" s="182" t="s">
        <v>195</v>
      </c>
      <c r="H416" s="174">
        <v>1</v>
      </c>
      <c r="I416" s="173">
        <v>7288.38</v>
      </c>
      <c r="J416" s="174">
        <v>3.22</v>
      </c>
      <c r="K416" s="173">
        <v>23468.58</v>
      </c>
      <c r="Q416" s="160">
        <f>[9]Source!X325</f>
        <v>0</v>
      </c>
      <c r="R416" s="160">
        <f>[9]Source!X326</f>
        <v>0</v>
      </c>
      <c r="S416" s="160">
        <f>[9]Source!Y325</f>
        <v>0</v>
      </c>
      <c r="T416" s="160">
        <f>[9]Source!Y326</f>
        <v>0</v>
      </c>
      <c r="U416" s="160">
        <f>ROUND((175/100)*ROUND([9]Source!R325, 2), 2)</f>
        <v>0</v>
      </c>
      <c r="V416" s="160">
        <f>ROUND((157/100)*ROUND([9]Source!R326, 2), 2)</f>
        <v>0</v>
      </c>
    </row>
    <row r="417" spans="1:22" ht="114" x14ac:dyDescent="0.2">
      <c r="A417" s="179" t="s">
        <v>1708</v>
      </c>
      <c r="B417" s="178" t="s">
        <v>3059</v>
      </c>
      <c r="C417" s="178" t="s">
        <v>745</v>
      </c>
      <c r="D417" s="177" t="s">
        <v>1552</v>
      </c>
      <c r="E417" s="174">
        <v>225.75</v>
      </c>
      <c r="F417" s="176">
        <v>24.54</v>
      </c>
      <c r="G417" s="182" t="s">
        <v>195</v>
      </c>
      <c r="H417" s="174">
        <v>1</v>
      </c>
      <c r="I417" s="173">
        <v>5539.91</v>
      </c>
      <c r="J417" s="174">
        <v>2.0699999999999998</v>
      </c>
      <c r="K417" s="173">
        <v>11467.61</v>
      </c>
      <c r="Q417" s="160">
        <f>[9]Source!X327</f>
        <v>0</v>
      </c>
      <c r="R417" s="160">
        <f>[9]Source!X328</f>
        <v>0</v>
      </c>
      <c r="S417" s="160">
        <f>[9]Source!Y327</f>
        <v>0</v>
      </c>
      <c r="T417" s="160">
        <f>[9]Source!Y328</f>
        <v>0</v>
      </c>
      <c r="U417" s="160">
        <f>ROUND((175/100)*ROUND([9]Source!R327, 2), 2)</f>
        <v>0</v>
      </c>
      <c r="V417" s="160">
        <f>ROUND((157/100)*ROUND([9]Source!R328, 2), 2)</f>
        <v>0</v>
      </c>
    </row>
    <row r="418" spans="1:22" ht="114" x14ac:dyDescent="0.2">
      <c r="A418" s="179" t="s">
        <v>1709</v>
      </c>
      <c r="B418" s="178" t="s">
        <v>3061</v>
      </c>
      <c r="C418" s="178" t="s">
        <v>744</v>
      </c>
      <c r="D418" s="177" t="s">
        <v>1552</v>
      </c>
      <c r="E418" s="174">
        <v>127.05</v>
      </c>
      <c r="F418" s="176">
        <v>26.16</v>
      </c>
      <c r="G418" s="182" t="s">
        <v>195</v>
      </c>
      <c r="H418" s="174">
        <v>1</v>
      </c>
      <c r="I418" s="173">
        <v>3323.63</v>
      </c>
      <c r="J418" s="174">
        <v>2.11</v>
      </c>
      <c r="K418" s="173">
        <v>7012.86</v>
      </c>
      <c r="Q418" s="160">
        <f>[9]Source!X329</f>
        <v>0</v>
      </c>
      <c r="R418" s="160">
        <f>[9]Source!X330</f>
        <v>0</v>
      </c>
      <c r="S418" s="160">
        <f>[9]Source!Y329</f>
        <v>0</v>
      </c>
      <c r="T418" s="160">
        <f>[9]Source!Y330</f>
        <v>0</v>
      </c>
      <c r="U418" s="160">
        <f>ROUND((175/100)*ROUND([9]Source!R329, 2), 2)</f>
        <v>0</v>
      </c>
      <c r="V418" s="160">
        <f>ROUND((157/100)*ROUND([9]Source!R330, 2), 2)</f>
        <v>0</v>
      </c>
    </row>
    <row r="419" spans="1:22" ht="114" x14ac:dyDescent="0.2">
      <c r="A419" s="179" t="s">
        <v>3208</v>
      </c>
      <c r="B419" s="178" t="s">
        <v>3209</v>
      </c>
      <c r="C419" s="178" t="s">
        <v>743</v>
      </c>
      <c r="D419" s="177" t="s">
        <v>1552</v>
      </c>
      <c r="E419" s="174">
        <v>64.05</v>
      </c>
      <c r="F419" s="176">
        <v>28.69</v>
      </c>
      <c r="G419" s="182" t="s">
        <v>195</v>
      </c>
      <c r="H419" s="174">
        <v>1</v>
      </c>
      <c r="I419" s="173">
        <v>1837.59</v>
      </c>
      <c r="J419" s="174">
        <v>2.1800000000000002</v>
      </c>
      <c r="K419" s="173">
        <v>4005.95</v>
      </c>
      <c r="Q419" s="160">
        <f>[9]Source!X331</f>
        <v>0</v>
      </c>
      <c r="R419" s="160">
        <f>[9]Source!X332</f>
        <v>0</v>
      </c>
      <c r="S419" s="160">
        <f>[9]Source!Y331</f>
        <v>0</v>
      </c>
      <c r="T419" s="160">
        <f>[9]Source!Y332</f>
        <v>0</v>
      </c>
      <c r="U419" s="160">
        <f>ROUND((175/100)*ROUND([9]Source!R331, 2), 2)</f>
        <v>0</v>
      </c>
      <c r="V419" s="160">
        <f>ROUND((157/100)*ROUND([9]Source!R332, 2), 2)</f>
        <v>0</v>
      </c>
    </row>
    <row r="420" spans="1:22" ht="114" x14ac:dyDescent="0.2">
      <c r="A420" s="179" t="s">
        <v>3210</v>
      </c>
      <c r="B420" s="178" t="s">
        <v>3178</v>
      </c>
      <c r="C420" s="178" t="s">
        <v>742</v>
      </c>
      <c r="D420" s="177" t="s">
        <v>1552</v>
      </c>
      <c r="E420" s="174">
        <v>12.6</v>
      </c>
      <c r="F420" s="176">
        <v>32.17</v>
      </c>
      <c r="G420" s="182" t="s">
        <v>195</v>
      </c>
      <c r="H420" s="174">
        <v>1</v>
      </c>
      <c r="I420" s="173">
        <v>405.34</v>
      </c>
      <c r="J420" s="174">
        <v>2.46</v>
      </c>
      <c r="K420" s="173">
        <v>997.14</v>
      </c>
      <c r="Q420" s="160">
        <f>[9]Source!X333</f>
        <v>0</v>
      </c>
      <c r="R420" s="160">
        <f>[9]Source!X334</f>
        <v>0</v>
      </c>
      <c r="S420" s="160">
        <f>[9]Source!Y333</f>
        <v>0</v>
      </c>
      <c r="T420" s="160">
        <f>[9]Source!Y334</f>
        <v>0</v>
      </c>
      <c r="U420" s="160">
        <f>ROUND((175/100)*ROUND([9]Source!R333, 2), 2)</f>
        <v>0</v>
      </c>
      <c r="V420" s="160">
        <f>ROUND((157/100)*ROUND([9]Source!R334, 2), 2)</f>
        <v>0</v>
      </c>
    </row>
    <row r="421" spans="1:22" ht="57" x14ac:dyDescent="0.2">
      <c r="A421" s="179" t="s">
        <v>3211</v>
      </c>
      <c r="B421" s="178" t="s">
        <v>2638</v>
      </c>
      <c r="C421" s="178" t="s">
        <v>741</v>
      </c>
      <c r="D421" s="177" t="s">
        <v>2639</v>
      </c>
      <c r="E421" s="174">
        <v>6.7893999999999997</v>
      </c>
      <c r="F421" s="176">
        <v>231.64</v>
      </c>
      <c r="G421" s="182" t="s">
        <v>195</v>
      </c>
      <c r="H421" s="174">
        <v>1</v>
      </c>
      <c r="I421" s="173">
        <v>1572.7</v>
      </c>
      <c r="J421" s="174">
        <v>2.88</v>
      </c>
      <c r="K421" s="173">
        <v>4529.38</v>
      </c>
      <c r="Q421" s="160">
        <f>[9]Source!X335</f>
        <v>0</v>
      </c>
      <c r="R421" s="160">
        <f>[9]Source!X336</f>
        <v>0</v>
      </c>
      <c r="S421" s="160">
        <f>[9]Source!Y335</f>
        <v>0</v>
      </c>
      <c r="T421" s="160">
        <f>[9]Source!Y336</f>
        <v>0</v>
      </c>
      <c r="U421" s="160">
        <f>ROUND((175/100)*ROUND([9]Source!R335, 2), 2)</f>
        <v>0</v>
      </c>
      <c r="V421" s="160">
        <f>ROUND((157/100)*ROUND([9]Source!R336, 2), 2)</f>
        <v>0</v>
      </c>
    </row>
    <row r="422" spans="1:22" ht="57" x14ac:dyDescent="0.2">
      <c r="A422" s="179" t="s">
        <v>3212</v>
      </c>
      <c r="B422" s="178" t="s">
        <v>2641</v>
      </c>
      <c r="C422" s="178" t="s">
        <v>740</v>
      </c>
      <c r="D422" s="177" t="s">
        <v>2639</v>
      </c>
      <c r="E422" s="174">
        <v>-38.036999999999999</v>
      </c>
      <c r="F422" s="176">
        <v>34.75</v>
      </c>
      <c r="G422" s="182" t="s">
        <v>195</v>
      </c>
      <c r="H422" s="174">
        <v>1</v>
      </c>
      <c r="I422" s="173">
        <v>-1321.79</v>
      </c>
      <c r="J422" s="174">
        <v>34.270000000000003</v>
      </c>
      <c r="K422" s="173">
        <v>-45297.74</v>
      </c>
      <c r="Q422" s="160">
        <f>[9]Source!X337</f>
        <v>0</v>
      </c>
      <c r="R422" s="160">
        <f>[9]Source!X338</f>
        <v>0</v>
      </c>
      <c r="S422" s="160">
        <f>[9]Source!Y337</f>
        <v>0</v>
      </c>
      <c r="T422" s="160">
        <f>[9]Source!Y338</f>
        <v>0</v>
      </c>
      <c r="U422" s="160">
        <f>ROUND((175/100)*ROUND([9]Source!R337, 2), 2)</f>
        <v>0</v>
      </c>
      <c r="V422" s="160">
        <f>ROUND((157/100)*ROUND([9]Source!R338, 2), 2)</f>
        <v>0</v>
      </c>
    </row>
    <row r="423" spans="1:22" ht="14.25" x14ac:dyDescent="0.2">
      <c r="A423" s="179"/>
      <c r="B423" s="178"/>
      <c r="C423" s="178" t="s">
        <v>194</v>
      </c>
      <c r="D423" s="177" t="s">
        <v>187</v>
      </c>
      <c r="E423" s="174">
        <v>91</v>
      </c>
      <c r="F423" s="176"/>
      <c r="G423" s="175"/>
      <c r="H423" s="174"/>
      <c r="I423" s="173">
        <v>1224.1300000000001</v>
      </c>
      <c r="J423" s="174">
        <v>73</v>
      </c>
      <c r="K423" s="173">
        <v>22929.61</v>
      </c>
    </row>
    <row r="424" spans="1:22" ht="14.25" x14ac:dyDescent="0.2">
      <c r="A424" s="179"/>
      <c r="B424" s="178"/>
      <c r="C424" s="178" t="s">
        <v>193</v>
      </c>
      <c r="D424" s="177" t="s">
        <v>187</v>
      </c>
      <c r="E424" s="174">
        <v>70</v>
      </c>
      <c r="F424" s="176"/>
      <c r="G424" s="175"/>
      <c r="H424" s="174"/>
      <c r="I424" s="173">
        <v>941.64</v>
      </c>
      <c r="J424" s="174">
        <v>41</v>
      </c>
      <c r="K424" s="173">
        <v>12878.27</v>
      </c>
    </row>
    <row r="425" spans="1:22" ht="14.25" x14ac:dyDescent="0.2">
      <c r="A425" s="179"/>
      <c r="B425" s="178"/>
      <c r="C425" s="178" t="s">
        <v>188</v>
      </c>
      <c r="D425" s="177" t="s">
        <v>187</v>
      </c>
      <c r="E425" s="174">
        <v>175</v>
      </c>
      <c r="F425" s="176"/>
      <c r="G425" s="175"/>
      <c r="H425" s="174"/>
      <c r="I425" s="173">
        <v>236.2</v>
      </c>
      <c r="J425" s="174">
        <v>157</v>
      </c>
      <c r="K425" s="173">
        <v>4947.93</v>
      </c>
    </row>
    <row r="426" spans="1:22" ht="14.25" x14ac:dyDescent="0.2">
      <c r="A426" s="212"/>
      <c r="B426" s="211"/>
      <c r="C426" s="211" t="s">
        <v>192</v>
      </c>
      <c r="D426" s="210" t="s">
        <v>191</v>
      </c>
      <c r="E426" s="207">
        <v>2.2000000000000002</v>
      </c>
      <c r="F426" s="209"/>
      <c r="G426" s="208" t="s">
        <v>1548</v>
      </c>
      <c r="H426" s="207">
        <v>1</v>
      </c>
      <c r="I426" s="206">
        <v>103.48</v>
      </c>
      <c r="J426" s="207"/>
      <c r="K426" s="206"/>
    </row>
    <row r="427" spans="1:22" ht="15" x14ac:dyDescent="0.25">
      <c r="A427" s="204"/>
      <c r="B427" s="204"/>
      <c r="C427" s="205" t="s">
        <v>183</v>
      </c>
      <c r="D427" s="204"/>
      <c r="E427" s="204"/>
      <c r="F427" s="204"/>
      <c r="G427" s="204"/>
      <c r="H427" s="438">
        <v>25514.42</v>
      </c>
      <c r="I427" s="438"/>
      <c r="J427" s="438">
        <v>132906.79</v>
      </c>
      <c r="K427" s="438"/>
      <c r="O427" s="163">
        <f>I412+I413+I415+I423+I424+I425+SUM(I416:I422)</f>
        <v>25514.42</v>
      </c>
      <c r="P427" s="163">
        <f>K412+K413+K415+K423+K424+K425+SUM(K416:K422)</f>
        <v>132906.79</v>
      </c>
    </row>
    <row r="429" spans="1:22" ht="52.5" x14ac:dyDescent="0.2">
      <c r="A429" s="179" t="s">
        <v>1712</v>
      </c>
      <c r="B429" s="178" t="s">
        <v>739</v>
      </c>
      <c r="C429" s="178" t="s">
        <v>738</v>
      </c>
      <c r="D429" s="177" t="s">
        <v>1903</v>
      </c>
      <c r="E429" s="174">
        <v>7</v>
      </c>
      <c r="F429" s="176"/>
      <c r="G429" s="175"/>
      <c r="H429" s="174"/>
      <c r="I429" s="173"/>
      <c r="J429" s="174"/>
      <c r="K429" s="173"/>
      <c r="Q429" s="160">
        <f>[9]Source!X339</f>
        <v>186.85</v>
      </c>
      <c r="R429" s="160">
        <f>[9]Source!X340</f>
        <v>3054</v>
      </c>
      <c r="S429" s="160">
        <f>[9]Source!Y339</f>
        <v>125.7</v>
      </c>
      <c r="T429" s="160">
        <f>[9]Source!Y340</f>
        <v>1626.15</v>
      </c>
      <c r="U429" s="160">
        <f>ROUND((175/100)*ROUND([9]Source!R339, 2), 2)</f>
        <v>0.16</v>
      </c>
      <c r="V429" s="160">
        <f>ROUND((157/100)*ROUND([9]Source!R340, 2), 2)</f>
        <v>3.3</v>
      </c>
    </row>
    <row r="430" spans="1:22" ht="14.25" x14ac:dyDescent="0.2">
      <c r="A430" s="179"/>
      <c r="B430" s="178"/>
      <c r="C430" s="178" t="s">
        <v>197</v>
      </c>
      <c r="D430" s="177"/>
      <c r="E430" s="174"/>
      <c r="F430" s="176">
        <v>21.1</v>
      </c>
      <c r="G430" s="175" t="s">
        <v>1548</v>
      </c>
      <c r="H430" s="174">
        <v>1</v>
      </c>
      <c r="I430" s="173">
        <v>169.86</v>
      </c>
      <c r="J430" s="174">
        <v>23.35</v>
      </c>
      <c r="K430" s="173">
        <v>3966.23</v>
      </c>
    </row>
    <row r="431" spans="1:22" ht="14.25" x14ac:dyDescent="0.2">
      <c r="A431" s="179"/>
      <c r="B431" s="178"/>
      <c r="C431" s="178" t="s">
        <v>184</v>
      </c>
      <c r="D431" s="177"/>
      <c r="E431" s="174"/>
      <c r="F431" s="176">
        <v>0.12</v>
      </c>
      <c r="G431" s="175" t="s">
        <v>1549</v>
      </c>
      <c r="H431" s="174">
        <v>1</v>
      </c>
      <c r="I431" s="173">
        <v>1.05</v>
      </c>
      <c r="J431" s="174">
        <v>10</v>
      </c>
      <c r="K431" s="173">
        <v>10.5</v>
      </c>
    </row>
    <row r="432" spans="1:22" ht="14.25" x14ac:dyDescent="0.2">
      <c r="A432" s="179"/>
      <c r="B432" s="178"/>
      <c r="C432" s="178" t="s">
        <v>189</v>
      </c>
      <c r="D432" s="177"/>
      <c r="E432" s="174"/>
      <c r="F432" s="176">
        <v>0.01</v>
      </c>
      <c r="G432" s="175" t="s">
        <v>1549</v>
      </c>
      <c r="H432" s="174">
        <v>1</v>
      </c>
      <c r="I432" s="180">
        <v>0.09</v>
      </c>
      <c r="J432" s="174">
        <v>23.35</v>
      </c>
      <c r="K432" s="180">
        <v>2.1</v>
      </c>
    </row>
    <row r="433" spans="1:22" ht="14.25" x14ac:dyDescent="0.2">
      <c r="A433" s="179"/>
      <c r="B433" s="178"/>
      <c r="C433" s="178" t="s">
        <v>205</v>
      </c>
      <c r="D433" s="177"/>
      <c r="E433" s="174"/>
      <c r="F433" s="176">
        <v>2.97</v>
      </c>
      <c r="G433" s="175" t="s">
        <v>195</v>
      </c>
      <c r="H433" s="174">
        <v>1</v>
      </c>
      <c r="I433" s="173">
        <v>20.79</v>
      </c>
      <c r="J433" s="174">
        <v>10.86</v>
      </c>
      <c r="K433" s="173">
        <v>225.78</v>
      </c>
    </row>
    <row r="434" spans="1:22" ht="57" x14ac:dyDescent="0.2">
      <c r="A434" s="179" t="s">
        <v>1715</v>
      </c>
      <c r="B434" s="178" t="s">
        <v>3213</v>
      </c>
      <c r="C434" s="178" t="s">
        <v>737</v>
      </c>
      <c r="D434" s="177" t="s">
        <v>1913</v>
      </c>
      <c r="E434" s="174">
        <v>7</v>
      </c>
      <c r="F434" s="176">
        <v>753.14</v>
      </c>
      <c r="G434" s="182" t="s">
        <v>195</v>
      </c>
      <c r="H434" s="174">
        <v>1</v>
      </c>
      <c r="I434" s="173">
        <v>5271.98</v>
      </c>
      <c r="J434" s="174">
        <v>1.84</v>
      </c>
      <c r="K434" s="173">
        <v>9700.44</v>
      </c>
      <c r="Q434" s="160">
        <f>[9]Source!X341</f>
        <v>0</v>
      </c>
      <c r="R434" s="160">
        <f>[9]Source!X342</f>
        <v>0</v>
      </c>
      <c r="S434" s="160">
        <f>[9]Source!Y341</f>
        <v>0</v>
      </c>
      <c r="T434" s="160">
        <f>[9]Source!Y342</f>
        <v>0</v>
      </c>
      <c r="U434" s="160">
        <f>ROUND((175/100)*ROUND([9]Source!R341, 2), 2)</f>
        <v>0</v>
      </c>
      <c r="V434" s="160">
        <f>ROUND((157/100)*ROUND([9]Source!R342, 2), 2)</f>
        <v>0</v>
      </c>
    </row>
    <row r="435" spans="1:22" ht="85.5" x14ac:dyDescent="0.2">
      <c r="A435" s="179" t="s">
        <v>1716</v>
      </c>
      <c r="B435" s="178" t="s">
        <v>3214</v>
      </c>
      <c r="C435" s="178" t="s">
        <v>736</v>
      </c>
      <c r="D435" s="177" t="s">
        <v>1913</v>
      </c>
      <c r="E435" s="174">
        <v>14</v>
      </c>
      <c r="F435" s="176">
        <v>63.27</v>
      </c>
      <c r="G435" s="182" t="s">
        <v>195</v>
      </c>
      <c r="H435" s="174">
        <v>1</v>
      </c>
      <c r="I435" s="173">
        <v>885.78</v>
      </c>
      <c r="J435" s="174">
        <v>4.42</v>
      </c>
      <c r="K435" s="173">
        <v>3915.15</v>
      </c>
      <c r="Q435" s="160">
        <f>[9]Source!X343</f>
        <v>0</v>
      </c>
      <c r="R435" s="160">
        <f>[9]Source!X344</f>
        <v>0</v>
      </c>
      <c r="S435" s="160">
        <f>[9]Source!Y343</f>
        <v>0</v>
      </c>
      <c r="T435" s="160">
        <f>[9]Source!Y344</f>
        <v>0</v>
      </c>
      <c r="U435" s="160">
        <f>ROUND((175/100)*ROUND([9]Source!R343, 2), 2)</f>
        <v>0</v>
      </c>
      <c r="V435" s="160">
        <f>ROUND((157/100)*ROUND([9]Source!R344, 2), 2)</f>
        <v>0</v>
      </c>
    </row>
    <row r="436" spans="1:22" ht="57" x14ac:dyDescent="0.2">
      <c r="A436" s="179" t="s">
        <v>1718</v>
      </c>
      <c r="B436" s="178" t="s">
        <v>2611</v>
      </c>
      <c r="C436" s="178" t="s">
        <v>735</v>
      </c>
      <c r="D436" s="177" t="s">
        <v>1661</v>
      </c>
      <c r="E436" s="174">
        <v>14</v>
      </c>
      <c r="F436" s="176">
        <v>74.37</v>
      </c>
      <c r="G436" s="182" t="s">
        <v>195</v>
      </c>
      <c r="H436" s="174">
        <v>1</v>
      </c>
      <c r="I436" s="173">
        <v>1041.18</v>
      </c>
      <c r="J436" s="174">
        <v>11.27</v>
      </c>
      <c r="K436" s="173">
        <v>11734.1</v>
      </c>
      <c r="Q436" s="160">
        <f>[9]Source!X345</f>
        <v>0</v>
      </c>
      <c r="R436" s="160">
        <f>[9]Source!X346</f>
        <v>0</v>
      </c>
      <c r="S436" s="160">
        <f>[9]Source!Y345</f>
        <v>0</v>
      </c>
      <c r="T436" s="160">
        <f>[9]Source!Y346</f>
        <v>0</v>
      </c>
      <c r="U436" s="160">
        <f>ROUND((175/100)*ROUND([9]Source!R345, 2), 2)</f>
        <v>0</v>
      </c>
      <c r="V436" s="160">
        <f>ROUND((157/100)*ROUND([9]Source!R346, 2), 2)</f>
        <v>0</v>
      </c>
    </row>
    <row r="437" spans="1:22" ht="14.25" x14ac:dyDescent="0.2">
      <c r="A437" s="179"/>
      <c r="B437" s="178"/>
      <c r="C437" s="178" t="s">
        <v>194</v>
      </c>
      <c r="D437" s="177" t="s">
        <v>187</v>
      </c>
      <c r="E437" s="174">
        <v>110</v>
      </c>
      <c r="F437" s="176"/>
      <c r="G437" s="175"/>
      <c r="H437" s="174"/>
      <c r="I437" s="173">
        <v>186.85</v>
      </c>
      <c r="J437" s="174">
        <v>77</v>
      </c>
      <c r="K437" s="173">
        <v>3054</v>
      </c>
    </row>
    <row r="438" spans="1:22" ht="14.25" x14ac:dyDescent="0.2">
      <c r="A438" s="179"/>
      <c r="B438" s="178"/>
      <c r="C438" s="178" t="s">
        <v>193</v>
      </c>
      <c r="D438" s="177" t="s">
        <v>187</v>
      </c>
      <c r="E438" s="174">
        <v>74</v>
      </c>
      <c r="F438" s="176"/>
      <c r="G438" s="175"/>
      <c r="H438" s="174"/>
      <c r="I438" s="173">
        <v>125.7</v>
      </c>
      <c r="J438" s="174">
        <v>41</v>
      </c>
      <c r="K438" s="173">
        <v>1626.15</v>
      </c>
    </row>
    <row r="439" spans="1:22" ht="14.25" x14ac:dyDescent="0.2">
      <c r="A439" s="179"/>
      <c r="B439" s="178"/>
      <c r="C439" s="178" t="s">
        <v>188</v>
      </c>
      <c r="D439" s="177" t="s">
        <v>187</v>
      </c>
      <c r="E439" s="174">
        <v>175</v>
      </c>
      <c r="F439" s="176"/>
      <c r="G439" s="175"/>
      <c r="H439" s="174"/>
      <c r="I439" s="173">
        <v>0.16</v>
      </c>
      <c r="J439" s="174">
        <v>157</v>
      </c>
      <c r="K439" s="173">
        <v>3.3</v>
      </c>
    </row>
    <row r="440" spans="1:22" ht="14.25" x14ac:dyDescent="0.2">
      <c r="A440" s="212"/>
      <c r="B440" s="211"/>
      <c r="C440" s="211" t="s">
        <v>192</v>
      </c>
      <c r="D440" s="210" t="s">
        <v>191</v>
      </c>
      <c r="E440" s="207">
        <v>1.79</v>
      </c>
      <c r="F440" s="209"/>
      <c r="G440" s="208" t="s">
        <v>1548</v>
      </c>
      <c r="H440" s="207">
        <v>1</v>
      </c>
      <c r="I440" s="206">
        <v>14.41</v>
      </c>
      <c r="J440" s="207"/>
      <c r="K440" s="206"/>
    </row>
    <row r="441" spans="1:22" ht="15" x14ac:dyDescent="0.25">
      <c r="A441" s="204"/>
      <c r="B441" s="204"/>
      <c r="C441" s="205" t="s">
        <v>183</v>
      </c>
      <c r="D441" s="204"/>
      <c r="E441" s="204"/>
      <c r="F441" s="204"/>
      <c r="G441" s="204"/>
      <c r="H441" s="438">
        <v>7703.35</v>
      </c>
      <c r="I441" s="438"/>
      <c r="J441" s="438">
        <v>34235.65</v>
      </c>
      <c r="K441" s="438"/>
      <c r="O441" s="163">
        <f>I430+I431+I433+I437+I438+I439+SUM(I434:I436)</f>
        <v>7703.35</v>
      </c>
      <c r="P441" s="163">
        <f>K430+K431+K433+K437+K438+K439+SUM(K434:K436)</f>
        <v>34235.65</v>
      </c>
    </row>
    <row r="443" spans="1:22" ht="52.5" x14ac:dyDescent="0.2">
      <c r="A443" s="179" t="s">
        <v>1719</v>
      </c>
      <c r="B443" s="178" t="s">
        <v>734</v>
      </c>
      <c r="C443" s="178" t="s">
        <v>733</v>
      </c>
      <c r="D443" s="177" t="s">
        <v>1903</v>
      </c>
      <c r="E443" s="174">
        <v>3</v>
      </c>
      <c r="F443" s="176"/>
      <c r="G443" s="175"/>
      <c r="H443" s="174"/>
      <c r="I443" s="173"/>
      <c r="J443" s="174"/>
      <c r="K443" s="173"/>
      <c r="Q443" s="160">
        <f>[9]Source!X347</f>
        <v>34</v>
      </c>
      <c r="R443" s="160">
        <f>[9]Source!X348</f>
        <v>635.14</v>
      </c>
      <c r="S443" s="160">
        <f>[9]Source!Y347</f>
        <v>22.87</v>
      </c>
      <c r="T443" s="160">
        <f>[9]Source!Y348</f>
        <v>295.92</v>
      </c>
      <c r="U443" s="160">
        <f>ROUND((175/100)*ROUND([9]Source!R347, 2), 2)</f>
        <v>0</v>
      </c>
      <c r="V443" s="160">
        <f>ROUND((157/100)*ROUND([9]Source!R348, 2), 2)</f>
        <v>0</v>
      </c>
    </row>
    <row r="444" spans="1:22" ht="14.25" x14ac:dyDescent="0.2">
      <c r="A444" s="179"/>
      <c r="B444" s="178"/>
      <c r="C444" s="178" t="s">
        <v>197</v>
      </c>
      <c r="D444" s="177"/>
      <c r="E444" s="174"/>
      <c r="F444" s="176">
        <v>8.9600000000000009</v>
      </c>
      <c r="G444" s="175" t="s">
        <v>1548</v>
      </c>
      <c r="H444" s="174">
        <v>1</v>
      </c>
      <c r="I444" s="173">
        <v>30.91</v>
      </c>
      <c r="J444" s="174">
        <v>23.35</v>
      </c>
      <c r="K444" s="173">
        <v>721.75</v>
      </c>
    </row>
    <row r="445" spans="1:22" ht="14.25" x14ac:dyDescent="0.2">
      <c r="A445" s="179"/>
      <c r="B445" s="178"/>
      <c r="C445" s="178" t="s">
        <v>205</v>
      </c>
      <c r="D445" s="177"/>
      <c r="E445" s="174"/>
      <c r="F445" s="176">
        <v>0.84</v>
      </c>
      <c r="G445" s="175" t="s">
        <v>195</v>
      </c>
      <c r="H445" s="174">
        <v>1</v>
      </c>
      <c r="I445" s="173">
        <v>2.52</v>
      </c>
      <c r="J445" s="174">
        <v>5.42</v>
      </c>
      <c r="K445" s="173">
        <v>13.66</v>
      </c>
    </row>
    <row r="446" spans="1:22" ht="85.5" x14ac:dyDescent="0.2">
      <c r="A446" s="179" t="s">
        <v>1720</v>
      </c>
      <c r="B446" s="178" t="s">
        <v>3215</v>
      </c>
      <c r="C446" s="178" t="s">
        <v>732</v>
      </c>
      <c r="D446" s="177" t="s">
        <v>1661</v>
      </c>
      <c r="E446" s="174">
        <v>3</v>
      </c>
      <c r="F446" s="176">
        <v>827.38</v>
      </c>
      <c r="G446" s="182" t="s">
        <v>195</v>
      </c>
      <c r="H446" s="174">
        <v>1</v>
      </c>
      <c r="I446" s="173">
        <v>2482.14</v>
      </c>
      <c r="J446" s="174">
        <v>9.16</v>
      </c>
      <c r="K446" s="173">
        <v>22736.400000000001</v>
      </c>
      <c r="Q446" s="160">
        <f>[9]Source!X349</f>
        <v>0</v>
      </c>
      <c r="R446" s="160">
        <f>[9]Source!X350</f>
        <v>0</v>
      </c>
      <c r="S446" s="160">
        <f>[9]Source!Y349</f>
        <v>0</v>
      </c>
      <c r="T446" s="160">
        <f>[9]Source!Y350</f>
        <v>0</v>
      </c>
      <c r="U446" s="160">
        <f>ROUND((175/100)*ROUND([9]Source!R349, 2), 2)</f>
        <v>0</v>
      </c>
      <c r="V446" s="160">
        <f>ROUND((157/100)*ROUND([9]Source!R350, 2), 2)</f>
        <v>0</v>
      </c>
    </row>
    <row r="447" spans="1:22" ht="14.25" x14ac:dyDescent="0.2">
      <c r="A447" s="179"/>
      <c r="B447" s="178"/>
      <c r="C447" s="178" t="s">
        <v>194</v>
      </c>
      <c r="D447" s="177" t="s">
        <v>187</v>
      </c>
      <c r="E447" s="174">
        <v>110</v>
      </c>
      <c r="F447" s="176"/>
      <c r="G447" s="175"/>
      <c r="H447" s="174"/>
      <c r="I447" s="173">
        <v>34</v>
      </c>
      <c r="J447" s="174">
        <v>88</v>
      </c>
      <c r="K447" s="173">
        <v>635.14</v>
      </c>
    </row>
    <row r="448" spans="1:22" ht="14.25" x14ac:dyDescent="0.2">
      <c r="A448" s="179"/>
      <c r="B448" s="178"/>
      <c r="C448" s="178" t="s">
        <v>193</v>
      </c>
      <c r="D448" s="177" t="s">
        <v>187</v>
      </c>
      <c r="E448" s="174">
        <v>74</v>
      </c>
      <c r="F448" s="176"/>
      <c r="G448" s="175"/>
      <c r="H448" s="174"/>
      <c r="I448" s="173">
        <v>22.87</v>
      </c>
      <c r="J448" s="174">
        <v>41</v>
      </c>
      <c r="K448" s="173">
        <v>295.92</v>
      </c>
    </row>
    <row r="449" spans="1:22" ht="14.25" x14ac:dyDescent="0.2">
      <c r="A449" s="212"/>
      <c r="B449" s="211"/>
      <c r="C449" s="211" t="s">
        <v>192</v>
      </c>
      <c r="D449" s="210" t="s">
        <v>191</v>
      </c>
      <c r="E449" s="207">
        <v>0.7</v>
      </c>
      <c r="F449" s="209"/>
      <c r="G449" s="208" t="s">
        <v>1548</v>
      </c>
      <c r="H449" s="207">
        <v>1</v>
      </c>
      <c r="I449" s="206">
        <v>2.42</v>
      </c>
      <c r="J449" s="207"/>
      <c r="K449" s="206"/>
    </row>
    <row r="450" spans="1:22" ht="15" x14ac:dyDescent="0.25">
      <c r="A450" s="204"/>
      <c r="B450" s="204"/>
      <c r="C450" s="205" t="s">
        <v>183</v>
      </c>
      <c r="D450" s="204"/>
      <c r="E450" s="204"/>
      <c r="F450" s="204"/>
      <c r="G450" s="204"/>
      <c r="H450" s="438">
        <v>2572.44</v>
      </c>
      <c r="I450" s="438"/>
      <c r="J450" s="438">
        <v>24402.87</v>
      </c>
      <c r="K450" s="438"/>
      <c r="O450" s="163">
        <f>I444+I445+I447+I448+SUM(I446:I446)</f>
        <v>2572.44</v>
      </c>
      <c r="P450" s="163">
        <f>K444+K445+K447+K448+SUM(K446:K446)</f>
        <v>24402.87</v>
      </c>
    </row>
    <row r="452" spans="1:22" ht="52.5" x14ac:dyDescent="0.2">
      <c r="A452" s="179" t="s">
        <v>1722</v>
      </c>
      <c r="B452" s="178" t="s">
        <v>731</v>
      </c>
      <c r="C452" s="178" t="s">
        <v>730</v>
      </c>
      <c r="D452" s="177" t="s">
        <v>3186</v>
      </c>
      <c r="E452" s="174">
        <v>1</v>
      </c>
      <c r="F452" s="176"/>
      <c r="G452" s="175"/>
      <c r="H452" s="174"/>
      <c r="I452" s="173"/>
      <c r="J452" s="174"/>
      <c r="K452" s="173"/>
      <c r="Q452" s="160">
        <f>[9]Source!X351</f>
        <v>72.22</v>
      </c>
      <c r="R452" s="160">
        <f>[9]Source!X352</f>
        <v>1348.98</v>
      </c>
      <c r="S452" s="160">
        <f>[9]Source!Y351</f>
        <v>48.58</v>
      </c>
      <c r="T452" s="160">
        <f>[9]Source!Y352</f>
        <v>628.5</v>
      </c>
      <c r="U452" s="160">
        <f>ROUND((175/100)*ROUND([9]Source!R351, 2), 2)</f>
        <v>0.93</v>
      </c>
      <c r="V452" s="160">
        <f>ROUND((157/100)*ROUND([9]Source!R352, 2), 2)</f>
        <v>19.440000000000001</v>
      </c>
    </row>
    <row r="453" spans="1:22" ht="14.25" x14ac:dyDescent="0.2">
      <c r="A453" s="179"/>
      <c r="B453" s="178"/>
      <c r="C453" s="178" t="s">
        <v>197</v>
      </c>
      <c r="D453" s="177"/>
      <c r="E453" s="174"/>
      <c r="F453" s="176">
        <v>57.09</v>
      </c>
      <c r="G453" s="175" t="s">
        <v>1548</v>
      </c>
      <c r="H453" s="174">
        <v>1</v>
      </c>
      <c r="I453" s="173">
        <v>65.650000000000006</v>
      </c>
      <c r="J453" s="174">
        <v>23.35</v>
      </c>
      <c r="K453" s="173">
        <v>1532.93</v>
      </c>
    </row>
    <row r="454" spans="1:22" ht="14.25" x14ac:dyDescent="0.2">
      <c r="A454" s="179"/>
      <c r="B454" s="178"/>
      <c r="C454" s="178" t="s">
        <v>184</v>
      </c>
      <c r="D454" s="177"/>
      <c r="E454" s="174"/>
      <c r="F454" s="176">
        <v>2.96</v>
      </c>
      <c r="G454" s="175" t="s">
        <v>1549</v>
      </c>
      <c r="H454" s="174">
        <v>1</v>
      </c>
      <c r="I454" s="173">
        <v>3.7</v>
      </c>
      <c r="J454" s="174">
        <v>7.91</v>
      </c>
      <c r="K454" s="173">
        <v>29.27</v>
      </c>
    </row>
    <row r="455" spans="1:22" ht="14.25" x14ac:dyDescent="0.2">
      <c r="A455" s="179"/>
      <c r="B455" s="178"/>
      <c r="C455" s="178" t="s">
        <v>189</v>
      </c>
      <c r="D455" s="177"/>
      <c r="E455" s="174"/>
      <c r="F455" s="176">
        <v>0.42</v>
      </c>
      <c r="G455" s="175" t="s">
        <v>1549</v>
      </c>
      <c r="H455" s="174">
        <v>1</v>
      </c>
      <c r="I455" s="180">
        <v>0.53</v>
      </c>
      <c r="J455" s="174">
        <v>23.35</v>
      </c>
      <c r="K455" s="180">
        <v>12.38</v>
      </c>
    </row>
    <row r="456" spans="1:22" ht="14.25" x14ac:dyDescent="0.2">
      <c r="A456" s="179"/>
      <c r="B456" s="178"/>
      <c r="C456" s="178" t="s">
        <v>205</v>
      </c>
      <c r="D456" s="177"/>
      <c r="E456" s="174"/>
      <c r="F456" s="176">
        <v>16.84</v>
      </c>
      <c r="G456" s="175" t="s">
        <v>195</v>
      </c>
      <c r="H456" s="174">
        <v>1</v>
      </c>
      <c r="I456" s="173">
        <v>16.84</v>
      </c>
      <c r="J456" s="174">
        <v>5</v>
      </c>
      <c r="K456" s="173">
        <v>84.2</v>
      </c>
    </row>
    <row r="457" spans="1:22" ht="71.25" x14ac:dyDescent="0.2">
      <c r="A457" s="179" t="s">
        <v>1724</v>
      </c>
      <c r="B457" s="178" t="s">
        <v>3216</v>
      </c>
      <c r="C457" s="178" t="s">
        <v>729</v>
      </c>
      <c r="D457" s="177" t="s">
        <v>1661</v>
      </c>
      <c r="E457" s="174">
        <v>1</v>
      </c>
      <c r="F457" s="176">
        <v>47.62</v>
      </c>
      <c r="G457" s="182" t="s">
        <v>195</v>
      </c>
      <c r="H457" s="174">
        <v>1</v>
      </c>
      <c r="I457" s="173">
        <v>47.62</v>
      </c>
      <c r="J457" s="174">
        <v>3.14</v>
      </c>
      <c r="K457" s="173">
        <v>149.53</v>
      </c>
      <c r="Q457" s="160">
        <f>[9]Source!X353</f>
        <v>0</v>
      </c>
      <c r="R457" s="160">
        <f>[9]Source!X354</f>
        <v>0</v>
      </c>
      <c r="S457" s="160">
        <f>[9]Source!Y353</f>
        <v>0</v>
      </c>
      <c r="T457" s="160">
        <f>[9]Source!Y354</f>
        <v>0</v>
      </c>
      <c r="U457" s="160">
        <f>ROUND((175/100)*ROUND([9]Source!R353, 2), 2)</f>
        <v>0</v>
      </c>
      <c r="V457" s="160">
        <f>ROUND((157/100)*ROUND([9]Source!R354, 2), 2)</f>
        <v>0</v>
      </c>
    </row>
    <row r="458" spans="1:22" ht="14.25" x14ac:dyDescent="0.2">
      <c r="A458" s="179"/>
      <c r="B458" s="178"/>
      <c r="C458" s="178" t="s">
        <v>194</v>
      </c>
      <c r="D458" s="177" t="s">
        <v>187</v>
      </c>
      <c r="E458" s="174">
        <v>110</v>
      </c>
      <c r="F458" s="176"/>
      <c r="G458" s="175"/>
      <c r="H458" s="174"/>
      <c r="I458" s="173">
        <v>72.22</v>
      </c>
      <c r="J458" s="174">
        <v>88</v>
      </c>
      <c r="K458" s="173">
        <v>1348.98</v>
      </c>
    </row>
    <row r="459" spans="1:22" ht="14.25" x14ac:dyDescent="0.2">
      <c r="A459" s="179"/>
      <c r="B459" s="178"/>
      <c r="C459" s="178" t="s">
        <v>193</v>
      </c>
      <c r="D459" s="177" t="s">
        <v>187</v>
      </c>
      <c r="E459" s="174">
        <v>74</v>
      </c>
      <c r="F459" s="176"/>
      <c r="G459" s="175"/>
      <c r="H459" s="174"/>
      <c r="I459" s="173">
        <v>48.58</v>
      </c>
      <c r="J459" s="174">
        <v>41</v>
      </c>
      <c r="K459" s="173">
        <v>628.5</v>
      </c>
    </row>
    <row r="460" spans="1:22" ht="14.25" x14ac:dyDescent="0.2">
      <c r="A460" s="179"/>
      <c r="B460" s="178"/>
      <c r="C460" s="178" t="s">
        <v>188</v>
      </c>
      <c r="D460" s="177" t="s">
        <v>187</v>
      </c>
      <c r="E460" s="174">
        <v>175</v>
      </c>
      <c r="F460" s="176"/>
      <c r="G460" s="175"/>
      <c r="H460" s="174"/>
      <c r="I460" s="173">
        <v>0.93</v>
      </c>
      <c r="J460" s="174">
        <v>157</v>
      </c>
      <c r="K460" s="173">
        <v>19.440000000000001</v>
      </c>
    </row>
    <row r="461" spans="1:22" ht="14.25" x14ac:dyDescent="0.2">
      <c r="A461" s="212"/>
      <c r="B461" s="211"/>
      <c r="C461" s="211" t="s">
        <v>192</v>
      </c>
      <c r="D461" s="210" t="s">
        <v>191</v>
      </c>
      <c r="E461" s="207">
        <v>4.46</v>
      </c>
      <c r="F461" s="209"/>
      <c r="G461" s="208" t="s">
        <v>1548</v>
      </c>
      <c r="H461" s="207">
        <v>1</v>
      </c>
      <c r="I461" s="206">
        <v>5.13</v>
      </c>
      <c r="J461" s="207"/>
      <c r="K461" s="206"/>
    </row>
    <row r="462" spans="1:22" ht="15" x14ac:dyDescent="0.25">
      <c r="A462" s="204"/>
      <c r="B462" s="204"/>
      <c r="C462" s="205" t="s">
        <v>183</v>
      </c>
      <c r="D462" s="204"/>
      <c r="E462" s="204"/>
      <c r="F462" s="204"/>
      <c r="G462" s="204"/>
      <c r="H462" s="438">
        <v>255.54</v>
      </c>
      <c r="I462" s="438"/>
      <c r="J462" s="438">
        <v>3792.85</v>
      </c>
      <c r="K462" s="438"/>
      <c r="O462" s="163">
        <f>I453+I454+I456+I458+I459+I460+SUM(I457:I457)</f>
        <v>255.54</v>
      </c>
      <c r="P462" s="163">
        <f>K453+K454+K456+K458+K459+K460+SUM(K457:K457)</f>
        <v>3792.85</v>
      </c>
    </row>
    <row r="464" spans="1:22" ht="52.5" x14ac:dyDescent="0.2">
      <c r="A464" s="179" t="s">
        <v>1729</v>
      </c>
      <c r="B464" s="178" t="s">
        <v>728</v>
      </c>
      <c r="C464" s="178" t="s">
        <v>727</v>
      </c>
      <c r="D464" s="177" t="s">
        <v>3186</v>
      </c>
      <c r="E464" s="174">
        <v>1</v>
      </c>
      <c r="F464" s="176"/>
      <c r="G464" s="175"/>
      <c r="H464" s="174"/>
      <c r="I464" s="173"/>
      <c r="J464" s="174"/>
      <c r="K464" s="173"/>
      <c r="Q464" s="160">
        <f>[9]Source!X355</f>
        <v>72.22</v>
      </c>
      <c r="R464" s="160">
        <f>[9]Source!X356</f>
        <v>1348.98</v>
      </c>
      <c r="S464" s="160">
        <f>[9]Source!Y355</f>
        <v>48.58</v>
      </c>
      <c r="T464" s="160">
        <f>[9]Source!Y356</f>
        <v>628.5</v>
      </c>
      <c r="U464" s="160">
        <f>ROUND((175/100)*ROUND([9]Source!R355, 2), 2)</f>
        <v>0.93</v>
      </c>
      <c r="V464" s="160">
        <f>ROUND((157/100)*ROUND([9]Source!R356, 2), 2)</f>
        <v>19.440000000000001</v>
      </c>
    </row>
    <row r="465" spans="1:22" ht="14.25" x14ac:dyDescent="0.2">
      <c r="A465" s="179"/>
      <c r="B465" s="178"/>
      <c r="C465" s="178" t="s">
        <v>197</v>
      </c>
      <c r="D465" s="177"/>
      <c r="E465" s="174"/>
      <c r="F465" s="176">
        <v>57.09</v>
      </c>
      <c r="G465" s="175" t="s">
        <v>1548</v>
      </c>
      <c r="H465" s="174">
        <v>1</v>
      </c>
      <c r="I465" s="173">
        <v>65.650000000000006</v>
      </c>
      <c r="J465" s="174">
        <v>23.35</v>
      </c>
      <c r="K465" s="173">
        <v>1532.93</v>
      </c>
    </row>
    <row r="466" spans="1:22" ht="14.25" x14ac:dyDescent="0.2">
      <c r="A466" s="179"/>
      <c r="B466" s="178"/>
      <c r="C466" s="178" t="s">
        <v>184</v>
      </c>
      <c r="D466" s="177"/>
      <c r="E466" s="174"/>
      <c r="F466" s="176">
        <v>2.96</v>
      </c>
      <c r="G466" s="175" t="s">
        <v>1549</v>
      </c>
      <c r="H466" s="174">
        <v>1</v>
      </c>
      <c r="I466" s="173">
        <v>3.7</v>
      </c>
      <c r="J466" s="174">
        <v>7.91</v>
      </c>
      <c r="K466" s="173">
        <v>29.27</v>
      </c>
    </row>
    <row r="467" spans="1:22" ht="14.25" x14ac:dyDescent="0.2">
      <c r="A467" s="179"/>
      <c r="B467" s="178"/>
      <c r="C467" s="178" t="s">
        <v>189</v>
      </c>
      <c r="D467" s="177"/>
      <c r="E467" s="174"/>
      <c r="F467" s="176">
        <v>0.42</v>
      </c>
      <c r="G467" s="175" t="s">
        <v>1549</v>
      </c>
      <c r="H467" s="174">
        <v>1</v>
      </c>
      <c r="I467" s="180">
        <v>0.53</v>
      </c>
      <c r="J467" s="174">
        <v>23.35</v>
      </c>
      <c r="K467" s="180">
        <v>12.38</v>
      </c>
    </row>
    <row r="468" spans="1:22" ht="14.25" x14ac:dyDescent="0.2">
      <c r="A468" s="179"/>
      <c r="B468" s="178"/>
      <c r="C468" s="178" t="s">
        <v>205</v>
      </c>
      <c r="D468" s="177"/>
      <c r="E468" s="174"/>
      <c r="F468" s="176">
        <v>21.53</v>
      </c>
      <c r="G468" s="175" t="s">
        <v>195</v>
      </c>
      <c r="H468" s="174">
        <v>1</v>
      </c>
      <c r="I468" s="173">
        <v>21.53</v>
      </c>
      <c r="J468" s="174">
        <v>4.66</v>
      </c>
      <c r="K468" s="173">
        <v>100.33</v>
      </c>
    </row>
    <row r="469" spans="1:22" ht="71.25" x14ac:dyDescent="0.2">
      <c r="A469" s="179" t="s">
        <v>1730</v>
      </c>
      <c r="B469" s="178" t="s">
        <v>3217</v>
      </c>
      <c r="C469" s="178" t="s">
        <v>726</v>
      </c>
      <c r="D469" s="177" t="s">
        <v>1661</v>
      </c>
      <c r="E469" s="174">
        <v>1</v>
      </c>
      <c r="F469" s="176">
        <v>47.62</v>
      </c>
      <c r="G469" s="182" t="s">
        <v>195</v>
      </c>
      <c r="H469" s="174">
        <v>1</v>
      </c>
      <c r="I469" s="173">
        <v>47.62</v>
      </c>
      <c r="J469" s="174">
        <v>3.82</v>
      </c>
      <c r="K469" s="173">
        <v>181.91</v>
      </c>
      <c r="Q469" s="160">
        <f>[9]Source!X357</f>
        <v>0</v>
      </c>
      <c r="R469" s="160">
        <f>[9]Source!X358</f>
        <v>0</v>
      </c>
      <c r="S469" s="160">
        <f>[9]Source!Y357</f>
        <v>0</v>
      </c>
      <c r="T469" s="160">
        <f>[9]Source!Y358</f>
        <v>0</v>
      </c>
      <c r="U469" s="160">
        <f>ROUND((175/100)*ROUND([9]Source!R357, 2), 2)</f>
        <v>0</v>
      </c>
      <c r="V469" s="160">
        <f>ROUND((157/100)*ROUND([9]Source!R358, 2), 2)</f>
        <v>0</v>
      </c>
    </row>
    <row r="470" spans="1:22" ht="14.25" x14ac:dyDescent="0.2">
      <c r="A470" s="179"/>
      <c r="B470" s="178"/>
      <c r="C470" s="178" t="s">
        <v>194</v>
      </c>
      <c r="D470" s="177" t="s">
        <v>187</v>
      </c>
      <c r="E470" s="174">
        <v>110</v>
      </c>
      <c r="F470" s="176"/>
      <c r="G470" s="175"/>
      <c r="H470" s="174"/>
      <c r="I470" s="173">
        <v>72.22</v>
      </c>
      <c r="J470" s="174">
        <v>88</v>
      </c>
      <c r="K470" s="173">
        <v>1348.98</v>
      </c>
    </row>
    <row r="471" spans="1:22" ht="14.25" x14ac:dyDescent="0.2">
      <c r="A471" s="179"/>
      <c r="B471" s="178"/>
      <c r="C471" s="178" t="s">
        <v>193</v>
      </c>
      <c r="D471" s="177" t="s">
        <v>187</v>
      </c>
      <c r="E471" s="174">
        <v>74</v>
      </c>
      <c r="F471" s="176"/>
      <c r="G471" s="175"/>
      <c r="H471" s="174"/>
      <c r="I471" s="173">
        <v>48.58</v>
      </c>
      <c r="J471" s="174">
        <v>41</v>
      </c>
      <c r="K471" s="173">
        <v>628.5</v>
      </c>
    </row>
    <row r="472" spans="1:22" ht="14.25" x14ac:dyDescent="0.2">
      <c r="A472" s="179"/>
      <c r="B472" s="178"/>
      <c r="C472" s="178" t="s">
        <v>188</v>
      </c>
      <c r="D472" s="177" t="s">
        <v>187</v>
      </c>
      <c r="E472" s="174">
        <v>175</v>
      </c>
      <c r="F472" s="176"/>
      <c r="G472" s="175"/>
      <c r="H472" s="174"/>
      <c r="I472" s="173">
        <v>0.93</v>
      </c>
      <c r="J472" s="174">
        <v>157</v>
      </c>
      <c r="K472" s="173">
        <v>19.440000000000001</v>
      </c>
    </row>
    <row r="473" spans="1:22" ht="14.25" x14ac:dyDescent="0.2">
      <c r="A473" s="212"/>
      <c r="B473" s="211"/>
      <c r="C473" s="211" t="s">
        <v>192</v>
      </c>
      <c r="D473" s="210" t="s">
        <v>191</v>
      </c>
      <c r="E473" s="207">
        <v>4.46</v>
      </c>
      <c r="F473" s="209"/>
      <c r="G473" s="208" t="s">
        <v>1548</v>
      </c>
      <c r="H473" s="207">
        <v>1</v>
      </c>
      <c r="I473" s="206">
        <v>5.13</v>
      </c>
      <c r="J473" s="207"/>
      <c r="K473" s="206"/>
    </row>
    <row r="474" spans="1:22" ht="15" x14ac:dyDescent="0.25">
      <c r="A474" s="204"/>
      <c r="B474" s="204"/>
      <c r="C474" s="205" t="s">
        <v>183</v>
      </c>
      <c r="D474" s="204"/>
      <c r="E474" s="204"/>
      <c r="F474" s="204"/>
      <c r="G474" s="204"/>
      <c r="H474" s="438">
        <v>260.23</v>
      </c>
      <c r="I474" s="438"/>
      <c r="J474" s="438">
        <v>3841.36</v>
      </c>
      <c r="K474" s="438"/>
      <c r="O474" s="163">
        <f>I465+I466+I468+I470+I471+I472+SUM(I469:I469)</f>
        <v>260.23</v>
      </c>
      <c r="P474" s="163">
        <f>K465+K466+K468+K470+K471+K472+SUM(K469:K469)</f>
        <v>3841.36</v>
      </c>
    </row>
    <row r="477" spans="1:22" ht="15" x14ac:dyDescent="0.25">
      <c r="A477" s="417" t="s">
        <v>3218</v>
      </c>
      <c r="B477" s="417"/>
      <c r="C477" s="417"/>
      <c r="D477" s="417"/>
      <c r="E477" s="417"/>
      <c r="F477" s="417"/>
      <c r="G477" s="417"/>
      <c r="H477" s="415">
        <v>79102.710000000006</v>
      </c>
      <c r="I477" s="416"/>
      <c r="J477" s="415">
        <v>642093.78</v>
      </c>
      <c r="K477" s="416"/>
    </row>
    <row r="478" spans="1:22" hidden="1" x14ac:dyDescent="0.2">
      <c r="A478" s="160" t="s">
        <v>182</v>
      </c>
      <c r="I478" s="160">
        <v>0</v>
      </c>
      <c r="J478" s="160">
        <v>0</v>
      </c>
    </row>
    <row r="479" spans="1:22" hidden="1" x14ac:dyDescent="0.2">
      <c r="A479" s="160" t="s">
        <v>181</v>
      </c>
      <c r="I479" s="160">
        <v>0</v>
      </c>
      <c r="J479" s="160">
        <v>0</v>
      </c>
    </row>
    <row r="481" spans="1:22" ht="16.5" x14ac:dyDescent="0.25">
      <c r="A481" s="413" t="s">
        <v>2324</v>
      </c>
      <c r="B481" s="413"/>
      <c r="C481" s="413"/>
      <c r="D481" s="413"/>
      <c r="E481" s="413"/>
      <c r="F481" s="413"/>
      <c r="G481" s="413"/>
      <c r="H481" s="413"/>
      <c r="I481" s="413"/>
      <c r="J481" s="413"/>
      <c r="K481" s="413"/>
    </row>
    <row r="482" spans="1:22" ht="42.75" x14ac:dyDescent="0.2">
      <c r="A482" s="179" t="s">
        <v>1737</v>
      </c>
      <c r="B482" s="178" t="s">
        <v>3219</v>
      </c>
      <c r="C482" s="178" t="s">
        <v>725</v>
      </c>
      <c r="D482" s="177" t="s">
        <v>1686</v>
      </c>
      <c r="E482" s="174">
        <v>7.53</v>
      </c>
      <c r="F482" s="176"/>
      <c r="G482" s="175"/>
      <c r="H482" s="174"/>
      <c r="I482" s="173"/>
      <c r="J482" s="174"/>
      <c r="K482" s="173"/>
      <c r="Q482" s="160">
        <f>[9]Source!X394</f>
        <v>1711.96</v>
      </c>
      <c r="R482" s="160">
        <f>[9]Source!X395</f>
        <v>33978.120000000003</v>
      </c>
      <c r="S482" s="160">
        <f>[9]Source!Y394</f>
        <v>1176.97</v>
      </c>
      <c r="T482" s="160">
        <f>[9]Source!Y395</f>
        <v>20486.810000000001</v>
      </c>
      <c r="U482" s="160">
        <f>ROUND((175/100)*ROUND([9]Source!R394, 2), 2)</f>
        <v>116.5</v>
      </c>
      <c r="V482" s="160">
        <f>ROUND((157/100)*ROUND([9]Source!R395, 2), 2)</f>
        <v>2440.42</v>
      </c>
    </row>
    <row r="483" spans="1:22" x14ac:dyDescent="0.2">
      <c r="C483" s="181" t="s">
        <v>3220</v>
      </c>
    </row>
    <row r="484" spans="1:22" ht="14.25" x14ac:dyDescent="0.2">
      <c r="A484" s="179"/>
      <c r="B484" s="178"/>
      <c r="C484" s="178" t="s">
        <v>197</v>
      </c>
      <c r="D484" s="177"/>
      <c r="E484" s="174"/>
      <c r="F484" s="176">
        <v>284.19</v>
      </c>
      <c r="G484" s="175" t="s">
        <v>195</v>
      </c>
      <c r="H484" s="174">
        <v>1</v>
      </c>
      <c r="I484" s="173">
        <v>2139.9499999999998</v>
      </c>
      <c r="J484" s="174">
        <v>23.35</v>
      </c>
      <c r="K484" s="173">
        <v>49967.83</v>
      </c>
    </row>
    <row r="485" spans="1:22" ht="14.25" x14ac:dyDescent="0.2">
      <c r="A485" s="179"/>
      <c r="B485" s="178"/>
      <c r="C485" s="178" t="s">
        <v>184</v>
      </c>
      <c r="D485" s="177"/>
      <c r="E485" s="174"/>
      <c r="F485" s="176">
        <v>143.22</v>
      </c>
      <c r="G485" s="175" t="s">
        <v>195</v>
      </c>
      <c r="H485" s="174">
        <v>1</v>
      </c>
      <c r="I485" s="173">
        <v>1078.45</v>
      </c>
      <c r="J485" s="174">
        <v>6.46</v>
      </c>
      <c r="K485" s="173">
        <v>6966.79</v>
      </c>
    </row>
    <row r="486" spans="1:22" ht="14.25" x14ac:dyDescent="0.2">
      <c r="A486" s="179"/>
      <c r="B486" s="178"/>
      <c r="C486" s="178" t="s">
        <v>189</v>
      </c>
      <c r="D486" s="177"/>
      <c r="E486" s="174"/>
      <c r="F486" s="176">
        <v>8.84</v>
      </c>
      <c r="G486" s="175" t="s">
        <v>195</v>
      </c>
      <c r="H486" s="174">
        <v>1</v>
      </c>
      <c r="I486" s="180">
        <v>66.569999999999993</v>
      </c>
      <c r="J486" s="174">
        <v>23.35</v>
      </c>
      <c r="K486" s="180">
        <v>1554.41</v>
      </c>
    </row>
    <row r="487" spans="1:22" ht="28.5" x14ac:dyDescent="0.2">
      <c r="A487" s="179" t="s">
        <v>2181</v>
      </c>
      <c r="B487" s="178" t="s">
        <v>1532</v>
      </c>
      <c r="C487" s="178" t="s">
        <v>351</v>
      </c>
      <c r="D487" s="177" t="s">
        <v>1533</v>
      </c>
      <c r="E487" s="174">
        <v>1.59636</v>
      </c>
      <c r="F487" s="176">
        <v>0</v>
      </c>
      <c r="G487" s="182" t="s">
        <v>195</v>
      </c>
      <c r="H487" s="174">
        <v>1</v>
      </c>
      <c r="I487" s="173">
        <v>0</v>
      </c>
      <c r="J487" s="174">
        <v>5.42</v>
      </c>
      <c r="K487" s="173">
        <v>0</v>
      </c>
      <c r="Q487" s="160">
        <f>[9]Source!X396</f>
        <v>0</v>
      </c>
      <c r="R487" s="160">
        <f>[9]Source!X397</f>
        <v>0</v>
      </c>
      <c r="S487" s="160">
        <f>[9]Source!Y396</f>
        <v>0</v>
      </c>
      <c r="T487" s="160">
        <f>[9]Source!Y397</f>
        <v>0</v>
      </c>
      <c r="U487" s="160">
        <f>ROUND((175/100)*ROUND([9]Source!R396, 2), 2)</f>
        <v>0</v>
      </c>
      <c r="V487" s="160">
        <f>ROUND((157/100)*ROUND([9]Source!R397, 2), 2)</f>
        <v>0</v>
      </c>
    </row>
    <row r="488" spans="1:22" ht="14.25" x14ac:dyDescent="0.2">
      <c r="A488" s="179"/>
      <c r="B488" s="178"/>
      <c r="C488" s="178" t="s">
        <v>194</v>
      </c>
      <c r="D488" s="177" t="s">
        <v>187</v>
      </c>
      <c r="E488" s="174">
        <v>80</v>
      </c>
      <c r="F488" s="176"/>
      <c r="G488" s="175"/>
      <c r="H488" s="174"/>
      <c r="I488" s="173">
        <v>1711.96</v>
      </c>
      <c r="J488" s="174">
        <v>68</v>
      </c>
      <c r="K488" s="173">
        <v>33978.120000000003</v>
      </c>
    </row>
    <row r="489" spans="1:22" ht="14.25" x14ac:dyDescent="0.2">
      <c r="A489" s="179"/>
      <c r="B489" s="178"/>
      <c r="C489" s="178" t="s">
        <v>193</v>
      </c>
      <c r="D489" s="177" t="s">
        <v>187</v>
      </c>
      <c r="E489" s="174">
        <v>55</v>
      </c>
      <c r="F489" s="176"/>
      <c r="G489" s="175"/>
      <c r="H489" s="174"/>
      <c r="I489" s="173">
        <v>1176.97</v>
      </c>
      <c r="J489" s="174">
        <v>41</v>
      </c>
      <c r="K489" s="173">
        <v>20486.810000000001</v>
      </c>
    </row>
    <row r="490" spans="1:22" ht="14.25" x14ac:dyDescent="0.2">
      <c r="A490" s="179"/>
      <c r="B490" s="178"/>
      <c r="C490" s="178" t="s">
        <v>188</v>
      </c>
      <c r="D490" s="177" t="s">
        <v>187</v>
      </c>
      <c r="E490" s="174">
        <v>175</v>
      </c>
      <c r="F490" s="176"/>
      <c r="G490" s="175"/>
      <c r="H490" s="174"/>
      <c r="I490" s="173">
        <v>116.5</v>
      </c>
      <c r="J490" s="174">
        <v>157</v>
      </c>
      <c r="K490" s="173">
        <v>2440.42</v>
      </c>
    </row>
    <row r="491" spans="1:22" ht="14.25" x14ac:dyDescent="0.2">
      <c r="A491" s="212"/>
      <c r="B491" s="211"/>
      <c r="C491" s="211" t="s">
        <v>192</v>
      </c>
      <c r="D491" s="210" t="s">
        <v>191</v>
      </c>
      <c r="E491" s="207">
        <v>26.56</v>
      </c>
      <c r="F491" s="209"/>
      <c r="G491" s="208" t="s">
        <v>195</v>
      </c>
      <c r="H491" s="207">
        <v>1</v>
      </c>
      <c r="I491" s="206">
        <v>200</v>
      </c>
      <c r="J491" s="207"/>
      <c r="K491" s="206"/>
    </row>
    <row r="492" spans="1:22" ht="15" x14ac:dyDescent="0.25">
      <c r="A492" s="204"/>
      <c r="B492" s="204"/>
      <c r="C492" s="205" t="s">
        <v>183</v>
      </c>
      <c r="D492" s="204"/>
      <c r="E492" s="204"/>
      <c r="F492" s="204"/>
      <c r="G492" s="204"/>
      <c r="H492" s="438">
        <v>6223.83</v>
      </c>
      <c r="I492" s="438"/>
      <c r="J492" s="438">
        <v>113839.97</v>
      </c>
      <c r="K492" s="438"/>
      <c r="O492" s="163">
        <f>I484+I485+I488+I489+I490+SUM(I487:I487)</f>
        <v>6223.83</v>
      </c>
      <c r="P492" s="163">
        <f>K484+K485+K488+K489+K490+SUM(K487:K487)</f>
        <v>113839.97</v>
      </c>
    </row>
    <row r="494" spans="1:22" ht="42.75" x14ac:dyDescent="0.2">
      <c r="A494" s="179" t="s">
        <v>1740</v>
      </c>
      <c r="B494" s="178" t="s">
        <v>3221</v>
      </c>
      <c r="C494" s="178" t="s">
        <v>724</v>
      </c>
      <c r="D494" s="177" t="s">
        <v>1686</v>
      </c>
      <c r="E494" s="174">
        <v>0.76</v>
      </c>
      <c r="F494" s="176"/>
      <c r="G494" s="175"/>
      <c r="H494" s="174"/>
      <c r="I494" s="173"/>
      <c r="J494" s="174"/>
      <c r="K494" s="173"/>
      <c r="Q494" s="160">
        <f>[9]Source!X398</f>
        <v>301.39</v>
      </c>
      <c r="R494" s="160">
        <f>[9]Source!X399</f>
        <v>5981.88</v>
      </c>
      <c r="S494" s="160">
        <f>[9]Source!Y398</f>
        <v>207.21</v>
      </c>
      <c r="T494" s="160">
        <f>[9]Source!Y399</f>
        <v>3606.72</v>
      </c>
      <c r="U494" s="160">
        <f>ROUND((175/100)*ROUND([9]Source!R398, 2), 2)</f>
        <v>20.32</v>
      </c>
      <c r="V494" s="160">
        <f>ROUND((157/100)*ROUND([9]Source!R399, 2), 2)</f>
        <v>425.61</v>
      </c>
    </row>
    <row r="495" spans="1:22" x14ac:dyDescent="0.2">
      <c r="C495" s="181" t="s">
        <v>3222</v>
      </c>
    </row>
    <row r="496" spans="1:22" ht="14.25" x14ac:dyDescent="0.2">
      <c r="A496" s="179"/>
      <c r="B496" s="178"/>
      <c r="C496" s="178" t="s">
        <v>197</v>
      </c>
      <c r="D496" s="177"/>
      <c r="E496" s="174"/>
      <c r="F496" s="176">
        <v>495.71</v>
      </c>
      <c r="G496" s="175" t="s">
        <v>195</v>
      </c>
      <c r="H496" s="174">
        <v>1</v>
      </c>
      <c r="I496" s="173">
        <v>376.74</v>
      </c>
      <c r="J496" s="174">
        <v>23.35</v>
      </c>
      <c r="K496" s="173">
        <v>8796.8799999999992</v>
      </c>
    </row>
    <row r="497" spans="1:22" ht="14.25" x14ac:dyDescent="0.2">
      <c r="A497" s="179"/>
      <c r="B497" s="178"/>
      <c r="C497" s="178" t="s">
        <v>184</v>
      </c>
      <c r="D497" s="177"/>
      <c r="E497" s="174"/>
      <c r="F497" s="176">
        <v>247.38</v>
      </c>
      <c r="G497" s="175" t="s">
        <v>195</v>
      </c>
      <c r="H497" s="174">
        <v>1</v>
      </c>
      <c r="I497" s="173">
        <v>188.01</v>
      </c>
      <c r="J497" s="174">
        <v>6.46</v>
      </c>
      <c r="K497" s="173">
        <v>1214.54</v>
      </c>
    </row>
    <row r="498" spans="1:22" ht="14.25" x14ac:dyDescent="0.2">
      <c r="A498" s="179"/>
      <c r="B498" s="178"/>
      <c r="C498" s="178" t="s">
        <v>189</v>
      </c>
      <c r="D498" s="177"/>
      <c r="E498" s="174"/>
      <c r="F498" s="176">
        <v>15.28</v>
      </c>
      <c r="G498" s="175" t="s">
        <v>195</v>
      </c>
      <c r="H498" s="174">
        <v>1</v>
      </c>
      <c r="I498" s="180">
        <v>11.61</v>
      </c>
      <c r="J498" s="174">
        <v>23.35</v>
      </c>
      <c r="K498" s="180">
        <v>271.08999999999997</v>
      </c>
    </row>
    <row r="499" spans="1:22" ht="28.5" x14ac:dyDescent="0.2">
      <c r="A499" s="179" t="s">
        <v>1742</v>
      </c>
      <c r="B499" s="178" t="s">
        <v>1532</v>
      </c>
      <c r="C499" s="178" t="s">
        <v>351</v>
      </c>
      <c r="D499" s="177" t="s">
        <v>1533</v>
      </c>
      <c r="E499" s="174">
        <v>0.25308000000000003</v>
      </c>
      <c r="F499" s="176">
        <v>0</v>
      </c>
      <c r="G499" s="182" t="s">
        <v>195</v>
      </c>
      <c r="H499" s="174">
        <v>1</v>
      </c>
      <c r="I499" s="173">
        <v>0</v>
      </c>
      <c r="J499" s="174">
        <v>5.42</v>
      </c>
      <c r="K499" s="173">
        <v>0</v>
      </c>
      <c r="Q499" s="160">
        <f>[9]Source!X400</f>
        <v>0</v>
      </c>
      <c r="R499" s="160">
        <f>[9]Source!X401</f>
        <v>0</v>
      </c>
      <c r="S499" s="160">
        <f>[9]Source!Y400</f>
        <v>0</v>
      </c>
      <c r="T499" s="160">
        <f>[9]Source!Y401</f>
        <v>0</v>
      </c>
      <c r="U499" s="160">
        <f>ROUND((175/100)*ROUND([9]Source!R400, 2), 2)</f>
        <v>0</v>
      </c>
      <c r="V499" s="160">
        <f>ROUND((157/100)*ROUND([9]Source!R401, 2), 2)</f>
        <v>0</v>
      </c>
    </row>
    <row r="500" spans="1:22" ht="14.25" x14ac:dyDescent="0.2">
      <c r="A500" s="179"/>
      <c r="B500" s="178"/>
      <c r="C500" s="178" t="s">
        <v>194</v>
      </c>
      <c r="D500" s="177" t="s">
        <v>187</v>
      </c>
      <c r="E500" s="174">
        <v>80</v>
      </c>
      <c r="F500" s="176"/>
      <c r="G500" s="175"/>
      <c r="H500" s="174"/>
      <c r="I500" s="173">
        <v>301.39</v>
      </c>
      <c r="J500" s="174">
        <v>68</v>
      </c>
      <c r="K500" s="173">
        <v>5981.88</v>
      </c>
    </row>
    <row r="501" spans="1:22" ht="14.25" x14ac:dyDescent="0.2">
      <c r="A501" s="179"/>
      <c r="B501" s="178"/>
      <c r="C501" s="178" t="s">
        <v>193</v>
      </c>
      <c r="D501" s="177" t="s">
        <v>187</v>
      </c>
      <c r="E501" s="174">
        <v>55</v>
      </c>
      <c r="F501" s="176"/>
      <c r="G501" s="175"/>
      <c r="H501" s="174"/>
      <c r="I501" s="173">
        <v>207.21</v>
      </c>
      <c r="J501" s="174">
        <v>41</v>
      </c>
      <c r="K501" s="173">
        <v>3606.72</v>
      </c>
    </row>
    <row r="502" spans="1:22" ht="14.25" x14ac:dyDescent="0.2">
      <c r="A502" s="179"/>
      <c r="B502" s="178"/>
      <c r="C502" s="178" t="s">
        <v>188</v>
      </c>
      <c r="D502" s="177" t="s">
        <v>187</v>
      </c>
      <c r="E502" s="174">
        <v>175</v>
      </c>
      <c r="F502" s="176"/>
      <c r="G502" s="175"/>
      <c r="H502" s="174"/>
      <c r="I502" s="173">
        <v>20.32</v>
      </c>
      <c r="J502" s="174">
        <v>157</v>
      </c>
      <c r="K502" s="173">
        <v>425.61</v>
      </c>
    </row>
    <row r="503" spans="1:22" ht="14.25" x14ac:dyDescent="0.2">
      <c r="A503" s="212"/>
      <c r="B503" s="211"/>
      <c r="C503" s="211" t="s">
        <v>192</v>
      </c>
      <c r="D503" s="210" t="s">
        <v>191</v>
      </c>
      <c r="E503" s="207">
        <v>45.52</v>
      </c>
      <c r="F503" s="209"/>
      <c r="G503" s="208" t="s">
        <v>195</v>
      </c>
      <c r="H503" s="207">
        <v>1</v>
      </c>
      <c r="I503" s="206">
        <v>34.6</v>
      </c>
      <c r="J503" s="207"/>
      <c r="K503" s="206"/>
    </row>
    <row r="504" spans="1:22" ht="15" x14ac:dyDescent="0.25">
      <c r="A504" s="204"/>
      <c r="B504" s="204"/>
      <c r="C504" s="205" t="s">
        <v>183</v>
      </c>
      <c r="D504" s="204"/>
      <c r="E504" s="204"/>
      <c r="F504" s="204"/>
      <c r="G504" s="204"/>
      <c r="H504" s="438">
        <v>1093.67</v>
      </c>
      <c r="I504" s="438"/>
      <c r="J504" s="438">
        <v>20025.63</v>
      </c>
      <c r="K504" s="438"/>
      <c r="O504" s="163">
        <f>I496+I497+I500+I501+I502+SUM(I499:I499)</f>
        <v>1093.67</v>
      </c>
      <c r="P504" s="163">
        <f>K496+K497+K500+K501+K502+SUM(K499:K499)</f>
        <v>20025.63</v>
      </c>
    </row>
    <row r="506" spans="1:22" ht="42.75" x14ac:dyDescent="0.2">
      <c r="A506" s="179" t="s">
        <v>1744</v>
      </c>
      <c r="B506" s="178" t="s">
        <v>3223</v>
      </c>
      <c r="C506" s="178" t="s">
        <v>723</v>
      </c>
      <c r="D506" s="177" t="s">
        <v>1686</v>
      </c>
      <c r="E506" s="174">
        <v>1.47</v>
      </c>
      <c r="F506" s="176"/>
      <c r="G506" s="175"/>
      <c r="H506" s="174"/>
      <c r="I506" s="173"/>
      <c r="J506" s="174"/>
      <c r="K506" s="173"/>
      <c r="Q506" s="160">
        <f>[9]Source!X402</f>
        <v>772.49</v>
      </c>
      <c r="R506" s="160">
        <f>[9]Source!X403</f>
        <v>15331.95</v>
      </c>
      <c r="S506" s="160">
        <f>[9]Source!Y402</f>
        <v>531.09</v>
      </c>
      <c r="T506" s="160">
        <f>[9]Source!Y403</f>
        <v>9244.27</v>
      </c>
      <c r="U506" s="160">
        <f>ROUND((175/100)*ROUND([9]Source!R402, 2), 2)</f>
        <v>44.82</v>
      </c>
      <c r="V506" s="160">
        <f>ROUND((157/100)*ROUND([9]Source!R403, 2), 2)</f>
        <v>938.84</v>
      </c>
    </row>
    <row r="507" spans="1:22" x14ac:dyDescent="0.2">
      <c r="C507" s="181" t="s">
        <v>3224</v>
      </c>
    </row>
    <row r="508" spans="1:22" ht="14.25" x14ac:dyDescent="0.2">
      <c r="A508" s="179"/>
      <c r="B508" s="178"/>
      <c r="C508" s="178" t="s">
        <v>197</v>
      </c>
      <c r="D508" s="177"/>
      <c r="E508" s="174"/>
      <c r="F508" s="176">
        <v>656.88</v>
      </c>
      <c r="G508" s="175" t="s">
        <v>195</v>
      </c>
      <c r="H508" s="174">
        <v>1</v>
      </c>
      <c r="I508" s="173">
        <v>965.61</v>
      </c>
      <c r="J508" s="174">
        <v>23.35</v>
      </c>
      <c r="K508" s="173">
        <v>22546.99</v>
      </c>
    </row>
    <row r="509" spans="1:22" ht="14.25" x14ac:dyDescent="0.2">
      <c r="A509" s="179"/>
      <c r="B509" s="178"/>
      <c r="C509" s="178" t="s">
        <v>184</v>
      </c>
      <c r="D509" s="177"/>
      <c r="E509" s="174"/>
      <c r="F509" s="176">
        <v>282.10000000000002</v>
      </c>
      <c r="G509" s="175" t="s">
        <v>195</v>
      </c>
      <c r="H509" s="174">
        <v>1</v>
      </c>
      <c r="I509" s="173">
        <v>414.69</v>
      </c>
      <c r="J509" s="174">
        <v>6.46</v>
      </c>
      <c r="K509" s="173">
        <v>2678.9</v>
      </c>
    </row>
    <row r="510" spans="1:22" ht="14.25" x14ac:dyDescent="0.2">
      <c r="A510" s="179"/>
      <c r="B510" s="178"/>
      <c r="C510" s="178" t="s">
        <v>189</v>
      </c>
      <c r="D510" s="177"/>
      <c r="E510" s="174"/>
      <c r="F510" s="176">
        <v>17.420000000000002</v>
      </c>
      <c r="G510" s="175" t="s">
        <v>195</v>
      </c>
      <c r="H510" s="174">
        <v>1</v>
      </c>
      <c r="I510" s="180">
        <v>25.61</v>
      </c>
      <c r="J510" s="174">
        <v>23.35</v>
      </c>
      <c r="K510" s="180">
        <v>597.99</v>
      </c>
    </row>
    <row r="511" spans="1:22" ht="28.5" x14ac:dyDescent="0.2">
      <c r="A511" s="179" t="s">
        <v>1747</v>
      </c>
      <c r="B511" s="178" t="s">
        <v>1532</v>
      </c>
      <c r="C511" s="178" t="s">
        <v>351</v>
      </c>
      <c r="D511" s="177" t="s">
        <v>1533</v>
      </c>
      <c r="E511" s="174">
        <v>0.62034</v>
      </c>
      <c r="F511" s="176">
        <v>0</v>
      </c>
      <c r="G511" s="182" t="s">
        <v>195</v>
      </c>
      <c r="H511" s="174">
        <v>1</v>
      </c>
      <c r="I511" s="173">
        <v>0</v>
      </c>
      <c r="J511" s="174">
        <v>5.42</v>
      </c>
      <c r="K511" s="173">
        <v>0</v>
      </c>
      <c r="Q511" s="160">
        <f>[9]Source!X404</f>
        <v>0</v>
      </c>
      <c r="R511" s="160">
        <f>[9]Source!X405</f>
        <v>0</v>
      </c>
      <c r="S511" s="160">
        <f>[9]Source!Y404</f>
        <v>0</v>
      </c>
      <c r="T511" s="160">
        <f>[9]Source!Y405</f>
        <v>0</v>
      </c>
      <c r="U511" s="160">
        <f>ROUND((175/100)*ROUND([9]Source!R404, 2), 2)</f>
        <v>0</v>
      </c>
      <c r="V511" s="160">
        <f>ROUND((157/100)*ROUND([9]Source!R405, 2), 2)</f>
        <v>0</v>
      </c>
    </row>
    <row r="512" spans="1:22" ht="14.25" x14ac:dyDescent="0.2">
      <c r="A512" s="179"/>
      <c r="B512" s="178"/>
      <c r="C512" s="178" t="s">
        <v>194</v>
      </c>
      <c r="D512" s="177" t="s">
        <v>187</v>
      </c>
      <c r="E512" s="174">
        <v>80</v>
      </c>
      <c r="F512" s="176"/>
      <c r="G512" s="175"/>
      <c r="H512" s="174"/>
      <c r="I512" s="173">
        <v>772.49</v>
      </c>
      <c r="J512" s="174">
        <v>68</v>
      </c>
      <c r="K512" s="173">
        <v>15331.95</v>
      </c>
    </row>
    <row r="513" spans="1:22" ht="14.25" x14ac:dyDescent="0.2">
      <c r="A513" s="179"/>
      <c r="B513" s="178"/>
      <c r="C513" s="178" t="s">
        <v>193</v>
      </c>
      <c r="D513" s="177" t="s">
        <v>187</v>
      </c>
      <c r="E513" s="174">
        <v>55</v>
      </c>
      <c r="F513" s="176"/>
      <c r="G513" s="175"/>
      <c r="H513" s="174"/>
      <c r="I513" s="173">
        <v>531.09</v>
      </c>
      <c r="J513" s="174">
        <v>41</v>
      </c>
      <c r="K513" s="173">
        <v>9244.27</v>
      </c>
    </row>
    <row r="514" spans="1:22" ht="14.25" x14ac:dyDescent="0.2">
      <c r="A514" s="179"/>
      <c r="B514" s="178"/>
      <c r="C514" s="178" t="s">
        <v>188</v>
      </c>
      <c r="D514" s="177" t="s">
        <v>187</v>
      </c>
      <c r="E514" s="174">
        <v>175</v>
      </c>
      <c r="F514" s="176"/>
      <c r="G514" s="175"/>
      <c r="H514" s="174"/>
      <c r="I514" s="173">
        <v>44.82</v>
      </c>
      <c r="J514" s="174">
        <v>157</v>
      </c>
      <c r="K514" s="173">
        <v>938.84</v>
      </c>
    </row>
    <row r="515" spans="1:22" ht="14.25" x14ac:dyDescent="0.2">
      <c r="A515" s="212"/>
      <c r="B515" s="211"/>
      <c r="C515" s="211" t="s">
        <v>192</v>
      </c>
      <c r="D515" s="210" t="s">
        <v>191</v>
      </c>
      <c r="E515" s="207">
        <v>60.32</v>
      </c>
      <c r="F515" s="209"/>
      <c r="G515" s="208" t="s">
        <v>195</v>
      </c>
      <c r="H515" s="207">
        <v>1</v>
      </c>
      <c r="I515" s="206">
        <v>88.67</v>
      </c>
      <c r="J515" s="207"/>
      <c r="K515" s="206"/>
    </row>
    <row r="516" spans="1:22" ht="15" x14ac:dyDescent="0.25">
      <c r="A516" s="204"/>
      <c r="B516" s="204"/>
      <c r="C516" s="205" t="s">
        <v>183</v>
      </c>
      <c r="D516" s="204"/>
      <c r="E516" s="204"/>
      <c r="F516" s="204"/>
      <c r="G516" s="204"/>
      <c r="H516" s="438">
        <v>2728.7</v>
      </c>
      <c r="I516" s="438"/>
      <c r="J516" s="438">
        <v>50740.95</v>
      </c>
      <c r="K516" s="438"/>
      <c r="O516" s="163">
        <f>I508+I509+I512+I513+I514+SUM(I511:I511)</f>
        <v>2728.7</v>
      </c>
      <c r="P516" s="163">
        <f>K508+K509+K512+K513+K514+SUM(K511:K511)</f>
        <v>50740.95</v>
      </c>
    </row>
    <row r="518" spans="1:22" ht="28.5" x14ac:dyDescent="0.2">
      <c r="A518" s="179" t="s">
        <v>2040</v>
      </c>
      <c r="B518" s="178" t="s">
        <v>2578</v>
      </c>
      <c r="C518" s="178" t="s">
        <v>722</v>
      </c>
      <c r="D518" s="177" t="s">
        <v>1686</v>
      </c>
      <c r="E518" s="174">
        <v>0.17</v>
      </c>
      <c r="F518" s="176"/>
      <c r="G518" s="175"/>
      <c r="H518" s="174"/>
      <c r="I518" s="173"/>
      <c r="J518" s="174"/>
      <c r="K518" s="173"/>
      <c r="Q518" s="160">
        <f>[9]Source!X406</f>
        <v>111.39</v>
      </c>
      <c r="R518" s="160">
        <f>[9]Source!X407</f>
        <v>2210.85</v>
      </c>
      <c r="S518" s="160">
        <f>[9]Source!Y406</f>
        <v>76.58</v>
      </c>
      <c r="T518" s="160">
        <f>[9]Source!Y407</f>
        <v>1333.01</v>
      </c>
      <c r="U518" s="160">
        <f>ROUND((175/100)*ROUND([9]Source!R406, 2), 2)</f>
        <v>0.32</v>
      </c>
      <c r="V518" s="160">
        <f>ROUND((157/100)*ROUND([9]Source!R407, 2), 2)</f>
        <v>6.59</v>
      </c>
    </row>
    <row r="519" spans="1:22" x14ac:dyDescent="0.2">
      <c r="C519" s="181" t="s">
        <v>3225</v>
      </c>
    </row>
    <row r="520" spans="1:22" ht="14.25" x14ac:dyDescent="0.2">
      <c r="A520" s="179"/>
      <c r="B520" s="178"/>
      <c r="C520" s="178" t="s">
        <v>197</v>
      </c>
      <c r="D520" s="177"/>
      <c r="E520" s="174"/>
      <c r="F520" s="176">
        <v>819.08</v>
      </c>
      <c r="G520" s="175" t="s">
        <v>195</v>
      </c>
      <c r="H520" s="174">
        <v>1</v>
      </c>
      <c r="I520" s="173">
        <v>139.24</v>
      </c>
      <c r="J520" s="174">
        <v>23.35</v>
      </c>
      <c r="K520" s="173">
        <v>3251.25</v>
      </c>
    </row>
    <row r="521" spans="1:22" ht="14.25" x14ac:dyDescent="0.2">
      <c r="A521" s="179"/>
      <c r="B521" s="178"/>
      <c r="C521" s="178" t="s">
        <v>184</v>
      </c>
      <c r="D521" s="177"/>
      <c r="E521" s="174"/>
      <c r="F521" s="176">
        <v>12.77</v>
      </c>
      <c r="G521" s="175" t="s">
        <v>195</v>
      </c>
      <c r="H521" s="174">
        <v>1</v>
      </c>
      <c r="I521" s="173">
        <v>2.17</v>
      </c>
      <c r="J521" s="174">
        <v>6.83</v>
      </c>
      <c r="K521" s="173">
        <v>14.82</v>
      </c>
    </row>
    <row r="522" spans="1:22" ht="14.25" x14ac:dyDescent="0.2">
      <c r="A522" s="179"/>
      <c r="B522" s="178"/>
      <c r="C522" s="178" t="s">
        <v>189</v>
      </c>
      <c r="D522" s="177"/>
      <c r="E522" s="174"/>
      <c r="F522" s="176">
        <v>1.05</v>
      </c>
      <c r="G522" s="175" t="s">
        <v>195</v>
      </c>
      <c r="H522" s="174">
        <v>1</v>
      </c>
      <c r="I522" s="180">
        <v>0.18</v>
      </c>
      <c r="J522" s="174">
        <v>23.35</v>
      </c>
      <c r="K522" s="180">
        <v>4.2</v>
      </c>
    </row>
    <row r="523" spans="1:22" ht="14.25" x14ac:dyDescent="0.2">
      <c r="A523" s="179"/>
      <c r="B523" s="178"/>
      <c r="C523" s="178" t="s">
        <v>205</v>
      </c>
      <c r="D523" s="177"/>
      <c r="E523" s="174"/>
      <c r="F523" s="176">
        <v>77.45</v>
      </c>
      <c r="G523" s="175" t="s">
        <v>195</v>
      </c>
      <c r="H523" s="174">
        <v>1</v>
      </c>
      <c r="I523" s="173">
        <v>13.17</v>
      </c>
      <c r="J523" s="174">
        <v>7.33</v>
      </c>
      <c r="K523" s="173">
        <v>96.54</v>
      </c>
    </row>
    <row r="524" spans="1:22" ht="28.5" x14ac:dyDescent="0.2">
      <c r="A524" s="179" t="s">
        <v>2043</v>
      </c>
      <c r="B524" s="178" t="s">
        <v>1532</v>
      </c>
      <c r="C524" s="178" t="s">
        <v>351</v>
      </c>
      <c r="D524" s="177" t="s">
        <v>1533</v>
      </c>
      <c r="E524" s="174">
        <v>0.17</v>
      </c>
      <c r="F524" s="176">
        <v>0</v>
      </c>
      <c r="G524" s="182" t="s">
        <v>195</v>
      </c>
      <c r="H524" s="174">
        <v>1</v>
      </c>
      <c r="I524" s="173">
        <v>0</v>
      </c>
      <c r="J524" s="174">
        <v>5.42</v>
      </c>
      <c r="K524" s="173">
        <v>0</v>
      </c>
      <c r="Q524" s="160">
        <f>[9]Source!X408</f>
        <v>0</v>
      </c>
      <c r="R524" s="160">
        <f>[9]Source!X409</f>
        <v>0</v>
      </c>
      <c r="S524" s="160">
        <f>[9]Source!Y408</f>
        <v>0</v>
      </c>
      <c r="T524" s="160">
        <f>[9]Source!Y409</f>
        <v>0</v>
      </c>
      <c r="U524" s="160">
        <f>ROUND((175/100)*ROUND([9]Source!R408, 2), 2)</f>
        <v>0</v>
      </c>
      <c r="V524" s="160">
        <f>ROUND((157/100)*ROUND([9]Source!R409, 2), 2)</f>
        <v>0</v>
      </c>
    </row>
    <row r="525" spans="1:22" ht="14.25" x14ac:dyDescent="0.2">
      <c r="A525" s="179"/>
      <c r="B525" s="178"/>
      <c r="C525" s="178" t="s">
        <v>194</v>
      </c>
      <c r="D525" s="177" t="s">
        <v>187</v>
      </c>
      <c r="E525" s="174">
        <v>80</v>
      </c>
      <c r="F525" s="176"/>
      <c r="G525" s="175"/>
      <c r="H525" s="174"/>
      <c r="I525" s="173">
        <v>111.39</v>
      </c>
      <c r="J525" s="174">
        <v>68</v>
      </c>
      <c r="K525" s="173">
        <v>2210.85</v>
      </c>
    </row>
    <row r="526" spans="1:22" ht="14.25" x14ac:dyDescent="0.2">
      <c r="A526" s="179"/>
      <c r="B526" s="178"/>
      <c r="C526" s="178" t="s">
        <v>193</v>
      </c>
      <c r="D526" s="177" t="s">
        <v>187</v>
      </c>
      <c r="E526" s="174">
        <v>55</v>
      </c>
      <c r="F526" s="176"/>
      <c r="G526" s="175"/>
      <c r="H526" s="174"/>
      <c r="I526" s="173">
        <v>76.58</v>
      </c>
      <c r="J526" s="174">
        <v>41</v>
      </c>
      <c r="K526" s="173">
        <v>1333.01</v>
      </c>
    </row>
    <row r="527" spans="1:22" ht="14.25" x14ac:dyDescent="0.2">
      <c r="A527" s="179"/>
      <c r="B527" s="178"/>
      <c r="C527" s="178" t="s">
        <v>188</v>
      </c>
      <c r="D527" s="177" t="s">
        <v>187</v>
      </c>
      <c r="E527" s="174">
        <v>175</v>
      </c>
      <c r="F527" s="176"/>
      <c r="G527" s="175"/>
      <c r="H527" s="174"/>
      <c r="I527" s="173">
        <v>0.32</v>
      </c>
      <c r="J527" s="174">
        <v>157</v>
      </c>
      <c r="K527" s="173">
        <v>6.59</v>
      </c>
    </row>
    <row r="528" spans="1:22" ht="14.25" x14ac:dyDescent="0.2">
      <c r="A528" s="212"/>
      <c r="B528" s="211"/>
      <c r="C528" s="211" t="s">
        <v>192</v>
      </c>
      <c r="D528" s="210" t="s">
        <v>191</v>
      </c>
      <c r="E528" s="207">
        <v>74.53</v>
      </c>
      <c r="F528" s="209"/>
      <c r="G528" s="208" t="s">
        <v>195</v>
      </c>
      <c r="H528" s="207">
        <v>1</v>
      </c>
      <c r="I528" s="206">
        <v>12.67</v>
      </c>
      <c r="J528" s="207"/>
      <c r="K528" s="206"/>
    </row>
    <row r="529" spans="1:16" ht="15" x14ac:dyDescent="0.25">
      <c r="A529" s="204"/>
      <c r="B529" s="204"/>
      <c r="C529" s="205" t="s">
        <v>183</v>
      </c>
      <c r="D529" s="204"/>
      <c r="E529" s="204"/>
      <c r="F529" s="204"/>
      <c r="G529" s="204"/>
      <c r="H529" s="438">
        <v>342.87</v>
      </c>
      <c r="I529" s="438"/>
      <c r="J529" s="438">
        <v>6913.06</v>
      </c>
      <c r="K529" s="438"/>
      <c r="O529" s="163">
        <f>I520+I521+I523+I525+I526+I527+SUM(I524:I524)</f>
        <v>342.87</v>
      </c>
      <c r="P529" s="163">
        <f>K520+K521+K523+K525+K526+K527+SUM(K524:K524)</f>
        <v>6913.06</v>
      </c>
    </row>
    <row r="532" spans="1:16" ht="15" x14ac:dyDescent="0.25">
      <c r="A532" s="417" t="s">
        <v>2329</v>
      </c>
      <c r="B532" s="417"/>
      <c r="C532" s="417"/>
      <c r="D532" s="417"/>
      <c r="E532" s="417"/>
      <c r="F532" s="417"/>
      <c r="G532" s="417"/>
      <c r="H532" s="415">
        <v>10389.07</v>
      </c>
      <c r="I532" s="416"/>
      <c r="J532" s="415">
        <v>191519.61</v>
      </c>
      <c r="K532" s="416"/>
    </row>
    <row r="533" spans="1:16" hidden="1" x14ac:dyDescent="0.2">
      <c r="A533" s="160" t="s">
        <v>182</v>
      </c>
      <c r="I533" s="160">
        <v>0</v>
      </c>
      <c r="J533" s="160">
        <v>0</v>
      </c>
    </row>
    <row r="534" spans="1:16" hidden="1" x14ac:dyDescent="0.2">
      <c r="A534" s="160" t="s">
        <v>181</v>
      </c>
      <c r="I534" s="160">
        <v>0</v>
      </c>
      <c r="J534" s="160">
        <v>0</v>
      </c>
    </row>
    <row r="536" spans="1:16" ht="15" x14ac:dyDescent="0.25">
      <c r="A536" s="417" t="s">
        <v>3226</v>
      </c>
      <c r="B536" s="417"/>
      <c r="C536" s="417"/>
      <c r="D536" s="417"/>
      <c r="E536" s="417"/>
      <c r="F536" s="417"/>
      <c r="G536" s="417"/>
      <c r="H536" s="415">
        <v>187933.28</v>
      </c>
      <c r="I536" s="416"/>
      <c r="J536" s="415">
        <v>1478041.64</v>
      </c>
      <c r="K536" s="416"/>
    </row>
    <row r="537" spans="1:16" hidden="1" x14ac:dyDescent="0.2">
      <c r="A537" s="160" t="s">
        <v>182</v>
      </c>
      <c r="I537" s="160">
        <v>0</v>
      </c>
      <c r="J537" s="160">
        <v>0</v>
      </c>
    </row>
    <row r="538" spans="1:16" hidden="1" x14ac:dyDescent="0.2">
      <c r="A538" s="160" t="s">
        <v>181</v>
      </c>
      <c r="I538" s="160">
        <v>0</v>
      </c>
      <c r="J538" s="160">
        <v>0</v>
      </c>
    </row>
    <row r="539" spans="1:16" ht="14.25" x14ac:dyDescent="0.2">
      <c r="C539" s="410" t="s">
        <v>1920</v>
      </c>
      <c r="D539" s="410"/>
      <c r="E539" s="410"/>
      <c r="F539" s="410"/>
      <c r="G539" s="410"/>
      <c r="H539" s="411">
        <v>164788.73000000001</v>
      </c>
      <c r="I539" s="411"/>
      <c r="J539" s="411">
        <v>1081674.92</v>
      </c>
      <c r="K539" s="411"/>
    </row>
    <row r="540" spans="1:16" ht="14.25" x14ac:dyDescent="0.2">
      <c r="C540" s="410" t="s">
        <v>1933</v>
      </c>
      <c r="D540" s="410"/>
      <c r="E540" s="410"/>
      <c r="F540" s="410"/>
      <c r="G540" s="410"/>
      <c r="H540" s="411">
        <v>147849.75</v>
      </c>
      <c r="I540" s="411"/>
      <c r="J540" s="411">
        <v>739968.15</v>
      </c>
      <c r="K540" s="411"/>
    </row>
    <row r="541" spans="1:16" ht="14.25" x14ac:dyDescent="0.2">
      <c r="C541" s="410" t="s">
        <v>1934</v>
      </c>
      <c r="D541" s="410"/>
      <c r="E541" s="410"/>
      <c r="F541" s="410"/>
      <c r="G541" s="410"/>
      <c r="H541" s="411">
        <v>139614.75</v>
      </c>
      <c r="I541" s="411"/>
      <c r="J541" s="411">
        <v>692040.87</v>
      </c>
      <c r="K541" s="411"/>
    </row>
    <row r="542" spans="1:16" ht="14.25" x14ac:dyDescent="0.2">
      <c r="C542" s="410" t="s">
        <v>1935</v>
      </c>
      <c r="D542" s="410"/>
      <c r="E542" s="410"/>
      <c r="F542" s="410"/>
      <c r="G542" s="410"/>
      <c r="H542" s="411">
        <v>8235</v>
      </c>
      <c r="I542" s="411"/>
      <c r="J542" s="411">
        <v>47927.28</v>
      </c>
      <c r="K542" s="411"/>
    </row>
    <row r="543" spans="1:16" ht="14.25" x14ac:dyDescent="0.2">
      <c r="C543" s="410" t="s">
        <v>1936</v>
      </c>
      <c r="D543" s="410"/>
      <c r="E543" s="410"/>
      <c r="F543" s="410"/>
      <c r="G543" s="410"/>
      <c r="H543" s="411">
        <v>3499.91</v>
      </c>
      <c r="I543" s="411"/>
      <c r="J543" s="411">
        <v>27904.47</v>
      </c>
      <c r="K543" s="411"/>
    </row>
    <row r="544" spans="1:16" ht="14.25" x14ac:dyDescent="0.2">
      <c r="C544" s="410" t="s">
        <v>1937</v>
      </c>
      <c r="D544" s="410"/>
      <c r="E544" s="410"/>
      <c r="F544" s="410"/>
      <c r="G544" s="410"/>
      <c r="H544" s="411">
        <v>471.03</v>
      </c>
      <c r="I544" s="411"/>
      <c r="J544" s="411">
        <v>10327.49</v>
      </c>
      <c r="K544" s="411"/>
    </row>
    <row r="545" spans="1:11" ht="14.25" x14ac:dyDescent="0.2">
      <c r="C545" s="410" t="s">
        <v>1938</v>
      </c>
      <c r="D545" s="410"/>
      <c r="E545" s="410"/>
      <c r="F545" s="410"/>
      <c r="G545" s="410"/>
      <c r="H545" s="411">
        <v>13439.07</v>
      </c>
      <c r="I545" s="411"/>
      <c r="J545" s="411">
        <v>313802.3</v>
      </c>
      <c r="K545" s="411"/>
    </row>
    <row r="546" spans="1:11" ht="14.25" x14ac:dyDescent="0.2">
      <c r="C546" s="410" t="s">
        <v>1939</v>
      </c>
      <c r="D546" s="410"/>
      <c r="E546" s="410"/>
      <c r="F546" s="410"/>
      <c r="G546" s="410"/>
      <c r="H546" s="411">
        <v>179698.28</v>
      </c>
      <c r="I546" s="411"/>
      <c r="J546" s="411">
        <v>1430114.36</v>
      </c>
      <c r="K546" s="411"/>
    </row>
    <row r="547" spans="1:11" ht="14.25" x14ac:dyDescent="0.2">
      <c r="C547" s="410" t="s">
        <v>1940</v>
      </c>
      <c r="D547" s="410"/>
      <c r="E547" s="410"/>
      <c r="F547" s="410"/>
      <c r="G547" s="410"/>
      <c r="H547" s="411">
        <v>0</v>
      </c>
      <c r="I547" s="411"/>
      <c r="J547" s="411">
        <v>0</v>
      </c>
      <c r="K547" s="411"/>
    </row>
    <row r="548" spans="1:11" ht="14.25" x14ac:dyDescent="0.2">
      <c r="C548" s="410" t="s">
        <v>1941</v>
      </c>
      <c r="D548" s="410"/>
      <c r="E548" s="410"/>
      <c r="F548" s="410"/>
      <c r="G548" s="410"/>
      <c r="H548" s="411">
        <v>0</v>
      </c>
      <c r="I548" s="411"/>
      <c r="J548" s="411">
        <v>0</v>
      </c>
      <c r="K548" s="411"/>
    </row>
    <row r="549" spans="1:11" ht="14.25" x14ac:dyDescent="0.2">
      <c r="C549" s="410" t="s">
        <v>2370</v>
      </c>
      <c r="D549" s="410"/>
      <c r="E549" s="410"/>
      <c r="F549" s="410"/>
      <c r="G549" s="410"/>
      <c r="H549" s="430">
        <v>1094.7674750000001</v>
      </c>
      <c r="I549" s="430"/>
      <c r="J549" s="430">
        <v>1094.7674750000001</v>
      </c>
      <c r="K549" s="430"/>
    </row>
    <row r="550" spans="1:11" ht="14.25" x14ac:dyDescent="0.2">
      <c r="C550" s="410" t="s">
        <v>1942</v>
      </c>
      <c r="D550" s="410"/>
      <c r="E550" s="410"/>
      <c r="F550" s="410"/>
      <c r="G550" s="410"/>
      <c r="H550" s="411">
        <v>13505.08</v>
      </c>
      <c r="I550" s="411"/>
      <c r="J550" s="411">
        <v>251493.62</v>
      </c>
      <c r="K550" s="411"/>
    </row>
    <row r="551" spans="1:11" ht="14.25" x14ac:dyDescent="0.2">
      <c r="C551" s="410" t="s">
        <v>1943</v>
      </c>
      <c r="D551" s="410"/>
      <c r="E551" s="410"/>
      <c r="F551" s="410"/>
      <c r="G551" s="410"/>
      <c r="H551" s="411">
        <v>8815.1299999999992</v>
      </c>
      <c r="I551" s="411"/>
      <c r="J551" s="411">
        <v>128658.94</v>
      </c>
      <c r="K551" s="411"/>
    </row>
    <row r="552" spans="1:11" ht="14.25" x14ac:dyDescent="0.2">
      <c r="C552" s="410" t="s">
        <v>1944</v>
      </c>
      <c r="D552" s="410"/>
      <c r="E552" s="410"/>
      <c r="F552" s="410"/>
      <c r="G552" s="410"/>
      <c r="H552" s="411">
        <v>187933.28</v>
      </c>
      <c r="I552" s="411"/>
      <c r="J552" s="411">
        <v>1478041.64</v>
      </c>
      <c r="K552" s="411"/>
    </row>
    <row r="555" spans="1:11" ht="14.25" x14ac:dyDescent="0.2">
      <c r="A555" s="412" t="s">
        <v>180</v>
      </c>
      <c r="B555" s="412"/>
      <c r="C555" s="162" t="s">
        <v>107</v>
      </c>
      <c r="D555" s="162"/>
      <c r="E555" s="162"/>
      <c r="F555" s="162"/>
      <c r="G555" s="162"/>
      <c r="H555" s="161" t="s">
        <v>107</v>
      </c>
      <c r="I555" s="161"/>
      <c r="J555" s="161"/>
      <c r="K555" s="161"/>
    </row>
    <row r="556" spans="1:11" ht="14.25" x14ac:dyDescent="0.2">
      <c r="A556" s="161"/>
      <c r="B556" s="161"/>
      <c r="C556" s="409" t="s">
        <v>72</v>
      </c>
      <c r="D556" s="409"/>
      <c r="E556" s="409"/>
      <c r="F556" s="409"/>
      <c r="G556" s="409"/>
      <c r="H556" s="161"/>
      <c r="I556" s="161"/>
      <c r="J556" s="161"/>
      <c r="K556" s="161"/>
    </row>
    <row r="557" spans="1:11" ht="14.25" x14ac:dyDescent="0.2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</row>
    <row r="558" spans="1:11" ht="14.25" x14ac:dyDescent="0.2">
      <c r="A558" s="412" t="s">
        <v>179</v>
      </c>
      <c r="B558" s="412"/>
      <c r="C558" s="162" t="s">
        <v>107</v>
      </c>
      <c r="D558" s="162"/>
      <c r="E558" s="162"/>
      <c r="F558" s="162"/>
      <c r="G558" s="162"/>
      <c r="H558" s="161" t="s">
        <v>107</v>
      </c>
      <c r="I558" s="161"/>
      <c r="J558" s="161"/>
      <c r="K558" s="161"/>
    </row>
    <row r="559" spans="1:11" ht="14.25" x14ac:dyDescent="0.2">
      <c r="A559" s="161"/>
      <c r="B559" s="161"/>
      <c r="C559" s="409" t="s">
        <v>72</v>
      </c>
      <c r="D559" s="409"/>
      <c r="E559" s="409"/>
      <c r="F559" s="409"/>
      <c r="G559" s="409"/>
      <c r="H559" s="161"/>
      <c r="I559" s="161"/>
      <c r="J559" s="161"/>
      <c r="K559" s="161"/>
    </row>
  </sheetData>
  <mergeCells count="164"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36:K36"/>
    <mergeCell ref="J54:K54"/>
    <mergeCell ref="H54:I54"/>
    <mergeCell ref="J67:K67"/>
    <mergeCell ref="H67:I67"/>
    <mergeCell ref="J76:K76"/>
    <mergeCell ref="H76:I76"/>
    <mergeCell ref="J88:K88"/>
    <mergeCell ref="H88:I88"/>
    <mergeCell ref="J100:K100"/>
    <mergeCell ref="H100:I100"/>
    <mergeCell ref="J103:K103"/>
    <mergeCell ref="H103:I103"/>
    <mergeCell ref="A103:G103"/>
    <mergeCell ref="A107:K107"/>
    <mergeCell ref="J122:K122"/>
    <mergeCell ref="H122:I122"/>
    <mergeCell ref="J137:K137"/>
    <mergeCell ref="H137:I137"/>
    <mergeCell ref="J152:K152"/>
    <mergeCell ref="H152:I152"/>
    <mergeCell ref="J167:K167"/>
    <mergeCell ref="H167:I167"/>
    <mergeCell ref="J181:K181"/>
    <mergeCell ref="H181:I181"/>
    <mergeCell ref="J190:K190"/>
    <mergeCell ref="H190:I190"/>
    <mergeCell ref="J199:K199"/>
    <mergeCell ref="H199:I199"/>
    <mergeCell ref="J218:K218"/>
    <mergeCell ref="H218:I218"/>
    <mergeCell ref="J231:K231"/>
    <mergeCell ref="H231:I231"/>
    <mergeCell ref="J243:K243"/>
    <mergeCell ref="H243:I243"/>
    <mergeCell ref="J246:K246"/>
    <mergeCell ref="H246:I246"/>
    <mergeCell ref="A246:G246"/>
    <mergeCell ref="A250:K250"/>
    <mergeCell ref="J262:K262"/>
    <mergeCell ref="H262:I262"/>
    <mergeCell ref="J274:K274"/>
    <mergeCell ref="H274:I274"/>
    <mergeCell ref="J277:K277"/>
    <mergeCell ref="H277:I277"/>
    <mergeCell ref="J280:K280"/>
    <mergeCell ref="H280:I280"/>
    <mergeCell ref="A280:G280"/>
    <mergeCell ref="A284:K284"/>
    <mergeCell ref="J299:K299"/>
    <mergeCell ref="H299:I299"/>
    <mergeCell ref="J315:K315"/>
    <mergeCell ref="H315:I315"/>
    <mergeCell ref="J330:K330"/>
    <mergeCell ref="H330:I330"/>
    <mergeCell ref="J346:K346"/>
    <mergeCell ref="H346:I346"/>
    <mergeCell ref="J361:K361"/>
    <mergeCell ref="H361:I361"/>
    <mergeCell ref="J376:K376"/>
    <mergeCell ref="H376:I376"/>
    <mergeCell ref="J390:K390"/>
    <mergeCell ref="H390:I390"/>
    <mergeCell ref="J399:K399"/>
    <mergeCell ref="H399:I399"/>
    <mergeCell ref="J408:K408"/>
    <mergeCell ref="H408:I408"/>
    <mergeCell ref="J427:K427"/>
    <mergeCell ref="H427:I427"/>
    <mergeCell ref="J441:K441"/>
    <mergeCell ref="H441:I441"/>
    <mergeCell ref="J450:K450"/>
    <mergeCell ref="H450:I450"/>
    <mergeCell ref="J462:K462"/>
    <mergeCell ref="H462:I462"/>
    <mergeCell ref="J474:K474"/>
    <mergeCell ref="H474:I474"/>
    <mergeCell ref="J477:K477"/>
    <mergeCell ref="H477:I477"/>
    <mergeCell ref="A477:G477"/>
    <mergeCell ref="A481:K481"/>
    <mergeCell ref="J492:K492"/>
    <mergeCell ref="H492:I492"/>
    <mergeCell ref="J504:K504"/>
    <mergeCell ref="H504:I504"/>
    <mergeCell ref="J516:K516"/>
    <mergeCell ref="H516:I516"/>
    <mergeCell ref="J529:K529"/>
    <mergeCell ref="H529:I529"/>
    <mergeCell ref="J532:K532"/>
    <mergeCell ref="H532:I532"/>
    <mergeCell ref="A532:G532"/>
    <mergeCell ref="J536:K536"/>
    <mergeCell ref="H536:I536"/>
    <mergeCell ref="A536:G536"/>
    <mergeCell ref="C539:G539"/>
    <mergeCell ref="H539:I539"/>
    <mergeCell ref="J539:K539"/>
    <mergeCell ref="C540:G540"/>
    <mergeCell ref="H540:I540"/>
    <mergeCell ref="J540:K540"/>
    <mergeCell ref="C541:G541"/>
    <mergeCell ref="H541:I541"/>
    <mergeCell ref="J541:K541"/>
    <mergeCell ref="C542:G542"/>
    <mergeCell ref="H542:I542"/>
    <mergeCell ref="J542:K542"/>
    <mergeCell ref="C543:G543"/>
    <mergeCell ref="H543:I543"/>
    <mergeCell ref="J543:K543"/>
    <mergeCell ref="C544:G544"/>
    <mergeCell ref="H544:I544"/>
    <mergeCell ref="J544:K544"/>
    <mergeCell ref="C545:G545"/>
    <mergeCell ref="H545:I545"/>
    <mergeCell ref="J545:K545"/>
    <mergeCell ref="C546:G546"/>
    <mergeCell ref="H546:I546"/>
    <mergeCell ref="J546:K546"/>
    <mergeCell ref="C559:G559"/>
    <mergeCell ref="C552:G552"/>
    <mergeCell ref="H552:I552"/>
    <mergeCell ref="J552:K552"/>
    <mergeCell ref="C547:G547"/>
    <mergeCell ref="H547:I547"/>
    <mergeCell ref="J547:K547"/>
    <mergeCell ref="C548:G548"/>
    <mergeCell ref="H548:I548"/>
    <mergeCell ref="J548:K548"/>
    <mergeCell ref="C549:G549"/>
    <mergeCell ref="H549:I549"/>
    <mergeCell ref="J549:K549"/>
    <mergeCell ref="A555:B555"/>
    <mergeCell ref="C556:G556"/>
    <mergeCell ref="A558:B558"/>
    <mergeCell ref="C550:G550"/>
    <mergeCell ref="H550:I550"/>
    <mergeCell ref="J550:K550"/>
    <mergeCell ref="C551:G551"/>
    <mergeCell ref="H551:I551"/>
    <mergeCell ref="J551:K551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  <rowBreaks count="2" manualBreakCount="2">
    <brk id="440" max="10" man="1"/>
    <brk id="559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AE440"/>
  <sheetViews>
    <sheetView topLeftCell="A48" zoomScaleNormal="100" workbookViewId="0">
      <selection activeCell="A48" sqref="A1:M1048576"/>
    </sheetView>
  </sheetViews>
  <sheetFormatPr defaultColWidth="9.140625" defaultRowHeight="12.75" x14ac:dyDescent="0.2"/>
  <cols>
    <col min="1" max="1" width="5.7109375" style="281" customWidth="1"/>
    <col min="2" max="2" width="11.7109375" style="281" customWidth="1"/>
    <col min="3" max="3" width="40.7109375" style="281" customWidth="1"/>
    <col min="4" max="6" width="11.7109375" style="281" customWidth="1"/>
    <col min="7" max="7" width="12.7109375" style="281" customWidth="1"/>
    <col min="8" max="8" width="10.7109375" style="281" customWidth="1"/>
    <col min="9" max="11" width="12.7109375" style="281" customWidth="1"/>
    <col min="12" max="13" width="9.140625" style="281"/>
    <col min="14" max="14" width="9.140625" style="160"/>
    <col min="15" max="30" width="0" style="160" hidden="1" customWidth="1"/>
    <col min="31" max="31" width="150.7109375" style="160" hidden="1" customWidth="1"/>
    <col min="32" max="36" width="0" style="160" hidden="1" customWidth="1"/>
    <col min="37" max="16384" width="9.140625" style="160"/>
  </cols>
  <sheetData>
    <row r="1" spans="1:31" x14ac:dyDescent="0.2">
      <c r="A1" s="285" t="s">
        <v>1523</v>
      </c>
    </row>
    <row r="2" spans="1:31" ht="14.25" x14ac:dyDescent="0.2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7" t="s">
        <v>381</v>
      </c>
    </row>
    <row r="3" spans="1:31" ht="16.5" x14ac:dyDescent="0.25">
      <c r="A3" s="288"/>
      <c r="B3" s="458" t="s">
        <v>380</v>
      </c>
      <c r="C3" s="458"/>
      <c r="D3" s="458"/>
      <c r="E3" s="458"/>
      <c r="F3" s="287"/>
      <c r="G3" s="458" t="s">
        <v>0</v>
      </c>
      <c r="H3" s="458"/>
      <c r="I3" s="458"/>
      <c r="J3" s="458"/>
      <c r="K3" s="458"/>
    </row>
    <row r="4" spans="1:31" ht="14.25" x14ac:dyDescent="0.2">
      <c r="A4" s="287"/>
      <c r="B4" s="450"/>
      <c r="C4" s="450"/>
      <c r="D4" s="450"/>
      <c r="E4" s="450"/>
      <c r="F4" s="287"/>
      <c r="G4" s="450"/>
      <c r="H4" s="450"/>
      <c r="I4" s="450"/>
      <c r="J4" s="450"/>
      <c r="K4" s="450"/>
    </row>
    <row r="5" spans="1:31" ht="14.25" x14ac:dyDescent="0.2">
      <c r="A5" s="289"/>
      <c r="B5" s="289"/>
      <c r="C5" s="290"/>
      <c r="D5" s="290"/>
      <c r="E5" s="290"/>
      <c r="F5" s="287"/>
      <c r="G5" s="188"/>
      <c r="H5" s="290"/>
      <c r="I5" s="290"/>
      <c r="J5" s="290"/>
      <c r="K5" s="188"/>
    </row>
    <row r="6" spans="1:31" ht="14.25" x14ac:dyDescent="0.2">
      <c r="A6" s="188"/>
      <c r="B6" s="450" t="s">
        <v>1524</v>
      </c>
      <c r="C6" s="450"/>
      <c r="D6" s="450"/>
      <c r="E6" s="450"/>
      <c r="F6" s="287"/>
      <c r="G6" s="450" t="s">
        <v>1524</v>
      </c>
      <c r="H6" s="450"/>
      <c r="I6" s="450"/>
      <c r="J6" s="450"/>
      <c r="K6" s="450"/>
    </row>
    <row r="7" spans="1:31" ht="14.25" x14ac:dyDescent="0.2">
      <c r="A7" s="291"/>
      <c r="B7" s="459" t="s">
        <v>379</v>
      </c>
      <c r="C7" s="459"/>
      <c r="D7" s="459"/>
      <c r="E7" s="459"/>
      <c r="F7" s="287"/>
      <c r="G7" s="459" t="s">
        <v>379</v>
      </c>
      <c r="H7" s="459"/>
      <c r="I7" s="459"/>
      <c r="J7" s="459"/>
      <c r="K7" s="459"/>
    </row>
    <row r="9" spans="1:31" ht="14.25" x14ac:dyDescent="0.2">
      <c r="A9" s="287"/>
      <c r="B9" s="287"/>
      <c r="C9" s="287"/>
      <c r="D9" s="287"/>
      <c r="E9" s="287"/>
      <c r="F9" s="287"/>
      <c r="G9" s="287"/>
      <c r="H9" s="287"/>
      <c r="I9" s="287"/>
      <c r="J9" s="287"/>
      <c r="K9" s="287"/>
    </row>
    <row r="10" spans="1:31" ht="47.25" x14ac:dyDescent="0.25">
      <c r="A10" s="452" t="s">
        <v>3850</v>
      </c>
      <c r="B10" s="452"/>
      <c r="C10" s="452"/>
      <c r="D10" s="452"/>
      <c r="E10" s="452"/>
      <c r="F10" s="452"/>
      <c r="G10" s="452"/>
      <c r="H10" s="452"/>
      <c r="I10" s="452"/>
      <c r="J10" s="452"/>
      <c r="K10" s="452"/>
      <c r="AE10" s="194" t="str">
        <f>IF([9]Source!G12&lt;&gt;"Новый объект", [9]Source!G12,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41" t="s">
        <v>75</v>
      </c>
      <c r="B11" s="441"/>
      <c r="C11" s="441"/>
      <c r="D11" s="441"/>
      <c r="E11" s="441"/>
      <c r="F11" s="441"/>
      <c r="G11" s="441"/>
      <c r="H11" s="441"/>
      <c r="I11" s="441"/>
      <c r="J11" s="441"/>
      <c r="K11" s="441"/>
    </row>
    <row r="12" spans="1:31" ht="14.25" x14ac:dyDescent="0.2">
      <c r="A12" s="287"/>
      <c r="B12" s="287"/>
      <c r="C12" s="287"/>
      <c r="D12" s="287"/>
      <c r="E12" s="287"/>
      <c r="F12" s="287"/>
      <c r="G12" s="287"/>
      <c r="H12" s="287"/>
      <c r="I12" s="287"/>
      <c r="J12" s="287"/>
      <c r="K12" s="287"/>
    </row>
    <row r="13" spans="1:31" ht="15.75" x14ac:dyDescent="0.25">
      <c r="A13" s="452" t="s">
        <v>3888</v>
      </c>
      <c r="B13" s="453"/>
      <c r="C13" s="453"/>
      <c r="D13" s="453"/>
      <c r="E13" s="453"/>
      <c r="F13" s="453"/>
      <c r="G13" s="453"/>
      <c r="H13" s="453"/>
      <c r="I13" s="453"/>
      <c r="J13" s="453"/>
      <c r="K13" s="453"/>
    </row>
    <row r="14" spans="1:31" ht="14.25" x14ac:dyDescent="0.2">
      <c r="A14" s="287"/>
      <c r="B14" s="287"/>
      <c r="C14" s="287"/>
      <c r="D14" s="287"/>
      <c r="E14" s="287"/>
      <c r="F14" s="287"/>
      <c r="G14" s="287"/>
      <c r="H14" s="287"/>
      <c r="I14" s="287"/>
      <c r="J14" s="287"/>
      <c r="K14" s="287"/>
    </row>
    <row r="15" spans="1:31" ht="18" x14ac:dyDescent="0.25">
      <c r="A15" s="454" t="s">
        <v>3227</v>
      </c>
      <c r="B15" s="454"/>
      <c r="C15" s="454"/>
      <c r="D15" s="454"/>
      <c r="E15" s="454"/>
      <c r="F15" s="454"/>
      <c r="G15" s="454"/>
      <c r="H15" s="454"/>
      <c r="I15" s="454"/>
      <c r="J15" s="454"/>
      <c r="K15" s="454"/>
    </row>
    <row r="16" spans="1:31" x14ac:dyDescent="0.2">
      <c r="A16" s="455" t="s">
        <v>378</v>
      </c>
      <c r="B16" s="456"/>
      <c r="C16" s="456"/>
      <c r="D16" s="456"/>
      <c r="E16" s="456"/>
      <c r="F16" s="456"/>
      <c r="G16" s="456"/>
      <c r="H16" s="456"/>
      <c r="I16" s="456"/>
      <c r="J16" s="456"/>
      <c r="K16" s="456"/>
    </row>
    <row r="17" spans="1:31" ht="14.25" x14ac:dyDescent="0.2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</row>
    <row r="18" spans="1:31" ht="14.25" x14ac:dyDescent="0.2">
      <c r="A18" s="451" t="s">
        <v>3228</v>
      </c>
      <c r="B18" s="451"/>
      <c r="C18" s="451"/>
      <c r="D18" s="451"/>
      <c r="E18" s="451"/>
      <c r="F18" s="451"/>
      <c r="G18" s="451"/>
      <c r="H18" s="451"/>
      <c r="I18" s="451"/>
      <c r="J18" s="451"/>
      <c r="K18" s="451"/>
    </row>
    <row r="19" spans="1:31" ht="14.25" x14ac:dyDescent="0.2">
      <c r="A19" s="293"/>
      <c r="B19" s="293"/>
      <c r="C19" s="293"/>
      <c r="D19" s="293"/>
      <c r="E19" s="293"/>
      <c r="F19" s="293"/>
      <c r="G19" s="293"/>
      <c r="H19" s="293"/>
      <c r="I19" s="293"/>
      <c r="J19" s="293"/>
      <c r="K19" s="293"/>
    </row>
    <row r="20" spans="1:31" ht="28.5" x14ac:dyDescent="0.2">
      <c r="A20" s="287"/>
      <c r="B20" s="287"/>
      <c r="C20" s="287"/>
      <c r="D20" s="287"/>
      <c r="E20" s="287"/>
      <c r="F20" s="287"/>
      <c r="G20" s="287"/>
      <c r="H20" s="287"/>
      <c r="I20" s="294" t="s">
        <v>377</v>
      </c>
      <c r="J20" s="294" t="s">
        <v>376</v>
      </c>
      <c r="K20" s="287"/>
    </row>
    <row r="21" spans="1:31" ht="15" x14ac:dyDescent="0.25">
      <c r="A21" s="287"/>
      <c r="B21" s="287"/>
      <c r="C21" s="287"/>
      <c r="D21" s="287"/>
      <c r="E21" s="287"/>
      <c r="F21" s="457" t="s">
        <v>375</v>
      </c>
      <c r="G21" s="457"/>
      <c r="H21" s="457"/>
      <c r="I21" s="295">
        <v>289.43</v>
      </c>
      <c r="J21" s="295">
        <v>1573.85</v>
      </c>
      <c r="K21" s="296" t="s">
        <v>366</v>
      </c>
    </row>
    <row r="22" spans="1:31" ht="14.25" x14ac:dyDescent="0.2">
      <c r="A22" s="287"/>
      <c r="B22" s="287"/>
      <c r="C22" s="287"/>
      <c r="D22" s="287"/>
      <c r="E22" s="287"/>
      <c r="F22" s="450" t="s">
        <v>374</v>
      </c>
      <c r="G22" s="450"/>
      <c r="H22" s="450"/>
      <c r="I22" s="297">
        <v>289.24</v>
      </c>
      <c r="J22" s="297">
        <v>1573.11</v>
      </c>
      <c r="K22" s="287" t="s">
        <v>366</v>
      </c>
    </row>
    <row r="23" spans="1:31" ht="14.25" x14ac:dyDescent="0.2">
      <c r="A23" s="287"/>
      <c r="B23" s="287"/>
      <c r="C23" s="287"/>
      <c r="D23" s="287"/>
      <c r="E23" s="287"/>
      <c r="F23" s="450" t="s">
        <v>373</v>
      </c>
      <c r="G23" s="450"/>
      <c r="H23" s="450"/>
      <c r="I23" s="297">
        <v>0</v>
      </c>
      <c r="J23" s="297">
        <v>0</v>
      </c>
      <c r="K23" s="287" t="s">
        <v>366</v>
      </c>
    </row>
    <row r="24" spans="1:31" ht="14.25" x14ac:dyDescent="0.2">
      <c r="A24" s="287"/>
      <c r="B24" s="287"/>
      <c r="C24" s="287"/>
      <c r="D24" s="287"/>
      <c r="E24" s="287"/>
      <c r="F24" s="450" t="s">
        <v>106</v>
      </c>
      <c r="G24" s="450"/>
      <c r="H24" s="450"/>
      <c r="I24" s="297">
        <v>0</v>
      </c>
      <c r="J24" s="297">
        <v>0</v>
      </c>
      <c r="K24" s="287" t="s">
        <v>366</v>
      </c>
    </row>
    <row r="25" spans="1:31" ht="14.25" x14ac:dyDescent="0.2">
      <c r="A25" s="287"/>
      <c r="B25" s="287"/>
      <c r="C25" s="287"/>
      <c r="D25" s="287"/>
      <c r="E25" s="287"/>
      <c r="F25" s="450" t="s">
        <v>372</v>
      </c>
      <c r="G25" s="450"/>
      <c r="H25" s="450"/>
      <c r="I25" s="297">
        <v>0.19</v>
      </c>
      <c r="J25" s="297">
        <v>0.74</v>
      </c>
      <c r="K25" s="287" t="s">
        <v>366</v>
      </c>
    </row>
    <row r="26" spans="1:31" ht="14.25" x14ac:dyDescent="0.2">
      <c r="A26" s="287"/>
      <c r="B26" s="287"/>
      <c r="C26" s="287"/>
      <c r="D26" s="287"/>
      <c r="E26" s="287"/>
      <c r="F26" s="450" t="s">
        <v>371</v>
      </c>
      <c r="G26" s="450"/>
      <c r="H26" s="450"/>
      <c r="I26" s="297">
        <v>19.38</v>
      </c>
      <c r="J26" s="297">
        <v>452.55</v>
      </c>
      <c r="K26" s="287" t="s">
        <v>366</v>
      </c>
    </row>
    <row r="27" spans="1:31" ht="14.25" x14ac:dyDescent="0.2">
      <c r="A27" s="287"/>
      <c r="B27" s="287"/>
      <c r="C27" s="287"/>
      <c r="D27" s="287"/>
      <c r="E27" s="287"/>
      <c r="F27" s="450" t="s">
        <v>370</v>
      </c>
      <c r="G27" s="450"/>
      <c r="H27" s="450"/>
      <c r="I27" s="297">
        <v>1554.26</v>
      </c>
      <c r="J27" s="297"/>
      <c r="K27" s="287" t="s">
        <v>369</v>
      </c>
    </row>
    <row r="28" spans="1:31" ht="14.25" hidden="1" x14ac:dyDescent="0.2">
      <c r="A28" s="287"/>
      <c r="B28" s="287"/>
      <c r="C28" s="287"/>
      <c r="D28" s="287"/>
      <c r="E28" s="287"/>
      <c r="F28" s="188" t="s">
        <v>368</v>
      </c>
      <c r="G28" s="188"/>
      <c r="H28" s="188"/>
      <c r="I28" s="297"/>
      <c r="J28" s="297"/>
      <c r="K28" s="287"/>
    </row>
    <row r="29" spans="1:31" ht="14.25" hidden="1" x14ac:dyDescent="0.2">
      <c r="A29" s="287"/>
      <c r="B29" s="287"/>
      <c r="C29" s="287"/>
      <c r="D29" s="287"/>
      <c r="E29" s="287"/>
      <c r="F29" s="419" t="s">
        <v>367</v>
      </c>
      <c r="G29" s="420"/>
      <c r="H29" s="420"/>
      <c r="I29" s="297">
        <v>0</v>
      </c>
      <c r="J29" s="297">
        <v>0</v>
      </c>
      <c r="K29" s="287" t="s">
        <v>366</v>
      </c>
    </row>
    <row r="30" spans="1:31" ht="14.25" x14ac:dyDescent="0.2">
      <c r="A30" s="287"/>
      <c r="B30" s="287"/>
      <c r="C30" s="287"/>
      <c r="D30" s="287"/>
      <c r="E30" s="287"/>
      <c r="F30" s="188"/>
      <c r="G30" s="188"/>
      <c r="H30" s="188"/>
      <c r="I30" s="297"/>
      <c r="J30" s="297"/>
      <c r="K30" s="287"/>
    </row>
    <row r="31" spans="1:31" ht="14.25" x14ac:dyDescent="0.2">
      <c r="A31" s="287" t="s">
        <v>365</v>
      </c>
      <c r="B31" s="287"/>
      <c r="C31" s="287"/>
      <c r="D31" s="287"/>
      <c r="E31" s="287"/>
      <c r="F31" s="188"/>
      <c r="G31" s="188"/>
      <c r="H31" s="188"/>
      <c r="I31" s="297"/>
      <c r="J31" s="297"/>
      <c r="K31" s="287"/>
    </row>
    <row r="32" spans="1:31" ht="28.5" x14ac:dyDescent="0.2">
      <c r="A32" s="451" t="s">
        <v>364</v>
      </c>
      <c r="B32" s="451"/>
      <c r="C32" s="451"/>
      <c r="D32" s="451"/>
      <c r="E32" s="451"/>
      <c r="F32" s="451"/>
      <c r="G32" s="451"/>
      <c r="H32" s="451"/>
      <c r="I32" s="451"/>
      <c r="J32" s="451"/>
      <c r="K32" s="451"/>
      <c r="AE32" s="185" t="s">
        <v>364</v>
      </c>
    </row>
    <row r="33" spans="1:22" ht="85.5" x14ac:dyDescent="0.2">
      <c r="A33" s="299" t="s">
        <v>81</v>
      </c>
      <c r="B33" s="299" t="s">
        <v>363</v>
      </c>
      <c r="C33" s="299" t="s">
        <v>83</v>
      </c>
      <c r="D33" s="299" t="s">
        <v>362</v>
      </c>
      <c r="E33" s="299" t="s">
        <v>361</v>
      </c>
      <c r="F33" s="299" t="s">
        <v>360</v>
      </c>
      <c r="G33" s="300" t="s">
        <v>359</v>
      </c>
      <c r="H33" s="300" t="s">
        <v>358</v>
      </c>
      <c r="I33" s="299" t="s">
        <v>357</v>
      </c>
      <c r="J33" s="299" t="s">
        <v>356</v>
      </c>
      <c r="K33" s="299" t="s">
        <v>355</v>
      </c>
    </row>
    <row r="34" spans="1:22" ht="14.25" x14ac:dyDescent="0.2">
      <c r="A34" s="299">
        <v>1</v>
      </c>
      <c r="B34" s="299">
        <v>2</v>
      </c>
      <c r="C34" s="299">
        <v>3</v>
      </c>
      <c r="D34" s="299">
        <v>4</v>
      </c>
      <c r="E34" s="299">
        <v>5</v>
      </c>
      <c r="F34" s="299">
        <v>6</v>
      </c>
      <c r="G34" s="299">
        <v>7</v>
      </c>
      <c r="H34" s="299">
        <v>8</v>
      </c>
      <c r="I34" s="299">
        <v>9</v>
      </c>
      <c r="J34" s="299">
        <v>10</v>
      </c>
      <c r="K34" s="299">
        <v>11</v>
      </c>
    </row>
    <row r="36" spans="1:22" ht="16.5" x14ac:dyDescent="0.25">
      <c r="A36" s="448" t="s">
        <v>3229</v>
      </c>
      <c r="B36" s="448"/>
      <c r="C36" s="448"/>
      <c r="D36" s="448"/>
      <c r="E36" s="448"/>
      <c r="F36" s="448"/>
      <c r="G36" s="448"/>
      <c r="H36" s="448"/>
      <c r="I36" s="448"/>
      <c r="J36" s="448"/>
      <c r="K36" s="448"/>
    </row>
    <row r="37" spans="1:22" ht="57" x14ac:dyDescent="0.2">
      <c r="A37" s="301" t="s">
        <v>719</v>
      </c>
      <c r="B37" s="302" t="s">
        <v>897</v>
      </c>
      <c r="C37" s="302" t="s">
        <v>896</v>
      </c>
      <c r="D37" s="303" t="s">
        <v>1903</v>
      </c>
      <c r="E37" s="286">
        <v>3</v>
      </c>
      <c r="F37" s="321"/>
      <c r="G37" s="305"/>
      <c r="H37" s="286"/>
      <c r="I37" s="304"/>
      <c r="J37" s="286"/>
      <c r="K37" s="304"/>
      <c r="Q37" s="160">
        <f>[9]Source!X479</f>
        <v>615.29</v>
      </c>
      <c r="R37" s="160">
        <f>[9]Source!X480</f>
        <v>11493.52</v>
      </c>
      <c r="S37" s="160">
        <f>[9]Source!Y479</f>
        <v>413.92</v>
      </c>
      <c r="T37" s="160">
        <f>[9]Source!Y480</f>
        <v>5354.94</v>
      </c>
      <c r="U37" s="160">
        <f>ROUND((175/100)*ROUND([9]Source!R479, 2), 2)</f>
        <v>8.73</v>
      </c>
      <c r="V37" s="160">
        <f>ROUND((157/100)*ROUND([9]Source!R480, 2), 2)</f>
        <v>182.94</v>
      </c>
    </row>
    <row r="38" spans="1:22" ht="14.25" x14ac:dyDescent="0.2">
      <c r="A38" s="301"/>
      <c r="B38" s="302"/>
      <c r="C38" s="302" t="s">
        <v>197</v>
      </c>
      <c r="D38" s="303"/>
      <c r="E38" s="286"/>
      <c r="F38" s="321">
        <v>162.13</v>
      </c>
      <c r="G38" s="305" t="s">
        <v>1548</v>
      </c>
      <c r="H38" s="286">
        <v>1</v>
      </c>
      <c r="I38" s="304">
        <v>559.35</v>
      </c>
      <c r="J38" s="286">
        <v>23.35</v>
      </c>
      <c r="K38" s="304">
        <v>13060.82</v>
      </c>
    </row>
    <row r="39" spans="1:22" ht="14.25" x14ac:dyDescent="0.2">
      <c r="A39" s="301"/>
      <c r="B39" s="302"/>
      <c r="C39" s="302" t="s">
        <v>184</v>
      </c>
      <c r="D39" s="303"/>
      <c r="E39" s="286"/>
      <c r="F39" s="321">
        <v>7.25</v>
      </c>
      <c r="G39" s="305" t="s">
        <v>1549</v>
      </c>
      <c r="H39" s="286">
        <v>1</v>
      </c>
      <c r="I39" s="304">
        <v>27.19</v>
      </c>
      <c r="J39" s="286">
        <v>8.65</v>
      </c>
      <c r="K39" s="304">
        <v>235.19</v>
      </c>
    </row>
    <row r="40" spans="1:22" ht="14.25" x14ac:dyDescent="0.2">
      <c r="A40" s="301"/>
      <c r="B40" s="302"/>
      <c r="C40" s="302" t="s">
        <v>189</v>
      </c>
      <c r="D40" s="303"/>
      <c r="E40" s="286"/>
      <c r="F40" s="321">
        <v>1.33</v>
      </c>
      <c r="G40" s="305" t="s">
        <v>1549</v>
      </c>
      <c r="H40" s="286">
        <v>1</v>
      </c>
      <c r="I40" s="306">
        <v>4.99</v>
      </c>
      <c r="J40" s="286">
        <v>23.35</v>
      </c>
      <c r="K40" s="306">
        <v>116.52</v>
      </c>
    </row>
    <row r="41" spans="1:22" ht="14.25" x14ac:dyDescent="0.2">
      <c r="A41" s="301"/>
      <c r="B41" s="302"/>
      <c r="C41" s="302" t="s">
        <v>205</v>
      </c>
      <c r="D41" s="303"/>
      <c r="E41" s="286"/>
      <c r="F41" s="321">
        <v>99.68</v>
      </c>
      <c r="G41" s="305" t="s">
        <v>195</v>
      </c>
      <c r="H41" s="286">
        <v>1</v>
      </c>
      <c r="I41" s="304">
        <v>299.04000000000002</v>
      </c>
      <c r="J41" s="286">
        <v>4.45</v>
      </c>
      <c r="K41" s="304">
        <v>1330.73</v>
      </c>
    </row>
    <row r="42" spans="1:22" ht="171" x14ac:dyDescent="0.2">
      <c r="A42" s="301" t="s">
        <v>1531</v>
      </c>
      <c r="B42" s="302" t="s">
        <v>3230</v>
      </c>
      <c r="C42" s="302" t="s">
        <v>895</v>
      </c>
      <c r="D42" s="303" t="s">
        <v>1661</v>
      </c>
      <c r="E42" s="286">
        <v>3</v>
      </c>
      <c r="F42" s="321">
        <v>5878.11</v>
      </c>
      <c r="G42" s="315" t="s">
        <v>195</v>
      </c>
      <c r="H42" s="286">
        <v>1</v>
      </c>
      <c r="I42" s="304">
        <v>17634.330000000002</v>
      </c>
      <c r="J42" s="286">
        <v>1.91</v>
      </c>
      <c r="K42" s="304">
        <v>33681.57</v>
      </c>
      <c r="Q42" s="160">
        <f>[9]Source!X481</f>
        <v>0</v>
      </c>
      <c r="R42" s="160">
        <f>[9]Source!X482</f>
        <v>0</v>
      </c>
      <c r="S42" s="160">
        <f>[9]Source!Y481</f>
        <v>0</v>
      </c>
      <c r="T42" s="160">
        <f>[9]Source!Y482</f>
        <v>0</v>
      </c>
      <c r="U42" s="160">
        <f>ROUND((175/100)*ROUND([9]Source!R481, 2), 2)</f>
        <v>0</v>
      </c>
      <c r="V42" s="160">
        <f>ROUND((157/100)*ROUND([9]Source!R482, 2), 2)</f>
        <v>0</v>
      </c>
    </row>
    <row r="43" spans="1:22" ht="14.25" x14ac:dyDescent="0.2">
      <c r="A43" s="301"/>
      <c r="B43" s="302"/>
      <c r="C43" s="302" t="s">
        <v>194</v>
      </c>
      <c r="D43" s="303" t="s">
        <v>187</v>
      </c>
      <c r="E43" s="286">
        <v>110</v>
      </c>
      <c r="F43" s="321"/>
      <c r="G43" s="305"/>
      <c r="H43" s="286"/>
      <c r="I43" s="304">
        <v>615.29</v>
      </c>
      <c r="J43" s="286">
        <v>88</v>
      </c>
      <c r="K43" s="304">
        <v>11493.52</v>
      </c>
    </row>
    <row r="44" spans="1:22" ht="14.25" x14ac:dyDescent="0.2">
      <c r="A44" s="301"/>
      <c r="B44" s="302"/>
      <c r="C44" s="302" t="s">
        <v>193</v>
      </c>
      <c r="D44" s="303" t="s">
        <v>187</v>
      </c>
      <c r="E44" s="286">
        <v>74</v>
      </c>
      <c r="F44" s="321"/>
      <c r="G44" s="305"/>
      <c r="H44" s="286"/>
      <c r="I44" s="304">
        <v>413.92</v>
      </c>
      <c r="J44" s="286">
        <v>41</v>
      </c>
      <c r="K44" s="304">
        <v>5354.94</v>
      </c>
    </row>
    <row r="45" spans="1:22" ht="14.25" x14ac:dyDescent="0.2">
      <c r="A45" s="301"/>
      <c r="B45" s="302"/>
      <c r="C45" s="302" t="s">
        <v>188</v>
      </c>
      <c r="D45" s="303" t="s">
        <v>187</v>
      </c>
      <c r="E45" s="286">
        <v>175</v>
      </c>
      <c r="F45" s="321"/>
      <c r="G45" s="305"/>
      <c r="H45" s="286"/>
      <c r="I45" s="304">
        <v>8.73</v>
      </c>
      <c r="J45" s="286">
        <v>157</v>
      </c>
      <c r="K45" s="304">
        <v>182.94</v>
      </c>
    </row>
    <row r="46" spans="1:22" ht="14.25" x14ac:dyDescent="0.2">
      <c r="A46" s="348"/>
      <c r="B46" s="349"/>
      <c r="C46" s="349" t="s">
        <v>192</v>
      </c>
      <c r="D46" s="350" t="s">
        <v>191</v>
      </c>
      <c r="E46" s="351">
        <v>13.3</v>
      </c>
      <c r="F46" s="352"/>
      <c r="G46" s="353" t="s">
        <v>1548</v>
      </c>
      <c r="H46" s="351">
        <v>1</v>
      </c>
      <c r="I46" s="354">
        <v>45.89</v>
      </c>
      <c r="J46" s="351"/>
      <c r="K46" s="354"/>
    </row>
    <row r="47" spans="1:22" ht="15" x14ac:dyDescent="0.25">
      <c r="A47" s="355"/>
      <c r="B47" s="355"/>
      <c r="C47" s="356" t="s">
        <v>183</v>
      </c>
      <c r="D47" s="355"/>
      <c r="E47" s="355"/>
      <c r="F47" s="355"/>
      <c r="G47" s="355"/>
      <c r="H47" s="449">
        <v>19557.849999999999</v>
      </c>
      <c r="I47" s="449"/>
      <c r="J47" s="449">
        <v>65339.71</v>
      </c>
      <c r="K47" s="449"/>
      <c r="O47" s="163">
        <f>I38+I39+I41+I43+I44+I45+SUM(I42:I42)</f>
        <v>19557.849999999999</v>
      </c>
      <c r="P47" s="163">
        <f>K38+K39+K41+K43+K44+K45+SUM(K42:K42)</f>
        <v>65339.71</v>
      </c>
    </row>
    <row r="49" spans="1:22" ht="57" x14ac:dyDescent="0.2">
      <c r="A49" s="301" t="s">
        <v>1534</v>
      </c>
      <c r="B49" s="302" t="s">
        <v>760</v>
      </c>
      <c r="C49" s="302" t="s">
        <v>759</v>
      </c>
      <c r="D49" s="303" t="s">
        <v>2599</v>
      </c>
      <c r="E49" s="286">
        <v>0.18</v>
      </c>
      <c r="F49" s="321"/>
      <c r="G49" s="305"/>
      <c r="H49" s="286"/>
      <c r="I49" s="304"/>
      <c r="J49" s="286"/>
      <c r="K49" s="304"/>
      <c r="Q49" s="160">
        <f>[9]Source!X483</f>
        <v>124.43</v>
      </c>
      <c r="R49" s="160">
        <f>[9]Source!X484</f>
        <v>2324.39</v>
      </c>
      <c r="S49" s="160">
        <f>[9]Source!Y483</f>
        <v>83.71</v>
      </c>
      <c r="T49" s="160">
        <f>[9]Source!Y484</f>
        <v>1082.95</v>
      </c>
      <c r="U49" s="160">
        <f>ROUND((175/100)*ROUND([9]Source!R483, 2), 2)</f>
        <v>5.1100000000000003</v>
      </c>
      <c r="V49" s="160">
        <f>ROUND((157/100)*ROUND([9]Source!R484, 2), 2)</f>
        <v>107.04</v>
      </c>
    </row>
    <row r="50" spans="1:22" x14ac:dyDescent="0.2">
      <c r="C50" s="316" t="s">
        <v>3231</v>
      </c>
    </row>
    <row r="51" spans="1:22" ht="14.25" x14ac:dyDescent="0.2">
      <c r="A51" s="301"/>
      <c r="B51" s="302"/>
      <c r="C51" s="302" t="s">
        <v>197</v>
      </c>
      <c r="D51" s="303"/>
      <c r="E51" s="286"/>
      <c r="F51" s="321">
        <v>546.45000000000005</v>
      </c>
      <c r="G51" s="305" t="s">
        <v>1548</v>
      </c>
      <c r="H51" s="286">
        <v>1</v>
      </c>
      <c r="I51" s="304">
        <v>113.12</v>
      </c>
      <c r="J51" s="286">
        <v>23.35</v>
      </c>
      <c r="K51" s="304">
        <v>2641.35</v>
      </c>
    </row>
    <row r="52" spans="1:22" ht="14.25" x14ac:dyDescent="0.2">
      <c r="A52" s="301"/>
      <c r="B52" s="302"/>
      <c r="C52" s="302" t="s">
        <v>184</v>
      </c>
      <c r="D52" s="303"/>
      <c r="E52" s="286"/>
      <c r="F52" s="321">
        <v>83.98</v>
      </c>
      <c r="G52" s="305" t="s">
        <v>1549</v>
      </c>
      <c r="H52" s="286">
        <v>1</v>
      </c>
      <c r="I52" s="304">
        <v>18.899999999999999</v>
      </c>
      <c r="J52" s="286">
        <v>9.02</v>
      </c>
      <c r="K52" s="304">
        <v>170.48</v>
      </c>
    </row>
    <row r="53" spans="1:22" ht="14.25" x14ac:dyDescent="0.2">
      <c r="A53" s="301"/>
      <c r="B53" s="302"/>
      <c r="C53" s="302" t="s">
        <v>189</v>
      </c>
      <c r="D53" s="303"/>
      <c r="E53" s="286"/>
      <c r="F53" s="321">
        <v>12.96</v>
      </c>
      <c r="G53" s="305" t="s">
        <v>1549</v>
      </c>
      <c r="H53" s="286">
        <v>1</v>
      </c>
      <c r="I53" s="306">
        <v>2.92</v>
      </c>
      <c r="J53" s="286">
        <v>23.35</v>
      </c>
      <c r="K53" s="306">
        <v>68.180000000000007</v>
      </c>
    </row>
    <row r="54" spans="1:22" ht="14.25" x14ac:dyDescent="0.2">
      <c r="A54" s="301"/>
      <c r="B54" s="302"/>
      <c r="C54" s="302" t="s">
        <v>205</v>
      </c>
      <c r="D54" s="303"/>
      <c r="E54" s="286"/>
      <c r="F54" s="321">
        <v>61.03</v>
      </c>
      <c r="G54" s="305" t="s">
        <v>195</v>
      </c>
      <c r="H54" s="286">
        <v>1</v>
      </c>
      <c r="I54" s="304">
        <v>10.99</v>
      </c>
      <c r="J54" s="286">
        <v>4.26</v>
      </c>
      <c r="K54" s="304">
        <v>46.82</v>
      </c>
    </row>
    <row r="55" spans="1:22" ht="28.5" x14ac:dyDescent="0.2">
      <c r="A55" s="301" t="s">
        <v>1538</v>
      </c>
      <c r="B55" s="302" t="s">
        <v>3162</v>
      </c>
      <c r="C55" s="302" t="s">
        <v>754</v>
      </c>
      <c r="D55" s="303" t="s">
        <v>1533</v>
      </c>
      <c r="E55" s="286">
        <v>6.6600000000000001E-3</v>
      </c>
      <c r="F55" s="321">
        <v>26732.5</v>
      </c>
      <c r="G55" s="315" t="s">
        <v>195</v>
      </c>
      <c r="H55" s="286">
        <v>1</v>
      </c>
      <c r="I55" s="304">
        <v>178.04</v>
      </c>
      <c r="J55" s="286">
        <v>1.96</v>
      </c>
      <c r="K55" s="304">
        <v>348.96</v>
      </c>
      <c r="Q55" s="160">
        <f>[9]Source!X485</f>
        <v>0</v>
      </c>
      <c r="R55" s="160">
        <f>[9]Source!X486</f>
        <v>0</v>
      </c>
      <c r="S55" s="160">
        <f>[9]Source!Y485</f>
        <v>0</v>
      </c>
      <c r="T55" s="160">
        <f>[9]Source!Y486</f>
        <v>0</v>
      </c>
      <c r="U55" s="160">
        <f>ROUND((175/100)*ROUND([9]Source!R485, 2), 2)</f>
        <v>0</v>
      </c>
      <c r="V55" s="160">
        <f>ROUND((157/100)*ROUND([9]Source!R486, 2), 2)</f>
        <v>0</v>
      </c>
    </row>
    <row r="56" spans="1:22" ht="57" x14ac:dyDescent="0.2">
      <c r="A56" s="301" t="s">
        <v>3153</v>
      </c>
      <c r="B56" s="302" t="s">
        <v>2623</v>
      </c>
      <c r="C56" s="302" t="s">
        <v>758</v>
      </c>
      <c r="D56" s="303" t="s">
        <v>1661</v>
      </c>
      <c r="E56" s="286">
        <v>3</v>
      </c>
      <c r="F56" s="321">
        <v>255</v>
      </c>
      <c r="G56" s="315" t="s">
        <v>195</v>
      </c>
      <c r="H56" s="286">
        <v>1</v>
      </c>
      <c r="I56" s="304">
        <v>765</v>
      </c>
      <c r="J56" s="286">
        <v>11.85</v>
      </c>
      <c r="K56" s="304">
        <v>9065.25</v>
      </c>
      <c r="Q56" s="160">
        <f>[9]Source!X487</f>
        <v>0</v>
      </c>
      <c r="R56" s="160">
        <f>[9]Source!X488</f>
        <v>0</v>
      </c>
      <c r="S56" s="160">
        <f>[9]Source!Y487</f>
        <v>0</v>
      </c>
      <c r="T56" s="160">
        <f>[9]Source!Y488</f>
        <v>0</v>
      </c>
      <c r="U56" s="160">
        <f>ROUND((175/100)*ROUND([9]Source!R487, 2), 2)</f>
        <v>0</v>
      </c>
      <c r="V56" s="160">
        <f>ROUND((157/100)*ROUND([9]Source!R488, 2), 2)</f>
        <v>0</v>
      </c>
    </row>
    <row r="57" spans="1:22" ht="57" x14ac:dyDescent="0.2">
      <c r="A57" s="301" t="s">
        <v>3232</v>
      </c>
      <c r="B57" s="302" t="s">
        <v>3170</v>
      </c>
      <c r="C57" s="302" t="s">
        <v>757</v>
      </c>
      <c r="D57" s="303" t="s">
        <v>1552</v>
      </c>
      <c r="E57" s="286">
        <v>18</v>
      </c>
      <c r="F57" s="321">
        <v>76.13</v>
      </c>
      <c r="G57" s="315" t="s">
        <v>195</v>
      </c>
      <c r="H57" s="286">
        <v>1</v>
      </c>
      <c r="I57" s="304">
        <v>1370.34</v>
      </c>
      <c r="J57" s="286">
        <v>8.82</v>
      </c>
      <c r="K57" s="304">
        <v>12086.4</v>
      </c>
      <c r="Q57" s="160">
        <f>[9]Source!X489</f>
        <v>0</v>
      </c>
      <c r="R57" s="160">
        <f>[9]Source!X490</f>
        <v>0</v>
      </c>
      <c r="S57" s="160">
        <f>[9]Source!Y489</f>
        <v>0</v>
      </c>
      <c r="T57" s="160">
        <f>[9]Source!Y490</f>
        <v>0</v>
      </c>
      <c r="U57" s="160">
        <f>ROUND((175/100)*ROUND([9]Source!R489, 2), 2)</f>
        <v>0</v>
      </c>
      <c r="V57" s="160">
        <f>ROUND((157/100)*ROUND([9]Source!R490, 2), 2)</f>
        <v>0</v>
      </c>
    </row>
    <row r="58" spans="1:22" ht="14.25" x14ac:dyDescent="0.2">
      <c r="A58" s="301"/>
      <c r="B58" s="302"/>
      <c r="C58" s="302" t="s">
        <v>194</v>
      </c>
      <c r="D58" s="303" t="s">
        <v>187</v>
      </c>
      <c r="E58" s="286">
        <v>110</v>
      </c>
      <c r="F58" s="321"/>
      <c r="G58" s="305"/>
      <c r="H58" s="286"/>
      <c r="I58" s="304">
        <v>124.43</v>
      </c>
      <c r="J58" s="286">
        <v>88</v>
      </c>
      <c r="K58" s="304">
        <v>2324.39</v>
      </c>
    </row>
    <row r="59" spans="1:22" ht="14.25" x14ac:dyDescent="0.2">
      <c r="A59" s="301"/>
      <c r="B59" s="302"/>
      <c r="C59" s="302" t="s">
        <v>193</v>
      </c>
      <c r="D59" s="303" t="s">
        <v>187</v>
      </c>
      <c r="E59" s="286">
        <v>74</v>
      </c>
      <c r="F59" s="321"/>
      <c r="G59" s="305"/>
      <c r="H59" s="286"/>
      <c r="I59" s="304">
        <v>83.71</v>
      </c>
      <c r="J59" s="286">
        <v>41</v>
      </c>
      <c r="K59" s="304">
        <v>1082.95</v>
      </c>
    </row>
    <row r="60" spans="1:22" ht="14.25" x14ac:dyDescent="0.2">
      <c r="A60" s="301"/>
      <c r="B60" s="302"/>
      <c r="C60" s="302" t="s">
        <v>188</v>
      </c>
      <c r="D60" s="303" t="s">
        <v>187</v>
      </c>
      <c r="E60" s="286">
        <v>175</v>
      </c>
      <c r="F60" s="321"/>
      <c r="G60" s="305"/>
      <c r="H60" s="286"/>
      <c r="I60" s="304">
        <v>5.1100000000000003</v>
      </c>
      <c r="J60" s="286">
        <v>157</v>
      </c>
      <c r="K60" s="304">
        <v>107.04</v>
      </c>
    </row>
    <row r="61" spans="1:22" ht="14.25" x14ac:dyDescent="0.2">
      <c r="A61" s="348"/>
      <c r="B61" s="349"/>
      <c r="C61" s="349" t="s">
        <v>192</v>
      </c>
      <c r="D61" s="350" t="s">
        <v>191</v>
      </c>
      <c r="E61" s="351">
        <v>43.3</v>
      </c>
      <c r="F61" s="352"/>
      <c r="G61" s="353" t="s">
        <v>1548</v>
      </c>
      <c r="H61" s="351">
        <v>1</v>
      </c>
      <c r="I61" s="354">
        <v>8.9600000000000009</v>
      </c>
      <c r="J61" s="351"/>
      <c r="K61" s="354"/>
    </row>
    <row r="62" spans="1:22" ht="15" x14ac:dyDescent="0.25">
      <c r="A62" s="355"/>
      <c r="B62" s="355"/>
      <c r="C62" s="356" t="s">
        <v>183</v>
      </c>
      <c r="D62" s="355"/>
      <c r="E62" s="355"/>
      <c r="F62" s="355"/>
      <c r="G62" s="355"/>
      <c r="H62" s="449">
        <v>2669.64</v>
      </c>
      <c r="I62" s="449"/>
      <c r="J62" s="449">
        <v>27873.64</v>
      </c>
      <c r="K62" s="449"/>
      <c r="O62" s="163">
        <f>I51+I52+I54+I58+I59+I60+SUM(I55:I57)</f>
        <v>2669.64</v>
      </c>
      <c r="P62" s="163">
        <f>K51+K52+K54+K58+K59+K60+SUM(K55:K57)</f>
        <v>27873.64</v>
      </c>
    </row>
    <row r="64" spans="1:22" ht="57" x14ac:dyDescent="0.2">
      <c r="A64" s="301" t="s">
        <v>104</v>
      </c>
      <c r="B64" s="302" t="s">
        <v>894</v>
      </c>
      <c r="C64" s="302" t="s">
        <v>893</v>
      </c>
      <c r="D64" s="303" t="s">
        <v>1903</v>
      </c>
      <c r="E64" s="286">
        <v>3</v>
      </c>
      <c r="F64" s="321"/>
      <c r="G64" s="305"/>
      <c r="H64" s="286"/>
      <c r="I64" s="304"/>
      <c r="J64" s="286"/>
      <c r="K64" s="304"/>
      <c r="Q64" s="160">
        <f>[9]Source!X491</f>
        <v>68</v>
      </c>
      <c r="R64" s="160">
        <f>[9]Source!X492</f>
        <v>1270.28</v>
      </c>
      <c r="S64" s="160">
        <f>[9]Source!Y491</f>
        <v>45.75</v>
      </c>
      <c r="T64" s="160">
        <f>[9]Source!Y492</f>
        <v>591.84</v>
      </c>
      <c r="U64" s="160">
        <f>ROUND((175/100)*ROUND([9]Source!R491, 2), 2)</f>
        <v>2.89</v>
      </c>
      <c r="V64" s="160">
        <f>ROUND((157/100)*ROUND([9]Source!R492, 2), 2)</f>
        <v>60.49</v>
      </c>
    </row>
    <row r="65" spans="1:22" ht="14.25" x14ac:dyDescent="0.2">
      <c r="A65" s="301"/>
      <c r="B65" s="302"/>
      <c r="C65" s="302" t="s">
        <v>197</v>
      </c>
      <c r="D65" s="303"/>
      <c r="E65" s="286"/>
      <c r="F65" s="321">
        <v>17.920000000000002</v>
      </c>
      <c r="G65" s="305" t="s">
        <v>1548</v>
      </c>
      <c r="H65" s="286">
        <v>1</v>
      </c>
      <c r="I65" s="304">
        <v>61.82</v>
      </c>
      <c r="J65" s="286">
        <v>23.35</v>
      </c>
      <c r="K65" s="304">
        <v>1443.5</v>
      </c>
    </row>
    <row r="66" spans="1:22" ht="14.25" x14ac:dyDescent="0.2">
      <c r="A66" s="301"/>
      <c r="B66" s="302"/>
      <c r="C66" s="302" t="s">
        <v>184</v>
      </c>
      <c r="D66" s="303"/>
      <c r="E66" s="286"/>
      <c r="F66" s="321">
        <v>3.35</v>
      </c>
      <c r="G66" s="305" t="s">
        <v>1549</v>
      </c>
      <c r="H66" s="286">
        <v>1</v>
      </c>
      <c r="I66" s="304">
        <v>12.56</v>
      </c>
      <c r="J66" s="286">
        <v>7.71</v>
      </c>
      <c r="K66" s="304">
        <v>96.84</v>
      </c>
    </row>
    <row r="67" spans="1:22" ht="14.25" x14ac:dyDescent="0.2">
      <c r="A67" s="301"/>
      <c r="B67" s="302"/>
      <c r="C67" s="302" t="s">
        <v>189</v>
      </c>
      <c r="D67" s="303"/>
      <c r="E67" s="286"/>
      <c r="F67" s="321">
        <v>0.44</v>
      </c>
      <c r="G67" s="305" t="s">
        <v>1549</v>
      </c>
      <c r="H67" s="286">
        <v>1</v>
      </c>
      <c r="I67" s="306">
        <v>1.65</v>
      </c>
      <c r="J67" s="286">
        <v>23.35</v>
      </c>
      <c r="K67" s="306">
        <v>38.53</v>
      </c>
    </row>
    <row r="68" spans="1:22" ht="14.25" x14ac:dyDescent="0.2">
      <c r="A68" s="301"/>
      <c r="B68" s="302"/>
      <c r="C68" s="302" t="s">
        <v>205</v>
      </c>
      <c r="D68" s="303"/>
      <c r="E68" s="286"/>
      <c r="F68" s="321">
        <v>20.5</v>
      </c>
      <c r="G68" s="305" t="s">
        <v>195</v>
      </c>
      <c r="H68" s="286">
        <v>1</v>
      </c>
      <c r="I68" s="304">
        <v>61.5</v>
      </c>
      <c r="J68" s="286">
        <v>4.41</v>
      </c>
      <c r="K68" s="304">
        <v>271.22000000000003</v>
      </c>
    </row>
    <row r="69" spans="1:22" ht="71.25" x14ac:dyDescent="0.2">
      <c r="A69" s="301" t="s">
        <v>1542</v>
      </c>
      <c r="B69" s="302" t="s">
        <v>3233</v>
      </c>
      <c r="C69" s="302" t="s">
        <v>892</v>
      </c>
      <c r="D69" s="303" t="s">
        <v>1661</v>
      </c>
      <c r="E69" s="286">
        <v>6</v>
      </c>
      <c r="F69" s="321">
        <v>97.38</v>
      </c>
      <c r="G69" s="315" t="s">
        <v>195</v>
      </c>
      <c r="H69" s="286">
        <v>1</v>
      </c>
      <c r="I69" s="304">
        <v>584.28</v>
      </c>
      <c r="J69" s="286">
        <v>2.52</v>
      </c>
      <c r="K69" s="304">
        <v>1472.39</v>
      </c>
      <c r="Q69" s="160">
        <f>[9]Source!X493</f>
        <v>0</v>
      </c>
      <c r="R69" s="160">
        <f>[9]Source!X494</f>
        <v>0</v>
      </c>
      <c r="S69" s="160">
        <f>[9]Source!Y493</f>
        <v>0</v>
      </c>
      <c r="T69" s="160">
        <f>[9]Source!Y494</f>
        <v>0</v>
      </c>
      <c r="U69" s="160">
        <f>ROUND((175/100)*ROUND([9]Source!R493, 2), 2)</f>
        <v>0</v>
      </c>
      <c r="V69" s="160">
        <f>ROUND((157/100)*ROUND([9]Source!R494, 2), 2)</f>
        <v>0</v>
      </c>
    </row>
    <row r="70" spans="1:22" ht="57" x14ac:dyDescent="0.2">
      <c r="A70" s="301" t="s">
        <v>3234</v>
      </c>
      <c r="B70" s="302" t="s">
        <v>3235</v>
      </c>
      <c r="C70" s="302" t="s">
        <v>891</v>
      </c>
      <c r="D70" s="303" t="s">
        <v>1661</v>
      </c>
      <c r="E70" s="286">
        <v>3</v>
      </c>
      <c r="F70" s="321">
        <v>1689.84</v>
      </c>
      <c r="G70" s="315" t="s">
        <v>195</v>
      </c>
      <c r="H70" s="286">
        <v>1</v>
      </c>
      <c r="I70" s="304">
        <v>5069.5200000000004</v>
      </c>
      <c r="J70" s="286">
        <v>4.9800000000000004</v>
      </c>
      <c r="K70" s="304">
        <v>25246.21</v>
      </c>
      <c r="Q70" s="160">
        <f>[9]Source!X495</f>
        <v>0</v>
      </c>
      <c r="R70" s="160">
        <f>[9]Source!X496</f>
        <v>0</v>
      </c>
      <c r="S70" s="160">
        <f>[9]Source!Y495</f>
        <v>0</v>
      </c>
      <c r="T70" s="160">
        <f>[9]Source!Y496</f>
        <v>0</v>
      </c>
      <c r="U70" s="160">
        <f>ROUND((175/100)*ROUND([9]Source!R495, 2), 2)</f>
        <v>0</v>
      </c>
      <c r="V70" s="160">
        <f>ROUND((157/100)*ROUND([9]Source!R496, 2), 2)</f>
        <v>0</v>
      </c>
    </row>
    <row r="71" spans="1:22" ht="14.25" x14ac:dyDescent="0.2">
      <c r="A71" s="301"/>
      <c r="B71" s="302"/>
      <c r="C71" s="302" t="s">
        <v>194</v>
      </c>
      <c r="D71" s="303" t="s">
        <v>187</v>
      </c>
      <c r="E71" s="286">
        <v>110</v>
      </c>
      <c r="F71" s="321"/>
      <c r="G71" s="305"/>
      <c r="H71" s="286"/>
      <c r="I71" s="304">
        <v>68</v>
      </c>
      <c r="J71" s="286">
        <v>88</v>
      </c>
      <c r="K71" s="304">
        <v>1270.28</v>
      </c>
    </row>
    <row r="72" spans="1:22" ht="14.25" x14ac:dyDescent="0.2">
      <c r="A72" s="301"/>
      <c r="B72" s="302"/>
      <c r="C72" s="302" t="s">
        <v>193</v>
      </c>
      <c r="D72" s="303" t="s">
        <v>187</v>
      </c>
      <c r="E72" s="286">
        <v>74</v>
      </c>
      <c r="F72" s="321"/>
      <c r="G72" s="305"/>
      <c r="H72" s="286"/>
      <c r="I72" s="304">
        <v>45.75</v>
      </c>
      <c r="J72" s="286">
        <v>41</v>
      </c>
      <c r="K72" s="304">
        <v>591.84</v>
      </c>
    </row>
    <row r="73" spans="1:22" ht="14.25" x14ac:dyDescent="0.2">
      <c r="A73" s="301"/>
      <c r="B73" s="302"/>
      <c r="C73" s="302" t="s">
        <v>188</v>
      </c>
      <c r="D73" s="303" t="s">
        <v>187</v>
      </c>
      <c r="E73" s="286">
        <v>175</v>
      </c>
      <c r="F73" s="321"/>
      <c r="G73" s="305"/>
      <c r="H73" s="286"/>
      <c r="I73" s="304">
        <v>2.89</v>
      </c>
      <c r="J73" s="286">
        <v>157</v>
      </c>
      <c r="K73" s="304">
        <v>60.49</v>
      </c>
    </row>
    <row r="74" spans="1:22" ht="14.25" x14ac:dyDescent="0.2">
      <c r="A74" s="348"/>
      <c r="B74" s="349"/>
      <c r="C74" s="349" t="s">
        <v>192</v>
      </c>
      <c r="D74" s="350" t="s">
        <v>191</v>
      </c>
      <c r="E74" s="351">
        <v>1.47</v>
      </c>
      <c r="F74" s="352"/>
      <c r="G74" s="353" t="s">
        <v>1548</v>
      </c>
      <c r="H74" s="351">
        <v>1</v>
      </c>
      <c r="I74" s="354">
        <v>5.07</v>
      </c>
      <c r="J74" s="351"/>
      <c r="K74" s="354"/>
    </row>
    <row r="75" spans="1:22" ht="15" x14ac:dyDescent="0.25">
      <c r="A75" s="355"/>
      <c r="B75" s="355"/>
      <c r="C75" s="356" t="s">
        <v>183</v>
      </c>
      <c r="D75" s="355"/>
      <c r="E75" s="355"/>
      <c r="F75" s="355"/>
      <c r="G75" s="355"/>
      <c r="H75" s="449">
        <v>5906.32</v>
      </c>
      <c r="I75" s="449"/>
      <c r="J75" s="449">
        <v>30452.77</v>
      </c>
      <c r="K75" s="449"/>
      <c r="O75" s="163">
        <f>I65+I66+I68+I71+I72+I73+SUM(I69:I70)</f>
        <v>5906.32</v>
      </c>
      <c r="P75" s="163">
        <f>K65+K66+K68+K71+K72+K73+SUM(K69:K70)</f>
        <v>30452.77</v>
      </c>
    </row>
    <row r="77" spans="1:22" ht="52.5" x14ac:dyDescent="0.2">
      <c r="A77" s="301" t="s">
        <v>1546</v>
      </c>
      <c r="B77" s="302" t="s">
        <v>890</v>
      </c>
      <c r="C77" s="302" t="s">
        <v>889</v>
      </c>
      <c r="D77" s="303" t="s">
        <v>3186</v>
      </c>
      <c r="E77" s="286">
        <v>1</v>
      </c>
      <c r="F77" s="321"/>
      <c r="G77" s="305"/>
      <c r="H77" s="286"/>
      <c r="I77" s="304"/>
      <c r="J77" s="286"/>
      <c r="K77" s="304"/>
      <c r="Q77" s="160">
        <f>[9]Source!X497</f>
        <v>90.05</v>
      </c>
      <c r="R77" s="160">
        <f>[9]Source!X498</f>
        <v>1682.06</v>
      </c>
      <c r="S77" s="160">
        <f>[9]Source!Y497</f>
        <v>60.58</v>
      </c>
      <c r="T77" s="160">
        <f>[9]Source!Y498</f>
        <v>783.69</v>
      </c>
      <c r="U77" s="160">
        <f>ROUND((175/100)*ROUND([9]Source!R497, 2), 2)</f>
        <v>1.49</v>
      </c>
      <c r="V77" s="160">
        <f>ROUND((157/100)*ROUND([9]Source!R498, 2), 2)</f>
        <v>31.16</v>
      </c>
    </row>
    <row r="78" spans="1:22" ht="14.25" x14ac:dyDescent="0.2">
      <c r="A78" s="301"/>
      <c r="B78" s="302"/>
      <c r="C78" s="302" t="s">
        <v>197</v>
      </c>
      <c r="D78" s="303"/>
      <c r="E78" s="286"/>
      <c r="F78" s="321">
        <v>71.180000000000007</v>
      </c>
      <c r="G78" s="305" t="s">
        <v>1548</v>
      </c>
      <c r="H78" s="286">
        <v>1</v>
      </c>
      <c r="I78" s="304">
        <v>81.86</v>
      </c>
      <c r="J78" s="286">
        <v>23.35</v>
      </c>
      <c r="K78" s="304">
        <v>1911.43</v>
      </c>
    </row>
    <row r="79" spans="1:22" ht="14.25" x14ac:dyDescent="0.2">
      <c r="A79" s="301"/>
      <c r="B79" s="302"/>
      <c r="C79" s="302" t="s">
        <v>184</v>
      </c>
      <c r="D79" s="303"/>
      <c r="E79" s="286"/>
      <c r="F79" s="321">
        <v>5.6</v>
      </c>
      <c r="G79" s="305" t="s">
        <v>1549</v>
      </c>
      <c r="H79" s="286">
        <v>1</v>
      </c>
      <c r="I79" s="304">
        <v>7</v>
      </c>
      <c r="J79" s="286">
        <v>7.54</v>
      </c>
      <c r="K79" s="304">
        <v>52.78</v>
      </c>
    </row>
    <row r="80" spans="1:22" ht="14.25" x14ac:dyDescent="0.2">
      <c r="A80" s="301"/>
      <c r="B80" s="302"/>
      <c r="C80" s="302" t="s">
        <v>189</v>
      </c>
      <c r="D80" s="303"/>
      <c r="E80" s="286"/>
      <c r="F80" s="321">
        <v>0.68</v>
      </c>
      <c r="G80" s="305" t="s">
        <v>1549</v>
      </c>
      <c r="H80" s="286">
        <v>1</v>
      </c>
      <c r="I80" s="306">
        <v>0.85</v>
      </c>
      <c r="J80" s="286">
        <v>23.35</v>
      </c>
      <c r="K80" s="306">
        <v>19.850000000000001</v>
      </c>
    </row>
    <row r="81" spans="1:22" ht="14.25" x14ac:dyDescent="0.2">
      <c r="A81" s="301"/>
      <c r="B81" s="302"/>
      <c r="C81" s="302" t="s">
        <v>205</v>
      </c>
      <c r="D81" s="303"/>
      <c r="E81" s="286"/>
      <c r="F81" s="321">
        <v>30.7</v>
      </c>
      <c r="G81" s="305" t="s">
        <v>195</v>
      </c>
      <c r="H81" s="286">
        <v>1</v>
      </c>
      <c r="I81" s="304">
        <v>30.7</v>
      </c>
      <c r="J81" s="286">
        <v>6.48</v>
      </c>
      <c r="K81" s="304">
        <v>198.94</v>
      </c>
    </row>
    <row r="82" spans="1:22" ht="71.25" x14ac:dyDescent="0.2">
      <c r="A82" s="301" t="s">
        <v>1550</v>
      </c>
      <c r="B82" s="302" t="s">
        <v>3236</v>
      </c>
      <c r="C82" s="302" t="s">
        <v>888</v>
      </c>
      <c r="D82" s="303" t="s">
        <v>1661</v>
      </c>
      <c r="E82" s="286">
        <v>1</v>
      </c>
      <c r="F82" s="321">
        <v>55.17</v>
      </c>
      <c r="G82" s="315" t="s">
        <v>195</v>
      </c>
      <c r="H82" s="286">
        <v>1</v>
      </c>
      <c r="I82" s="304">
        <v>55.17</v>
      </c>
      <c r="J82" s="286">
        <v>4.0599999999999996</v>
      </c>
      <c r="K82" s="304">
        <v>223.99</v>
      </c>
      <c r="Q82" s="160">
        <f>[9]Source!X499</f>
        <v>0</v>
      </c>
      <c r="R82" s="160">
        <f>[9]Source!X500</f>
        <v>0</v>
      </c>
      <c r="S82" s="160">
        <f>[9]Source!Y499</f>
        <v>0</v>
      </c>
      <c r="T82" s="160">
        <f>[9]Source!Y500</f>
        <v>0</v>
      </c>
      <c r="U82" s="160">
        <f>ROUND((175/100)*ROUND([9]Source!R499, 2), 2)</f>
        <v>0</v>
      </c>
      <c r="V82" s="160">
        <f>ROUND((157/100)*ROUND([9]Source!R500, 2), 2)</f>
        <v>0</v>
      </c>
    </row>
    <row r="83" spans="1:22" ht="14.25" x14ac:dyDescent="0.2">
      <c r="A83" s="301"/>
      <c r="B83" s="302"/>
      <c r="C83" s="302" t="s">
        <v>194</v>
      </c>
      <c r="D83" s="303" t="s">
        <v>187</v>
      </c>
      <c r="E83" s="286">
        <v>110</v>
      </c>
      <c r="F83" s="321"/>
      <c r="G83" s="305"/>
      <c r="H83" s="286"/>
      <c r="I83" s="304">
        <v>90.05</v>
      </c>
      <c r="J83" s="286">
        <v>88</v>
      </c>
      <c r="K83" s="304">
        <v>1682.06</v>
      </c>
    </row>
    <row r="84" spans="1:22" ht="14.25" x14ac:dyDescent="0.2">
      <c r="A84" s="301"/>
      <c r="B84" s="302"/>
      <c r="C84" s="302" t="s">
        <v>193</v>
      </c>
      <c r="D84" s="303" t="s">
        <v>187</v>
      </c>
      <c r="E84" s="286">
        <v>74</v>
      </c>
      <c r="F84" s="321"/>
      <c r="G84" s="305"/>
      <c r="H84" s="286"/>
      <c r="I84" s="304">
        <v>60.58</v>
      </c>
      <c r="J84" s="286">
        <v>41</v>
      </c>
      <c r="K84" s="304">
        <v>783.69</v>
      </c>
    </row>
    <row r="85" spans="1:22" ht="14.25" x14ac:dyDescent="0.2">
      <c r="A85" s="301"/>
      <c r="B85" s="302"/>
      <c r="C85" s="302" t="s">
        <v>188</v>
      </c>
      <c r="D85" s="303" t="s">
        <v>187</v>
      </c>
      <c r="E85" s="286">
        <v>175</v>
      </c>
      <c r="F85" s="321"/>
      <c r="G85" s="305"/>
      <c r="H85" s="286"/>
      <c r="I85" s="304">
        <v>1.49</v>
      </c>
      <c r="J85" s="286">
        <v>157</v>
      </c>
      <c r="K85" s="304">
        <v>31.16</v>
      </c>
    </row>
    <row r="86" spans="1:22" ht="14.25" x14ac:dyDescent="0.2">
      <c r="A86" s="348"/>
      <c r="B86" s="349"/>
      <c r="C86" s="349" t="s">
        <v>192</v>
      </c>
      <c r="D86" s="350" t="s">
        <v>191</v>
      </c>
      <c r="E86" s="351">
        <v>5.64</v>
      </c>
      <c r="F86" s="352"/>
      <c r="G86" s="353" t="s">
        <v>1548</v>
      </c>
      <c r="H86" s="351">
        <v>1</v>
      </c>
      <c r="I86" s="354">
        <v>6.49</v>
      </c>
      <c r="J86" s="351"/>
      <c r="K86" s="354"/>
    </row>
    <row r="87" spans="1:22" ht="15" x14ac:dyDescent="0.25">
      <c r="A87" s="355"/>
      <c r="B87" s="355"/>
      <c r="C87" s="356" t="s">
        <v>183</v>
      </c>
      <c r="D87" s="355"/>
      <c r="E87" s="355"/>
      <c r="F87" s="355"/>
      <c r="G87" s="355"/>
      <c r="H87" s="449">
        <v>326.85000000000002</v>
      </c>
      <c r="I87" s="449"/>
      <c r="J87" s="449">
        <v>4884.05</v>
      </c>
      <c r="K87" s="449"/>
      <c r="O87" s="163">
        <f>I78+I79+I81+I83+I84+I85+SUM(I82:I82)</f>
        <v>326.85000000000002</v>
      </c>
      <c r="P87" s="163">
        <f>K78+K79+K81+K83+K84+K85+SUM(K82:K82)</f>
        <v>4884.05</v>
      </c>
    </row>
    <row r="90" spans="1:22" ht="15" x14ac:dyDescent="0.25">
      <c r="A90" s="447" t="s">
        <v>3237</v>
      </c>
      <c r="B90" s="447"/>
      <c r="C90" s="447"/>
      <c r="D90" s="447"/>
      <c r="E90" s="447"/>
      <c r="F90" s="447"/>
      <c r="G90" s="447"/>
      <c r="H90" s="445">
        <v>28460.66</v>
      </c>
      <c r="I90" s="446"/>
      <c r="J90" s="445">
        <v>128550.17</v>
      </c>
      <c r="K90" s="446"/>
    </row>
    <row r="91" spans="1:22" hidden="1" x14ac:dyDescent="0.2">
      <c r="A91" s="281" t="s">
        <v>182</v>
      </c>
      <c r="I91" s="281">
        <v>0</v>
      </c>
      <c r="J91" s="281">
        <v>0</v>
      </c>
    </row>
    <row r="92" spans="1:22" hidden="1" x14ac:dyDescent="0.2">
      <c r="A92" s="281" t="s">
        <v>181</v>
      </c>
      <c r="I92" s="281">
        <v>0</v>
      </c>
      <c r="J92" s="281">
        <v>0</v>
      </c>
    </row>
    <row r="94" spans="1:22" ht="16.5" x14ac:dyDescent="0.25">
      <c r="A94" s="448" t="s">
        <v>3238</v>
      </c>
      <c r="B94" s="448"/>
      <c r="C94" s="448"/>
      <c r="D94" s="448"/>
      <c r="E94" s="448"/>
      <c r="F94" s="448"/>
      <c r="G94" s="448"/>
      <c r="H94" s="448"/>
      <c r="I94" s="448"/>
      <c r="J94" s="448"/>
      <c r="K94" s="448"/>
    </row>
    <row r="95" spans="1:22" ht="52.5" x14ac:dyDescent="0.2">
      <c r="A95" s="301" t="s">
        <v>105</v>
      </c>
      <c r="B95" s="302" t="s">
        <v>716</v>
      </c>
      <c r="C95" s="302" t="s">
        <v>715</v>
      </c>
      <c r="D95" s="303" t="s">
        <v>2094</v>
      </c>
      <c r="E95" s="286">
        <v>8</v>
      </c>
      <c r="F95" s="321"/>
      <c r="G95" s="305"/>
      <c r="H95" s="286"/>
      <c r="I95" s="304"/>
      <c r="J95" s="286"/>
      <c r="K95" s="304"/>
      <c r="Q95" s="160">
        <f>[9]Source!X536</f>
        <v>280.63</v>
      </c>
      <c r="R95" s="160">
        <f>[9]Source!X537</f>
        <v>5242.2</v>
      </c>
      <c r="S95" s="160">
        <f>[9]Source!Y536</f>
        <v>188.79</v>
      </c>
      <c r="T95" s="160">
        <f>[9]Source!Y537</f>
        <v>2442.39</v>
      </c>
      <c r="U95" s="160">
        <f>ROUND((175/100)*ROUND([9]Source!R536, 2), 2)</f>
        <v>15.4</v>
      </c>
      <c r="V95" s="160">
        <f>ROUND((157/100)*ROUND([9]Source!R537, 2), 2)</f>
        <v>322.60000000000002</v>
      </c>
    </row>
    <row r="96" spans="1:22" ht="14.25" x14ac:dyDescent="0.2">
      <c r="A96" s="301"/>
      <c r="B96" s="302"/>
      <c r="C96" s="302" t="s">
        <v>197</v>
      </c>
      <c r="D96" s="303"/>
      <c r="E96" s="286"/>
      <c r="F96" s="321">
        <v>27.73</v>
      </c>
      <c r="G96" s="305" t="s">
        <v>1548</v>
      </c>
      <c r="H96" s="286">
        <v>1</v>
      </c>
      <c r="I96" s="304">
        <v>255.12</v>
      </c>
      <c r="J96" s="286">
        <v>23.35</v>
      </c>
      <c r="K96" s="304">
        <v>5957.05</v>
      </c>
    </row>
    <row r="97" spans="1:22" ht="14.25" x14ac:dyDescent="0.2">
      <c r="A97" s="301"/>
      <c r="B97" s="302"/>
      <c r="C97" s="302" t="s">
        <v>184</v>
      </c>
      <c r="D97" s="303"/>
      <c r="E97" s="286"/>
      <c r="F97" s="321">
        <v>3.72</v>
      </c>
      <c r="G97" s="305" t="s">
        <v>1549</v>
      </c>
      <c r="H97" s="286">
        <v>1</v>
      </c>
      <c r="I97" s="304">
        <v>37.200000000000003</v>
      </c>
      <c r="J97" s="286">
        <v>9.61</v>
      </c>
      <c r="K97" s="304">
        <v>357.49</v>
      </c>
    </row>
    <row r="98" spans="1:22" ht="14.25" x14ac:dyDescent="0.2">
      <c r="A98" s="301"/>
      <c r="B98" s="302"/>
      <c r="C98" s="302" t="s">
        <v>189</v>
      </c>
      <c r="D98" s="303"/>
      <c r="E98" s="286"/>
      <c r="F98" s="321">
        <v>0.88</v>
      </c>
      <c r="G98" s="305" t="s">
        <v>1549</v>
      </c>
      <c r="H98" s="286">
        <v>1</v>
      </c>
      <c r="I98" s="306">
        <v>8.8000000000000007</v>
      </c>
      <c r="J98" s="286">
        <v>23.35</v>
      </c>
      <c r="K98" s="306">
        <v>205.48</v>
      </c>
    </row>
    <row r="99" spans="1:22" ht="14.25" x14ac:dyDescent="0.2">
      <c r="A99" s="301"/>
      <c r="B99" s="302"/>
      <c r="C99" s="302" t="s">
        <v>205</v>
      </c>
      <c r="D99" s="303"/>
      <c r="E99" s="286"/>
      <c r="F99" s="321">
        <v>11.48</v>
      </c>
      <c r="G99" s="305" t="s">
        <v>195</v>
      </c>
      <c r="H99" s="286">
        <v>1</v>
      </c>
      <c r="I99" s="304">
        <v>91.84</v>
      </c>
      <c r="J99" s="286">
        <v>5.42</v>
      </c>
      <c r="K99" s="304">
        <v>497.77</v>
      </c>
    </row>
    <row r="100" spans="1:22" ht="57" x14ac:dyDescent="0.2">
      <c r="A100" s="301" t="s">
        <v>1558</v>
      </c>
      <c r="B100" s="302" t="s">
        <v>3239</v>
      </c>
      <c r="C100" s="302" t="s">
        <v>887</v>
      </c>
      <c r="D100" s="303" t="s">
        <v>3240</v>
      </c>
      <c r="E100" s="286">
        <v>8</v>
      </c>
      <c r="F100" s="321">
        <v>456.4</v>
      </c>
      <c r="G100" s="315" t="s">
        <v>195</v>
      </c>
      <c r="H100" s="286">
        <v>1</v>
      </c>
      <c r="I100" s="304">
        <v>3651.2</v>
      </c>
      <c r="J100" s="286">
        <v>3.67</v>
      </c>
      <c r="K100" s="304">
        <v>13399.9</v>
      </c>
      <c r="Q100" s="160">
        <f>[9]Source!X538</f>
        <v>0</v>
      </c>
      <c r="R100" s="160">
        <f>[9]Source!X539</f>
        <v>0</v>
      </c>
      <c r="S100" s="160">
        <f>[9]Source!Y538</f>
        <v>0</v>
      </c>
      <c r="T100" s="160">
        <f>[9]Source!Y539</f>
        <v>0</v>
      </c>
      <c r="U100" s="160">
        <f>ROUND((175/100)*ROUND([9]Source!R538, 2), 2)</f>
        <v>0</v>
      </c>
      <c r="V100" s="160">
        <f>ROUND((157/100)*ROUND([9]Source!R539, 2), 2)</f>
        <v>0</v>
      </c>
    </row>
    <row r="101" spans="1:22" ht="14.25" x14ac:dyDescent="0.2">
      <c r="A101" s="301"/>
      <c r="B101" s="302"/>
      <c r="C101" s="302" t="s">
        <v>194</v>
      </c>
      <c r="D101" s="303" t="s">
        <v>187</v>
      </c>
      <c r="E101" s="286">
        <v>110</v>
      </c>
      <c r="F101" s="321"/>
      <c r="G101" s="305"/>
      <c r="H101" s="286"/>
      <c r="I101" s="304">
        <v>280.63</v>
      </c>
      <c r="J101" s="286">
        <v>88</v>
      </c>
      <c r="K101" s="304">
        <v>5242.2</v>
      </c>
    </row>
    <row r="102" spans="1:22" ht="14.25" x14ac:dyDescent="0.2">
      <c r="A102" s="301"/>
      <c r="B102" s="302"/>
      <c r="C102" s="302" t="s">
        <v>193</v>
      </c>
      <c r="D102" s="303" t="s">
        <v>187</v>
      </c>
      <c r="E102" s="286">
        <v>74</v>
      </c>
      <c r="F102" s="321"/>
      <c r="G102" s="305"/>
      <c r="H102" s="286"/>
      <c r="I102" s="304">
        <v>188.79</v>
      </c>
      <c r="J102" s="286">
        <v>41</v>
      </c>
      <c r="K102" s="304">
        <v>2442.39</v>
      </c>
    </row>
    <row r="103" spans="1:22" ht="14.25" x14ac:dyDescent="0.2">
      <c r="A103" s="301"/>
      <c r="B103" s="302"/>
      <c r="C103" s="302" t="s">
        <v>188</v>
      </c>
      <c r="D103" s="303" t="s">
        <v>187</v>
      </c>
      <c r="E103" s="286">
        <v>175</v>
      </c>
      <c r="F103" s="321"/>
      <c r="G103" s="305"/>
      <c r="H103" s="286"/>
      <c r="I103" s="304">
        <v>15.4</v>
      </c>
      <c r="J103" s="286">
        <v>157</v>
      </c>
      <c r="K103" s="304">
        <v>322.60000000000002</v>
      </c>
    </row>
    <row r="104" spans="1:22" ht="14.25" x14ac:dyDescent="0.2">
      <c r="A104" s="348"/>
      <c r="B104" s="349"/>
      <c r="C104" s="349" t="s">
        <v>192</v>
      </c>
      <c r="D104" s="350" t="s">
        <v>191</v>
      </c>
      <c r="E104" s="351">
        <v>2.2200000000000002</v>
      </c>
      <c r="F104" s="352"/>
      <c r="G104" s="353" t="s">
        <v>1548</v>
      </c>
      <c r="H104" s="351">
        <v>1</v>
      </c>
      <c r="I104" s="354">
        <v>20.420000000000002</v>
      </c>
      <c r="J104" s="351"/>
      <c r="K104" s="354"/>
    </row>
    <row r="105" spans="1:22" ht="15" x14ac:dyDescent="0.25">
      <c r="A105" s="355"/>
      <c r="B105" s="355"/>
      <c r="C105" s="356" t="s">
        <v>183</v>
      </c>
      <c r="D105" s="355"/>
      <c r="E105" s="355"/>
      <c r="F105" s="355"/>
      <c r="G105" s="355"/>
      <c r="H105" s="449">
        <v>4520.18</v>
      </c>
      <c r="I105" s="449"/>
      <c r="J105" s="449">
        <v>28219.4</v>
      </c>
      <c r="K105" s="449"/>
      <c r="O105" s="163">
        <f>I96+I97+I99+I101+I102+I103+SUM(I100:I100)</f>
        <v>4520.18</v>
      </c>
      <c r="P105" s="163">
        <f>K96+K97+K99+K101+K102+K103+SUM(K100:K100)</f>
        <v>28219.4</v>
      </c>
    </row>
    <row r="107" spans="1:22" ht="52.5" x14ac:dyDescent="0.2">
      <c r="A107" s="301" t="s">
        <v>1560</v>
      </c>
      <c r="B107" s="302" t="s">
        <v>886</v>
      </c>
      <c r="C107" s="302" t="s">
        <v>885</v>
      </c>
      <c r="D107" s="303" t="s">
        <v>3241</v>
      </c>
      <c r="E107" s="286">
        <v>0.08</v>
      </c>
      <c r="F107" s="321"/>
      <c r="G107" s="305"/>
      <c r="H107" s="286"/>
      <c r="I107" s="304"/>
      <c r="J107" s="286"/>
      <c r="K107" s="304"/>
      <c r="Q107" s="160">
        <f>[9]Source!X540</f>
        <v>43.04</v>
      </c>
      <c r="R107" s="160">
        <f>[9]Source!X541</f>
        <v>804.05</v>
      </c>
      <c r="S107" s="160">
        <f>[9]Source!Y540</f>
        <v>28.96</v>
      </c>
      <c r="T107" s="160">
        <f>[9]Source!Y541</f>
        <v>374.61</v>
      </c>
      <c r="U107" s="160">
        <f>ROUND((175/100)*ROUND([9]Source!R540, 2), 2)</f>
        <v>0</v>
      </c>
      <c r="V107" s="160">
        <f>ROUND((157/100)*ROUND([9]Source!R541, 2), 2)</f>
        <v>0</v>
      </c>
    </row>
    <row r="108" spans="1:22" x14ac:dyDescent="0.2">
      <c r="C108" s="316" t="s">
        <v>3242</v>
      </c>
    </row>
    <row r="109" spans="1:22" ht="14.25" x14ac:dyDescent="0.2">
      <c r="A109" s="301"/>
      <c r="B109" s="302"/>
      <c r="C109" s="302" t="s">
        <v>197</v>
      </c>
      <c r="D109" s="303"/>
      <c r="E109" s="286"/>
      <c r="F109" s="321">
        <v>425.29</v>
      </c>
      <c r="G109" s="305" t="s">
        <v>1548</v>
      </c>
      <c r="H109" s="286">
        <v>1</v>
      </c>
      <c r="I109" s="304">
        <v>39.130000000000003</v>
      </c>
      <c r="J109" s="286">
        <v>23.35</v>
      </c>
      <c r="K109" s="304">
        <v>913.69</v>
      </c>
    </row>
    <row r="110" spans="1:22" ht="57" x14ac:dyDescent="0.2">
      <c r="A110" s="301" t="s">
        <v>1562</v>
      </c>
      <c r="B110" s="302" t="s">
        <v>3243</v>
      </c>
      <c r="C110" s="302" t="s">
        <v>884</v>
      </c>
      <c r="D110" s="303" t="s">
        <v>3240</v>
      </c>
      <c r="E110" s="286">
        <v>8</v>
      </c>
      <c r="F110" s="321">
        <v>41</v>
      </c>
      <c r="G110" s="315" t="s">
        <v>195</v>
      </c>
      <c r="H110" s="286">
        <v>1</v>
      </c>
      <c r="I110" s="304">
        <v>328</v>
      </c>
      <c r="J110" s="286">
        <v>2.1</v>
      </c>
      <c r="K110" s="304">
        <v>688.8</v>
      </c>
      <c r="Q110" s="160">
        <f>[9]Source!X542</f>
        <v>0</v>
      </c>
      <c r="R110" s="160">
        <f>[9]Source!X543</f>
        <v>0</v>
      </c>
      <c r="S110" s="160">
        <f>[9]Source!Y542</f>
        <v>0</v>
      </c>
      <c r="T110" s="160">
        <f>[9]Source!Y543</f>
        <v>0</v>
      </c>
      <c r="U110" s="160">
        <f>ROUND((175/100)*ROUND([9]Source!R542, 2), 2)</f>
        <v>0</v>
      </c>
      <c r="V110" s="160">
        <f>ROUND((157/100)*ROUND([9]Source!R543, 2), 2)</f>
        <v>0</v>
      </c>
    </row>
    <row r="111" spans="1:22" ht="14.25" x14ac:dyDescent="0.2">
      <c r="A111" s="301"/>
      <c r="B111" s="302"/>
      <c r="C111" s="302" t="s">
        <v>194</v>
      </c>
      <c r="D111" s="303" t="s">
        <v>187</v>
      </c>
      <c r="E111" s="286">
        <v>110</v>
      </c>
      <c r="F111" s="321"/>
      <c r="G111" s="305"/>
      <c r="H111" s="286"/>
      <c r="I111" s="304">
        <v>43.04</v>
      </c>
      <c r="J111" s="286">
        <v>88</v>
      </c>
      <c r="K111" s="304">
        <v>804.05</v>
      </c>
    </row>
    <row r="112" spans="1:22" ht="14.25" x14ac:dyDescent="0.2">
      <c r="A112" s="301"/>
      <c r="B112" s="302"/>
      <c r="C112" s="302" t="s">
        <v>193</v>
      </c>
      <c r="D112" s="303" t="s">
        <v>187</v>
      </c>
      <c r="E112" s="286">
        <v>74</v>
      </c>
      <c r="F112" s="321"/>
      <c r="G112" s="305"/>
      <c r="H112" s="286"/>
      <c r="I112" s="304">
        <v>28.96</v>
      </c>
      <c r="J112" s="286">
        <v>41</v>
      </c>
      <c r="K112" s="304">
        <v>374.61</v>
      </c>
    </row>
    <row r="113" spans="1:22" ht="14.25" x14ac:dyDescent="0.2">
      <c r="A113" s="348"/>
      <c r="B113" s="349"/>
      <c r="C113" s="349" t="s">
        <v>192</v>
      </c>
      <c r="D113" s="350" t="s">
        <v>191</v>
      </c>
      <c r="E113" s="351">
        <v>33.700000000000003</v>
      </c>
      <c r="F113" s="352"/>
      <c r="G113" s="353" t="s">
        <v>1548</v>
      </c>
      <c r="H113" s="351">
        <v>1</v>
      </c>
      <c r="I113" s="354">
        <v>3.1</v>
      </c>
      <c r="J113" s="351"/>
      <c r="K113" s="354"/>
    </row>
    <row r="114" spans="1:22" ht="15" x14ac:dyDescent="0.25">
      <c r="A114" s="355"/>
      <c r="B114" s="355"/>
      <c r="C114" s="356" t="s">
        <v>183</v>
      </c>
      <c r="D114" s="355"/>
      <c r="E114" s="355"/>
      <c r="F114" s="355"/>
      <c r="G114" s="355"/>
      <c r="H114" s="449">
        <v>439.13</v>
      </c>
      <c r="I114" s="449"/>
      <c r="J114" s="449">
        <v>2781.15</v>
      </c>
      <c r="K114" s="449"/>
      <c r="O114" s="163">
        <f>I109+I111+I112+SUM(I110:I110)</f>
        <v>439.13</v>
      </c>
      <c r="P114" s="163">
        <f>K109+K111+K112+SUM(K110:K110)</f>
        <v>2781.15</v>
      </c>
    </row>
    <row r="116" spans="1:22" ht="52.5" x14ac:dyDescent="0.2">
      <c r="A116" s="301" t="s">
        <v>1565</v>
      </c>
      <c r="B116" s="302" t="s">
        <v>883</v>
      </c>
      <c r="C116" s="302" t="s">
        <v>882</v>
      </c>
      <c r="D116" s="303" t="s">
        <v>2094</v>
      </c>
      <c r="E116" s="286">
        <v>46</v>
      </c>
      <c r="F116" s="321"/>
      <c r="G116" s="305"/>
      <c r="H116" s="286"/>
      <c r="I116" s="304"/>
      <c r="J116" s="286"/>
      <c r="K116" s="304"/>
      <c r="Q116" s="160">
        <f>[9]Source!X544</f>
        <v>1432.06</v>
      </c>
      <c r="R116" s="160">
        <f>[9]Source!X545</f>
        <v>26750.82</v>
      </c>
      <c r="S116" s="160">
        <f>[9]Source!Y544</f>
        <v>963.38</v>
      </c>
      <c r="T116" s="160">
        <f>[9]Source!Y545</f>
        <v>12463.45</v>
      </c>
      <c r="U116" s="160">
        <f>ROUND((175/100)*ROUND([9]Source!R544, 2), 2)</f>
        <v>35.229999999999997</v>
      </c>
      <c r="V116" s="160">
        <f>ROUND((157/100)*ROUND([9]Source!R545, 2), 2)</f>
        <v>611.48</v>
      </c>
    </row>
    <row r="117" spans="1:22" ht="14.25" x14ac:dyDescent="0.2">
      <c r="A117" s="301"/>
      <c r="B117" s="302"/>
      <c r="C117" s="302" t="s">
        <v>197</v>
      </c>
      <c r="D117" s="303"/>
      <c r="E117" s="286"/>
      <c r="F117" s="321">
        <v>24.61</v>
      </c>
      <c r="G117" s="305" t="s">
        <v>1548</v>
      </c>
      <c r="H117" s="286">
        <v>1</v>
      </c>
      <c r="I117" s="304">
        <v>1301.8699999999999</v>
      </c>
      <c r="J117" s="286">
        <v>23.35</v>
      </c>
      <c r="K117" s="304">
        <v>30398.66</v>
      </c>
    </row>
    <row r="118" spans="1:22" ht="14.25" x14ac:dyDescent="0.2">
      <c r="A118" s="301"/>
      <c r="B118" s="302"/>
      <c r="C118" s="302" t="s">
        <v>184</v>
      </c>
      <c r="D118" s="303"/>
      <c r="E118" s="286"/>
      <c r="F118" s="321">
        <v>1.54</v>
      </c>
      <c r="G118" s="305" t="s">
        <v>1549</v>
      </c>
      <c r="H118" s="286">
        <v>1</v>
      </c>
      <c r="I118" s="304">
        <v>88.55</v>
      </c>
      <c r="J118" s="286">
        <v>8.99</v>
      </c>
      <c r="K118" s="304">
        <v>821.96</v>
      </c>
    </row>
    <row r="119" spans="1:22" ht="14.25" x14ac:dyDescent="0.2">
      <c r="A119" s="301"/>
      <c r="B119" s="302"/>
      <c r="C119" s="302" t="s">
        <v>189</v>
      </c>
      <c r="D119" s="303"/>
      <c r="E119" s="286"/>
      <c r="F119" s="321">
        <v>0.35</v>
      </c>
      <c r="G119" s="305" t="s">
        <v>1549</v>
      </c>
      <c r="H119" s="286">
        <v>1</v>
      </c>
      <c r="I119" s="306">
        <v>20.13</v>
      </c>
      <c r="J119" s="286">
        <v>23.35</v>
      </c>
      <c r="K119" s="306">
        <v>389.48</v>
      </c>
    </row>
    <row r="120" spans="1:22" ht="14.25" x14ac:dyDescent="0.2">
      <c r="A120" s="301"/>
      <c r="B120" s="302"/>
      <c r="C120" s="302" t="s">
        <v>205</v>
      </c>
      <c r="D120" s="303"/>
      <c r="E120" s="286"/>
      <c r="F120" s="321">
        <v>33.25</v>
      </c>
      <c r="G120" s="305" t="s">
        <v>195</v>
      </c>
      <c r="H120" s="286">
        <v>1</v>
      </c>
      <c r="I120" s="304">
        <v>1529.5</v>
      </c>
      <c r="J120" s="286">
        <v>3.19</v>
      </c>
      <c r="K120" s="304">
        <v>2058.7600000000002</v>
      </c>
    </row>
    <row r="121" spans="1:22" ht="42.75" x14ac:dyDescent="0.2">
      <c r="A121" s="301" t="s">
        <v>1568</v>
      </c>
      <c r="B121" s="302" t="s">
        <v>3244</v>
      </c>
      <c r="C121" s="302" t="s">
        <v>877</v>
      </c>
      <c r="D121" s="303" t="s">
        <v>1661</v>
      </c>
      <c r="E121" s="286">
        <v>46</v>
      </c>
      <c r="F121" s="321">
        <v>280.82</v>
      </c>
      <c r="G121" s="315" t="s">
        <v>195</v>
      </c>
      <c r="H121" s="286">
        <v>1</v>
      </c>
      <c r="I121" s="304">
        <v>12917.72</v>
      </c>
      <c r="J121" s="286">
        <v>6.41</v>
      </c>
      <c r="K121" s="304">
        <v>82802.59</v>
      </c>
      <c r="Q121" s="160">
        <f>[9]Source!X546</f>
        <v>0</v>
      </c>
      <c r="R121" s="160">
        <f>[9]Source!X547</f>
        <v>0</v>
      </c>
      <c r="S121" s="160">
        <f>[9]Source!Y546</f>
        <v>0</v>
      </c>
      <c r="T121" s="160">
        <f>[9]Source!Y547</f>
        <v>0</v>
      </c>
      <c r="U121" s="160">
        <f>ROUND((175/100)*ROUND([9]Source!R546, 2), 2)</f>
        <v>0</v>
      </c>
      <c r="V121" s="160">
        <f>ROUND((157/100)*ROUND([9]Source!R547, 2), 2)</f>
        <v>0</v>
      </c>
    </row>
    <row r="122" spans="1:22" ht="42.75" x14ac:dyDescent="0.2">
      <c r="A122" s="301" t="s">
        <v>1570</v>
      </c>
      <c r="B122" s="302" t="s">
        <v>3245</v>
      </c>
      <c r="C122" s="302" t="s">
        <v>881</v>
      </c>
      <c r="D122" s="303" t="s">
        <v>1661</v>
      </c>
      <c r="E122" s="286">
        <v>92</v>
      </c>
      <c r="F122" s="321">
        <v>23.29</v>
      </c>
      <c r="G122" s="315" t="s">
        <v>195</v>
      </c>
      <c r="H122" s="286">
        <v>1</v>
      </c>
      <c r="I122" s="304">
        <v>2142.6799999999998</v>
      </c>
      <c r="J122" s="286">
        <v>2.76</v>
      </c>
      <c r="K122" s="304">
        <v>5913.8</v>
      </c>
      <c r="Q122" s="160">
        <f>[9]Source!X548</f>
        <v>0</v>
      </c>
      <c r="R122" s="160">
        <f>[9]Source!X549</f>
        <v>0</v>
      </c>
      <c r="S122" s="160">
        <f>[9]Source!Y548</f>
        <v>0</v>
      </c>
      <c r="T122" s="160">
        <f>[9]Source!Y549</f>
        <v>0</v>
      </c>
      <c r="U122" s="160">
        <f>ROUND((175/100)*ROUND([9]Source!R548, 2), 2)</f>
        <v>0</v>
      </c>
      <c r="V122" s="160">
        <f>ROUND((157/100)*ROUND([9]Source!R549, 2), 2)</f>
        <v>0</v>
      </c>
    </row>
    <row r="123" spans="1:22" ht="28.5" x14ac:dyDescent="0.2">
      <c r="A123" s="301" t="s">
        <v>2467</v>
      </c>
      <c r="B123" s="302" t="s">
        <v>3246</v>
      </c>
      <c r="C123" s="302" t="s">
        <v>873</v>
      </c>
      <c r="D123" s="303" t="s">
        <v>1661</v>
      </c>
      <c r="E123" s="286">
        <v>46</v>
      </c>
      <c r="F123" s="321">
        <v>92.11</v>
      </c>
      <c r="G123" s="315" t="s">
        <v>195</v>
      </c>
      <c r="H123" s="286">
        <v>1</v>
      </c>
      <c r="I123" s="304">
        <v>4237.0600000000004</v>
      </c>
      <c r="J123" s="286">
        <v>1.79</v>
      </c>
      <c r="K123" s="304">
        <v>7584.34</v>
      </c>
      <c r="Q123" s="160">
        <f>[9]Source!X550</f>
        <v>0</v>
      </c>
      <c r="R123" s="160">
        <f>[9]Source!X551</f>
        <v>0</v>
      </c>
      <c r="S123" s="160">
        <f>[9]Source!Y550</f>
        <v>0</v>
      </c>
      <c r="T123" s="160">
        <f>[9]Source!Y551</f>
        <v>0</v>
      </c>
      <c r="U123" s="160">
        <f>ROUND((175/100)*ROUND([9]Source!R550, 2), 2)</f>
        <v>0</v>
      </c>
      <c r="V123" s="160">
        <f>ROUND((157/100)*ROUND([9]Source!R551, 2), 2)</f>
        <v>0</v>
      </c>
    </row>
    <row r="124" spans="1:22" ht="28.5" x14ac:dyDescent="0.2">
      <c r="A124" s="301" t="s">
        <v>2468</v>
      </c>
      <c r="B124" s="302" t="s">
        <v>3247</v>
      </c>
      <c r="C124" s="302" t="s">
        <v>880</v>
      </c>
      <c r="D124" s="303" t="s">
        <v>1661</v>
      </c>
      <c r="E124" s="286">
        <v>46</v>
      </c>
      <c r="F124" s="321">
        <v>116.27</v>
      </c>
      <c r="G124" s="315" t="s">
        <v>195</v>
      </c>
      <c r="H124" s="286">
        <v>1</v>
      </c>
      <c r="I124" s="304">
        <v>5348.42</v>
      </c>
      <c r="J124" s="286">
        <v>4.83</v>
      </c>
      <c r="K124" s="304">
        <v>25832.87</v>
      </c>
      <c r="Q124" s="160">
        <f>[9]Source!X552</f>
        <v>0</v>
      </c>
      <c r="R124" s="160">
        <f>[9]Source!X553</f>
        <v>0</v>
      </c>
      <c r="S124" s="160">
        <f>[9]Source!Y552</f>
        <v>0</v>
      </c>
      <c r="T124" s="160">
        <f>[9]Source!Y553</f>
        <v>0</v>
      </c>
      <c r="U124" s="160">
        <f>ROUND((175/100)*ROUND([9]Source!R552, 2), 2)</f>
        <v>0</v>
      </c>
      <c r="V124" s="160">
        <f>ROUND((157/100)*ROUND([9]Source!R553, 2), 2)</f>
        <v>0</v>
      </c>
    </row>
    <row r="125" spans="1:22" ht="42.75" x14ac:dyDescent="0.2">
      <c r="A125" s="301" t="s">
        <v>2592</v>
      </c>
      <c r="B125" s="302" t="s">
        <v>3248</v>
      </c>
      <c r="C125" s="302" t="s">
        <v>879</v>
      </c>
      <c r="D125" s="303" t="s">
        <v>1661</v>
      </c>
      <c r="E125" s="286">
        <v>46</v>
      </c>
      <c r="F125" s="321">
        <v>6.96</v>
      </c>
      <c r="G125" s="315" t="s">
        <v>195</v>
      </c>
      <c r="H125" s="286">
        <v>1</v>
      </c>
      <c r="I125" s="304">
        <v>320.16000000000003</v>
      </c>
      <c r="J125" s="286">
        <v>5.93</v>
      </c>
      <c r="K125" s="304">
        <v>1898.55</v>
      </c>
      <c r="Q125" s="160">
        <f>[9]Source!X554</f>
        <v>0</v>
      </c>
      <c r="R125" s="160">
        <f>[9]Source!X555</f>
        <v>0</v>
      </c>
      <c r="S125" s="160">
        <f>[9]Source!Y554</f>
        <v>0</v>
      </c>
      <c r="T125" s="160">
        <f>[9]Source!Y555</f>
        <v>0</v>
      </c>
      <c r="U125" s="160">
        <f>ROUND((175/100)*ROUND([9]Source!R554, 2), 2)</f>
        <v>0</v>
      </c>
      <c r="V125" s="160">
        <f>ROUND((157/100)*ROUND([9]Source!R555, 2), 2)</f>
        <v>0</v>
      </c>
    </row>
    <row r="126" spans="1:22" ht="14.25" x14ac:dyDescent="0.2">
      <c r="A126" s="301"/>
      <c r="B126" s="302"/>
      <c r="C126" s="302" t="s">
        <v>194</v>
      </c>
      <c r="D126" s="303" t="s">
        <v>187</v>
      </c>
      <c r="E126" s="286">
        <v>110</v>
      </c>
      <c r="F126" s="321"/>
      <c r="G126" s="305"/>
      <c r="H126" s="286"/>
      <c r="I126" s="304">
        <v>1432.06</v>
      </c>
      <c r="J126" s="286">
        <v>88</v>
      </c>
      <c r="K126" s="304">
        <v>26750.82</v>
      </c>
    </row>
    <row r="127" spans="1:22" ht="14.25" x14ac:dyDescent="0.2">
      <c r="A127" s="301"/>
      <c r="B127" s="302"/>
      <c r="C127" s="302" t="s">
        <v>193</v>
      </c>
      <c r="D127" s="303" t="s">
        <v>187</v>
      </c>
      <c r="E127" s="286">
        <v>74</v>
      </c>
      <c r="F127" s="321"/>
      <c r="G127" s="305"/>
      <c r="H127" s="286"/>
      <c r="I127" s="304">
        <v>963.38</v>
      </c>
      <c r="J127" s="286">
        <v>41</v>
      </c>
      <c r="K127" s="304">
        <v>12463.45</v>
      </c>
    </row>
    <row r="128" spans="1:22" ht="14.25" x14ac:dyDescent="0.2">
      <c r="A128" s="301"/>
      <c r="B128" s="302"/>
      <c r="C128" s="302" t="s">
        <v>188</v>
      </c>
      <c r="D128" s="303" t="s">
        <v>187</v>
      </c>
      <c r="E128" s="286">
        <v>175</v>
      </c>
      <c r="F128" s="321"/>
      <c r="G128" s="305"/>
      <c r="H128" s="286"/>
      <c r="I128" s="304">
        <v>35.229999999999997</v>
      </c>
      <c r="J128" s="286">
        <v>157</v>
      </c>
      <c r="K128" s="304">
        <v>611.48</v>
      </c>
    </row>
    <row r="129" spans="1:22" ht="14.25" x14ac:dyDescent="0.2">
      <c r="A129" s="348"/>
      <c r="B129" s="349"/>
      <c r="C129" s="349" t="s">
        <v>192</v>
      </c>
      <c r="D129" s="350" t="s">
        <v>191</v>
      </c>
      <c r="E129" s="351">
        <v>1.95</v>
      </c>
      <c r="F129" s="352"/>
      <c r="G129" s="353" t="s">
        <v>1548</v>
      </c>
      <c r="H129" s="351">
        <v>1</v>
      </c>
      <c r="I129" s="354">
        <v>103.16</v>
      </c>
      <c r="J129" s="351"/>
      <c r="K129" s="354"/>
    </row>
    <row r="130" spans="1:22" ht="15" x14ac:dyDescent="0.25">
      <c r="A130" s="355"/>
      <c r="B130" s="355"/>
      <c r="C130" s="356" t="s">
        <v>183</v>
      </c>
      <c r="D130" s="355"/>
      <c r="E130" s="355"/>
      <c r="F130" s="355"/>
      <c r="G130" s="355"/>
      <c r="H130" s="449">
        <v>30316.63</v>
      </c>
      <c r="I130" s="449"/>
      <c r="J130" s="449">
        <v>197137.28</v>
      </c>
      <c r="K130" s="449"/>
      <c r="O130" s="163">
        <f>I117+I118+I120+I126+I127+I128+SUM(I121:I125)</f>
        <v>30316.63</v>
      </c>
      <c r="P130" s="163">
        <f>K117+K118+K120+K126+K127+K128+SUM(K121:K125)</f>
        <v>197137.28</v>
      </c>
    </row>
    <row r="132" spans="1:22" ht="52.5" x14ac:dyDescent="0.2">
      <c r="A132" s="301" t="s">
        <v>1578</v>
      </c>
      <c r="B132" s="302" t="s">
        <v>871</v>
      </c>
      <c r="C132" s="302" t="s">
        <v>870</v>
      </c>
      <c r="D132" s="303" t="s">
        <v>2094</v>
      </c>
      <c r="E132" s="286">
        <v>2</v>
      </c>
      <c r="F132" s="321"/>
      <c r="G132" s="305"/>
      <c r="H132" s="286"/>
      <c r="I132" s="304"/>
      <c r="J132" s="286"/>
      <c r="K132" s="304"/>
      <c r="Q132" s="160">
        <f>[9]Source!X560</f>
        <v>49.82</v>
      </c>
      <c r="R132" s="160">
        <f>[9]Source!X561</f>
        <v>930.62</v>
      </c>
      <c r="S132" s="160">
        <f>[9]Source!Y560</f>
        <v>33.51</v>
      </c>
      <c r="T132" s="160">
        <f>[9]Source!Y561</f>
        <v>433.58</v>
      </c>
      <c r="U132" s="160">
        <f>ROUND((175/100)*ROUND([9]Source!R560, 2), 2)</f>
        <v>2.0699999999999998</v>
      </c>
      <c r="V132" s="160">
        <f>ROUND((157/100)*ROUND([9]Source!R561, 2), 2)</f>
        <v>43.25</v>
      </c>
    </row>
    <row r="133" spans="1:22" ht="14.25" x14ac:dyDescent="0.2">
      <c r="A133" s="301"/>
      <c r="B133" s="302"/>
      <c r="C133" s="302" t="s">
        <v>197</v>
      </c>
      <c r="D133" s="303"/>
      <c r="E133" s="286"/>
      <c r="F133" s="321">
        <v>19.690000000000001</v>
      </c>
      <c r="G133" s="305" t="s">
        <v>1548</v>
      </c>
      <c r="H133" s="286">
        <v>1</v>
      </c>
      <c r="I133" s="304">
        <v>45.29</v>
      </c>
      <c r="J133" s="286">
        <v>23.35</v>
      </c>
      <c r="K133" s="304">
        <v>1057.52</v>
      </c>
    </row>
    <row r="134" spans="1:22" ht="14.25" x14ac:dyDescent="0.2">
      <c r="A134" s="301"/>
      <c r="B134" s="302"/>
      <c r="C134" s="302" t="s">
        <v>184</v>
      </c>
      <c r="D134" s="303"/>
      <c r="E134" s="286"/>
      <c r="F134" s="321">
        <v>1.9</v>
      </c>
      <c r="G134" s="305" t="s">
        <v>1549</v>
      </c>
      <c r="H134" s="286">
        <v>1</v>
      </c>
      <c r="I134" s="304">
        <v>4.75</v>
      </c>
      <c r="J134" s="286">
        <v>9.81</v>
      </c>
      <c r="K134" s="304">
        <v>46.6</v>
      </c>
    </row>
    <row r="135" spans="1:22" ht="14.25" x14ac:dyDescent="0.2">
      <c r="A135" s="301"/>
      <c r="B135" s="302"/>
      <c r="C135" s="302" t="s">
        <v>189</v>
      </c>
      <c r="D135" s="303"/>
      <c r="E135" s="286"/>
      <c r="F135" s="321">
        <v>0.47</v>
      </c>
      <c r="G135" s="305" t="s">
        <v>1549</v>
      </c>
      <c r="H135" s="286">
        <v>1</v>
      </c>
      <c r="I135" s="306">
        <v>1.18</v>
      </c>
      <c r="J135" s="286">
        <v>23.35</v>
      </c>
      <c r="K135" s="306">
        <v>27.55</v>
      </c>
    </row>
    <row r="136" spans="1:22" ht="14.25" x14ac:dyDescent="0.2">
      <c r="A136" s="301"/>
      <c r="B136" s="302"/>
      <c r="C136" s="302" t="s">
        <v>205</v>
      </c>
      <c r="D136" s="303"/>
      <c r="E136" s="286"/>
      <c r="F136" s="321">
        <v>5.18</v>
      </c>
      <c r="G136" s="305" t="s">
        <v>195</v>
      </c>
      <c r="H136" s="286">
        <v>1</v>
      </c>
      <c r="I136" s="304">
        <v>10.36</v>
      </c>
      <c r="J136" s="286">
        <v>5.42</v>
      </c>
      <c r="K136" s="304">
        <v>56.15</v>
      </c>
    </row>
    <row r="137" spans="1:22" ht="71.25" x14ac:dyDescent="0.2">
      <c r="A137" s="301" t="s">
        <v>1581</v>
      </c>
      <c r="B137" s="302" t="s">
        <v>3249</v>
      </c>
      <c r="C137" s="302" t="s">
        <v>878</v>
      </c>
      <c r="D137" s="303" t="s">
        <v>3240</v>
      </c>
      <c r="E137" s="286">
        <v>2</v>
      </c>
      <c r="F137" s="321">
        <v>380.85</v>
      </c>
      <c r="G137" s="315" t="s">
        <v>195</v>
      </c>
      <c r="H137" s="286">
        <v>1</v>
      </c>
      <c r="I137" s="304">
        <v>761.7</v>
      </c>
      <c r="J137" s="286">
        <v>3.6</v>
      </c>
      <c r="K137" s="304">
        <v>2742.12</v>
      </c>
      <c r="Q137" s="160">
        <f>[9]Source!X562</f>
        <v>0</v>
      </c>
      <c r="R137" s="160">
        <f>[9]Source!X563</f>
        <v>0</v>
      </c>
      <c r="S137" s="160">
        <f>[9]Source!Y562</f>
        <v>0</v>
      </c>
      <c r="T137" s="160">
        <f>[9]Source!Y563</f>
        <v>0</v>
      </c>
      <c r="U137" s="160">
        <f>ROUND((175/100)*ROUND([9]Source!R562, 2), 2)</f>
        <v>0</v>
      </c>
      <c r="V137" s="160">
        <f>ROUND((157/100)*ROUND([9]Source!R563, 2), 2)</f>
        <v>0</v>
      </c>
    </row>
    <row r="138" spans="1:22" ht="42.75" x14ac:dyDescent="0.2">
      <c r="A138" s="301" t="s">
        <v>1582</v>
      </c>
      <c r="B138" s="302" t="s">
        <v>3244</v>
      </c>
      <c r="C138" s="302" t="s">
        <v>877</v>
      </c>
      <c r="D138" s="303" t="s">
        <v>1661</v>
      </c>
      <c r="E138" s="286">
        <v>2</v>
      </c>
      <c r="F138" s="321">
        <v>280.82</v>
      </c>
      <c r="G138" s="315" t="s">
        <v>195</v>
      </c>
      <c r="H138" s="286">
        <v>1</v>
      </c>
      <c r="I138" s="304">
        <v>561.64</v>
      </c>
      <c r="J138" s="286">
        <v>6.41</v>
      </c>
      <c r="K138" s="304">
        <v>3600.11</v>
      </c>
      <c r="Q138" s="160">
        <f>[9]Source!X564</f>
        <v>0</v>
      </c>
      <c r="R138" s="160">
        <f>[9]Source!X565</f>
        <v>0</v>
      </c>
      <c r="S138" s="160">
        <f>[9]Source!Y564</f>
        <v>0</v>
      </c>
      <c r="T138" s="160">
        <f>[9]Source!Y565</f>
        <v>0</v>
      </c>
      <c r="U138" s="160">
        <f>ROUND((175/100)*ROUND([9]Source!R564, 2), 2)</f>
        <v>0</v>
      </c>
      <c r="V138" s="160">
        <f>ROUND((157/100)*ROUND([9]Source!R565, 2), 2)</f>
        <v>0</v>
      </c>
    </row>
    <row r="139" spans="1:22" ht="14.25" x14ac:dyDescent="0.2">
      <c r="A139" s="301"/>
      <c r="B139" s="302"/>
      <c r="C139" s="302" t="s">
        <v>194</v>
      </c>
      <c r="D139" s="303" t="s">
        <v>187</v>
      </c>
      <c r="E139" s="286">
        <v>110</v>
      </c>
      <c r="F139" s="321"/>
      <c r="G139" s="305"/>
      <c r="H139" s="286"/>
      <c r="I139" s="304">
        <v>49.82</v>
      </c>
      <c r="J139" s="286">
        <v>88</v>
      </c>
      <c r="K139" s="304">
        <v>930.62</v>
      </c>
    </row>
    <row r="140" spans="1:22" ht="14.25" x14ac:dyDescent="0.2">
      <c r="A140" s="301"/>
      <c r="B140" s="302"/>
      <c r="C140" s="302" t="s">
        <v>193</v>
      </c>
      <c r="D140" s="303" t="s">
        <v>187</v>
      </c>
      <c r="E140" s="286">
        <v>74</v>
      </c>
      <c r="F140" s="321"/>
      <c r="G140" s="305"/>
      <c r="H140" s="286"/>
      <c r="I140" s="304">
        <v>33.51</v>
      </c>
      <c r="J140" s="286">
        <v>41</v>
      </c>
      <c r="K140" s="304">
        <v>433.58</v>
      </c>
    </row>
    <row r="141" spans="1:22" ht="14.25" x14ac:dyDescent="0.2">
      <c r="A141" s="301"/>
      <c r="B141" s="302"/>
      <c r="C141" s="302" t="s">
        <v>188</v>
      </c>
      <c r="D141" s="303" t="s">
        <v>187</v>
      </c>
      <c r="E141" s="286">
        <v>175</v>
      </c>
      <c r="F141" s="321"/>
      <c r="G141" s="305"/>
      <c r="H141" s="286"/>
      <c r="I141" s="304">
        <v>2.0699999999999998</v>
      </c>
      <c r="J141" s="286">
        <v>157</v>
      </c>
      <c r="K141" s="304">
        <v>43.25</v>
      </c>
    </row>
    <row r="142" spans="1:22" ht="14.25" x14ac:dyDescent="0.2">
      <c r="A142" s="348"/>
      <c r="B142" s="349"/>
      <c r="C142" s="349" t="s">
        <v>192</v>
      </c>
      <c r="D142" s="350" t="s">
        <v>191</v>
      </c>
      <c r="E142" s="351">
        <v>1.56</v>
      </c>
      <c r="F142" s="352"/>
      <c r="G142" s="353" t="s">
        <v>1548</v>
      </c>
      <c r="H142" s="351">
        <v>1</v>
      </c>
      <c r="I142" s="354">
        <v>3.59</v>
      </c>
      <c r="J142" s="351"/>
      <c r="K142" s="354"/>
    </row>
    <row r="143" spans="1:22" ht="15" x14ac:dyDescent="0.25">
      <c r="A143" s="355"/>
      <c r="B143" s="355"/>
      <c r="C143" s="356" t="s">
        <v>183</v>
      </c>
      <c r="D143" s="355"/>
      <c r="E143" s="355"/>
      <c r="F143" s="355"/>
      <c r="G143" s="355"/>
      <c r="H143" s="449">
        <v>1469.14</v>
      </c>
      <c r="I143" s="449"/>
      <c r="J143" s="449">
        <v>8909.9500000000007</v>
      </c>
      <c r="K143" s="449"/>
      <c r="O143" s="163">
        <f>I133+I134+I136+I139+I140+I141+SUM(I137:I138)</f>
        <v>1469.14</v>
      </c>
      <c r="P143" s="163">
        <f>K133+K134+K136+K139+K140+K141+SUM(K137:K138)</f>
        <v>8909.9500000000007</v>
      </c>
    </row>
    <row r="145" spans="1:22" ht="52.5" x14ac:dyDescent="0.2">
      <c r="A145" s="301" t="s">
        <v>1589</v>
      </c>
      <c r="B145" s="302" t="s">
        <v>876</v>
      </c>
      <c r="C145" s="302" t="s">
        <v>875</v>
      </c>
      <c r="D145" s="303" t="s">
        <v>2094</v>
      </c>
      <c r="E145" s="286">
        <v>2</v>
      </c>
      <c r="F145" s="321"/>
      <c r="G145" s="305"/>
      <c r="H145" s="286"/>
      <c r="I145" s="304"/>
      <c r="J145" s="286"/>
      <c r="K145" s="304"/>
      <c r="Q145" s="160">
        <f>[9]Source!X570</f>
        <v>29.8</v>
      </c>
      <c r="R145" s="160">
        <f>[9]Source!X571</f>
        <v>556.64</v>
      </c>
      <c r="S145" s="160">
        <f>[9]Source!Y570</f>
        <v>20.05</v>
      </c>
      <c r="T145" s="160">
        <f>[9]Source!Y571</f>
        <v>259.35000000000002</v>
      </c>
      <c r="U145" s="160">
        <f>ROUND((175/100)*ROUND([9]Source!R570, 2), 2)</f>
        <v>4.6399999999999997</v>
      </c>
      <c r="V145" s="160">
        <f>ROUND((157/100)*ROUND([9]Source!R571, 2), 2)</f>
        <v>78.81</v>
      </c>
    </row>
    <row r="146" spans="1:22" ht="14.25" x14ac:dyDescent="0.2">
      <c r="A146" s="301"/>
      <c r="B146" s="302"/>
      <c r="C146" s="302" t="s">
        <v>197</v>
      </c>
      <c r="D146" s="303"/>
      <c r="E146" s="286"/>
      <c r="F146" s="321">
        <v>11.78</v>
      </c>
      <c r="G146" s="305" t="s">
        <v>1548</v>
      </c>
      <c r="H146" s="286">
        <v>1</v>
      </c>
      <c r="I146" s="304">
        <v>27.09</v>
      </c>
      <c r="J146" s="286">
        <v>23.35</v>
      </c>
      <c r="K146" s="304">
        <v>632.54999999999995</v>
      </c>
    </row>
    <row r="147" spans="1:22" ht="14.25" x14ac:dyDescent="0.2">
      <c r="A147" s="301"/>
      <c r="B147" s="302"/>
      <c r="C147" s="302" t="s">
        <v>184</v>
      </c>
      <c r="D147" s="303"/>
      <c r="E147" s="286"/>
      <c r="F147" s="321">
        <v>4.47</v>
      </c>
      <c r="G147" s="305" t="s">
        <v>1549</v>
      </c>
      <c r="H147" s="286">
        <v>1</v>
      </c>
      <c r="I147" s="304">
        <v>11.18</v>
      </c>
      <c r="J147" s="286">
        <v>8.89</v>
      </c>
      <c r="K147" s="304">
        <v>102.5</v>
      </c>
    </row>
    <row r="148" spans="1:22" ht="14.25" x14ac:dyDescent="0.2">
      <c r="A148" s="301"/>
      <c r="B148" s="302"/>
      <c r="C148" s="302" t="s">
        <v>189</v>
      </c>
      <c r="D148" s="303"/>
      <c r="E148" s="286"/>
      <c r="F148" s="321">
        <v>1.06</v>
      </c>
      <c r="G148" s="305" t="s">
        <v>1549</v>
      </c>
      <c r="H148" s="286">
        <v>1</v>
      </c>
      <c r="I148" s="306">
        <v>2.65</v>
      </c>
      <c r="J148" s="286">
        <v>23.35</v>
      </c>
      <c r="K148" s="306">
        <v>50.2</v>
      </c>
    </row>
    <row r="149" spans="1:22" ht="14.25" x14ac:dyDescent="0.2">
      <c r="A149" s="301"/>
      <c r="B149" s="302"/>
      <c r="C149" s="302" t="s">
        <v>205</v>
      </c>
      <c r="D149" s="303"/>
      <c r="E149" s="286"/>
      <c r="F149" s="321">
        <v>8.1</v>
      </c>
      <c r="G149" s="305" t="s">
        <v>195</v>
      </c>
      <c r="H149" s="286">
        <v>1</v>
      </c>
      <c r="I149" s="304">
        <v>16.2</v>
      </c>
      <c r="J149" s="286">
        <v>4.6500000000000004</v>
      </c>
      <c r="K149" s="304">
        <v>75.33</v>
      </c>
    </row>
    <row r="150" spans="1:22" ht="71.25" x14ac:dyDescent="0.2">
      <c r="A150" s="301" t="s">
        <v>1592</v>
      </c>
      <c r="B150" s="302" t="s">
        <v>3250</v>
      </c>
      <c r="C150" s="302" t="s">
        <v>874</v>
      </c>
      <c r="D150" s="303" t="s">
        <v>3240</v>
      </c>
      <c r="E150" s="286">
        <v>2</v>
      </c>
      <c r="F150" s="321">
        <v>674</v>
      </c>
      <c r="G150" s="315" t="s">
        <v>195</v>
      </c>
      <c r="H150" s="286">
        <v>1</v>
      </c>
      <c r="I150" s="304">
        <v>1348</v>
      </c>
      <c r="J150" s="286">
        <v>9.7799999999999994</v>
      </c>
      <c r="K150" s="304">
        <v>13183.44</v>
      </c>
      <c r="Q150" s="160">
        <f>[9]Source!X572</f>
        <v>0</v>
      </c>
      <c r="R150" s="160">
        <f>[9]Source!X573</f>
        <v>0</v>
      </c>
      <c r="S150" s="160">
        <f>[9]Source!Y572</f>
        <v>0</v>
      </c>
      <c r="T150" s="160">
        <f>[9]Source!Y573</f>
        <v>0</v>
      </c>
      <c r="U150" s="160">
        <f>ROUND((175/100)*ROUND([9]Source!R572, 2), 2)</f>
        <v>0</v>
      </c>
      <c r="V150" s="160">
        <f>ROUND((157/100)*ROUND([9]Source!R573, 2), 2)</f>
        <v>0</v>
      </c>
    </row>
    <row r="151" spans="1:22" ht="28.5" x14ac:dyDescent="0.2">
      <c r="A151" s="301" t="s">
        <v>1595</v>
      </c>
      <c r="B151" s="302" t="s">
        <v>3246</v>
      </c>
      <c r="C151" s="302" t="s">
        <v>873</v>
      </c>
      <c r="D151" s="303" t="s">
        <v>1661</v>
      </c>
      <c r="E151" s="286">
        <v>2</v>
      </c>
      <c r="F151" s="321">
        <v>92.11</v>
      </c>
      <c r="G151" s="315" t="s">
        <v>195</v>
      </c>
      <c r="H151" s="286">
        <v>1</v>
      </c>
      <c r="I151" s="304">
        <v>184.22</v>
      </c>
      <c r="J151" s="286">
        <v>1.79</v>
      </c>
      <c r="K151" s="304">
        <v>329.75</v>
      </c>
      <c r="Q151" s="160">
        <f>[9]Source!X574</f>
        <v>0</v>
      </c>
      <c r="R151" s="160">
        <f>[9]Source!X575</f>
        <v>0</v>
      </c>
      <c r="S151" s="160">
        <f>[9]Source!Y574</f>
        <v>0</v>
      </c>
      <c r="T151" s="160">
        <f>[9]Source!Y575</f>
        <v>0</v>
      </c>
      <c r="U151" s="160">
        <f>ROUND((175/100)*ROUND([9]Source!R574, 2), 2)</f>
        <v>0</v>
      </c>
      <c r="V151" s="160">
        <f>ROUND((157/100)*ROUND([9]Source!R575, 2), 2)</f>
        <v>0</v>
      </c>
    </row>
    <row r="152" spans="1:22" ht="57" x14ac:dyDescent="0.2">
      <c r="A152" s="301" t="s">
        <v>1597</v>
      </c>
      <c r="B152" s="302" t="s">
        <v>3251</v>
      </c>
      <c r="C152" s="302" t="s">
        <v>872</v>
      </c>
      <c r="D152" s="303" t="s">
        <v>1661</v>
      </c>
      <c r="E152" s="286">
        <v>2</v>
      </c>
      <c r="F152" s="321">
        <v>528.87</v>
      </c>
      <c r="G152" s="315" t="s">
        <v>195</v>
      </c>
      <c r="H152" s="286">
        <v>1</v>
      </c>
      <c r="I152" s="304">
        <v>1057.74</v>
      </c>
      <c r="J152" s="286">
        <v>4.0599999999999996</v>
      </c>
      <c r="K152" s="304">
        <v>4294.42</v>
      </c>
      <c r="Q152" s="160">
        <f>[9]Source!X576</f>
        <v>0</v>
      </c>
      <c r="R152" s="160">
        <f>[9]Source!X577</f>
        <v>0</v>
      </c>
      <c r="S152" s="160">
        <f>[9]Source!Y576</f>
        <v>0</v>
      </c>
      <c r="T152" s="160">
        <f>[9]Source!Y577</f>
        <v>0</v>
      </c>
      <c r="U152" s="160">
        <f>ROUND((175/100)*ROUND([9]Source!R576, 2), 2)</f>
        <v>0</v>
      </c>
      <c r="V152" s="160">
        <f>ROUND((157/100)*ROUND([9]Source!R577, 2), 2)</f>
        <v>0</v>
      </c>
    </row>
    <row r="153" spans="1:22" ht="14.25" x14ac:dyDescent="0.2">
      <c r="A153" s="301"/>
      <c r="B153" s="302"/>
      <c r="C153" s="302" t="s">
        <v>194</v>
      </c>
      <c r="D153" s="303" t="s">
        <v>187</v>
      </c>
      <c r="E153" s="286">
        <v>110</v>
      </c>
      <c r="F153" s="321"/>
      <c r="G153" s="305"/>
      <c r="H153" s="286"/>
      <c r="I153" s="304">
        <v>29.8</v>
      </c>
      <c r="J153" s="286">
        <v>88</v>
      </c>
      <c r="K153" s="304">
        <v>556.64</v>
      </c>
    </row>
    <row r="154" spans="1:22" ht="14.25" x14ac:dyDescent="0.2">
      <c r="A154" s="301"/>
      <c r="B154" s="302"/>
      <c r="C154" s="302" t="s">
        <v>193</v>
      </c>
      <c r="D154" s="303" t="s">
        <v>187</v>
      </c>
      <c r="E154" s="286">
        <v>74</v>
      </c>
      <c r="F154" s="321"/>
      <c r="G154" s="305"/>
      <c r="H154" s="286"/>
      <c r="I154" s="304">
        <v>20.05</v>
      </c>
      <c r="J154" s="286">
        <v>41</v>
      </c>
      <c r="K154" s="304">
        <v>259.35000000000002</v>
      </c>
    </row>
    <row r="155" spans="1:22" ht="14.25" x14ac:dyDescent="0.2">
      <c r="A155" s="301"/>
      <c r="B155" s="302"/>
      <c r="C155" s="302" t="s">
        <v>188</v>
      </c>
      <c r="D155" s="303" t="s">
        <v>187</v>
      </c>
      <c r="E155" s="286">
        <v>175</v>
      </c>
      <c r="F155" s="321"/>
      <c r="G155" s="305"/>
      <c r="H155" s="286"/>
      <c r="I155" s="304">
        <v>4.6399999999999997</v>
      </c>
      <c r="J155" s="286">
        <v>157</v>
      </c>
      <c r="K155" s="304">
        <v>78.81</v>
      </c>
    </row>
    <row r="156" spans="1:22" ht="14.25" x14ac:dyDescent="0.2">
      <c r="A156" s="348"/>
      <c r="B156" s="349"/>
      <c r="C156" s="349" t="s">
        <v>192</v>
      </c>
      <c r="D156" s="350" t="s">
        <v>191</v>
      </c>
      <c r="E156" s="351">
        <v>0.99</v>
      </c>
      <c r="F156" s="352"/>
      <c r="G156" s="353" t="s">
        <v>1548</v>
      </c>
      <c r="H156" s="351">
        <v>1</v>
      </c>
      <c r="I156" s="354">
        <v>2.2799999999999998</v>
      </c>
      <c r="J156" s="351"/>
      <c r="K156" s="354"/>
    </row>
    <row r="157" spans="1:22" ht="15" x14ac:dyDescent="0.25">
      <c r="A157" s="355"/>
      <c r="B157" s="355"/>
      <c r="C157" s="356" t="s">
        <v>183</v>
      </c>
      <c r="D157" s="355"/>
      <c r="E157" s="355"/>
      <c r="F157" s="355"/>
      <c r="G157" s="355"/>
      <c r="H157" s="449">
        <v>2698.92</v>
      </c>
      <c r="I157" s="449"/>
      <c r="J157" s="449">
        <v>19512.79</v>
      </c>
      <c r="K157" s="449"/>
      <c r="O157" s="163">
        <f>I146+I147+I149+I153+I154+I155+SUM(I150:I152)</f>
        <v>2698.92</v>
      </c>
      <c r="P157" s="163">
        <f>K146+K147+K149+K153+K154+K155+SUM(K150:K152)</f>
        <v>19512.79</v>
      </c>
    </row>
    <row r="159" spans="1:22" ht="52.5" x14ac:dyDescent="0.2">
      <c r="A159" s="301" t="s">
        <v>1602</v>
      </c>
      <c r="B159" s="302" t="s">
        <v>871</v>
      </c>
      <c r="C159" s="302" t="s">
        <v>870</v>
      </c>
      <c r="D159" s="303" t="s">
        <v>2094</v>
      </c>
      <c r="E159" s="286">
        <v>2</v>
      </c>
      <c r="F159" s="321"/>
      <c r="G159" s="305"/>
      <c r="H159" s="286"/>
      <c r="I159" s="304"/>
      <c r="J159" s="286"/>
      <c r="K159" s="304"/>
      <c r="Q159" s="160">
        <f>[9]Source!X582</f>
        <v>49.82</v>
      </c>
      <c r="R159" s="160">
        <f>[9]Source!X583</f>
        <v>930.62</v>
      </c>
      <c r="S159" s="160">
        <f>[9]Source!Y582</f>
        <v>33.51</v>
      </c>
      <c r="T159" s="160">
        <f>[9]Source!Y583</f>
        <v>433.58</v>
      </c>
      <c r="U159" s="160">
        <f>ROUND((175/100)*ROUND([9]Source!R582, 2), 2)</f>
        <v>2.0699999999999998</v>
      </c>
      <c r="V159" s="160">
        <f>ROUND((157/100)*ROUND([9]Source!R583, 2), 2)</f>
        <v>43.25</v>
      </c>
    </row>
    <row r="160" spans="1:22" ht="14.25" x14ac:dyDescent="0.2">
      <c r="A160" s="301"/>
      <c r="B160" s="302"/>
      <c r="C160" s="302" t="s">
        <v>197</v>
      </c>
      <c r="D160" s="303"/>
      <c r="E160" s="286"/>
      <c r="F160" s="321">
        <v>19.690000000000001</v>
      </c>
      <c r="G160" s="305" t="s">
        <v>1548</v>
      </c>
      <c r="H160" s="286">
        <v>1</v>
      </c>
      <c r="I160" s="304">
        <v>45.29</v>
      </c>
      <c r="J160" s="286">
        <v>23.35</v>
      </c>
      <c r="K160" s="304">
        <v>1057.52</v>
      </c>
    </row>
    <row r="161" spans="1:22" ht="14.25" x14ac:dyDescent="0.2">
      <c r="A161" s="301"/>
      <c r="B161" s="302"/>
      <c r="C161" s="302" t="s">
        <v>184</v>
      </c>
      <c r="D161" s="303"/>
      <c r="E161" s="286"/>
      <c r="F161" s="321">
        <v>1.9</v>
      </c>
      <c r="G161" s="305" t="s">
        <v>1549</v>
      </c>
      <c r="H161" s="286">
        <v>1</v>
      </c>
      <c r="I161" s="304">
        <v>4.75</v>
      </c>
      <c r="J161" s="286">
        <v>9.81</v>
      </c>
      <c r="K161" s="304">
        <v>46.6</v>
      </c>
    </row>
    <row r="162" spans="1:22" ht="14.25" x14ac:dyDescent="0.2">
      <c r="A162" s="301"/>
      <c r="B162" s="302"/>
      <c r="C162" s="302" t="s">
        <v>189</v>
      </c>
      <c r="D162" s="303"/>
      <c r="E162" s="286"/>
      <c r="F162" s="321">
        <v>0.47</v>
      </c>
      <c r="G162" s="305" t="s">
        <v>1549</v>
      </c>
      <c r="H162" s="286">
        <v>1</v>
      </c>
      <c r="I162" s="306">
        <v>1.18</v>
      </c>
      <c r="J162" s="286">
        <v>23.35</v>
      </c>
      <c r="K162" s="306">
        <v>27.55</v>
      </c>
    </row>
    <row r="163" spans="1:22" ht="14.25" x14ac:dyDescent="0.2">
      <c r="A163" s="301"/>
      <c r="B163" s="302"/>
      <c r="C163" s="302" t="s">
        <v>205</v>
      </c>
      <c r="D163" s="303"/>
      <c r="E163" s="286"/>
      <c r="F163" s="321">
        <v>5.18</v>
      </c>
      <c r="G163" s="305" t="s">
        <v>195</v>
      </c>
      <c r="H163" s="286">
        <v>1</v>
      </c>
      <c r="I163" s="304">
        <v>10.36</v>
      </c>
      <c r="J163" s="286">
        <v>5.42</v>
      </c>
      <c r="K163" s="304">
        <v>56.15</v>
      </c>
    </row>
    <row r="164" spans="1:22" ht="42.75" x14ac:dyDescent="0.2">
      <c r="A164" s="301" t="s">
        <v>1604</v>
      </c>
      <c r="B164" s="302" t="s">
        <v>3252</v>
      </c>
      <c r="C164" s="302" t="s">
        <v>869</v>
      </c>
      <c r="D164" s="303" t="s">
        <v>1661</v>
      </c>
      <c r="E164" s="286">
        <v>2</v>
      </c>
      <c r="F164" s="321">
        <v>256.77</v>
      </c>
      <c r="G164" s="315" t="s">
        <v>195</v>
      </c>
      <c r="H164" s="286">
        <v>1</v>
      </c>
      <c r="I164" s="304">
        <v>513.54</v>
      </c>
      <c r="J164" s="286">
        <v>9.23</v>
      </c>
      <c r="K164" s="304">
        <v>4739.97</v>
      </c>
      <c r="Q164" s="160">
        <f>[9]Source!X584</f>
        <v>0</v>
      </c>
      <c r="R164" s="160">
        <f>[9]Source!X585</f>
        <v>0</v>
      </c>
      <c r="S164" s="160">
        <f>[9]Source!Y584</f>
        <v>0</v>
      </c>
      <c r="T164" s="160">
        <f>[9]Source!Y585</f>
        <v>0</v>
      </c>
      <c r="U164" s="160">
        <f>ROUND((175/100)*ROUND([9]Source!R584, 2), 2)</f>
        <v>0</v>
      </c>
      <c r="V164" s="160">
        <f>ROUND((157/100)*ROUND([9]Source!R585, 2), 2)</f>
        <v>0</v>
      </c>
    </row>
    <row r="165" spans="1:22" ht="14.25" x14ac:dyDescent="0.2">
      <c r="A165" s="301"/>
      <c r="B165" s="302"/>
      <c r="C165" s="302" t="s">
        <v>194</v>
      </c>
      <c r="D165" s="303" t="s">
        <v>187</v>
      </c>
      <c r="E165" s="286">
        <v>110</v>
      </c>
      <c r="F165" s="321"/>
      <c r="G165" s="305"/>
      <c r="H165" s="286"/>
      <c r="I165" s="304">
        <v>49.82</v>
      </c>
      <c r="J165" s="286">
        <v>88</v>
      </c>
      <c r="K165" s="304">
        <v>930.62</v>
      </c>
    </row>
    <row r="166" spans="1:22" ht="14.25" x14ac:dyDescent="0.2">
      <c r="A166" s="301"/>
      <c r="B166" s="302"/>
      <c r="C166" s="302" t="s">
        <v>193</v>
      </c>
      <c r="D166" s="303" t="s">
        <v>187</v>
      </c>
      <c r="E166" s="286">
        <v>74</v>
      </c>
      <c r="F166" s="321"/>
      <c r="G166" s="305"/>
      <c r="H166" s="286"/>
      <c r="I166" s="304">
        <v>33.51</v>
      </c>
      <c r="J166" s="286">
        <v>41</v>
      </c>
      <c r="K166" s="304">
        <v>433.58</v>
      </c>
    </row>
    <row r="167" spans="1:22" ht="14.25" x14ac:dyDescent="0.2">
      <c r="A167" s="301"/>
      <c r="B167" s="302"/>
      <c r="C167" s="302" t="s">
        <v>188</v>
      </c>
      <c r="D167" s="303" t="s">
        <v>187</v>
      </c>
      <c r="E167" s="286">
        <v>175</v>
      </c>
      <c r="F167" s="321"/>
      <c r="G167" s="305"/>
      <c r="H167" s="286"/>
      <c r="I167" s="304">
        <v>2.0699999999999998</v>
      </c>
      <c r="J167" s="286">
        <v>157</v>
      </c>
      <c r="K167" s="304">
        <v>43.25</v>
      </c>
    </row>
    <row r="168" spans="1:22" ht="14.25" x14ac:dyDescent="0.2">
      <c r="A168" s="348"/>
      <c r="B168" s="349"/>
      <c r="C168" s="349" t="s">
        <v>192</v>
      </c>
      <c r="D168" s="350" t="s">
        <v>191</v>
      </c>
      <c r="E168" s="351">
        <v>1.56</v>
      </c>
      <c r="F168" s="352"/>
      <c r="G168" s="353" t="s">
        <v>1548</v>
      </c>
      <c r="H168" s="351">
        <v>1</v>
      </c>
      <c r="I168" s="354">
        <v>3.59</v>
      </c>
      <c r="J168" s="351"/>
      <c r="K168" s="354"/>
    </row>
    <row r="169" spans="1:22" ht="15" x14ac:dyDescent="0.25">
      <c r="A169" s="355"/>
      <c r="B169" s="355"/>
      <c r="C169" s="356" t="s">
        <v>183</v>
      </c>
      <c r="D169" s="355"/>
      <c r="E169" s="355"/>
      <c r="F169" s="355"/>
      <c r="G169" s="355"/>
      <c r="H169" s="449">
        <v>659.34</v>
      </c>
      <c r="I169" s="449"/>
      <c r="J169" s="449">
        <v>7307.69</v>
      </c>
      <c r="K169" s="449"/>
      <c r="O169" s="163">
        <f>I160+I161+I163+I165+I166+I167+SUM(I164:I164)</f>
        <v>659.34</v>
      </c>
      <c r="P169" s="163">
        <f>K160+K161+K163+K165+K166+K167+SUM(K164:K164)</f>
        <v>7307.69</v>
      </c>
    </row>
    <row r="171" spans="1:22" ht="52.5" x14ac:dyDescent="0.2">
      <c r="A171" s="301" t="s">
        <v>1607</v>
      </c>
      <c r="B171" s="302" t="s">
        <v>868</v>
      </c>
      <c r="C171" s="302" t="s">
        <v>867</v>
      </c>
      <c r="D171" s="303" t="s">
        <v>2094</v>
      </c>
      <c r="E171" s="286">
        <v>15</v>
      </c>
      <c r="F171" s="321"/>
      <c r="G171" s="305"/>
      <c r="H171" s="286"/>
      <c r="I171" s="304"/>
      <c r="J171" s="286"/>
      <c r="K171" s="304"/>
      <c r="Q171" s="160">
        <f>[9]Source!X586</f>
        <v>541.16999999999996</v>
      </c>
      <c r="R171" s="160">
        <f>[9]Source!X587</f>
        <v>10109</v>
      </c>
      <c r="S171" s="160">
        <f>[9]Source!Y586</f>
        <v>364.06</v>
      </c>
      <c r="T171" s="160">
        <f>[9]Source!Y587</f>
        <v>4709.88</v>
      </c>
      <c r="U171" s="160">
        <f>ROUND((175/100)*ROUND([9]Source!R586, 2), 2)</f>
        <v>56.11</v>
      </c>
      <c r="V171" s="160">
        <f>ROUND((157/100)*ROUND([9]Source!R587, 2), 2)</f>
        <v>1175.3</v>
      </c>
    </row>
    <row r="172" spans="1:22" ht="14.25" x14ac:dyDescent="0.2">
      <c r="A172" s="301"/>
      <c r="B172" s="302"/>
      <c r="C172" s="302" t="s">
        <v>197</v>
      </c>
      <c r="D172" s="303"/>
      <c r="E172" s="286"/>
      <c r="F172" s="321">
        <v>28.52</v>
      </c>
      <c r="G172" s="305" t="s">
        <v>1548</v>
      </c>
      <c r="H172" s="286">
        <v>1</v>
      </c>
      <c r="I172" s="304">
        <v>491.97</v>
      </c>
      <c r="J172" s="286">
        <v>23.35</v>
      </c>
      <c r="K172" s="304">
        <v>11487.5</v>
      </c>
    </row>
    <row r="173" spans="1:22" ht="14.25" x14ac:dyDescent="0.2">
      <c r="A173" s="301"/>
      <c r="B173" s="302"/>
      <c r="C173" s="302" t="s">
        <v>184</v>
      </c>
      <c r="D173" s="303"/>
      <c r="E173" s="286"/>
      <c r="F173" s="321">
        <v>6.98</v>
      </c>
      <c r="G173" s="305" t="s">
        <v>1549</v>
      </c>
      <c r="H173" s="286">
        <v>1</v>
      </c>
      <c r="I173" s="304">
        <v>130.88</v>
      </c>
      <c r="J173" s="286">
        <v>9.76</v>
      </c>
      <c r="K173" s="304">
        <v>1277.3900000000001</v>
      </c>
    </row>
    <row r="174" spans="1:22" ht="14.25" x14ac:dyDescent="0.2">
      <c r="A174" s="301"/>
      <c r="B174" s="302"/>
      <c r="C174" s="302" t="s">
        <v>189</v>
      </c>
      <c r="D174" s="303"/>
      <c r="E174" s="286"/>
      <c r="F174" s="321">
        <v>1.71</v>
      </c>
      <c r="G174" s="305" t="s">
        <v>1549</v>
      </c>
      <c r="H174" s="286">
        <v>1</v>
      </c>
      <c r="I174" s="306">
        <v>32.06</v>
      </c>
      <c r="J174" s="286">
        <v>23.35</v>
      </c>
      <c r="K174" s="306">
        <v>748.6</v>
      </c>
    </row>
    <row r="175" spans="1:22" ht="14.25" x14ac:dyDescent="0.2">
      <c r="A175" s="301"/>
      <c r="B175" s="302"/>
      <c r="C175" s="302" t="s">
        <v>205</v>
      </c>
      <c r="D175" s="303"/>
      <c r="E175" s="286"/>
      <c r="F175" s="321">
        <v>7.91</v>
      </c>
      <c r="G175" s="305" t="s">
        <v>195</v>
      </c>
      <c r="H175" s="286">
        <v>1</v>
      </c>
      <c r="I175" s="304">
        <v>118.65</v>
      </c>
      <c r="J175" s="286">
        <v>5.42</v>
      </c>
      <c r="K175" s="304">
        <v>643.08000000000004</v>
      </c>
    </row>
    <row r="176" spans="1:22" ht="28.5" x14ac:dyDescent="0.2">
      <c r="A176" s="301" t="s">
        <v>1608</v>
      </c>
      <c r="B176" s="302" t="s">
        <v>3253</v>
      </c>
      <c r="C176" s="302" t="s">
        <v>866</v>
      </c>
      <c r="D176" s="303" t="s">
        <v>1913</v>
      </c>
      <c r="E176" s="286">
        <v>15</v>
      </c>
      <c r="F176" s="321">
        <v>1007.48</v>
      </c>
      <c r="G176" s="315" t="s">
        <v>195</v>
      </c>
      <c r="H176" s="286">
        <v>1</v>
      </c>
      <c r="I176" s="304">
        <v>15112.2</v>
      </c>
      <c r="J176" s="286">
        <v>2.64</v>
      </c>
      <c r="K176" s="304">
        <v>39896.21</v>
      </c>
      <c r="Q176" s="160">
        <f>[9]Source!X588</f>
        <v>0</v>
      </c>
      <c r="R176" s="160">
        <f>[9]Source!X589</f>
        <v>0</v>
      </c>
      <c r="S176" s="160">
        <f>[9]Source!Y588</f>
        <v>0</v>
      </c>
      <c r="T176" s="160">
        <f>[9]Source!Y589</f>
        <v>0</v>
      </c>
      <c r="U176" s="160">
        <f>ROUND((175/100)*ROUND([9]Source!R588, 2), 2)</f>
        <v>0</v>
      </c>
      <c r="V176" s="160">
        <f>ROUND((157/100)*ROUND([9]Source!R589, 2), 2)</f>
        <v>0</v>
      </c>
    </row>
    <row r="177" spans="1:22" ht="14.25" x14ac:dyDescent="0.2">
      <c r="A177" s="301"/>
      <c r="B177" s="302"/>
      <c r="C177" s="302" t="s">
        <v>194</v>
      </c>
      <c r="D177" s="303" t="s">
        <v>187</v>
      </c>
      <c r="E177" s="286">
        <v>110</v>
      </c>
      <c r="F177" s="321"/>
      <c r="G177" s="305"/>
      <c r="H177" s="286"/>
      <c r="I177" s="304">
        <v>541.16999999999996</v>
      </c>
      <c r="J177" s="286">
        <v>88</v>
      </c>
      <c r="K177" s="304">
        <v>10109</v>
      </c>
    </row>
    <row r="178" spans="1:22" ht="14.25" x14ac:dyDescent="0.2">
      <c r="A178" s="301"/>
      <c r="B178" s="302"/>
      <c r="C178" s="302" t="s">
        <v>193</v>
      </c>
      <c r="D178" s="303" t="s">
        <v>187</v>
      </c>
      <c r="E178" s="286">
        <v>74</v>
      </c>
      <c r="F178" s="321"/>
      <c r="G178" s="305"/>
      <c r="H178" s="286"/>
      <c r="I178" s="304">
        <v>364.06</v>
      </c>
      <c r="J178" s="286">
        <v>41</v>
      </c>
      <c r="K178" s="304">
        <v>4709.88</v>
      </c>
    </row>
    <row r="179" spans="1:22" ht="14.25" x14ac:dyDescent="0.2">
      <c r="A179" s="301"/>
      <c r="B179" s="302"/>
      <c r="C179" s="302" t="s">
        <v>188</v>
      </c>
      <c r="D179" s="303" t="s">
        <v>187</v>
      </c>
      <c r="E179" s="286">
        <v>175</v>
      </c>
      <c r="F179" s="321"/>
      <c r="G179" s="305"/>
      <c r="H179" s="286"/>
      <c r="I179" s="304">
        <v>56.11</v>
      </c>
      <c r="J179" s="286">
        <v>157</v>
      </c>
      <c r="K179" s="304">
        <v>1175.3</v>
      </c>
    </row>
    <row r="180" spans="1:22" ht="14.25" x14ac:dyDescent="0.2">
      <c r="A180" s="348"/>
      <c r="B180" s="349"/>
      <c r="C180" s="349" t="s">
        <v>192</v>
      </c>
      <c r="D180" s="350" t="s">
        <v>191</v>
      </c>
      <c r="E180" s="351">
        <v>2.2599999999999998</v>
      </c>
      <c r="F180" s="352"/>
      <c r="G180" s="353" t="s">
        <v>1548</v>
      </c>
      <c r="H180" s="351">
        <v>1</v>
      </c>
      <c r="I180" s="354">
        <v>38.99</v>
      </c>
      <c r="J180" s="351"/>
      <c r="K180" s="354"/>
    </row>
    <row r="181" spans="1:22" ht="15" x14ac:dyDescent="0.25">
      <c r="A181" s="355"/>
      <c r="B181" s="355"/>
      <c r="C181" s="356" t="s">
        <v>183</v>
      </c>
      <c r="D181" s="355"/>
      <c r="E181" s="355"/>
      <c r="F181" s="355"/>
      <c r="G181" s="355"/>
      <c r="H181" s="449">
        <v>16815.04</v>
      </c>
      <c r="I181" s="449"/>
      <c r="J181" s="449">
        <v>69298.36</v>
      </c>
      <c r="K181" s="449"/>
      <c r="O181" s="163">
        <f>I172+I173+I175+I177+I178+I179+SUM(I176:I176)</f>
        <v>16815.04</v>
      </c>
      <c r="P181" s="163">
        <f>K172+K173+K175+K177+K178+K179+SUM(K176:K176)</f>
        <v>69298.36</v>
      </c>
    </row>
    <row r="183" spans="1:22" ht="52.5" x14ac:dyDescent="0.2">
      <c r="A183" s="301" t="s">
        <v>1617</v>
      </c>
      <c r="B183" s="302" t="s">
        <v>734</v>
      </c>
      <c r="C183" s="302" t="s">
        <v>733</v>
      </c>
      <c r="D183" s="303" t="s">
        <v>1903</v>
      </c>
      <c r="E183" s="286">
        <v>15</v>
      </c>
      <c r="F183" s="321"/>
      <c r="G183" s="305"/>
      <c r="H183" s="286"/>
      <c r="I183" s="304"/>
      <c r="J183" s="286"/>
      <c r="K183" s="304"/>
      <c r="Q183" s="160">
        <f>[9]Source!X594</f>
        <v>170.02</v>
      </c>
      <c r="R183" s="160">
        <f>[9]Source!X595</f>
        <v>3175.9</v>
      </c>
      <c r="S183" s="160">
        <f>[9]Source!Y594</f>
        <v>114.37</v>
      </c>
      <c r="T183" s="160">
        <f>[9]Source!Y595</f>
        <v>1479.68</v>
      </c>
      <c r="U183" s="160">
        <f>ROUND((175/100)*ROUND([9]Source!R594, 2), 2)</f>
        <v>0</v>
      </c>
      <c r="V183" s="160">
        <f>ROUND((157/100)*ROUND([9]Source!R595, 2), 2)</f>
        <v>0</v>
      </c>
    </row>
    <row r="184" spans="1:22" ht="14.25" x14ac:dyDescent="0.2">
      <c r="A184" s="301"/>
      <c r="B184" s="302"/>
      <c r="C184" s="302" t="s">
        <v>197</v>
      </c>
      <c r="D184" s="303"/>
      <c r="E184" s="286"/>
      <c r="F184" s="321">
        <v>8.9600000000000009</v>
      </c>
      <c r="G184" s="305" t="s">
        <v>1548</v>
      </c>
      <c r="H184" s="286">
        <v>1</v>
      </c>
      <c r="I184" s="304">
        <v>154.56</v>
      </c>
      <c r="J184" s="286">
        <v>23.35</v>
      </c>
      <c r="K184" s="304">
        <v>3608.98</v>
      </c>
    </row>
    <row r="185" spans="1:22" ht="14.25" x14ac:dyDescent="0.2">
      <c r="A185" s="301"/>
      <c r="B185" s="302"/>
      <c r="C185" s="302" t="s">
        <v>205</v>
      </c>
      <c r="D185" s="303"/>
      <c r="E185" s="286"/>
      <c r="F185" s="321">
        <v>0.84</v>
      </c>
      <c r="G185" s="305" t="s">
        <v>195</v>
      </c>
      <c r="H185" s="286">
        <v>1</v>
      </c>
      <c r="I185" s="304">
        <v>12.6</v>
      </c>
      <c r="J185" s="286">
        <v>5.42</v>
      </c>
      <c r="K185" s="304">
        <v>68.290000000000006</v>
      </c>
    </row>
    <row r="186" spans="1:22" ht="28.5" x14ac:dyDescent="0.2">
      <c r="A186" s="301" t="s">
        <v>1619</v>
      </c>
      <c r="B186" s="302" t="s">
        <v>3254</v>
      </c>
      <c r="C186" s="302" t="s">
        <v>865</v>
      </c>
      <c r="D186" s="303" t="s">
        <v>1661</v>
      </c>
      <c r="E186" s="286">
        <v>15</v>
      </c>
      <c r="F186" s="321">
        <v>220.91</v>
      </c>
      <c r="G186" s="315" t="s">
        <v>195</v>
      </c>
      <c r="H186" s="286">
        <v>1</v>
      </c>
      <c r="I186" s="304">
        <v>3313.65</v>
      </c>
      <c r="J186" s="286">
        <v>4.1500000000000004</v>
      </c>
      <c r="K186" s="304">
        <v>13751.65</v>
      </c>
      <c r="Q186" s="160">
        <f>[9]Source!X596</f>
        <v>0</v>
      </c>
      <c r="R186" s="160">
        <f>[9]Source!X597</f>
        <v>0</v>
      </c>
      <c r="S186" s="160">
        <f>[9]Source!Y596</f>
        <v>0</v>
      </c>
      <c r="T186" s="160">
        <f>[9]Source!Y597</f>
        <v>0</v>
      </c>
      <c r="U186" s="160">
        <f>ROUND((175/100)*ROUND([9]Source!R596, 2), 2)</f>
        <v>0</v>
      </c>
      <c r="V186" s="160">
        <f>ROUND((157/100)*ROUND([9]Source!R597, 2), 2)</f>
        <v>0</v>
      </c>
    </row>
    <row r="187" spans="1:22" ht="14.25" x14ac:dyDescent="0.2">
      <c r="A187" s="301"/>
      <c r="B187" s="302"/>
      <c r="C187" s="302" t="s">
        <v>194</v>
      </c>
      <c r="D187" s="303" t="s">
        <v>187</v>
      </c>
      <c r="E187" s="286">
        <v>110</v>
      </c>
      <c r="F187" s="321"/>
      <c r="G187" s="305"/>
      <c r="H187" s="286"/>
      <c r="I187" s="304">
        <v>170.02</v>
      </c>
      <c r="J187" s="286">
        <v>88</v>
      </c>
      <c r="K187" s="304">
        <v>3175.9</v>
      </c>
    </row>
    <row r="188" spans="1:22" ht="14.25" x14ac:dyDescent="0.2">
      <c r="A188" s="301"/>
      <c r="B188" s="302"/>
      <c r="C188" s="302" t="s">
        <v>193</v>
      </c>
      <c r="D188" s="303" t="s">
        <v>187</v>
      </c>
      <c r="E188" s="286">
        <v>74</v>
      </c>
      <c r="F188" s="321"/>
      <c r="G188" s="305"/>
      <c r="H188" s="286"/>
      <c r="I188" s="304">
        <v>114.37</v>
      </c>
      <c r="J188" s="286">
        <v>41</v>
      </c>
      <c r="K188" s="304">
        <v>1479.68</v>
      </c>
    </row>
    <row r="189" spans="1:22" ht="14.25" x14ac:dyDescent="0.2">
      <c r="A189" s="348"/>
      <c r="B189" s="349"/>
      <c r="C189" s="349" t="s">
        <v>192</v>
      </c>
      <c r="D189" s="350" t="s">
        <v>191</v>
      </c>
      <c r="E189" s="351">
        <v>0.7</v>
      </c>
      <c r="F189" s="352"/>
      <c r="G189" s="353" t="s">
        <v>1548</v>
      </c>
      <c r="H189" s="351">
        <v>1</v>
      </c>
      <c r="I189" s="354">
        <v>12.08</v>
      </c>
      <c r="J189" s="351"/>
      <c r="K189" s="354"/>
    </row>
    <row r="190" spans="1:22" ht="15" x14ac:dyDescent="0.25">
      <c r="A190" s="355"/>
      <c r="B190" s="355"/>
      <c r="C190" s="356" t="s">
        <v>183</v>
      </c>
      <c r="D190" s="355"/>
      <c r="E190" s="355"/>
      <c r="F190" s="355"/>
      <c r="G190" s="355"/>
      <c r="H190" s="449">
        <v>3765.2</v>
      </c>
      <c r="I190" s="449"/>
      <c r="J190" s="449">
        <v>22084.5</v>
      </c>
      <c r="K190" s="449"/>
      <c r="O190" s="163">
        <f>I184+I185+I187+I188+SUM(I186:I186)</f>
        <v>3765.2</v>
      </c>
      <c r="P190" s="163">
        <f>K184+K185+K187+K188+SUM(K186:K186)</f>
        <v>22084.5</v>
      </c>
    </row>
    <row r="192" spans="1:22" ht="52.5" x14ac:dyDescent="0.2">
      <c r="A192" s="301" t="s">
        <v>1622</v>
      </c>
      <c r="B192" s="302" t="s">
        <v>864</v>
      </c>
      <c r="C192" s="302" t="s">
        <v>863</v>
      </c>
      <c r="D192" s="303" t="s">
        <v>2094</v>
      </c>
      <c r="E192" s="286">
        <v>8</v>
      </c>
      <c r="F192" s="321"/>
      <c r="G192" s="305"/>
      <c r="H192" s="286"/>
      <c r="I192" s="304"/>
      <c r="J192" s="286"/>
      <c r="K192" s="304"/>
      <c r="Q192" s="160">
        <f>[9]Source!X600</f>
        <v>883.78</v>
      </c>
      <c r="R192" s="160">
        <f>[9]Source!X601</f>
        <v>16509.080000000002</v>
      </c>
      <c r="S192" s="160">
        <f>[9]Source!Y600</f>
        <v>594.54999999999995</v>
      </c>
      <c r="T192" s="160">
        <f>[9]Source!Y601</f>
        <v>7691.73</v>
      </c>
      <c r="U192" s="160">
        <f>ROUND((175/100)*ROUND([9]Source!R600, 2), 2)</f>
        <v>37.28</v>
      </c>
      <c r="V192" s="160">
        <f>ROUND((157/100)*ROUND([9]Source!R601, 2), 2)</f>
        <v>780.86</v>
      </c>
    </row>
    <row r="193" spans="1:22" ht="14.25" x14ac:dyDescent="0.2">
      <c r="A193" s="301"/>
      <c r="B193" s="302"/>
      <c r="C193" s="302" t="s">
        <v>197</v>
      </c>
      <c r="D193" s="303"/>
      <c r="E193" s="286"/>
      <c r="F193" s="321">
        <v>87.33</v>
      </c>
      <c r="G193" s="305" t="s">
        <v>1548</v>
      </c>
      <c r="H193" s="286">
        <v>1</v>
      </c>
      <c r="I193" s="304">
        <v>803.44</v>
      </c>
      <c r="J193" s="286">
        <v>23.35</v>
      </c>
      <c r="K193" s="304">
        <v>18760.32</v>
      </c>
    </row>
    <row r="194" spans="1:22" ht="14.25" x14ac:dyDescent="0.2">
      <c r="A194" s="301"/>
      <c r="B194" s="302"/>
      <c r="C194" s="302" t="s">
        <v>184</v>
      </c>
      <c r="D194" s="303"/>
      <c r="E194" s="286"/>
      <c r="F194" s="321">
        <v>17.97</v>
      </c>
      <c r="G194" s="305" t="s">
        <v>1549</v>
      </c>
      <c r="H194" s="286">
        <v>1</v>
      </c>
      <c r="I194" s="304">
        <v>179.7</v>
      </c>
      <c r="J194" s="286">
        <v>8.1</v>
      </c>
      <c r="K194" s="304">
        <v>1455.57</v>
      </c>
    </row>
    <row r="195" spans="1:22" ht="14.25" x14ac:dyDescent="0.2">
      <c r="A195" s="301"/>
      <c r="B195" s="302"/>
      <c r="C195" s="302" t="s">
        <v>189</v>
      </c>
      <c r="D195" s="303"/>
      <c r="E195" s="286"/>
      <c r="F195" s="321">
        <v>2.13</v>
      </c>
      <c r="G195" s="305" t="s">
        <v>1549</v>
      </c>
      <c r="H195" s="286">
        <v>1</v>
      </c>
      <c r="I195" s="306">
        <v>21.3</v>
      </c>
      <c r="J195" s="286">
        <v>23.35</v>
      </c>
      <c r="K195" s="306">
        <v>497.36</v>
      </c>
    </row>
    <row r="196" spans="1:22" ht="14.25" x14ac:dyDescent="0.2">
      <c r="A196" s="301"/>
      <c r="B196" s="302"/>
      <c r="C196" s="302" t="s">
        <v>205</v>
      </c>
      <c r="D196" s="303"/>
      <c r="E196" s="286"/>
      <c r="F196" s="321">
        <v>29.76</v>
      </c>
      <c r="G196" s="305" t="s">
        <v>195</v>
      </c>
      <c r="H196" s="286">
        <v>1</v>
      </c>
      <c r="I196" s="304">
        <v>238.08</v>
      </c>
      <c r="J196" s="286">
        <v>2.83</v>
      </c>
      <c r="K196" s="304">
        <v>673.77</v>
      </c>
    </row>
    <row r="197" spans="1:22" ht="71.25" x14ac:dyDescent="0.2">
      <c r="A197" s="301" t="s">
        <v>1623</v>
      </c>
      <c r="B197" s="302" t="s">
        <v>3255</v>
      </c>
      <c r="C197" s="302" t="s">
        <v>862</v>
      </c>
      <c r="D197" s="303" t="s">
        <v>1913</v>
      </c>
      <c r="E197" s="286">
        <v>8</v>
      </c>
      <c r="F197" s="321">
        <v>1504.45</v>
      </c>
      <c r="G197" s="315" t="s">
        <v>195</v>
      </c>
      <c r="H197" s="286">
        <v>1</v>
      </c>
      <c r="I197" s="304">
        <v>12035.6</v>
      </c>
      <c r="J197" s="286">
        <v>2.5499999999999998</v>
      </c>
      <c r="K197" s="304">
        <v>30690.78</v>
      </c>
      <c r="Q197" s="160">
        <f>[9]Source!X602</f>
        <v>0</v>
      </c>
      <c r="R197" s="160">
        <f>[9]Source!X603</f>
        <v>0</v>
      </c>
      <c r="S197" s="160">
        <f>[9]Source!Y602</f>
        <v>0</v>
      </c>
      <c r="T197" s="160">
        <f>[9]Source!Y603</f>
        <v>0</v>
      </c>
      <c r="U197" s="160">
        <f>ROUND((175/100)*ROUND([9]Source!R602, 2), 2)</f>
        <v>0</v>
      </c>
      <c r="V197" s="160">
        <f>ROUND((157/100)*ROUND([9]Source!R603, 2), 2)</f>
        <v>0</v>
      </c>
    </row>
    <row r="198" spans="1:22" ht="71.25" x14ac:dyDescent="0.2">
      <c r="A198" s="301" t="s">
        <v>1624</v>
      </c>
      <c r="B198" s="302" t="s">
        <v>3256</v>
      </c>
      <c r="C198" s="302" t="s">
        <v>861</v>
      </c>
      <c r="D198" s="303" t="s">
        <v>1913</v>
      </c>
      <c r="E198" s="286">
        <v>8</v>
      </c>
      <c r="F198" s="321">
        <v>1009.18</v>
      </c>
      <c r="G198" s="315" t="s">
        <v>195</v>
      </c>
      <c r="H198" s="286">
        <v>1</v>
      </c>
      <c r="I198" s="304">
        <v>8073.44</v>
      </c>
      <c r="J198" s="286">
        <v>7.73</v>
      </c>
      <c r="K198" s="304">
        <v>62407.69</v>
      </c>
      <c r="Q198" s="160">
        <f>[9]Source!X604</f>
        <v>0</v>
      </c>
      <c r="R198" s="160">
        <f>[9]Source!X605</f>
        <v>0</v>
      </c>
      <c r="S198" s="160">
        <f>[9]Source!Y604</f>
        <v>0</v>
      </c>
      <c r="T198" s="160">
        <f>[9]Source!Y605</f>
        <v>0</v>
      </c>
      <c r="U198" s="160">
        <f>ROUND((175/100)*ROUND([9]Source!R604, 2), 2)</f>
        <v>0</v>
      </c>
      <c r="V198" s="160">
        <f>ROUND((157/100)*ROUND([9]Source!R605, 2), 2)</f>
        <v>0</v>
      </c>
    </row>
    <row r="199" spans="1:22" ht="14.25" x14ac:dyDescent="0.2">
      <c r="A199" s="301"/>
      <c r="B199" s="302"/>
      <c r="C199" s="302" t="s">
        <v>194</v>
      </c>
      <c r="D199" s="303" t="s">
        <v>187</v>
      </c>
      <c r="E199" s="286">
        <v>110</v>
      </c>
      <c r="F199" s="321"/>
      <c r="G199" s="305"/>
      <c r="H199" s="286"/>
      <c r="I199" s="304">
        <v>883.78</v>
      </c>
      <c r="J199" s="286">
        <v>88</v>
      </c>
      <c r="K199" s="304">
        <v>16509.080000000002</v>
      </c>
    </row>
    <row r="200" spans="1:22" ht="14.25" x14ac:dyDescent="0.2">
      <c r="A200" s="301"/>
      <c r="B200" s="302"/>
      <c r="C200" s="302" t="s">
        <v>193</v>
      </c>
      <c r="D200" s="303" t="s">
        <v>187</v>
      </c>
      <c r="E200" s="286">
        <v>74</v>
      </c>
      <c r="F200" s="321"/>
      <c r="G200" s="305"/>
      <c r="H200" s="286"/>
      <c r="I200" s="304">
        <v>594.54999999999995</v>
      </c>
      <c r="J200" s="286">
        <v>41</v>
      </c>
      <c r="K200" s="304">
        <v>7691.73</v>
      </c>
    </row>
    <row r="201" spans="1:22" ht="14.25" x14ac:dyDescent="0.2">
      <c r="A201" s="301"/>
      <c r="B201" s="302"/>
      <c r="C201" s="302" t="s">
        <v>188</v>
      </c>
      <c r="D201" s="303" t="s">
        <v>187</v>
      </c>
      <c r="E201" s="286">
        <v>175</v>
      </c>
      <c r="F201" s="321"/>
      <c r="G201" s="305"/>
      <c r="H201" s="286"/>
      <c r="I201" s="304">
        <v>37.28</v>
      </c>
      <c r="J201" s="286">
        <v>157</v>
      </c>
      <c r="K201" s="304">
        <v>780.86</v>
      </c>
    </row>
    <row r="202" spans="1:22" ht="14.25" x14ac:dyDescent="0.2">
      <c r="A202" s="348"/>
      <c r="B202" s="349"/>
      <c r="C202" s="349" t="s">
        <v>192</v>
      </c>
      <c r="D202" s="350" t="s">
        <v>191</v>
      </c>
      <c r="E202" s="351">
        <v>6.92</v>
      </c>
      <c r="F202" s="352"/>
      <c r="G202" s="353" t="s">
        <v>1548</v>
      </c>
      <c r="H202" s="351">
        <v>1</v>
      </c>
      <c r="I202" s="354">
        <v>63.66</v>
      </c>
      <c r="J202" s="351"/>
      <c r="K202" s="354"/>
    </row>
    <row r="203" spans="1:22" ht="15" x14ac:dyDescent="0.25">
      <c r="A203" s="355"/>
      <c r="B203" s="355"/>
      <c r="C203" s="356" t="s">
        <v>183</v>
      </c>
      <c r="D203" s="355"/>
      <c r="E203" s="355"/>
      <c r="F203" s="355"/>
      <c r="G203" s="355"/>
      <c r="H203" s="449">
        <v>22845.87</v>
      </c>
      <c r="I203" s="449"/>
      <c r="J203" s="449">
        <v>138969.79999999999</v>
      </c>
      <c r="K203" s="449"/>
      <c r="O203" s="163">
        <f>I193+I194+I196+I199+I200+I201+SUM(I197:I198)</f>
        <v>22845.87</v>
      </c>
      <c r="P203" s="163">
        <f>K193+K194+K196+K199+K200+K201+SUM(K197:K198)</f>
        <v>138969.79999999999</v>
      </c>
    </row>
    <row r="205" spans="1:22" ht="52.5" x14ac:dyDescent="0.2">
      <c r="A205" s="301" t="s">
        <v>1625</v>
      </c>
      <c r="B205" s="302" t="s">
        <v>860</v>
      </c>
      <c r="C205" s="302" t="s">
        <v>859</v>
      </c>
      <c r="D205" s="303" t="s">
        <v>2094</v>
      </c>
      <c r="E205" s="286">
        <v>5</v>
      </c>
      <c r="F205" s="321"/>
      <c r="G205" s="305"/>
      <c r="H205" s="286"/>
      <c r="I205" s="304"/>
      <c r="J205" s="286"/>
      <c r="K205" s="304"/>
      <c r="Q205" s="160">
        <f>[9]Source!X606</f>
        <v>36.369999999999997</v>
      </c>
      <c r="R205" s="160">
        <f>[9]Source!X607</f>
        <v>679.32</v>
      </c>
      <c r="S205" s="160">
        <f>[9]Source!Y606</f>
        <v>24.46</v>
      </c>
      <c r="T205" s="160">
        <f>[9]Source!Y607</f>
        <v>316.5</v>
      </c>
      <c r="U205" s="160">
        <f>ROUND((175/100)*ROUND([9]Source!R606, 2), 2)</f>
        <v>1.54</v>
      </c>
      <c r="V205" s="160">
        <f>ROUND((157/100)*ROUND([9]Source!R607, 2), 2)</f>
        <v>32.26</v>
      </c>
    </row>
    <row r="206" spans="1:22" ht="14.25" x14ac:dyDescent="0.2">
      <c r="A206" s="301"/>
      <c r="B206" s="302"/>
      <c r="C206" s="302" t="s">
        <v>197</v>
      </c>
      <c r="D206" s="303"/>
      <c r="E206" s="286"/>
      <c r="F206" s="321">
        <v>5.75</v>
      </c>
      <c r="G206" s="305" t="s">
        <v>1548</v>
      </c>
      <c r="H206" s="286">
        <v>1</v>
      </c>
      <c r="I206" s="304">
        <v>33.06</v>
      </c>
      <c r="J206" s="286">
        <v>23.35</v>
      </c>
      <c r="K206" s="304">
        <v>771.95</v>
      </c>
    </row>
    <row r="207" spans="1:22" ht="14.25" x14ac:dyDescent="0.2">
      <c r="A207" s="301"/>
      <c r="B207" s="302"/>
      <c r="C207" s="302" t="s">
        <v>184</v>
      </c>
      <c r="D207" s="303"/>
      <c r="E207" s="286"/>
      <c r="F207" s="321">
        <v>0.77</v>
      </c>
      <c r="G207" s="305" t="s">
        <v>1549</v>
      </c>
      <c r="H207" s="286">
        <v>1</v>
      </c>
      <c r="I207" s="304">
        <v>4.8099999999999996</v>
      </c>
      <c r="J207" s="286">
        <v>8.8699999999999992</v>
      </c>
      <c r="K207" s="304">
        <v>42.66</v>
      </c>
    </row>
    <row r="208" spans="1:22" ht="14.25" x14ac:dyDescent="0.2">
      <c r="A208" s="301"/>
      <c r="B208" s="302"/>
      <c r="C208" s="302" t="s">
        <v>189</v>
      </c>
      <c r="D208" s="303"/>
      <c r="E208" s="286"/>
      <c r="F208" s="321">
        <v>0.14000000000000001</v>
      </c>
      <c r="G208" s="305" t="s">
        <v>1549</v>
      </c>
      <c r="H208" s="286">
        <v>1</v>
      </c>
      <c r="I208" s="306">
        <v>0.88</v>
      </c>
      <c r="J208" s="286">
        <v>23.35</v>
      </c>
      <c r="K208" s="306">
        <v>20.55</v>
      </c>
    </row>
    <row r="209" spans="1:22" ht="14.25" x14ac:dyDescent="0.2">
      <c r="A209" s="301"/>
      <c r="B209" s="302"/>
      <c r="C209" s="302" t="s">
        <v>205</v>
      </c>
      <c r="D209" s="303"/>
      <c r="E209" s="286"/>
      <c r="F209" s="321">
        <v>1.9</v>
      </c>
      <c r="G209" s="305" t="s">
        <v>195</v>
      </c>
      <c r="H209" s="286">
        <v>1</v>
      </c>
      <c r="I209" s="304">
        <v>9.5</v>
      </c>
      <c r="J209" s="286">
        <v>6.71</v>
      </c>
      <c r="K209" s="304">
        <v>63.75</v>
      </c>
    </row>
    <row r="210" spans="1:22" ht="28.5" x14ac:dyDescent="0.2">
      <c r="A210" s="301" t="s">
        <v>1627</v>
      </c>
      <c r="B210" s="302" t="s">
        <v>3257</v>
      </c>
      <c r="C210" s="302" t="s">
        <v>858</v>
      </c>
      <c r="D210" s="303" t="s">
        <v>1913</v>
      </c>
      <c r="E210" s="286">
        <v>5</v>
      </c>
      <c r="F210" s="321">
        <v>74.31</v>
      </c>
      <c r="G210" s="315" t="s">
        <v>195</v>
      </c>
      <c r="H210" s="286">
        <v>1</v>
      </c>
      <c r="I210" s="304">
        <v>371.55</v>
      </c>
      <c r="J210" s="286">
        <v>12.73</v>
      </c>
      <c r="K210" s="304">
        <v>4729.83</v>
      </c>
      <c r="Q210" s="160">
        <f>[9]Source!X608</f>
        <v>0</v>
      </c>
      <c r="R210" s="160">
        <f>[9]Source!X609</f>
        <v>0</v>
      </c>
      <c r="S210" s="160">
        <f>[9]Source!Y608</f>
        <v>0</v>
      </c>
      <c r="T210" s="160">
        <f>[9]Source!Y609</f>
        <v>0</v>
      </c>
      <c r="U210" s="160">
        <f>ROUND((175/100)*ROUND([9]Source!R608, 2), 2)</f>
        <v>0</v>
      </c>
      <c r="V210" s="160">
        <f>ROUND((157/100)*ROUND([9]Source!R609, 2), 2)</f>
        <v>0</v>
      </c>
    </row>
    <row r="211" spans="1:22" ht="14.25" x14ac:dyDescent="0.2">
      <c r="A211" s="301"/>
      <c r="B211" s="302"/>
      <c r="C211" s="302" t="s">
        <v>194</v>
      </c>
      <c r="D211" s="303" t="s">
        <v>187</v>
      </c>
      <c r="E211" s="286">
        <v>110</v>
      </c>
      <c r="F211" s="321"/>
      <c r="G211" s="305"/>
      <c r="H211" s="286"/>
      <c r="I211" s="304">
        <v>36.369999999999997</v>
      </c>
      <c r="J211" s="286">
        <v>88</v>
      </c>
      <c r="K211" s="304">
        <v>679.32</v>
      </c>
    </row>
    <row r="212" spans="1:22" ht="14.25" x14ac:dyDescent="0.2">
      <c r="A212" s="301"/>
      <c r="B212" s="302"/>
      <c r="C212" s="302" t="s">
        <v>193</v>
      </c>
      <c r="D212" s="303" t="s">
        <v>187</v>
      </c>
      <c r="E212" s="286">
        <v>74</v>
      </c>
      <c r="F212" s="321"/>
      <c r="G212" s="305"/>
      <c r="H212" s="286"/>
      <c r="I212" s="304">
        <v>24.46</v>
      </c>
      <c r="J212" s="286">
        <v>41</v>
      </c>
      <c r="K212" s="304">
        <v>316.5</v>
      </c>
    </row>
    <row r="213" spans="1:22" ht="14.25" x14ac:dyDescent="0.2">
      <c r="A213" s="301"/>
      <c r="B213" s="302"/>
      <c r="C213" s="302" t="s">
        <v>188</v>
      </c>
      <c r="D213" s="303" t="s">
        <v>187</v>
      </c>
      <c r="E213" s="286">
        <v>175</v>
      </c>
      <c r="F213" s="321"/>
      <c r="G213" s="305"/>
      <c r="H213" s="286"/>
      <c r="I213" s="304">
        <v>1.54</v>
      </c>
      <c r="J213" s="286">
        <v>157</v>
      </c>
      <c r="K213" s="304">
        <v>32.26</v>
      </c>
    </row>
    <row r="214" spans="1:22" ht="14.25" x14ac:dyDescent="0.2">
      <c r="A214" s="348"/>
      <c r="B214" s="349"/>
      <c r="C214" s="349" t="s">
        <v>192</v>
      </c>
      <c r="D214" s="350" t="s">
        <v>191</v>
      </c>
      <c r="E214" s="351">
        <v>0.46</v>
      </c>
      <c r="F214" s="352"/>
      <c r="G214" s="353" t="s">
        <v>1548</v>
      </c>
      <c r="H214" s="351">
        <v>1</v>
      </c>
      <c r="I214" s="354">
        <v>2.65</v>
      </c>
      <c r="J214" s="351"/>
      <c r="K214" s="354"/>
    </row>
    <row r="215" spans="1:22" ht="15" x14ac:dyDescent="0.25">
      <c r="A215" s="355"/>
      <c r="B215" s="355"/>
      <c r="C215" s="356" t="s">
        <v>183</v>
      </c>
      <c r="D215" s="355"/>
      <c r="E215" s="355"/>
      <c r="F215" s="355"/>
      <c r="G215" s="355"/>
      <c r="H215" s="449">
        <v>481.29</v>
      </c>
      <c r="I215" s="449"/>
      <c r="J215" s="449">
        <v>6636.27</v>
      </c>
      <c r="K215" s="449"/>
      <c r="O215" s="163">
        <f>I206+I207+I209+I211+I212+I213+SUM(I210:I210)</f>
        <v>481.29</v>
      </c>
      <c r="P215" s="163">
        <f>K206+K207+K209+K211+K212+K213+SUM(K210:K210)</f>
        <v>6636.27</v>
      </c>
    </row>
    <row r="218" spans="1:22" ht="15" x14ac:dyDescent="0.25">
      <c r="A218" s="447" t="s">
        <v>3258</v>
      </c>
      <c r="B218" s="447"/>
      <c r="C218" s="447"/>
      <c r="D218" s="447"/>
      <c r="E218" s="447"/>
      <c r="F218" s="447"/>
      <c r="G218" s="447"/>
      <c r="H218" s="445">
        <v>84010.74</v>
      </c>
      <c r="I218" s="446"/>
      <c r="J218" s="445">
        <v>500857.19</v>
      </c>
      <c r="K218" s="446"/>
    </row>
    <row r="219" spans="1:22" hidden="1" x14ac:dyDescent="0.2">
      <c r="A219" s="281" t="s">
        <v>182</v>
      </c>
      <c r="I219" s="281">
        <v>0</v>
      </c>
      <c r="J219" s="281">
        <v>0</v>
      </c>
    </row>
    <row r="220" spans="1:22" hidden="1" x14ac:dyDescent="0.2">
      <c r="A220" s="281" t="s">
        <v>181</v>
      </c>
      <c r="I220" s="281">
        <v>0</v>
      </c>
      <c r="J220" s="281">
        <v>0</v>
      </c>
    </row>
    <row r="222" spans="1:22" ht="16.5" x14ac:dyDescent="0.25">
      <c r="A222" s="448" t="s">
        <v>3259</v>
      </c>
      <c r="B222" s="448"/>
      <c r="C222" s="448"/>
      <c r="D222" s="448"/>
      <c r="E222" s="448"/>
      <c r="F222" s="448"/>
      <c r="G222" s="448"/>
      <c r="H222" s="448"/>
      <c r="I222" s="448"/>
      <c r="J222" s="448"/>
      <c r="K222" s="448"/>
    </row>
    <row r="223" spans="1:22" ht="52.5" x14ac:dyDescent="0.2">
      <c r="A223" s="301" t="s">
        <v>1629</v>
      </c>
      <c r="B223" s="302" t="s">
        <v>857</v>
      </c>
      <c r="C223" s="302" t="s">
        <v>856</v>
      </c>
      <c r="D223" s="303" t="s">
        <v>3260</v>
      </c>
      <c r="E223" s="286">
        <v>0.02</v>
      </c>
      <c r="F223" s="321"/>
      <c r="G223" s="305"/>
      <c r="H223" s="286"/>
      <c r="I223" s="304"/>
      <c r="J223" s="286"/>
      <c r="K223" s="304"/>
      <c r="Q223" s="160">
        <f>[9]Source!X645</f>
        <v>35.31</v>
      </c>
      <c r="R223" s="160">
        <f>[9]Source!X646</f>
        <v>659.6</v>
      </c>
      <c r="S223" s="160">
        <f>[9]Source!Y645</f>
        <v>23.75</v>
      </c>
      <c r="T223" s="160">
        <f>[9]Source!Y646</f>
        <v>307.31</v>
      </c>
      <c r="U223" s="160">
        <f>ROUND((175/100)*ROUND([9]Source!R645, 2), 2)</f>
        <v>1.05</v>
      </c>
      <c r="V223" s="160">
        <f>ROUND((157/100)*ROUND([9]Source!R646, 2), 2)</f>
        <v>22</v>
      </c>
    </row>
    <row r="224" spans="1:22" x14ac:dyDescent="0.2">
      <c r="C224" s="316" t="s">
        <v>3261</v>
      </c>
    </row>
    <row r="225" spans="1:22" ht="14.25" x14ac:dyDescent="0.2">
      <c r="A225" s="301"/>
      <c r="B225" s="302"/>
      <c r="C225" s="302" t="s">
        <v>197</v>
      </c>
      <c r="D225" s="303"/>
      <c r="E225" s="286"/>
      <c r="F225" s="321">
        <v>1395.48</v>
      </c>
      <c r="G225" s="305" t="s">
        <v>1548</v>
      </c>
      <c r="H225" s="286">
        <v>1</v>
      </c>
      <c r="I225" s="304">
        <v>32.1</v>
      </c>
      <c r="J225" s="286">
        <v>23.35</v>
      </c>
      <c r="K225" s="304">
        <v>749.54</v>
      </c>
    </row>
    <row r="226" spans="1:22" ht="14.25" x14ac:dyDescent="0.2">
      <c r="A226" s="301"/>
      <c r="B226" s="302"/>
      <c r="C226" s="302" t="s">
        <v>184</v>
      </c>
      <c r="D226" s="303"/>
      <c r="E226" s="286"/>
      <c r="F226" s="321">
        <v>138.15</v>
      </c>
      <c r="G226" s="305" t="s">
        <v>1549</v>
      </c>
      <c r="H226" s="286">
        <v>1</v>
      </c>
      <c r="I226" s="304">
        <v>3.45</v>
      </c>
      <c r="J226" s="286">
        <v>8.48</v>
      </c>
      <c r="K226" s="304">
        <v>29.26</v>
      </c>
    </row>
    <row r="227" spans="1:22" ht="14.25" x14ac:dyDescent="0.2">
      <c r="A227" s="301"/>
      <c r="B227" s="302"/>
      <c r="C227" s="302" t="s">
        <v>189</v>
      </c>
      <c r="D227" s="303"/>
      <c r="E227" s="286"/>
      <c r="F227" s="321">
        <v>23.99</v>
      </c>
      <c r="G227" s="305" t="s">
        <v>1549</v>
      </c>
      <c r="H227" s="286">
        <v>1</v>
      </c>
      <c r="I227" s="306">
        <v>0.6</v>
      </c>
      <c r="J227" s="286">
        <v>23.35</v>
      </c>
      <c r="K227" s="306">
        <v>14.01</v>
      </c>
    </row>
    <row r="228" spans="1:22" ht="14.25" x14ac:dyDescent="0.2">
      <c r="A228" s="301"/>
      <c r="B228" s="302"/>
      <c r="C228" s="302" t="s">
        <v>205</v>
      </c>
      <c r="D228" s="303"/>
      <c r="E228" s="286"/>
      <c r="F228" s="321">
        <v>203.72</v>
      </c>
      <c r="G228" s="305" t="s">
        <v>195</v>
      </c>
      <c r="H228" s="286">
        <v>1</v>
      </c>
      <c r="I228" s="304">
        <v>4.07</v>
      </c>
      <c r="J228" s="286">
        <v>6.22</v>
      </c>
      <c r="K228" s="304">
        <v>25.32</v>
      </c>
    </row>
    <row r="229" spans="1:22" ht="42.75" x14ac:dyDescent="0.2">
      <c r="A229" s="301" t="s">
        <v>1630</v>
      </c>
      <c r="B229" s="302" t="s">
        <v>3262</v>
      </c>
      <c r="C229" s="302" t="s">
        <v>855</v>
      </c>
      <c r="D229" s="303" t="s">
        <v>1552</v>
      </c>
      <c r="E229" s="286">
        <v>2.02</v>
      </c>
      <c r="F229" s="321">
        <v>100.21</v>
      </c>
      <c r="G229" s="315" t="s">
        <v>195</v>
      </c>
      <c r="H229" s="286">
        <v>1</v>
      </c>
      <c r="I229" s="304">
        <v>202.42</v>
      </c>
      <c r="J229" s="286">
        <v>4.1399999999999997</v>
      </c>
      <c r="K229" s="304">
        <v>838.02</v>
      </c>
      <c r="Q229" s="160">
        <f>[9]Source!X647</f>
        <v>0</v>
      </c>
      <c r="R229" s="160">
        <f>[9]Source!X648</f>
        <v>0</v>
      </c>
      <c r="S229" s="160">
        <f>[9]Source!Y647</f>
        <v>0</v>
      </c>
      <c r="T229" s="160">
        <f>[9]Source!Y648</f>
        <v>0</v>
      </c>
      <c r="U229" s="160">
        <f>ROUND((175/100)*ROUND([9]Source!R647, 2), 2)</f>
        <v>0</v>
      </c>
      <c r="V229" s="160">
        <f>ROUND((157/100)*ROUND([9]Source!R648, 2), 2)</f>
        <v>0</v>
      </c>
    </row>
    <row r="230" spans="1:22" ht="28.5" x14ac:dyDescent="0.2">
      <c r="A230" s="301" t="s">
        <v>1631</v>
      </c>
      <c r="B230" s="302" t="s">
        <v>3162</v>
      </c>
      <c r="C230" s="302" t="s">
        <v>754</v>
      </c>
      <c r="D230" s="303" t="s">
        <v>1533</v>
      </c>
      <c r="E230" s="286">
        <v>7.3999999999999999E-4</v>
      </c>
      <c r="F230" s="321">
        <v>26732.5</v>
      </c>
      <c r="G230" s="315" t="s">
        <v>195</v>
      </c>
      <c r="H230" s="286">
        <v>1</v>
      </c>
      <c r="I230" s="304">
        <v>19.78</v>
      </c>
      <c r="J230" s="286">
        <v>1.96</v>
      </c>
      <c r="K230" s="304">
        <v>38.770000000000003</v>
      </c>
      <c r="Q230" s="160">
        <f>[9]Source!X649</f>
        <v>0</v>
      </c>
      <c r="R230" s="160">
        <f>[9]Source!X650</f>
        <v>0</v>
      </c>
      <c r="S230" s="160">
        <f>[9]Source!Y649</f>
        <v>0</v>
      </c>
      <c r="T230" s="160">
        <f>[9]Source!Y650</f>
        <v>0</v>
      </c>
      <c r="U230" s="160">
        <f>ROUND((175/100)*ROUND([9]Source!R649, 2), 2)</f>
        <v>0</v>
      </c>
      <c r="V230" s="160">
        <f>ROUND((157/100)*ROUND([9]Source!R650, 2), 2)</f>
        <v>0</v>
      </c>
    </row>
    <row r="231" spans="1:22" ht="42.75" x14ac:dyDescent="0.2">
      <c r="A231" s="301" t="s">
        <v>1632</v>
      </c>
      <c r="B231" s="302" t="s">
        <v>3263</v>
      </c>
      <c r="C231" s="302" t="s">
        <v>854</v>
      </c>
      <c r="D231" s="303" t="s">
        <v>1661</v>
      </c>
      <c r="E231" s="286">
        <v>2</v>
      </c>
      <c r="F231" s="321">
        <v>66.41</v>
      </c>
      <c r="G231" s="315" t="s">
        <v>195</v>
      </c>
      <c r="H231" s="286">
        <v>1</v>
      </c>
      <c r="I231" s="304">
        <v>132.82</v>
      </c>
      <c r="J231" s="286">
        <v>9.42</v>
      </c>
      <c r="K231" s="304">
        <v>1251.1600000000001</v>
      </c>
      <c r="Q231" s="160">
        <f>[9]Source!X651</f>
        <v>0</v>
      </c>
      <c r="R231" s="160">
        <f>[9]Source!X652</f>
        <v>0</v>
      </c>
      <c r="S231" s="160">
        <f>[9]Source!Y651</f>
        <v>0</v>
      </c>
      <c r="T231" s="160">
        <f>[9]Source!Y652</f>
        <v>0</v>
      </c>
      <c r="U231" s="160">
        <f>ROUND((175/100)*ROUND([9]Source!R651, 2), 2)</f>
        <v>0</v>
      </c>
      <c r="V231" s="160">
        <f>ROUND((157/100)*ROUND([9]Source!R652, 2), 2)</f>
        <v>0</v>
      </c>
    </row>
    <row r="232" spans="1:22" ht="14.25" x14ac:dyDescent="0.2">
      <c r="A232" s="301"/>
      <c r="B232" s="302"/>
      <c r="C232" s="302" t="s">
        <v>194</v>
      </c>
      <c r="D232" s="303" t="s">
        <v>187</v>
      </c>
      <c r="E232" s="286">
        <v>110</v>
      </c>
      <c r="F232" s="321"/>
      <c r="G232" s="305"/>
      <c r="H232" s="286"/>
      <c r="I232" s="304">
        <v>35.31</v>
      </c>
      <c r="J232" s="286">
        <v>88</v>
      </c>
      <c r="K232" s="304">
        <v>659.6</v>
      </c>
    </row>
    <row r="233" spans="1:22" ht="14.25" x14ac:dyDescent="0.2">
      <c r="A233" s="301"/>
      <c r="B233" s="302"/>
      <c r="C233" s="302" t="s">
        <v>193</v>
      </c>
      <c r="D233" s="303" t="s">
        <v>187</v>
      </c>
      <c r="E233" s="286">
        <v>74</v>
      </c>
      <c r="F233" s="321"/>
      <c r="G233" s="305"/>
      <c r="H233" s="286"/>
      <c r="I233" s="304">
        <v>23.75</v>
      </c>
      <c r="J233" s="286">
        <v>41</v>
      </c>
      <c r="K233" s="304">
        <v>307.31</v>
      </c>
    </row>
    <row r="234" spans="1:22" ht="14.25" x14ac:dyDescent="0.2">
      <c r="A234" s="301"/>
      <c r="B234" s="302"/>
      <c r="C234" s="302" t="s">
        <v>188</v>
      </c>
      <c r="D234" s="303" t="s">
        <v>187</v>
      </c>
      <c r="E234" s="286">
        <v>175</v>
      </c>
      <c r="F234" s="321"/>
      <c r="G234" s="305"/>
      <c r="H234" s="286"/>
      <c r="I234" s="304">
        <v>1.05</v>
      </c>
      <c r="J234" s="286">
        <v>157</v>
      </c>
      <c r="K234" s="304">
        <v>22</v>
      </c>
    </row>
    <row r="235" spans="1:22" ht="14.25" x14ac:dyDescent="0.2">
      <c r="A235" s="348"/>
      <c r="B235" s="349"/>
      <c r="C235" s="349" t="s">
        <v>192</v>
      </c>
      <c r="D235" s="350" t="s">
        <v>191</v>
      </c>
      <c r="E235" s="351">
        <v>116</v>
      </c>
      <c r="F235" s="352"/>
      <c r="G235" s="353" t="s">
        <v>1548</v>
      </c>
      <c r="H235" s="351">
        <v>1</v>
      </c>
      <c r="I235" s="354">
        <v>2.67</v>
      </c>
      <c r="J235" s="351"/>
      <c r="K235" s="354"/>
    </row>
    <row r="236" spans="1:22" ht="15" x14ac:dyDescent="0.25">
      <c r="A236" s="355"/>
      <c r="B236" s="355"/>
      <c r="C236" s="356" t="s">
        <v>183</v>
      </c>
      <c r="D236" s="355"/>
      <c r="E236" s="355"/>
      <c r="F236" s="355"/>
      <c r="G236" s="355"/>
      <c r="H236" s="449">
        <v>454.75</v>
      </c>
      <c r="I236" s="449"/>
      <c r="J236" s="449">
        <v>3920.98</v>
      </c>
      <c r="K236" s="449"/>
      <c r="O236" s="163">
        <f>I225+I226+I228+I232+I233+I234+SUM(I229:I231)</f>
        <v>454.75</v>
      </c>
      <c r="P236" s="163">
        <f>K225+K226+K228+K232+K233+K234+SUM(K229:K231)</f>
        <v>3920.98</v>
      </c>
    </row>
    <row r="238" spans="1:22" ht="52.5" x14ac:dyDescent="0.2">
      <c r="A238" s="301" t="s">
        <v>1633</v>
      </c>
      <c r="B238" s="302" t="s">
        <v>853</v>
      </c>
      <c r="C238" s="302" t="s">
        <v>852</v>
      </c>
      <c r="D238" s="303" t="s">
        <v>1686</v>
      </c>
      <c r="E238" s="286">
        <v>4.26</v>
      </c>
      <c r="F238" s="321"/>
      <c r="G238" s="305"/>
      <c r="H238" s="286"/>
      <c r="I238" s="304"/>
      <c r="J238" s="286"/>
      <c r="K238" s="304"/>
      <c r="Q238" s="160">
        <f>[9]Source!X653</f>
        <v>4028.31</v>
      </c>
      <c r="R238" s="160">
        <f>[9]Source!X654</f>
        <v>75248.84</v>
      </c>
      <c r="S238" s="160">
        <f>[9]Source!Y653</f>
        <v>2709.95</v>
      </c>
      <c r="T238" s="160">
        <f>[9]Source!Y654</f>
        <v>35059.120000000003</v>
      </c>
      <c r="U238" s="160">
        <f>ROUND((175/100)*ROUND([9]Source!R653, 2), 2)</f>
        <v>19.2</v>
      </c>
      <c r="V238" s="160">
        <f>ROUND((157/100)*ROUND([9]Source!R654, 2), 2)</f>
        <v>402.16</v>
      </c>
    </row>
    <row r="239" spans="1:22" x14ac:dyDescent="0.2">
      <c r="C239" s="316" t="s">
        <v>3264</v>
      </c>
    </row>
    <row r="240" spans="1:22" ht="14.25" x14ac:dyDescent="0.2">
      <c r="A240" s="301"/>
      <c r="B240" s="302"/>
      <c r="C240" s="302" t="s">
        <v>197</v>
      </c>
      <c r="D240" s="303"/>
      <c r="E240" s="286"/>
      <c r="F240" s="321">
        <v>747.52</v>
      </c>
      <c r="G240" s="305" t="s">
        <v>1548</v>
      </c>
      <c r="H240" s="286">
        <v>1</v>
      </c>
      <c r="I240" s="304">
        <v>3662.1</v>
      </c>
      <c r="J240" s="286">
        <v>23.35</v>
      </c>
      <c r="K240" s="304">
        <v>85510.04</v>
      </c>
    </row>
    <row r="241" spans="1:22" ht="14.25" x14ac:dyDescent="0.2">
      <c r="A241" s="301"/>
      <c r="B241" s="302"/>
      <c r="C241" s="302" t="s">
        <v>184</v>
      </c>
      <c r="D241" s="303"/>
      <c r="E241" s="286"/>
      <c r="F241" s="321">
        <v>8.4700000000000006</v>
      </c>
      <c r="G241" s="305" t="s">
        <v>1549</v>
      </c>
      <c r="H241" s="286">
        <v>1</v>
      </c>
      <c r="I241" s="304">
        <v>45.1</v>
      </c>
      <c r="J241" s="286">
        <v>9.73</v>
      </c>
      <c r="K241" s="304">
        <v>438.82</v>
      </c>
    </row>
    <row r="242" spans="1:22" ht="14.25" x14ac:dyDescent="0.2">
      <c r="A242" s="301"/>
      <c r="B242" s="302"/>
      <c r="C242" s="302" t="s">
        <v>189</v>
      </c>
      <c r="D242" s="303"/>
      <c r="E242" s="286"/>
      <c r="F242" s="321">
        <v>2.06</v>
      </c>
      <c r="G242" s="305" t="s">
        <v>1549</v>
      </c>
      <c r="H242" s="286">
        <v>1</v>
      </c>
      <c r="I242" s="306">
        <v>10.97</v>
      </c>
      <c r="J242" s="286">
        <v>23.35</v>
      </c>
      <c r="K242" s="306">
        <v>256.14999999999998</v>
      </c>
    </row>
    <row r="243" spans="1:22" ht="14.25" x14ac:dyDescent="0.2">
      <c r="A243" s="301"/>
      <c r="B243" s="302"/>
      <c r="C243" s="302" t="s">
        <v>205</v>
      </c>
      <c r="D243" s="303"/>
      <c r="E243" s="286"/>
      <c r="F243" s="321">
        <v>189.21</v>
      </c>
      <c r="G243" s="305" t="s">
        <v>195</v>
      </c>
      <c r="H243" s="286">
        <v>1</v>
      </c>
      <c r="I243" s="304">
        <v>806.03</v>
      </c>
      <c r="J243" s="286">
        <v>5.42</v>
      </c>
      <c r="K243" s="304">
        <v>4368.68</v>
      </c>
    </row>
    <row r="244" spans="1:22" ht="28.5" x14ac:dyDescent="0.2">
      <c r="A244" s="301" t="s">
        <v>1634</v>
      </c>
      <c r="B244" s="302" t="s">
        <v>3162</v>
      </c>
      <c r="C244" s="302" t="s">
        <v>754</v>
      </c>
      <c r="D244" s="303" t="s">
        <v>1533</v>
      </c>
      <c r="E244" s="286">
        <v>0.15762000000000001</v>
      </c>
      <c r="F244" s="321">
        <v>26732.5</v>
      </c>
      <c r="G244" s="315" t="s">
        <v>195</v>
      </c>
      <c r="H244" s="286">
        <v>1</v>
      </c>
      <c r="I244" s="304">
        <v>4213.58</v>
      </c>
      <c r="J244" s="286">
        <v>1.96</v>
      </c>
      <c r="K244" s="304">
        <v>8258.6200000000008</v>
      </c>
      <c r="Q244" s="160">
        <f>[9]Source!X655</f>
        <v>0</v>
      </c>
      <c r="R244" s="160">
        <f>[9]Source!X656</f>
        <v>0</v>
      </c>
      <c r="S244" s="160">
        <f>[9]Source!Y655</f>
        <v>0</v>
      </c>
      <c r="T244" s="160">
        <f>[9]Source!Y656</f>
        <v>0</v>
      </c>
      <c r="U244" s="160">
        <f>ROUND((175/100)*ROUND([9]Source!R655, 2), 2)</f>
        <v>0</v>
      </c>
      <c r="V244" s="160">
        <f>ROUND((157/100)*ROUND([9]Source!R656, 2), 2)</f>
        <v>0</v>
      </c>
    </row>
    <row r="245" spans="1:22" ht="57" x14ac:dyDescent="0.2">
      <c r="A245" s="301" t="s">
        <v>3196</v>
      </c>
      <c r="B245" s="302" t="s">
        <v>3265</v>
      </c>
      <c r="C245" s="302" t="s">
        <v>851</v>
      </c>
      <c r="D245" s="303" t="s">
        <v>1552</v>
      </c>
      <c r="E245" s="286">
        <v>425.14800000000002</v>
      </c>
      <c r="F245" s="321">
        <v>123.21</v>
      </c>
      <c r="G245" s="315" t="s">
        <v>195</v>
      </c>
      <c r="H245" s="286">
        <v>1</v>
      </c>
      <c r="I245" s="304">
        <v>52382.49</v>
      </c>
      <c r="J245" s="286">
        <v>0.65</v>
      </c>
      <c r="K245" s="304">
        <v>34048.620000000003</v>
      </c>
      <c r="Q245" s="160">
        <f>[9]Source!X657</f>
        <v>0</v>
      </c>
      <c r="R245" s="160">
        <f>[9]Source!X658</f>
        <v>0</v>
      </c>
      <c r="S245" s="160">
        <f>[9]Source!Y657</f>
        <v>0</v>
      </c>
      <c r="T245" s="160">
        <f>[9]Source!Y658</f>
        <v>0</v>
      </c>
      <c r="U245" s="160">
        <f>ROUND((175/100)*ROUND([9]Source!R657, 2), 2)</f>
        <v>0</v>
      </c>
      <c r="V245" s="160">
        <f>ROUND((157/100)*ROUND([9]Source!R658, 2), 2)</f>
        <v>0</v>
      </c>
    </row>
    <row r="246" spans="1:22" ht="42.75" x14ac:dyDescent="0.2">
      <c r="A246" s="301" t="s">
        <v>3197</v>
      </c>
      <c r="B246" s="302" t="s">
        <v>3266</v>
      </c>
      <c r="C246" s="302" t="s">
        <v>850</v>
      </c>
      <c r="D246" s="303" t="s">
        <v>1661</v>
      </c>
      <c r="E246" s="286">
        <v>36</v>
      </c>
      <c r="F246" s="321">
        <v>16.739999999999998</v>
      </c>
      <c r="G246" s="315" t="s">
        <v>195</v>
      </c>
      <c r="H246" s="286">
        <v>1</v>
      </c>
      <c r="I246" s="304">
        <v>602.64</v>
      </c>
      <c r="J246" s="286">
        <v>2.2599999999999998</v>
      </c>
      <c r="K246" s="304">
        <v>1361.97</v>
      </c>
      <c r="Q246" s="160">
        <f>[9]Source!X659</f>
        <v>0</v>
      </c>
      <c r="R246" s="160">
        <f>[9]Source!X660</f>
        <v>0</v>
      </c>
      <c r="S246" s="160">
        <f>[9]Source!Y659</f>
        <v>0</v>
      </c>
      <c r="T246" s="160">
        <f>[9]Source!Y660</f>
        <v>0</v>
      </c>
      <c r="U246" s="160">
        <f>ROUND((175/100)*ROUND([9]Source!R659, 2), 2)</f>
        <v>0</v>
      </c>
      <c r="V246" s="160">
        <f>ROUND((157/100)*ROUND([9]Source!R660, 2), 2)</f>
        <v>0</v>
      </c>
    </row>
    <row r="247" spans="1:22" ht="42.75" x14ac:dyDescent="0.2">
      <c r="A247" s="301" t="s">
        <v>3198</v>
      </c>
      <c r="B247" s="302" t="s">
        <v>3266</v>
      </c>
      <c r="C247" s="302" t="s">
        <v>849</v>
      </c>
      <c r="D247" s="303" t="s">
        <v>1661</v>
      </c>
      <c r="E247" s="286">
        <v>5</v>
      </c>
      <c r="F247" s="321">
        <v>16.739999999999998</v>
      </c>
      <c r="G247" s="315" t="s">
        <v>195</v>
      </c>
      <c r="H247" s="286">
        <v>1</v>
      </c>
      <c r="I247" s="304">
        <v>83.7</v>
      </c>
      <c r="J247" s="286">
        <v>2.2599999999999998</v>
      </c>
      <c r="K247" s="304">
        <v>189.16</v>
      </c>
      <c r="Q247" s="160">
        <f>[9]Source!X661</f>
        <v>0</v>
      </c>
      <c r="R247" s="160">
        <f>[9]Source!X662</f>
        <v>0</v>
      </c>
      <c r="S247" s="160">
        <f>[9]Source!Y661</f>
        <v>0</v>
      </c>
      <c r="T247" s="160">
        <f>[9]Source!Y662</f>
        <v>0</v>
      </c>
      <c r="U247" s="160">
        <f>ROUND((175/100)*ROUND([9]Source!R661, 2), 2)</f>
        <v>0</v>
      </c>
      <c r="V247" s="160">
        <f>ROUND((157/100)*ROUND([9]Source!R662, 2), 2)</f>
        <v>0</v>
      </c>
    </row>
    <row r="248" spans="1:22" ht="14.25" x14ac:dyDescent="0.2">
      <c r="A248" s="301"/>
      <c r="B248" s="302"/>
      <c r="C248" s="302" t="s">
        <v>194</v>
      </c>
      <c r="D248" s="303" t="s">
        <v>187</v>
      </c>
      <c r="E248" s="286">
        <v>110</v>
      </c>
      <c r="F248" s="321"/>
      <c r="G248" s="305"/>
      <c r="H248" s="286"/>
      <c r="I248" s="304">
        <v>4028.31</v>
      </c>
      <c r="J248" s="286">
        <v>88</v>
      </c>
      <c r="K248" s="304">
        <v>75248.84</v>
      </c>
    </row>
    <row r="249" spans="1:22" ht="14.25" x14ac:dyDescent="0.2">
      <c r="A249" s="301"/>
      <c r="B249" s="302"/>
      <c r="C249" s="302" t="s">
        <v>193</v>
      </c>
      <c r="D249" s="303" t="s">
        <v>187</v>
      </c>
      <c r="E249" s="286">
        <v>74</v>
      </c>
      <c r="F249" s="321"/>
      <c r="G249" s="305"/>
      <c r="H249" s="286"/>
      <c r="I249" s="304">
        <v>2709.95</v>
      </c>
      <c r="J249" s="286">
        <v>41</v>
      </c>
      <c r="K249" s="304">
        <v>35059.120000000003</v>
      </c>
    </row>
    <row r="250" spans="1:22" ht="14.25" x14ac:dyDescent="0.2">
      <c r="A250" s="301"/>
      <c r="B250" s="302"/>
      <c r="C250" s="302" t="s">
        <v>188</v>
      </c>
      <c r="D250" s="303" t="s">
        <v>187</v>
      </c>
      <c r="E250" s="286">
        <v>175</v>
      </c>
      <c r="F250" s="321"/>
      <c r="G250" s="305"/>
      <c r="H250" s="286"/>
      <c r="I250" s="304">
        <v>19.2</v>
      </c>
      <c r="J250" s="286">
        <v>157</v>
      </c>
      <c r="K250" s="304">
        <v>402.16</v>
      </c>
    </row>
    <row r="251" spans="1:22" ht="14.25" x14ac:dyDescent="0.2">
      <c r="A251" s="348"/>
      <c r="B251" s="349"/>
      <c r="C251" s="349" t="s">
        <v>192</v>
      </c>
      <c r="D251" s="350" t="s">
        <v>191</v>
      </c>
      <c r="E251" s="351">
        <v>58.4</v>
      </c>
      <c r="F251" s="352"/>
      <c r="G251" s="353" t="s">
        <v>1548</v>
      </c>
      <c r="H251" s="351">
        <v>1</v>
      </c>
      <c r="I251" s="354">
        <v>286.10000000000002</v>
      </c>
      <c r="J251" s="351"/>
      <c r="K251" s="354"/>
    </row>
    <row r="252" spans="1:22" ht="15" x14ac:dyDescent="0.25">
      <c r="A252" s="355"/>
      <c r="B252" s="355"/>
      <c r="C252" s="356" t="s">
        <v>183</v>
      </c>
      <c r="D252" s="355"/>
      <c r="E252" s="355"/>
      <c r="F252" s="355"/>
      <c r="G252" s="355"/>
      <c r="H252" s="449">
        <v>68553.100000000006</v>
      </c>
      <c r="I252" s="449"/>
      <c r="J252" s="449">
        <v>244886.03</v>
      </c>
      <c r="K252" s="449"/>
      <c r="O252" s="163">
        <f>I240+I241+I243+I248+I249+I250+SUM(I244:I247)</f>
        <v>68553.100000000006</v>
      </c>
      <c r="P252" s="163">
        <f>K240+K241+K243+K248+K249+K250+SUM(K244:K247)</f>
        <v>244886.03</v>
      </c>
    </row>
    <row r="254" spans="1:22" ht="52.5" x14ac:dyDescent="0.2">
      <c r="A254" s="301" t="s">
        <v>1635</v>
      </c>
      <c r="B254" s="302" t="s">
        <v>848</v>
      </c>
      <c r="C254" s="302" t="s">
        <v>847</v>
      </c>
      <c r="D254" s="303" t="s">
        <v>1686</v>
      </c>
      <c r="E254" s="286">
        <v>2.42</v>
      </c>
      <c r="F254" s="321"/>
      <c r="G254" s="305"/>
      <c r="H254" s="286"/>
      <c r="I254" s="304"/>
      <c r="J254" s="286"/>
      <c r="K254" s="304"/>
      <c r="Q254" s="160">
        <f>[9]Source!X663</f>
        <v>2194.34</v>
      </c>
      <c r="R254" s="160">
        <f>[9]Source!X664</f>
        <v>40990.18</v>
      </c>
      <c r="S254" s="160">
        <f>[9]Source!Y663</f>
        <v>1476.19</v>
      </c>
      <c r="T254" s="160">
        <f>[9]Source!Y664</f>
        <v>19097.7</v>
      </c>
      <c r="U254" s="160">
        <f>ROUND((175/100)*ROUND([9]Source!R663, 2), 2)</f>
        <v>21.81</v>
      </c>
      <c r="V254" s="160">
        <f>ROUND((157/100)*ROUND([9]Source!R664, 2), 2)</f>
        <v>456.78</v>
      </c>
    </row>
    <row r="255" spans="1:22" x14ac:dyDescent="0.2">
      <c r="C255" s="316" t="s">
        <v>3267</v>
      </c>
    </row>
    <row r="256" spans="1:22" ht="14.25" x14ac:dyDescent="0.2">
      <c r="A256" s="301"/>
      <c r="B256" s="302"/>
      <c r="C256" s="302" t="s">
        <v>197</v>
      </c>
      <c r="D256" s="303"/>
      <c r="E256" s="286"/>
      <c r="F256" s="321">
        <v>716.8</v>
      </c>
      <c r="G256" s="305" t="s">
        <v>1548</v>
      </c>
      <c r="H256" s="286">
        <v>1</v>
      </c>
      <c r="I256" s="304">
        <v>1994.85</v>
      </c>
      <c r="J256" s="286">
        <v>23.35</v>
      </c>
      <c r="K256" s="304">
        <v>46579.75</v>
      </c>
    </row>
    <row r="257" spans="1:22" ht="14.25" x14ac:dyDescent="0.2">
      <c r="A257" s="301"/>
      <c r="B257" s="302"/>
      <c r="C257" s="302" t="s">
        <v>184</v>
      </c>
      <c r="D257" s="303"/>
      <c r="E257" s="286"/>
      <c r="F257" s="321">
        <v>16.93</v>
      </c>
      <c r="G257" s="305" t="s">
        <v>1549</v>
      </c>
      <c r="H257" s="286">
        <v>1</v>
      </c>
      <c r="I257" s="304">
        <v>51.21</v>
      </c>
      <c r="J257" s="286">
        <v>9.73</v>
      </c>
      <c r="K257" s="304">
        <v>498.27</v>
      </c>
    </row>
    <row r="258" spans="1:22" ht="14.25" x14ac:dyDescent="0.2">
      <c r="A258" s="301"/>
      <c r="B258" s="302"/>
      <c r="C258" s="302" t="s">
        <v>189</v>
      </c>
      <c r="D258" s="303"/>
      <c r="E258" s="286"/>
      <c r="F258" s="321">
        <v>4.12</v>
      </c>
      <c r="G258" s="305" t="s">
        <v>1549</v>
      </c>
      <c r="H258" s="286">
        <v>1</v>
      </c>
      <c r="I258" s="306">
        <v>12.46</v>
      </c>
      <c r="J258" s="286">
        <v>23.35</v>
      </c>
      <c r="K258" s="306">
        <v>290.94</v>
      </c>
    </row>
    <row r="259" spans="1:22" ht="14.25" x14ac:dyDescent="0.2">
      <c r="A259" s="301"/>
      <c r="B259" s="302"/>
      <c r="C259" s="302" t="s">
        <v>205</v>
      </c>
      <c r="D259" s="303"/>
      <c r="E259" s="286"/>
      <c r="F259" s="321">
        <v>252.56</v>
      </c>
      <c r="G259" s="305" t="s">
        <v>195</v>
      </c>
      <c r="H259" s="286">
        <v>1</v>
      </c>
      <c r="I259" s="304">
        <v>611.20000000000005</v>
      </c>
      <c r="J259" s="286">
        <v>5.42</v>
      </c>
      <c r="K259" s="304">
        <v>3312.7</v>
      </c>
    </row>
    <row r="260" spans="1:22" ht="28.5" x14ac:dyDescent="0.2">
      <c r="A260" s="301" t="s">
        <v>1638</v>
      </c>
      <c r="B260" s="302" t="s">
        <v>3162</v>
      </c>
      <c r="C260" s="302" t="s">
        <v>754</v>
      </c>
      <c r="D260" s="303" t="s">
        <v>1533</v>
      </c>
      <c r="E260" s="286">
        <v>8.9539999999999995E-2</v>
      </c>
      <c r="F260" s="321">
        <v>26732.5</v>
      </c>
      <c r="G260" s="315" t="s">
        <v>195</v>
      </c>
      <c r="H260" s="286">
        <v>1</v>
      </c>
      <c r="I260" s="304">
        <v>2393.63</v>
      </c>
      <c r="J260" s="286">
        <v>1.96</v>
      </c>
      <c r="K260" s="304">
        <v>4691.51</v>
      </c>
      <c r="Q260" s="160">
        <f>[9]Source!X665</f>
        <v>0</v>
      </c>
      <c r="R260" s="160">
        <f>[9]Source!X666</f>
        <v>0</v>
      </c>
      <c r="S260" s="160">
        <f>[9]Source!Y665</f>
        <v>0</v>
      </c>
      <c r="T260" s="160">
        <f>[9]Source!Y666</f>
        <v>0</v>
      </c>
      <c r="U260" s="160">
        <f>ROUND((175/100)*ROUND([9]Source!R665, 2), 2)</f>
        <v>0</v>
      </c>
      <c r="V260" s="160">
        <f>ROUND((157/100)*ROUND([9]Source!R666, 2), 2)</f>
        <v>0</v>
      </c>
    </row>
    <row r="261" spans="1:22" ht="57" x14ac:dyDescent="0.2">
      <c r="A261" s="301" t="s">
        <v>1639</v>
      </c>
      <c r="B261" s="302" t="s">
        <v>3268</v>
      </c>
      <c r="C261" s="302" t="s">
        <v>846</v>
      </c>
      <c r="D261" s="303" t="s">
        <v>1552</v>
      </c>
      <c r="E261" s="286">
        <v>241.51599999999999</v>
      </c>
      <c r="F261" s="321">
        <v>179.23</v>
      </c>
      <c r="G261" s="315" t="s">
        <v>195</v>
      </c>
      <c r="H261" s="286">
        <v>1</v>
      </c>
      <c r="I261" s="304">
        <v>43286.91</v>
      </c>
      <c r="J261" s="286">
        <v>0.84</v>
      </c>
      <c r="K261" s="304">
        <v>36361</v>
      </c>
      <c r="Q261" s="160">
        <f>[9]Source!X667</f>
        <v>0</v>
      </c>
      <c r="R261" s="160">
        <f>[9]Source!X668</f>
        <v>0</v>
      </c>
      <c r="S261" s="160">
        <f>[9]Source!Y667</f>
        <v>0</v>
      </c>
      <c r="T261" s="160">
        <f>[9]Source!Y668</f>
        <v>0</v>
      </c>
      <c r="U261" s="160">
        <f>ROUND((175/100)*ROUND([9]Source!R667, 2), 2)</f>
        <v>0</v>
      </c>
      <c r="V261" s="160">
        <f>ROUND((157/100)*ROUND([9]Source!R668, 2), 2)</f>
        <v>0</v>
      </c>
    </row>
    <row r="262" spans="1:22" ht="28.5" x14ac:dyDescent="0.2">
      <c r="A262" s="301" t="s">
        <v>1641</v>
      </c>
      <c r="B262" s="302" t="s">
        <v>3269</v>
      </c>
      <c r="C262" s="302" t="s">
        <v>845</v>
      </c>
      <c r="D262" s="303" t="s">
        <v>1661</v>
      </c>
      <c r="E262" s="286">
        <v>10</v>
      </c>
      <c r="F262" s="321">
        <v>53.05</v>
      </c>
      <c r="G262" s="315" t="s">
        <v>195</v>
      </c>
      <c r="H262" s="286">
        <v>1</v>
      </c>
      <c r="I262" s="304">
        <v>530.5</v>
      </c>
      <c r="J262" s="286">
        <v>4.21</v>
      </c>
      <c r="K262" s="304">
        <v>2233.41</v>
      </c>
      <c r="Q262" s="160">
        <f>[9]Source!X669</f>
        <v>0</v>
      </c>
      <c r="R262" s="160">
        <f>[9]Source!X670</f>
        <v>0</v>
      </c>
      <c r="S262" s="160">
        <f>[9]Source!Y669</f>
        <v>0</v>
      </c>
      <c r="T262" s="160">
        <f>[9]Source!Y670</f>
        <v>0</v>
      </c>
      <c r="U262" s="160">
        <f>ROUND((175/100)*ROUND([9]Source!R669, 2), 2)</f>
        <v>0</v>
      </c>
      <c r="V262" s="160">
        <f>ROUND((157/100)*ROUND([9]Source!R670, 2), 2)</f>
        <v>0</v>
      </c>
    </row>
    <row r="263" spans="1:22" ht="28.5" x14ac:dyDescent="0.2">
      <c r="A263" s="301" t="s">
        <v>1643</v>
      </c>
      <c r="B263" s="302" t="s">
        <v>3270</v>
      </c>
      <c r="C263" s="302" t="s">
        <v>844</v>
      </c>
      <c r="D263" s="303" t="s">
        <v>1661</v>
      </c>
      <c r="E263" s="286">
        <v>10</v>
      </c>
      <c r="F263" s="321">
        <v>20.21</v>
      </c>
      <c r="G263" s="315" t="s">
        <v>195</v>
      </c>
      <c r="H263" s="286">
        <v>1</v>
      </c>
      <c r="I263" s="304">
        <v>202.1</v>
      </c>
      <c r="J263" s="286">
        <v>2.4</v>
      </c>
      <c r="K263" s="304">
        <v>485.04</v>
      </c>
      <c r="Q263" s="160">
        <f>[9]Source!X671</f>
        <v>0</v>
      </c>
      <c r="R263" s="160">
        <f>[9]Source!X672</f>
        <v>0</v>
      </c>
      <c r="S263" s="160">
        <f>[9]Source!Y671</f>
        <v>0</v>
      </c>
      <c r="T263" s="160">
        <f>[9]Source!Y672</f>
        <v>0</v>
      </c>
      <c r="U263" s="160">
        <f>ROUND((175/100)*ROUND([9]Source!R671, 2), 2)</f>
        <v>0</v>
      </c>
      <c r="V263" s="160">
        <f>ROUND((157/100)*ROUND([9]Source!R672, 2), 2)</f>
        <v>0</v>
      </c>
    </row>
    <row r="264" spans="1:22" ht="28.5" x14ac:dyDescent="0.2">
      <c r="A264" s="301" t="s">
        <v>3271</v>
      </c>
      <c r="B264" s="302" t="s">
        <v>3269</v>
      </c>
      <c r="C264" s="302" t="s">
        <v>843</v>
      </c>
      <c r="D264" s="303" t="s">
        <v>1661</v>
      </c>
      <c r="E264" s="286">
        <v>20</v>
      </c>
      <c r="F264" s="321">
        <v>53.05</v>
      </c>
      <c r="G264" s="315" t="s">
        <v>195</v>
      </c>
      <c r="H264" s="286">
        <v>1</v>
      </c>
      <c r="I264" s="304">
        <v>1061</v>
      </c>
      <c r="J264" s="286">
        <v>4.21</v>
      </c>
      <c r="K264" s="304">
        <v>4466.8100000000004</v>
      </c>
      <c r="Q264" s="160">
        <f>[9]Source!X673</f>
        <v>0</v>
      </c>
      <c r="R264" s="160">
        <f>[9]Source!X674</f>
        <v>0</v>
      </c>
      <c r="S264" s="160">
        <f>[9]Source!Y673</f>
        <v>0</v>
      </c>
      <c r="T264" s="160">
        <f>[9]Source!Y674</f>
        <v>0</v>
      </c>
      <c r="U264" s="160">
        <f>ROUND((175/100)*ROUND([9]Source!R673, 2), 2)</f>
        <v>0</v>
      </c>
      <c r="V264" s="160">
        <f>ROUND((157/100)*ROUND([9]Source!R674, 2), 2)</f>
        <v>0</v>
      </c>
    </row>
    <row r="265" spans="1:22" ht="14.25" x14ac:dyDescent="0.2">
      <c r="A265" s="301"/>
      <c r="B265" s="302"/>
      <c r="C265" s="302" t="s">
        <v>194</v>
      </c>
      <c r="D265" s="303" t="s">
        <v>187</v>
      </c>
      <c r="E265" s="286">
        <v>110</v>
      </c>
      <c r="F265" s="321"/>
      <c r="G265" s="305"/>
      <c r="H265" s="286"/>
      <c r="I265" s="304">
        <v>2194.34</v>
      </c>
      <c r="J265" s="286">
        <v>88</v>
      </c>
      <c r="K265" s="304">
        <v>40990.18</v>
      </c>
    </row>
    <row r="266" spans="1:22" ht="14.25" x14ac:dyDescent="0.2">
      <c r="A266" s="301"/>
      <c r="B266" s="302"/>
      <c r="C266" s="302" t="s">
        <v>193</v>
      </c>
      <c r="D266" s="303" t="s">
        <v>187</v>
      </c>
      <c r="E266" s="286">
        <v>74</v>
      </c>
      <c r="F266" s="321"/>
      <c r="G266" s="305"/>
      <c r="H266" s="286"/>
      <c r="I266" s="304">
        <v>1476.19</v>
      </c>
      <c r="J266" s="286">
        <v>41</v>
      </c>
      <c r="K266" s="304">
        <v>19097.7</v>
      </c>
    </row>
    <row r="267" spans="1:22" ht="14.25" x14ac:dyDescent="0.2">
      <c r="A267" s="301"/>
      <c r="B267" s="302"/>
      <c r="C267" s="302" t="s">
        <v>188</v>
      </c>
      <c r="D267" s="303" t="s">
        <v>187</v>
      </c>
      <c r="E267" s="286">
        <v>175</v>
      </c>
      <c r="F267" s="321"/>
      <c r="G267" s="305"/>
      <c r="H267" s="286"/>
      <c r="I267" s="304">
        <v>21.81</v>
      </c>
      <c r="J267" s="286">
        <v>157</v>
      </c>
      <c r="K267" s="304">
        <v>456.78</v>
      </c>
    </row>
    <row r="268" spans="1:22" ht="14.25" x14ac:dyDescent="0.2">
      <c r="A268" s="348"/>
      <c r="B268" s="349"/>
      <c r="C268" s="349" t="s">
        <v>192</v>
      </c>
      <c r="D268" s="350" t="s">
        <v>191</v>
      </c>
      <c r="E268" s="351">
        <v>56</v>
      </c>
      <c r="F268" s="352"/>
      <c r="G268" s="353" t="s">
        <v>1548</v>
      </c>
      <c r="H268" s="351">
        <v>1</v>
      </c>
      <c r="I268" s="354">
        <v>155.85</v>
      </c>
      <c r="J268" s="351"/>
      <c r="K268" s="354"/>
    </row>
    <row r="269" spans="1:22" ht="15" x14ac:dyDescent="0.25">
      <c r="A269" s="355"/>
      <c r="B269" s="355"/>
      <c r="C269" s="356" t="s">
        <v>183</v>
      </c>
      <c r="D269" s="355"/>
      <c r="E269" s="355"/>
      <c r="F269" s="355"/>
      <c r="G269" s="355"/>
      <c r="H269" s="449">
        <v>53823.74</v>
      </c>
      <c r="I269" s="449"/>
      <c r="J269" s="449">
        <v>159173.15</v>
      </c>
      <c r="K269" s="449"/>
      <c r="O269" s="163">
        <f>I256+I257+I259+I265+I266+I267+SUM(I260:I264)</f>
        <v>53823.74</v>
      </c>
      <c r="P269" s="163">
        <f>K256+K257+K259+K265+K266+K267+SUM(K260:K264)</f>
        <v>159173.15</v>
      </c>
    </row>
    <row r="271" spans="1:22" ht="42.75" x14ac:dyDescent="0.2">
      <c r="A271" s="301" t="s">
        <v>1645</v>
      </c>
      <c r="B271" s="302" t="s">
        <v>3272</v>
      </c>
      <c r="C271" s="302" t="s">
        <v>842</v>
      </c>
      <c r="D271" s="303" t="s">
        <v>1536</v>
      </c>
      <c r="E271" s="286">
        <v>0.2</v>
      </c>
      <c r="F271" s="321"/>
      <c r="G271" s="305"/>
      <c r="H271" s="286"/>
      <c r="I271" s="304"/>
      <c r="J271" s="286"/>
      <c r="K271" s="304"/>
      <c r="Q271" s="160">
        <f>[9]Source!X675</f>
        <v>200.55</v>
      </c>
      <c r="R271" s="160">
        <f>[9]Source!X676</f>
        <v>3746.31</v>
      </c>
      <c r="S271" s="160">
        <f>[9]Source!Y675</f>
        <v>134.91999999999999</v>
      </c>
      <c r="T271" s="160">
        <f>[9]Source!Y676</f>
        <v>1745.44</v>
      </c>
      <c r="U271" s="160">
        <f>ROUND((175/100)*ROUND([9]Source!R675, 2), 2)</f>
        <v>0.09</v>
      </c>
      <c r="V271" s="160">
        <f>ROUND((157/100)*ROUND([9]Source!R676, 2), 2)</f>
        <v>1.84</v>
      </c>
    </row>
    <row r="272" spans="1:22" x14ac:dyDescent="0.2">
      <c r="C272" s="316" t="s">
        <v>3273</v>
      </c>
    </row>
    <row r="273" spans="1:22" ht="14.25" x14ac:dyDescent="0.2">
      <c r="A273" s="301"/>
      <c r="B273" s="302"/>
      <c r="C273" s="302" t="s">
        <v>197</v>
      </c>
      <c r="D273" s="303"/>
      <c r="E273" s="286"/>
      <c r="F273" s="321">
        <v>911.6</v>
      </c>
      <c r="G273" s="305" t="s">
        <v>195</v>
      </c>
      <c r="H273" s="286">
        <v>1</v>
      </c>
      <c r="I273" s="304">
        <v>182.32</v>
      </c>
      <c r="J273" s="286">
        <v>23.35</v>
      </c>
      <c r="K273" s="304">
        <v>4257.17</v>
      </c>
    </row>
    <row r="274" spans="1:22" ht="14.25" x14ac:dyDescent="0.2">
      <c r="A274" s="301"/>
      <c r="B274" s="302"/>
      <c r="C274" s="302" t="s">
        <v>184</v>
      </c>
      <c r="D274" s="303"/>
      <c r="E274" s="286"/>
      <c r="F274" s="321">
        <v>1.18</v>
      </c>
      <c r="G274" s="305" t="s">
        <v>195</v>
      </c>
      <c r="H274" s="286">
        <v>1</v>
      </c>
      <c r="I274" s="304">
        <v>0.24</v>
      </c>
      <c r="J274" s="286">
        <v>9.01</v>
      </c>
      <c r="K274" s="304">
        <v>2.16</v>
      </c>
    </row>
    <row r="275" spans="1:22" ht="14.25" x14ac:dyDescent="0.2">
      <c r="A275" s="301"/>
      <c r="B275" s="302"/>
      <c r="C275" s="302" t="s">
        <v>189</v>
      </c>
      <c r="D275" s="303"/>
      <c r="E275" s="286"/>
      <c r="F275" s="321">
        <v>0.24</v>
      </c>
      <c r="G275" s="305" t="s">
        <v>195</v>
      </c>
      <c r="H275" s="286">
        <v>1</v>
      </c>
      <c r="I275" s="306">
        <v>0.05</v>
      </c>
      <c r="J275" s="286">
        <v>23.35</v>
      </c>
      <c r="K275" s="306">
        <v>1.17</v>
      </c>
    </row>
    <row r="276" spans="1:22" ht="39.75" x14ac:dyDescent="0.2">
      <c r="A276" s="301" t="s">
        <v>1647</v>
      </c>
      <c r="B276" s="302" t="s">
        <v>1644</v>
      </c>
      <c r="C276" s="302" t="s">
        <v>841</v>
      </c>
      <c r="D276" s="303" t="s">
        <v>1661</v>
      </c>
      <c r="E276" s="286">
        <v>20</v>
      </c>
      <c r="F276" s="321">
        <v>0</v>
      </c>
      <c r="G276" s="315" t="s">
        <v>195</v>
      </c>
      <c r="H276" s="286">
        <v>1</v>
      </c>
      <c r="I276" s="304">
        <v>0</v>
      </c>
      <c r="J276" s="286">
        <v>5.42</v>
      </c>
      <c r="K276" s="304">
        <v>12767.35</v>
      </c>
      <c r="Q276" s="160">
        <f>[9]Source!X677</f>
        <v>0</v>
      </c>
      <c r="R276" s="160">
        <f>[9]Source!X678</f>
        <v>0</v>
      </c>
      <c r="S276" s="160">
        <f>[9]Source!Y677</f>
        <v>0</v>
      </c>
      <c r="T276" s="160">
        <f>[9]Source!Y678</f>
        <v>0</v>
      </c>
      <c r="U276" s="160">
        <f>ROUND((175/100)*ROUND([9]Source!R677, 2), 2)</f>
        <v>0</v>
      </c>
      <c r="V276" s="160">
        <f>ROUND((157/100)*ROUND([9]Source!R678, 2), 2)</f>
        <v>0</v>
      </c>
    </row>
    <row r="277" spans="1:22" ht="14.25" x14ac:dyDescent="0.2">
      <c r="A277" s="301"/>
      <c r="B277" s="302"/>
      <c r="C277" s="302" t="s">
        <v>194</v>
      </c>
      <c r="D277" s="303" t="s">
        <v>187</v>
      </c>
      <c r="E277" s="286">
        <v>110</v>
      </c>
      <c r="F277" s="321"/>
      <c r="G277" s="305"/>
      <c r="H277" s="286"/>
      <c r="I277" s="304">
        <v>200.55</v>
      </c>
      <c r="J277" s="286">
        <v>88</v>
      </c>
      <c r="K277" s="304">
        <v>3746.31</v>
      </c>
    </row>
    <row r="278" spans="1:22" ht="14.25" x14ac:dyDescent="0.2">
      <c r="A278" s="301"/>
      <c r="B278" s="302"/>
      <c r="C278" s="302" t="s">
        <v>193</v>
      </c>
      <c r="D278" s="303" t="s">
        <v>187</v>
      </c>
      <c r="E278" s="286">
        <v>74</v>
      </c>
      <c r="F278" s="321"/>
      <c r="G278" s="305"/>
      <c r="H278" s="286"/>
      <c r="I278" s="304">
        <v>134.91999999999999</v>
      </c>
      <c r="J278" s="286">
        <v>41</v>
      </c>
      <c r="K278" s="304">
        <v>1745.44</v>
      </c>
    </row>
    <row r="279" spans="1:22" ht="14.25" x14ac:dyDescent="0.2">
      <c r="A279" s="301"/>
      <c r="B279" s="302"/>
      <c r="C279" s="302" t="s">
        <v>188</v>
      </c>
      <c r="D279" s="303" t="s">
        <v>187</v>
      </c>
      <c r="E279" s="286">
        <v>175</v>
      </c>
      <c r="F279" s="321"/>
      <c r="G279" s="305"/>
      <c r="H279" s="286"/>
      <c r="I279" s="304">
        <v>0.09</v>
      </c>
      <c r="J279" s="286">
        <v>157</v>
      </c>
      <c r="K279" s="304">
        <v>1.84</v>
      </c>
    </row>
    <row r="280" spans="1:22" ht="14.25" x14ac:dyDescent="0.2">
      <c r="A280" s="348"/>
      <c r="B280" s="349"/>
      <c r="C280" s="349" t="s">
        <v>192</v>
      </c>
      <c r="D280" s="350" t="s">
        <v>191</v>
      </c>
      <c r="E280" s="351">
        <v>72.290000000000006</v>
      </c>
      <c r="F280" s="352"/>
      <c r="G280" s="353" t="s">
        <v>195</v>
      </c>
      <c r="H280" s="351">
        <v>1</v>
      </c>
      <c r="I280" s="354">
        <v>14.46</v>
      </c>
      <c r="J280" s="351"/>
      <c r="K280" s="354"/>
    </row>
    <row r="281" spans="1:22" ht="15" x14ac:dyDescent="0.25">
      <c r="A281" s="355"/>
      <c r="B281" s="355"/>
      <c r="C281" s="356" t="s">
        <v>183</v>
      </c>
      <c r="D281" s="355"/>
      <c r="E281" s="355"/>
      <c r="F281" s="355"/>
      <c r="G281" s="355"/>
      <c r="H281" s="449">
        <v>518.12</v>
      </c>
      <c r="I281" s="449"/>
      <c r="J281" s="449">
        <v>22520.27</v>
      </c>
      <c r="K281" s="449"/>
      <c r="O281" s="163">
        <f>I273+I274+I277+I278+I279+SUM(I276:I276)</f>
        <v>518.12</v>
      </c>
      <c r="P281" s="163">
        <f>K273+K274+K277+K278+K279+SUM(K276:K276)</f>
        <v>22520.27</v>
      </c>
    </row>
    <row r="283" spans="1:22" ht="52.5" x14ac:dyDescent="0.2">
      <c r="A283" s="301" t="s">
        <v>1652</v>
      </c>
      <c r="B283" s="302" t="s">
        <v>840</v>
      </c>
      <c r="C283" s="302" t="s">
        <v>839</v>
      </c>
      <c r="D283" s="303" t="s">
        <v>3186</v>
      </c>
      <c r="E283" s="286">
        <v>2</v>
      </c>
      <c r="F283" s="321"/>
      <c r="G283" s="305"/>
      <c r="H283" s="286"/>
      <c r="I283" s="304"/>
      <c r="J283" s="286"/>
      <c r="K283" s="304"/>
      <c r="Q283" s="160">
        <f>[9]Source!X683</f>
        <v>252.88</v>
      </c>
      <c r="R283" s="160">
        <f>[9]Source!X684</f>
        <v>4723.78</v>
      </c>
      <c r="S283" s="160">
        <f>[9]Source!Y683</f>
        <v>170.12</v>
      </c>
      <c r="T283" s="160">
        <f>[9]Source!Y684</f>
        <v>2200.85</v>
      </c>
      <c r="U283" s="160">
        <f>ROUND((175/100)*ROUND([9]Source!R683, 2), 2)</f>
        <v>0.79</v>
      </c>
      <c r="V283" s="160">
        <f>ROUND((157/100)*ROUND([9]Source!R684, 2), 2)</f>
        <v>16.5</v>
      </c>
    </row>
    <row r="284" spans="1:22" ht="14.25" x14ac:dyDescent="0.2">
      <c r="A284" s="301"/>
      <c r="B284" s="302"/>
      <c r="C284" s="302" t="s">
        <v>197</v>
      </c>
      <c r="D284" s="303"/>
      <c r="E284" s="286"/>
      <c r="F284" s="321">
        <v>99.95</v>
      </c>
      <c r="G284" s="305" t="s">
        <v>1548</v>
      </c>
      <c r="H284" s="286">
        <v>1</v>
      </c>
      <c r="I284" s="304">
        <v>229.89</v>
      </c>
      <c r="J284" s="286">
        <v>23.35</v>
      </c>
      <c r="K284" s="304">
        <v>5367.93</v>
      </c>
    </row>
    <row r="285" spans="1:22" ht="14.25" x14ac:dyDescent="0.2">
      <c r="A285" s="301"/>
      <c r="B285" s="302"/>
      <c r="C285" s="302" t="s">
        <v>184</v>
      </c>
      <c r="D285" s="303"/>
      <c r="E285" s="286"/>
      <c r="F285" s="321">
        <v>0.74</v>
      </c>
      <c r="G285" s="305" t="s">
        <v>1549</v>
      </c>
      <c r="H285" s="286">
        <v>1</v>
      </c>
      <c r="I285" s="304">
        <v>1.85</v>
      </c>
      <c r="J285" s="286">
        <v>9.73</v>
      </c>
      <c r="K285" s="304">
        <v>18</v>
      </c>
    </row>
    <row r="286" spans="1:22" ht="14.25" x14ac:dyDescent="0.2">
      <c r="A286" s="301"/>
      <c r="B286" s="302"/>
      <c r="C286" s="302" t="s">
        <v>189</v>
      </c>
      <c r="D286" s="303"/>
      <c r="E286" s="286"/>
      <c r="F286" s="321">
        <v>0.18</v>
      </c>
      <c r="G286" s="305" t="s">
        <v>1549</v>
      </c>
      <c r="H286" s="286">
        <v>1</v>
      </c>
      <c r="I286" s="306">
        <v>0.45</v>
      </c>
      <c r="J286" s="286">
        <v>23.35</v>
      </c>
      <c r="K286" s="306">
        <v>10.51</v>
      </c>
    </row>
    <row r="287" spans="1:22" ht="14.25" x14ac:dyDescent="0.2">
      <c r="A287" s="301"/>
      <c r="B287" s="302"/>
      <c r="C287" s="302" t="s">
        <v>205</v>
      </c>
      <c r="D287" s="303"/>
      <c r="E287" s="286"/>
      <c r="F287" s="321">
        <v>12.67</v>
      </c>
      <c r="G287" s="305" t="s">
        <v>195</v>
      </c>
      <c r="H287" s="286">
        <v>1</v>
      </c>
      <c r="I287" s="304">
        <v>25.34</v>
      </c>
      <c r="J287" s="286">
        <v>5.42</v>
      </c>
      <c r="K287" s="304">
        <v>137.34</v>
      </c>
    </row>
    <row r="288" spans="1:22" ht="71.25" x14ac:dyDescent="0.2">
      <c r="A288" s="301" t="s">
        <v>1655</v>
      </c>
      <c r="B288" s="302" t="s">
        <v>3187</v>
      </c>
      <c r="C288" s="302" t="s">
        <v>791</v>
      </c>
      <c r="D288" s="303" t="s">
        <v>1661</v>
      </c>
      <c r="E288" s="286">
        <v>2</v>
      </c>
      <c r="F288" s="321">
        <v>107.26</v>
      </c>
      <c r="G288" s="315" t="s">
        <v>195</v>
      </c>
      <c r="H288" s="286">
        <v>1</v>
      </c>
      <c r="I288" s="304">
        <v>214.52</v>
      </c>
      <c r="J288" s="286">
        <v>4.21</v>
      </c>
      <c r="K288" s="304">
        <v>903.13</v>
      </c>
      <c r="Q288" s="160">
        <f>[9]Source!X685</f>
        <v>0</v>
      </c>
      <c r="R288" s="160">
        <f>[9]Source!X686</f>
        <v>0</v>
      </c>
      <c r="S288" s="160">
        <f>[9]Source!Y685</f>
        <v>0</v>
      </c>
      <c r="T288" s="160">
        <f>[9]Source!Y686</f>
        <v>0</v>
      </c>
      <c r="U288" s="160">
        <f>ROUND((175/100)*ROUND([9]Source!R685, 2), 2)</f>
        <v>0</v>
      </c>
      <c r="V288" s="160">
        <f>ROUND((157/100)*ROUND([9]Source!R686, 2), 2)</f>
        <v>0</v>
      </c>
    </row>
    <row r="289" spans="1:22" ht="14.25" x14ac:dyDescent="0.2">
      <c r="A289" s="301"/>
      <c r="B289" s="302"/>
      <c r="C289" s="302" t="s">
        <v>194</v>
      </c>
      <c r="D289" s="303" t="s">
        <v>187</v>
      </c>
      <c r="E289" s="286">
        <v>110</v>
      </c>
      <c r="F289" s="321"/>
      <c r="G289" s="305"/>
      <c r="H289" s="286"/>
      <c r="I289" s="304">
        <v>252.88</v>
      </c>
      <c r="J289" s="286">
        <v>88</v>
      </c>
      <c r="K289" s="304">
        <v>4723.78</v>
      </c>
    </row>
    <row r="290" spans="1:22" ht="14.25" x14ac:dyDescent="0.2">
      <c r="A290" s="301"/>
      <c r="B290" s="302"/>
      <c r="C290" s="302" t="s">
        <v>193</v>
      </c>
      <c r="D290" s="303" t="s">
        <v>187</v>
      </c>
      <c r="E290" s="286">
        <v>74</v>
      </c>
      <c r="F290" s="321"/>
      <c r="G290" s="305"/>
      <c r="H290" s="286"/>
      <c r="I290" s="304">
        <v>170.12</v>
      </c>
      <c r="J290" s="286">
        <v>41</v>
      </c>
      <c r="K290" s="304">
        <v>2200.85</v>
      </c>
    </row>
    <row r="291" spans="1:22" ht="14.25" x14ac:dyDescent="0.2">
      <c r="A291" s="301"/>
      <c r="B291" s="302"/>
      <c r="C291" s="302" t="s">
        <v>188</v>
      </c>
      <c r="D291" s="303" t="s">
        <v>187</v>
      </c>
      <c r="E291" s="286">
        <v>175</v>
      </c>
      <c r="F291" s="321"/>
      <c r="G291" s="305"/>
      <c r="H291" s="286"/>
      <c r="I291" s="304">
        <v>0.79</v>
      </c>
      <c r="J291" s="286">
        <v>157</v>
      </c>
      <c r="K291" s="304">
        <v>16.5</v>
      </c>
    </row>
    <row r="292" spans="1:22" ht="14.25" x14ac:dyDescent="0.2">
      <c r="A292" s="348"/>
      <c r="B292" s="349"/>
      <c r="C292" s="349" t="s">
        <v>192</v>
      </c>
      <c r="D292" s="350" t="s">
        <v>191</v>
      </c>
      <c r="E292" s="351">
        <v>8.94</v>
      </c>
      <c r="F292" s="352"/>
      <c r="G292" s="353" t="s">
        <v>1548</v>
      </c>
      <c r="H292" s="351">
        <v>1</v>
      </c>
      <c r="I292" s="354">
        <v>20.56</v>
      </c>
      <c r="J292" s="351"/>
      <c r="K292" s="354"/>
    </row>
    <row r="293" spans="1:22" ht="15" x14ac:dyDescent="0.25">
      <c r="A293" s="355"/>
      <c r="B293" s="355"/>
      <c r="C293" s="356" t="s">
        <v>183</v>
      </c>
      <c r="D293" s="355"/>
      <c r="E293" s="355"/>
      <c r="F293" s="355"/>
      <c r="G293" s="355"/>
      <c r="H293" s="449">
        <v>895.39</v>
      </c>
      <c r="I293" s="449"/>
      <c r="J293" s="449">
        <v>13367.53</v>
      </c>
      <c r="K293" s="449"/>
      <c r="O293" s="163">
        <f>I284+I285+I287+I289+I290+I291+SUM(I288:I288)</f>
        <v>895.39</v>
      </c>
      <c r="P293" s="163">
        <f>K284+K285+K287+K289+K290+K291+SUM(K288:K288)</f>
        <v>13367.53</v>
      </c>
    </row>
    <row r="295" spans="1:22" ht="71.25" x14ac:dyDescent="0.2">
      <c r="A295" s="301" t="s">
        <v>1665</v>
      </c>
      <c r="B295" s="302" t="s">
        <v>838</v>
      </c>
      <c r="C295" s="302" t="s">
        <v>837</v>
      </c>
      <c r="D295" s="303" t="s">
        <v>1536</v>
      </c>
      <c r="E295" s="286">
        <v>0.51</v>
      </c>
      <c r="F295" s="321"/>
      <c r="G295" s="305"/>
      <c r="H295" s="286"/>
      <c r="I295" s="304"/>
      <c r="J295" s="286"/>
      <c r="K295" s="304"/>
      <c r="Q295" s="160">
        <f>[9]Source!X687</f>
        <v>460.92</v>
      </c>
      <c r="R295" s="160">
        <f>[9]Source!X688</f>
        <v>8610.0300000000007</v>
      </c>
      <c r="S295" s="160">
        <f>[9]Source!Y687</f>
        <v>310.07</v>
      </c>
      <c r="T295" s="160">
        <f>[9]Source!Y688</f>
        <v>4011.49</v>
      </c>
      <c r="U295" s="160">
        <f>ROUND((175/100)*ROUND([9]Source!R687, 2), 2)</f>
        <v>0.61</v>
      </c>
      <c r="V295" s="160">
        <f>ROUND((157/100)*ROUND([9]Source!R688, 2), 2)</f>
        <v>12.83</v>
      </c>
    </row>
    <row r="296" spans="1:22" x14ac:dyDescent="0.2">
      <c r="C296" s="316" t="s">
        <v>3274</v>
      </c>
    </row>
    <row r="297" spans="1:22" ht="14.25" x14ac:dyDescent="0.2">
      <c r="A297" s="301"/>
      <c r="B297" s="302"/>
      <c r="C297" s="302" t="s">
        <v>197</v>
      </c>
      <c r="D297" s="303"/>
      <c r="E297" s="286"/>
      <c r="F297" s="321">
        <v>714.44</v>
      </c>
      <c r="G297" s="305" t="s">
        <v>1548</v>
      </c>
      <c r="H297" s="286">
        <v>1</v>
      </c>
      <c r="I297" s="304">
        <v>419.02</v>
      </c>
      <c r="J297" s="286">
        <v>23.35</v>
      </c>
      <c r="K297" s="304">
        <v>9784.1200000000008</v>
      </c>
    </row>
    <row r="298" spans="1:22" ht="14.25" x14ac:dyDescent="0.2">
      <c r="A298" s="301"/>
      <c r="B298" s="302"/>
      <c r="C298" s="302" t="s">
        <v>184</v>
      </c>
      <c r="D298" s="303"/>
      <c r="E298" s="286"/>
      <c r="F298" s="321">
        <v>30.5</v>
      </c>
      <c r="G298" s="305" t="s">
        <v>1549</v>
      </c>
      <c r="H298" s="286">
        <v>1</v>
      </c>
      <c r="I298" s="304">
        <v>19.440000000000001</v>
      </c>
      <c r="J298" s="286">
        <v>3.22</v>
      </c>
      <c r="K298" s="304">
        <v>62.6</v>
      </c>
    </row>
    <row r="299" spans="1:22" ht="14.25" x14ac:dyDescent="0.2">
      <c r="A299" s="301"/>
      <c r="B299" s="302"/>
      <c r="C299" s="302" t="s">
        <v>189</v>
      </c>
      <c r="D299" s="303"/>
      <c r="E299" s="286"/>
      <c r="F299" s="321">
        <v>0.55000000000000004</v>
      </c>
      <c r="G299" s="305" t="s">
        <v>1549</v>
      </c>
      <c r="H299" s="286">
        <v>1</v>
      </c>
      <c r="I299" s="306">
        <v>0.35</v>
      </c>
      <c r="J299" s="286">
        <v>23.35</v>
      </c>
      <c r="K299" s="306">
        <v>8.17</v>
      </c>
    </row>
    <row r="300" spans="1:22" ht="14.25" x14ac:dyDescent="0.2">
      <c r="A300" s="301"/>
      <c r="B300" s="302"/>
      <c r="C300" s="302" t="s">
        <v>205</v>
      </c>
      <c r="D300" s="303"/>
      <c r="E300" s="286"/>
      <c r="F300" s="321">
        <v>214.52</v>
      </c>
      <c r="G300" s="305" t="s">
        <v>195</v>
      </c>
      <c r="H300" s="286">
        <v>1</v>
      </c>
      <c r="I300" s="304">
        <v>109.41</v>
      </c>
      <c r="J300" s="286">
        <v>4.3600000000000003</v>
      </c>
      <c r="K300" s="304">
        <v>477.03</v>
      </c>
    </row>
    <row r="301" spans="1:22" ht="57" x14ac:dyDescent="0.2">
      <c r="A301" s="301" t="s">
        <v>1667</v>
      </c>
      <c r="B301" s="302" t="s">
        <v>3275</v>
      </c>
      <c r="C301" s="302" t="s">
        <v>836</v>
      </c>
      <c r="D301" s="303" t="s">
        <v>1661</v>
      </c>
      <c r="E301" s="286">
        <v>51</v>
      </c>
      <c r="F301" s="321">
        <v>285.64</v>
      </c>
      <c r="G301" s="315" t="s">
        <v>195</v>
      </c>
      <c r="H301" s="286">
        <v>1</v>
      </c>
      <c r="I301" s="304">
        <v>14567.64</v>
      </c>
      <c r="J301" s="286">
        <v>1.01</v>
      </c>
      <c r="K301" s="304">
        <v>14713.32</v>
      </c>
      <c r="Q301" s="160">
        <f>[9]Source!X689</f>
        <v>0</v>
      </c>
      <c r="R301" s="160">
        <f>[9]Source!X690</f>
        <v>0</v>
      </c>
      <c r="S301" s="160">
        <f>[9]Source!Y689</f>
        <v>0</v>
      </c>
      <c r="T301" s="160">
        <f>[9]Source!Y690</f>
        <v>0</v>
      </c>
      <c r="U301" s="160">
        <f>ROUND((175/100)*ROUND([9]Source!R689, 2), 2)</f>
        <v>0</v>
      </c>
      <c r="V301" s="160">
        <f>ROUND((157/100)*ROUND([9]Source!R690, 2), 2)</f>
        <v>0</v>
      </c>
    </row>
    <row r="302" spans="1:22" ht="14.25" x14ac:dyDescent="0.2">
      <c r="A302" s="301"/>
      <c r="B302" s="302"/>
      <c r="C302" s="302" t="s">
        <v>194</v>
      </c>
      <c r="D302" s="303" t="s">
        <v>187</v>
      </c>
      <c r="E302" s="286">
        <v>110</v>
      </c>
      <c r="F302" s="321"/>
      <c r="G302" s="305"/>
      <c r="H302" s="286"/>
      <c r="I302" s="304">
        <v>460.92</v>
      </c>
      <c r="J302" s="286">
        <v>88</v>
      </c>
      <c r="K302" s="304">
        <v>8610.0300000000007</v>
      </c>
    </row>
    <row r="303" spans="1:22" ht="14.25" x14ac:dyDescent="0.2">
      <c r="A303" s="301"/>
      <c r="B303" s="302"/>
      <c r="C303" s="302" t="s">
        <v>193</v>
      </c>
      <c r="D303" s="303" t="s">
        <v>187</v>
      </c>
      <c r="E303" s="286">
        <v>74</v>
      </c>
      <c r="F303" s="321"/>
      <c r="G303" s="305"/>
      <c r="H303" s="286"/>
      <c r="I303" s="304">
        <v>310.07</v>
      </c>
      <c r="J303" s="286">
        <v>41</v>
      </c>
      <c r="K303" s="304">
        <v>4011.49</v>
      </c>
    </row>
    <row r="304" spans="1:22" ht="14.25" x14ac:dyDescent="0.2">
      <c r="A304" s="301"/>
      <c r="B304" s="302"/>
      <c r="C304" s="302" t="s">
        <v>188</v>
      </c>
      <c r="D304" s="303" t="s">
        <v>187</v>
      </c>
      <c r="E304" s="286">
        <v>175</v>
      </c>
      <c r="F304" s="321"/>
      <c r="G304" s="305"/>
      <c r="H304" s="286"/>
      <c r="I304" s="304">
        <v>0.61</v>
      </c>
      <c r="J304" s="286">
        <v>157</v>
      </c>
      <c r="K304" s="304">
        <v>12.83</v>
      </c>
    </row>
    <row r="305" spans="1:22" ht="14.25" x14ac:dyDescent="0.2">
      <c r="A305" s="348"/>
      <c r="B305" s="349"/>
      <c r="C305" s="349" t="s">
        <v>192</v>
      </c>
      <c r="D305" s="350" t="s">
        <v>191</v>
      </c>
      <c r="E305" s="351">
        <v>56.75</v>
      </c>
      <c r="F305" s="352"/>
      <c r="G305" s="353" t="s">
        <v>1548</v>
      </c>
      <c r="H305" s="351">
        <v>1</v>
      </c>
      <c r="I305" s="354">
        <v>33.28</v>
      </c>
      <c r="J305" s="351"/>
      <c r="K305" s="354"/>
    </row>
    <row r="306" spans="1:22" ht="15" x14ac:dyDescent="0.25">
      <c r="A306" s="355"/>
      <c r="B306" s="355"/>
      <c r="C306" s="356" t="s">
        <v>183</v>
      </c>
      <c r="D306" s="355"/>
      <c r="E306" s="355"/>
      <c r="F306" s="355"/>
      <c r="G306" s="355"/>
      <c r="H306" s="449">
        <v>15887.11</v>
      </c>
      <c r="I306" s="449"/>
      <c r="J306" s="449">
        <v>37671.42</v>
      </c>
      <c r="K306" s="449"/>
      <c r="O306" s="163">
        <f>I297+I298+I300+I302+I303+I304+SUM(I301:I301)</f>
        <v>15887.11</v>
      </c>
      <c r="P306" s="163">
        <f>K297+K298+K300+K302+K303+K304+SUM(K301:K301)</f>
        <v>37671.42</v>
      </c>
    </row>
    <row r="308" spans="1:22" ht="52.5" x14ac:dyDescent="0.2">
      <c r="A308" s="301" t="s">
        <v>1672</v>
      </c>
      <c r="B308" s="302" t="s">
        <v>748</v>
      </c>
      <c r="C308" s="302" t="s">
        <v>747</v>
      </c>
      <c r="D308" s="303" t="s">
        <v>2634</v>
      </c>
      <c r="E308" s="286">
        <v>11.6</v>
      </c>
      <c r="F308" s="321"/>
      <c r="G308" s="305"/>
      <c r="H308" s="286"/>
      <c r="I308" s="304"/>
      <c r="J308" s="286"/>
      <c r="K308" s="304"/>
      <c r="Q308" s="160">
        <f>[9]Source!X691</f>
        <v>347.18</v>
      </c>
      <c r="R308" s="160">
        <f>[9]Source!X692</f>
        <v>6503.2</v>
      </c>
      <c r="S308" s="160">
        <f>[9]Source!Y691</f>
        <v>267.06</v>
      </c>
      <c r="T308" s="160">
        <f>[9]Source!Y692</f>
        <v>3652.48</v>
      </c>
      <c r="U308" s="160">
        <f>ROUND((175/100)*ROUND([9]Source!R691, 2), 2)</f>
        <v>66.989999999999995</v>
      </c>
      <c r="V308" s="160">
        <f>ROUND((157/100)*ROUND([9]Source!R692, 2), 2)</f>
        <v>1403.33</v>
      </c>
    </row>
    <row r="309" spans="1:22" x14ac:dyDescent="0.2">
      <c r="C309" s="316" t="s">
        <v>3276</v>
      </c>
    </row>
    <row r="310" spans="1:22" ht="14.25" x14ac:dyDescent="0.2">
      <c r="A310" s="301"/>
      <c r="B310" s="302"/>
      <c r="C310" s="302" t="s">
        <v>197</v>
      </c>
      <c r="D310" s="303"/>
      <c r="E310" s="286"/>
      <c r="F310" s="321">
        <v>28.6</v>
      </c>
      <c r="G310" s="305" t="s">
        <v>1548</v>
      </c>
      <c r="H310" s="286">
        <v>1</v>
      </c>
      <c r="I310" s="304">
        <v>381.52</v>
      </c>
      <c r="J310" s="286">
        <v>23.35</v>
      </c>
      <c r="K310" s="304">
        <v>8908.49</v>
      </c>
    </row>
    <row r="311" spans="1:22" ht="14.25" x14ac:dyDescent="0.2">
      <c r="A311" s="301"/>
      <c r="B311" s="302"/>
      <c r="C311" s="302" t="s">
        <v>184</v>
      </c>
      <c r="D311" s="303"/>
      <c r="E311" s="286"/>
      <c r="F311" s="321">
        <v>13.2</v>
      </c>
      <c r="G311" s="305" t="s">
        <v>1549</v>
      </c>
      <c r="H311" s="286">
        <v>1</v>
      </c>
      <c r="I311" s="304">
        <v>191.4</v>
      </c>
      <c r="J311" s="286">
        <v>8.9499999999999993</v>
      </c>
      <c r="K311" s="304">
        <v>1713.03</v>
      </c>
    </row>
    <row r="312" spans="1:22" ht="14.25" x14ac:dyDescent="0.2">
      <c r="A312" s="301"/>
      <c r="B312" s="302"/>
      <c r="C312" s="302" t="s">
        <v>189</v>
      </c>
      <c r="D312" s="303"/>
      <c r="E312" s="286"/>
      <c r="F312" s="321">
        <v>2.64</v>
      </c>
      <c r="G312" s="305" t="s">
        <v>1549</v>
      </c>
      <c r="H312" s="286">
        <v>1</v>
      </c>
      <c r="I312" s="306">
        <v>38.28</v>
      </c>
      <c r="J312" s="286">
        <v>23.35</v>
      </c>
      <c r="K312" s="306">
        <v>893.84</v>
      </c>
    </row>
    <row r="313" spans="1:22" ht="14.25" x14ac:dyDescent="0.2">
      <c r="A313" s="301"/>
      <c r="B313" s="302"/>
      <c r="C313" s="302" t="s">
        <v>205</v>
      </c>
      <c r="D313" s="303"/>
      <c r="E313" s="286"/>
      <c r="F313" s="321">
        <v>59.82</v>
      </c>
      <c r="G313" s="305" t="s">
        <v>195</v>
      </c>
      <c r="H313" s="286">
        <v>1</v>
      </c>
      <c r="I313" s="304">
        <v>693.91</v>
      </c>
      <c r="J313" s="286">
        <v>19.829999999999998</v>
      </c>
      <c r="K313" s="304">
        <v>13760.24</v>
      </c>
    </row>
    <row r="314" spans="1:22" ht="114" x14ac:dyDescent="0.2">
      <c r="A314" s="301" t="s">
        <v>1675</v>
      </c>
      <c r="B314" s="302" t="s">
        <v>3175</v>
      </c>
      <c r="C314" s="302" t="s">
        <v>746</v>
      </c>
      <c r="D314" s="303" t="s">
        <v>1552</v>
      </c>
      <c r="E314" s="286">
        <v>174</v>
      </c>
      <c r="F314" s="321">
        <v>11.88</v>
      </c>
      <c r="G314" s="315" t="s">
        <v>195</v>
      </c>
      <c r="H314" s="286">
        <v>1</v>
      </c>
      <c r="I314" s="304">
        <v>2067.12</v>
      </c>
      <c r="J314" s="286">
        <v>3.22</v>
      </c>
      <c r="K314" s="304">
        <v>6656.13</v>
      </c>
      <c r="Q314" s="160">
        <f>[9]Source!X693</f>
        <v>0</v>
      </c>
      <c r="R314" s="160">
        <f>[9]Source!X694</f>
        <v>0</v>
      </c>
      <c r="S314" s="160">
        <f>[9]Source!Y693</f>
        <v>0</v>
      </c>
      <c r="T314" s="160">
        <f>[9]Source!Y694</f>
        <v>0</v>
      </c>
      <c r="U314" s="160">
        <f>ROUND((175/100)*ROUND([9]Source!R693, 2), 2)</f>
        <v>0</v>
      </c>
      <c r="V314" s="160">
        <f>ROUND((157/100)*ROUND([9]Source!R694, 2), 2)</f>
        <v>0</v>
      </c>
    </row>
    <row r="315" spans="1:22" ht="114" x14ac:dyDescent="0.2">
      <c r="A315" s="301" t="s">
        <v>1677</v>
      </c>
      <c r="B315" s="302" t="s">
        <v>3277</v>
      </c>
      <c r="C315" s="302" t="s">
        <v>835</v>
      </c>
      <c r="D315" s="303" t="s">
        <v>1552</v>
      </c>
      <c r="E315" s="286">
        <v>50.4</v>
      </c>
      <c r="F315" s="321">
        <v>60.84</v>
      </c>
      <c r="G315" s="315" t="s">
        <v>195</v>
      </c>
      <c r="H315" s="286">
        <v>1</v>
      </c>
      <c r="I315" s="304">
        <v>3066.34</v>
      </c>
      <c r="J315" s="286">
        <v>2.0499999999999998</v>
      </c>
      <c r="K315" s="304">
        <v>6286</v>
      </c>
      <c r="Q315" s="160">
        <f>[9]Source!X695</f>
        <v>0</v>
      </c>
      <c r="R315" s="160">
        <f>[9]Source!X696</f>
        <v>0</v>
      </c>
      <c r="S315" s="160">
        <f>[9]Source!Y695</f>
        <v>0</v>
      </c>
      <c r="T315" s="160">
        <f>[9]Source!Y696</f>
        <v>0</v>
      </c>
      <c r="U315" s="160">
        <f>ROUND((175/100)*ROUND([9]Source!R695, 2), 2)</f>
        <v>0</v>
      </c>
      <c r="V315" s="160">
        <f>ROUND((157/100)*ROUND([9]Source!R696, 2), 2)</f>
        <v>0</v>
      </c>
    </row>
    <row r="316" spans="1:22" ht="114" x14ac:dyDescent="0.2">
      <c r="A316" s="301" t="s">
        <v>1679</v>
      </c>
      <c r="B316" s="302" t="s">
        <v>3278</v>
      </c>
      <c r="C316" s="302" t="s">
        <v>834</v>
      </c>
      <c r="D316" s="303" t="s">
        <v>1552</v>
      </c>
      <c r="E316" s="286">
        <v>71.400000000000006</v>
      </c>
      <c r="F316" s="321">
        <v>139.35</v>
      </c>
      <c r="G316" s="315" t="s">
        <v>195</v>
      </c>
      <c r="H316" s="286">
        <v>1</v>
      </c>
      <c r="I316" s="304">
        <v>9949.59</v>
      </c>
      <c r="J316" s="286">
        <v>1.94</v>
      </c>
      <c r="K316" s="304">
        <v>19302.2</v>
      </c>
      <c r="Q316" s="160">
        <f>[9]Source!X697</f>
        <v>0</v>
      </c>
      <c r="R316" s="160">
        <f>[9]Source!X698</f>
        <v>0</v>
      </c>
      <c r="S316" s="160">
        <f>[9]Source!Y697</f>
        <v>0</v>
      </c>
      <c r="T316" s="160">
        <f>[9]Source!Y698</f>
        <v>0</v>
      </c>
      <c r="U316" s="160">
        <f>ROUND((175/100)*ROUND([9]Source!R697, 2), 2)</f>
        <v>0</v>
      </c>
      <c r="V316" s="160">
        <f>ROUND((157/100)*ROUND([9]Source!R698, 2), 2)</f>
        <v>0</v>
      </c>
    </row>
    <row r="317" spans="1:22" ht="57" x14ac:dyDescent="0.2">
      <c r="A317" s="301" t="s">
        <v>1681</v>
      </c>
      <c r="B317" s="302" t="s">
        <v>2638</v>
      </c>
      <c r="C317" s="302" t="s">
        <v>741</v>
      </c>
      <c r="D317" s="303" t="s">
        <v>2639</v>
      </c>
      <c r="E317" s="286">
        <v>1.9256</v>
      </c>
      <c r="F317" s="321">
        <v>231.64</v>
      </c>
      <c r="G317" s="315" t="s">
        <v>195</v>
      </c>
      <c r="H317" s="286">
        <v>1</v>
      </c>
      <c r="I317" s="304">
        <v>446.05</v>
      </c>
      <c r="J317" s="286">
        <v>2.88</v>
      </c>
      <c r="K317" s="304">
        <v>1284.6199999999999</v>
      </c>
      <c r="Q317" s="160">
        <f>[9]Source!X699</f>
        <v>0</v>
      </c>
      <c r="R317" s="160">
        <f>[9]Source!X700</f>
        <v>0</v>
      </c>
      <c r="S317" s="160">
        <f>[9]Source!Y699</f>
        <v>0</v>
      </c>
      <c r="T317" s="160">
        <f>[9]Source!Y700</f>
        <v>0</v>
      </c>
      <c r="U317" s="160">
        <f>ROUND((175/100)*ROUND([9]Source!R699, 2), 2)</f>
        <v>0</v>
      </c>
      <c r="V317" s="160">
        <f>ROUND((157/100)*ROUND([9]Source!R700, 2), 2)</f>
        <v>0</v>
      </c>
    </row>
    <row r="318" spans="1:22" ht="57" x14ac:dyDescent="0.2">
      <c r="A318" s="301" t="s">
        <v>1683</v>
      </c>
      <c r="B318" s="302" t="s">
        <v>2641</v>
      </c>
      <c r="C318" s="302" t="s">
        <v>740</v>
      </c>
      <c r="D318" s="303" t="s">
        <v>2639</v>
      </c>
      <c r="E318" s="286">
        <v>-10.788</v>
      </c>
      <c r="F318" s="321">
        <v>34.75</v>
      </c>
      <c r="G318" s="315" t="s">
        <v>195</v>
      </c>
      <c r="H318" s="286">
        <v>1</v>
      </c>
      <c r="I318" s="304">
        <v>-374.88</v>
      </c>
      <c r="J318" s="286">
        <v>34.270000000000003</v>
      </c>
      <c r="K318" s="304">
        <v>-12847.14</v>
      </c>
      <c r="Q318" s="160">
        <f>[9]Source!X701</f>
        <v>0</v>
      </c>
      <c r="R318" s="160">
        <f>[9]Source!X702</f>
        <v>0</v>
      </c>
      <c r="S318" s="160">
        <f>[9]Source!Y701</f>
        <v>0</v>
      </c>
      <c r="T318" s="160">
        <f>[9]Source!Y702</f>
        <v>0</v>
      </c>
      <c r="U318" s="160">
        <f>ROUND((175/100)*ROUND([9]Source!R701, 2), 2)</f>
        <v>0</v>
      </c>
      <c r="V318" s="160">
        <f>ROUND((157/100)*ROUND([9]Source!R702, 2), 2)</f>
        <v>0</v>
      </c>
    </row>
    <row r="319" spans="1:22" ht="14.25" x14ac:dyDescent="0.2">
      <c r="A319" s="301"/>
      <c r="B319" s="302"/>
      <c r="C319" s="302" t="s">
        <v>194</v>
      </c>
      <c r="D319" s="303" t="s">
        <v>187</v>
      </c>
      <c r="E319" s="286">
        <v>91</v>
      </c>
      <c r="F319" s="321"/>
      <c r="G319" s="305"/>
      <c r="H319" s="286"/>
      <c r="I319" s="304">
        <v>347.18</v>
      </c>
      <c r="J319" s="286">
        <v>73</v>
      </c>
      <c r="K319" s="304">
        <v>6503.2</v>
      </c>
    </row>
    <row r="320" spans="1:22" ht="14.25" x14ac:dyDescent="0.2">
      <c r="A320" s="301"/>
      <c r="B320" s="302"/>
      <c r="C320" s="302" t="s">
        <v>193</v>
      </c>
      <c r="D320" s="303" t="s">
        <v>187</v>
      </c>
      <c r="E320" s="286">
        <v>70</v>
      </c>
      <c r="F320" s="321"/>
      <c r="G320" s="305"/>
      <c r="H320" s="286"/>
      <c r="I320" s="304">
        <v>267.06</v>
      </c>
      <c r="J320" s="286">
        <v>41</v>
      </c>
      <c r="K320" s="304">
        <v>3652.48</v>
      </c>
    </row>
    <row r="321" spans="1:22" ht="14.25" x14ac:dyDescent="0.2">
      <c r="A321" s="301"/>
      <c r="B321" s="302"/>
      <c r="C321" s="302" t="s">
        <v>188</v>
      </c>
      <c r="D321" s="303" t="s">
        <v>187</v>
      </c>
      <c r="E321" s="286">
        <v>175</v>
      </c>
      <c r="F321" s="321"/>
      <c r="G321" s="305"/>
      <c r="H321" s="286"/>
      <c r="I321" s="304">
        <v>66.989999999999995</v>
      </c>
      <c r="J321" s="286">
        <v>157</v>
      </c>
      <c r="K321" s="304">
        <v>1403.33</v>
      </c>
    </row>
    <row r="322" spans="1:22" ht="14.25" x14ac:dyDescent="0.2">
      <c r="A322" s="348"/>
      <c r="B322" s="349"/>
      <c r="C322" s="349" t="s">
        <v>192</v>
      </c>
      <c r="D322" s="350" t="s">
        <v>191</v>
      </c>
      <c r="E322" s="351">
        <v>2.2000000000000002</v>
      </c>
      <c r="F322" s="352"/>
      <c r="G322" s="353" t="s">
        <v>1548</v>
      </c>
      <c r="H322" s="351">
        <v>1</v>
      </c>
      <c r="I322" s="354">
        <v>29.35</v>
      </c>
      <c r="J322" s="351"/>
      <c r="K322" s="354"/>
    </row>
    <row r="323" spans="1:22" ht="15" x14ac:dyDescent="0.25">
      <c r="A323" s="355"/>
      <c r="B323" s="355"/>
      <c r="C323" s="356" t="s">
        <v>183</v>
      </c>
      <c r="D323" s="355"/>
      <c r="E323" s="355"/>
      <c r="F323" s="355"/>
      <c r="G323" s="355"/>
      <c r="H323" s="449">
        <v>17102.28</v>
      </c>
      <c r="I323" s="449"/>
      <c r="J323" s="449">
        <v>56622.58</v>
      </c>
      <c r="K323" s="449"/>
      <c r="O323" s="163">
        <f>I310+I311+I313+I319+I320+I321+SUM(I314:I318)</f>
        <v>17102.28</v>
      </c>
      <c r="P323" s="163">
        <f>K310+K311+K313+K319+K320+K321+SUM(K314:K318)</f>
        <v>56622.58</v>
      </c>
    </row>
    <row r="326" spans="1:22" ht="15" x14ac:dyDescent="0.25">
      <c r="A326" s="447" t="s">
        <v>3279</v>
      </c>
      <c r="B326" s="447"/>
      <c r="C326" s="447"/>
      <c r="D326" s="447"/>
      <c r="E326" s="447"/>
      <c r="F326" s="447"/>
      <c r="G326" s="447"/>
      <c r="H326" s="445">
        <v>157234.49</v>
      </c>
      <c r="I326" s="446"/>
      <c r="J326" s="445">
        <v>538161.96</v>
      </c>
      <c r="K326" s="446"/>
    </row>
    <row r="327" spans="1:22" hidden="1" x14ac:dyDescent="0.2">
      <c r="A327" s="281" t="s">
        <v>182</v>
      </c>
      <c r="I327" s="281">
        <v>0</v>
      </c>
      <c r="J327" s="281">
        <v>0</v>
      </c>
    </row>
    <row r="328" spans="1:22" hidden="1" x14ac:dyDescent="0.2">
      <c r="A328" s="281" t="s">
        <v>181</v>
      </c>
      <c r="I328" s="281">
        <v>0</v>
      </c>
      <c r="J328" s="281">
        <v>0</v>
      </c>
    </row>
    <row r="330" spans="1:22" ht="16.5" x14ac:dyDescent="0.25">
      <c r="A330" s="448" t="s">
        <v>2324</v>
      </c>
      <c r="B330" s="448"/>
      <c r="C330" s="448"/>
      <c r="D330" s="448"/>
      <c r="E330" s="448"/>
      <c r="F330" s="448"/>
      <c r="G330" s="448"/>
      <c r="H330" s="448"/>
      <c r="I330" s="448"/>
      <c r="J330" s="448"/>
      <c r="K330" s="448"/>
    </row>
    <row r="331" spans="1:22" ht="42.75" x14ac:dyDescent="0.2">
      <c r="A331" s="301" t="s">
        <v>1685</v>
      </c>
      <c r="B331" s="302" t="s">
        <v>3280</v>
      </c>
      <c r="C331" s="302" t="s">
        <v>833</v>
      </c>
      <c r="D331" s="303" t="s">
        <v>1686</v>
      </c>
      <c r="E331" s="286">
        <v>4.26</v>
      </c>
      <c r="F331" s="321"/>
      <c r="G331" s="305"/>
      <c r="H331" s="286"/>
      <c r="I331" s="304"/>
      <c r="J331" s="286"/>
      <c r="K331" s="304"/>
      <c r="Q331" s="160">
        <f>[9]Source!X738</f>
        <v>2820.66</v>
      </c>
      <c r="R331" s="160">
        <f>[9]Source!X739</f>
        <v>55983.13</v>
      </c>
      <c r="S331" s="160">
        <f>[9]Source!Y738</f>
        <v>1939.21</v>
      </c>
      <c r="T331" s="160">
        <f>[9]Source!Y739</f>
        <v>33754.53</v>
      </c>
      <c r="U331" s="160">
        <f>ROUND((175/100)*ROUND([9]Source!R738, 2), 2)</f>
        <v>0</v>
      </c>
      <c r="V331" s="160">
        <f>ROUND((157/100)*ROUND([9]Source!R739, 2), 2)</f>
        <v>0</v>
      </c>
    </row>
    <row r="332" spans="1:22" x14ac:dyDescent="0.2">
      <c r="C332" s="316" t="s">
        <v>3264</v>
      </c>
    </row>
    <row r="333" spans="1:22" ht="14.25" x14ac:dyDescent="0.2">
      <c r="A333" s="301"/>
      <c r="B333" s="302"/>
      <c r="C333" s="302" t="s">
        <v>197</v>
      </c>
      <c r="D333" s="303"/>
      <c r="E333" s="286"/>
      <c r="F333" s="321">
        <v>827.66</v>
      </c>
      <c r="G333" s="305" t="s">
        <v>195</v>
      </c>
      <c r="H333" s="286">
        <v>1</v>
      </c>
      <c r="I333" s="304">
        <v>3525.83</v>
      </c>
      <c r="J333" s="286">
        <v>23.35</v>
      </c>
      <c r="K333" s="304">
        <v>82328.13</v>
      </c>
    </row>
    <row r="334" spans="1:22" ht="28.5" x14ac:dyDescent="0.2">
      <c r="A334" s="301" t="s">
        <v>1688</v>
      </c>
      <c r="B334" s="302" t="s">
        <v>1532</v>
      </c>
      <c r="C334" s="302" t="s">
        <v>351</v>
      </c>
      <c r="D334" s="303" t="s">
        <v>1533</v>
      </c>
      <c r="E334" s="286">
        <v>2.5133999999999999</v>
      </c>
      <c r="F334" s="321">
        <v>0</v>
      </c>
      <c r="G334" s="315" t="s">
        <v>195</v>
      </c>
      <c r="H334" s="286">
        <v>1</v>
      </c>
      <c r="I334" s="304">
        <v>0</v>
      </c>
      <c r="J334" s="286">
        <v>5.42</v>
      </c>
      <c r="K334" s="304">
        <v>0</v>
      </c>
      <c r="Q334" s="160">
        <f>[9]Source!X740</f>
        <v>0</v>
      </c>
      <c r="R334" s="160">
        <f>[9]Source!X741</f>
        <v>0</v>
      </c>
      <c r="S334" s="160">
        <f>[9]Source!Y740</f>
        <v>0</v>
      </c>
      <c r="T334" s="160">
        <f>[9]Source!Y741</f>
        <v>0</v>
      </c>
      <c r="U334" s="160">
        <f>ROUND((175/100)*ROUND([9]Source!R740, 2), 2)</f>
        <v>0</v>
      </c>
      <c r="V334" s="160">
        <f>ROUND((157/100)*ROUND([9]Source!R741, 2), 2)</f>
        <v>0</v>
      </c>
    </row>
    <row r="335" spans="1:22" ht="14.25" x14ac:dyDescent="0.2">
      <c r="A335" s="301"/>
      <c r="B335" s="302"/>
      <c r="C335" s="302" t="s">
        <v>194</v>
      </c>
      <c r="D335" s="303" t="s">
        <v>187</v>
      </c>
      <c r="E335" s="286">
        <v>80</v>
      </c>
      <c r="F335" s="321"/>
      <c r="G335" s="305"/>
      <c r="H335" s="286"/>
      <c r="I335" s="304">
        <v>2820.66</v>
      </c>
      <c r="J335" s="286">
        <v>68</v>
      </c>
      <c r="K335" s="304">
        <v>55983.13</v>
      </c>
    </row>
    <row r="336" spans="1:22" ht="14.25" x14ac:dyDescent="0.2">
      <c r="A336" s="301"/>
      <c r="B336" s="302"/>
      <c r="C336" s="302" t="s">
        <v>193</v>
      </c>
      <c r="D336" s="303" t="s">
        <v>187</v>
      </c>
      <c r="E336" s="286">
        <v>55</v>
      </c>
      <c r="F336" s="321"/>
      <c r="G336" s="305"/>
      <c r="H336" s="286"/>
      <c r="I336" s="304">
        <v>1939.21</v>
      </c>
      <c r="J336" s="286">
        <v>41</v>
      </c>
      <c r="K336" s="304">
        <v>33754.53</v>
      </c>
    </row>
    <row r="337" spans="1:22" ht="14.25" x14ac:dyDescent="0.2">
      <c r="A337" s="348"/>
      <c r="B337" s="349"/>
      <c r="C337" s="349" t="s">
        <v>192</v>
      </c>
      <c r="D337" s="350" t="s">
        <v>191</v>
      </c>
      <c r="E337" s="351">
        <v>68.8</v>
      </c>
      <c r="F337" s="352"/>
      <c r="G337" s="353" t="s">
        <v>195</v>
      </c>
      <c r="H337" s="351">
        <v>1</v>
      </c>
      <c r="I337" s="354">
        <v>293.08999999999997</v>
      </c>
      <c r="J337" s="351"/>
      <c r="K337" s="354"/>
    </row>
    <row r="338" spans="1:22" ht="15" x14ac:dyDescent="0.25">
      <c r="A338" s="355"/>
      <c r="B338" s="355"/>
      <c r="C338" s="356" t="s">
        <v>183</v>
      </c>
      <c r="D338" s="355"/>
      <c r="E338" s="355"/>
      <c r="F338" s="355"/>
      <c r="G338" s="355"/>
      <c r="H338" s="449">
        <v>8285.7000000000007</v>
      </c>
      <c r="I338" s="449"/>
      <c r="J338" s="449">
        <v>172065.79</v>
      </c>
      <c r="K338" s="449"/>
      <c r="O338" s="163">
        <f>I333+I335+I336+SUM(I334:I334)</f>
        <v>8285.7000000000007</v>
      </c>
      <c r="P338" s="163">
        <f>K333+K335+K336+SUM(K334:K334)</f>
        <v>172065.79</v>
      </c>
    </row>
    <row r="340" spans="1:22" ht="42.75" x14ac:dyDescent="0.2">
      <c r="A340" s="301" t="s">
        <v>1696</v>
      </c>
      <c r="B340" s="302" t="s">
        <v>3281</v>
      </c>
      <c r="C340" s="302" t="s">
        <v>832</v>
      </c>
      <c r="D340" s="303" t="s">
        <v>1686</v>
      </c>
      <c r="E340" s="286">
        <v>2.44</v>
      </c>
      <c r="F340" s="321"/>
      <c r="G340" s="305"/>
      <c r="H340" s="286"/>
      <c r="I340" s="304"/>
      <c r="J340" s="286"/>
      <c r="K340" s="304"/>
      <c r="Q340" s="160">
        <f>[9]Source!X742</f>
        <v>1958.11</v>
      </c>
      <c r="R340" s="160">
        <f>[9]Source!X743</f>
        <v>38863.629999999997</v>
      </c>
      <c r="S340" s="160">
        <f>[9]Source!Y742</f>
        <v>1346.2</v>
      </c>
      <c r="T340" s="160">
        <f>[9]Source!Y743</f>
        <v>23432.48</v>
      </c>
      <c r="U340" s="160">
        <f>ROUND((175/100)*ROUND([9]Source!R742, 2), 2)</f>
        <v>0</v>
      </c>
      <c r="V340" s="160">
        <f>ROUND((157/100)*ROUND([9]Source!R743, 2), 2)</f>
        <v>0</v>
      </c>
    </row>
    <row r="341" spans="1:22" x14ac:dyDescent="0.2">
      <c r="C341" s="316" t="s">
        <v>3282</v>
      </c>
    </row>
    <row r="342" spans="1:22" ht="14.25" x14ac:dyDescent="0.2">
      <c r="A342" s="301"/>
      <c r="B342" s="302"/>
      <c r="C342" s="302" t="s">
        <v>197</v>
      </c>
      <c r="D342" s="303"/>
      <c r="E342" s="286"/>
      <c r="F342" s="321">
        <v>1003.13</v>
      </c>
      <c r="G342" s="305" t="s">
        <v>195</v>
      </c>
      <c r="H342" s="286">
        <v>1</v>
      </c>
      <c r="I342" s="304">
        <v>2447.64</v>
      </c>
      <c r="J342" s="286">
        <v>23.35</v>
      </c>
      <c r="K342" s="304">
        <v>57152.39</v>
      </c>
    </row>
    <row r="343" spans="1:22" ht="28.5" x14ac:dyDescent="0.2">
      <c r="A343" s="301" t="s">
        <v>1699</v>
      </c>
      <c r="B343" s="302" t="s">
        <v>1532</v>
      </c>
      <c r="C343" s="302" t="s">
        <v>351</v>
      </c>
      <c r="D343" s="303" t="s">
        <v>1533</v>
      </c>
      <c r="E343" s="286">
        <v>3.2696000000000001</v>
      </c>
      <c r="F343" s="321">
        <v>0</v>
      </c>
      <c r="G343" s="315" t="s">
        <v>195</v>
      </c>
      <c r="H343" s="286">
        <v>1</v>
      </c>
      <c r="I343" s="304">
        <v>0</v>
      </c>
      <c r="J343" s="286">
        <v>5.42</v>
      </c>
      <c r="K343" s="304">
        <v>0</v>
      </c>
      <c r="Q343" s="160">
        <f>[9]Source!X744</f>
        <v>0</v>
      </c>
      <c r="R343" s="160">
        <f>[9]Source!X745</f>
        <v>0</v>
      </c>
      <c r="S343" s="160">
        <f>[9]Source!Y744</f>
        <v>0</v>
      </c>
      <c r="T343" s="160">
        <f>[9]Source!Y745</f>
        <v>0</v>
      </c>
      <c r="U343" s="160">
        <f>ROUND((175/100)*ROUND([9]Source!R744, 2), 2)</f>
        <v>0</v>
      </c>
      <c r="V343" s="160">
        <f>ROUND((157/100)*ROUND([9]Source!R745, 2), 2)</f>
        <v>0</v>
      </c>
    </row>
    <row r="344" spans="1:22" ht="14.25" x14ac:dyDescent="0.2">
      <c r="A344" s="301"/>
      <c r="B344" s="302"/>
      <c r="C344" s="302" t="s">
        <v>194</v>
      </c>
      <c r="D344" s="303" t="s">
        <v>187</v>
      </c>
      <c r="E344" s="286">
        <v>80</v>
      </c>
      <c r="F344" s="321"/>
      <c r="G344" s="305"/>
      <c r="H344" s="286"/>
      <c r="I344" s="304">
        <v>1958.11</v>
      </c>
      <c r="J344" s="286">
        <v>68</v>
      </c>
      <c r="K344" s="304">
        <v>38863.629999999997</v>
      </c>
    </row>
    <row r="345" spans="1:22" ht="14.25" x14ac:dyDescent="0.2">
      <c r="A345" s="301"/>
      <c r="B345" s="302"/>
      <c r="C345" s="302" t="s">
        <v>193</v>
      </c>
      <c r="D345" s="303" t="s">
        <v>187</v>
      </c>
      <c r="E345" s="286">
        <v>55</v>
      </c>
      <c r="F345" s="321"/>
      <c r="G345" s="305"/>
      <c r="H345" s="286"/>
      <c r="I345" s="304">
        <v>1346.2</v>
      </c>
      <c r="J345" s="286">
        <v>41</v>
      </c>
      <c r="K345" s="304">
        <v>23432.48</v>
      </c>
    </row>
    <row r="346" spans="1:22" ht="14.25" x14ac:dyDescent="0.2">
      <c r="A346" s="348"/>
      <c r="B346" s="349"/>
      <c r="C346" s="349" t="s">
        <v>192</v>
      </c>
      <c r="D346" s="350" t="s">
        <v>191</v>
      </c>
      <c r="E346" s="351">
        <v>85.3</v>
      </c>
      <c r="F346" s="352"/>
      <c r="G346" s="353" t="s">
        <v>195</v>
      </c>
      <c r="H346" s="351">
        <v>1</v>
      </c>
      <c r="I346" s="354">
        <v>208.13</v>
      </c>
      <c r="J346" s="351"/>
      <c r="K346" s="354"/>
    </row>
    <row r="347" spans="1:22" ht="15" x14ac:dyDescent="0.25">
      <c r="A347" s="355"/>
      <c r="B347" s="355"/>
      <c r="C347" s="356" t="s">
        <v>183</v>
      </c>
      <c r="D347" s="355"/>
      <c r="E347" s="355"/>
      <c r="F347" s="355"/>
      <c r="G347" s="355"/>
      <c r="H347" s="449">
        <v>5751.95</v>
      </c>
      <c r="I347" s="449"/>
      <c r="J347" s="449">
        <v>119448.5</v>
      </c>
      <c r="K347" s="449"/>
      <c r="O347" s="163">
        <f>I342+I344+I345+SUM(I343:I343)</f>
        <v>5751.95</v>
      </c>
      <c r="P347" s="163">
        <f>K342+K344+K345+SUM(K343:K343)</f>
        <v>119448.5</v>
      </c>
    </row>
    <row r="349" spans="1:22" ht="42.75" x14ac:dyDescent="0.2">
      <c r="A349" s="301" t="s">
        <v>1705</v>
      </c>
      <c r="B349" s="302" t="s">
        <v>3283</v>
      </c>
      <c r="C349" s="302" t="s">
        <v>831</v>
      </c>
      <c r="D349" s="303" t="s">
        <v>3284</v>
      </c>
      <c r="E349" s="286">
        <v>0.08</v>
      </c>
      <c r="F349" s="321"/>
      <c r="G349" s="305"/>
      <c r="H349" s="286"/>
      <c r="I349" s="304"/>
      <c r="J349" s="286"/>
      <c r="K349" s="304"/>
      <c r="Q349" s="160">
        <f>[9]Source!X746</f>
        <v>107.62</v>
      </c>
      <c r="R349" s="160">
        <f>[9]Source!X747</f>
        <v>2136.0700000000002</v>
      </c>
      <c r="S349" s="160">
        <f>[9]Source!Y746</f>
        <v>73.989999999999995</v>
      </c>
      <c r="T349" s="160">
        <f>[9]Source!Y747</f>
        <v>1287.92</v>
      </c>
      <c r="U349" s="160">
        <f>ROUND((175/100)*ROUND([9]Source!R746, 2), 2)</f>
        <v>0</v>
      </c>
      <c r="V349" s="160">
        <f>ROUND((157/100)*ROUND([9]Source!R747, 2), 2)</f>
        <v>0</v>
      </c>
    </row>
    <row r="350" spans="1:22" x14ac:dyDescent="0.2">
      <c r="C350" s="316" t="s">
        <v>3242</v>
      </c>
    </row>
    <row r="351" spans="1:22" ht="14.25" x14ac:dyDescent="0.2">
      <c r="A351" s="301"/>
      <c r="B351" s="302"/>
      <c r="C351" s="302" t="s">
        <v>197</v>
      </c>
      <c r="D351" s="303"/>
      <c r="E351" s="286"/>
      <c r="F351" s="321">
        <v>1681.68</v>
      </c>
      <c r="G351" s="305" t="s">
        <v>195</v>
      </c>
      <c r="H351" s="286">
        <v>1</v>
      </c>
      <c r="I351" s="304">
        <v>134.53</v>
      </c>
      <c r="J351" s="286">
        <v>23.35</v>
      </c>
      <c r="K351" s="304">
        <v>3141.28</v>
      </c>
    </row>
    <row r="352" spans="1:22" ht="28.5" x14ac:dyDescent="0.2">
      <c r="A352" s="301" t="s">
        <v>1707</v>
      </c>
      <c r="B352" s="302" t="s">
        <v>1532</v>
      </c>
      <c r="C352" s="302" t="s">
        <v>351</v>
      </c>
      <c r="D352" s="303" t="s">
        <v>1533</v>
      </c>
      <c r="E352" s="286">
        <v>0.25840000000000002</v>
      </c>
      <c r="F352" s="321">
        <v>0</v>
      </c>
      <c r="G352" s="315" t="s">
        <v>195</v>
      </c>
      <c r="H352" s="286">
        <v>1</v>
      </c>
      <c r="I352" s="304">
        <v>0</v>
      </c>
      <c r="J352" s="286">
        <v>5.42</v>
      </c>
      <c r="K352" s="304">
        <v>0</v>
      </c>
      <c r="Q352" s="160">
        <f>[9]Source!X748</f>
        <v>0</v>
      </c>
      <c r="R352" s="160">
        <f>[9]Source!X749</f>
        <v>0</v>
      </c>
      <c r="S352" s="160">
        <f>[9]Source!Y748</f>
        <v>0</v>
      </c>
      <c r="T352" s="160">
        <f>[9]Source!Y749</f>
        <v>0</v>
      </c>
      <c r="U352" s="160">
        <f>ROUND((175/100)*ROUND([9]Source!R748, 2), 2)</f>
        <v>0</v>
      </c>
      <c r="V352" s="160">
        <f>ROUND((157/100)*ROUND([9]Source!R749, 2), 2)</f>
        <v>0</v>
      </c>
    </row>
    <row r="353" spans="1:22" ht="14.25" x14ac:dyDescent="0.2">
      <c r="A353" s="301"/>
      <c r="B353" s="302"/>
      <c r="C353" s="302" t="s">
        <v>194</v>
      </c>
      <c r="D353" s="303" t="s">
        <v>187</v>
      </c>
      <c r="E353" s="286">
        <v>80</v>
      </c>
      <c r="F353" s="321"/>
      <c r="G353" s="305"/>
      <c r="H353" s="286"/>
      <c r="I353" s="304">
        <v>107.62</v>
      </c>
      <c r="J353" s="286">
        <v>68</v>
      </c>
      <c r="K353" s="304">
        <v>2136.0700000000002</v>
      </c>
    </row>
    <row r="354" spans="1:22" ht="14.25" x14ac:dyDescent="0.2">
      <c r="A354" s="301"/>
      <c r="B354" s="302"/>
      <c r="C354" s="302" t="s">
        <v>193</v>
      </c>
      <c r="D354" s="303" t="s">
        <v>187</v>
      </c>
      <c r="E354" s="286">
        <v>55</v>
      </c>
      <c r="F354" s="321"/>
      <c r="G354" s="305"/>
      <c r="H354" s="286"/>
      <c r="I354" s="304">
        <v>73.989999999999995</v>
      </c>
      <c r="J354" s="286">
        <v>41</v>
      </c>
      <c r="K354" s="304">
        <v>1287.92</v>
      </c>
    </row>
    <row r="355" spans="1:22" ht="14.25" x14ac:dyDescent="0.2">
      <c r="A355" s="348"/>
      <c r="B355" s="349"/>
      <c r="C355" s="349" t="s">
        <v>192</v>
      </c>
      <c r="D355" s="350" t="s">
        <v>191</v>
      </c>
      <c r="E355" s="351">
        <v>143</v>
      </c>
      <c r="F355" s="352"/>
      <c r="G355" s="353" t="s">
        <v>195</v>
      </c>
      <c r="H355" s="351">
        <v>1</v>
      </c>
      <c r="I355" s="354">
        <v>11.44</v>
      </c>
      <c r="J355" s="351"/>
      <c r="K355" s="354"/>
    </row>
    <row r="356" spans="1:22" ht="15" x14ac:dyDescent="0.25">
      <c r="A356" s="355"/>
      <c r="B356" s="355"/>
      <c r="C356" s="356" t="s">
        <v>183</v>
      </c>
      <c r="D356" s="355"/>
      <c r="E356" s="355"/>
      <c r="F356" s="355"/>
      <c r="G356" s="355"/>
      <c r="H356" s="449">
        <v>316.14</v>
      </c>
      <c r="I356" s="449"/>
      <c r="J356" s="449">
        <v>6565.27</v>
      </c>
      <c r="K356" s="449"/>
      <c r="O356" s="163">
        <f>I351+I353+I354+SUM(I352:I352)</f>
        <v>316.14</v>
      </c>
      <c r="P356" s="163">
        <f>K351+K353+K354+SUM(K352:K352)</f>
        <v>6565.27</v>
      </c>
    </row>
    <row r="358" spans="1:22" ht="28.5" x14ac:dyDescent="0.2">
      <c r="A358" s="301" t="s">
        <v>1712</v>
      </c>
      <c r="B358" s="302" t="s">
        <v>3285</v>
      </c>
      <c r="C358" s="302" t="s">
        <v>830</v>
      </c>
      <c r="D358" s="303" t="s">
        <v>3284</v>
      </c>
      <c r="E358" s="286">
        <v>0.65</v>
      </c>
      <c r="F358" s="321"/>
      <c r="G358" s="305"/>
      <c r="H358" s="286"/>
      <c r="I358" s="304"/>
      <c r="J358" s="286"/>
      <c r="K358" s="304"/>
      <c r="Q358" s="160">
        <f>[9]Source!X750</f>
        <v>362.64</v>
      </c>
      <c r="R358" s="160">
        <f>[9]Source!X751</f>
        <v>7197.5</v>
      </c>
      <c r="S358" s="160">
        <f>[9]Source!Y750</f>
        <v>249.32</v>
      </c>
      <c r="T358" s="160">
        <f>[9]Source!Y751</f>
        <v>4339.67</v>
      </c>
      <c r="U358" s="160">
        <f>ROUND((175/100)*ROUND([9]Source!R750, 2), 2)</f>
        <v>0</v>
      </c>
      <c r="V358" s="160">
        <f>ROUND((157/100)*ROUND([9]Source!R751, 2), 2)</f>
        <v>0</v>
      </c>
    </row>
    <row r="359" spans="1:22" x14ac:dyDescent="0.2">
      <c r="C359" s="316" t="s">
        <v>3286</v>
      </c>
    </row>
    <row r="360" spans="1:22" ht="14.25" x14ac:dyDescent="0.2">
      <c r="A360" s="301"/>
      <c r="B360" s="302"/>
      <c r="C360" s="302" t="s">
        <v>197</v>
      </c>
      <c r="D360" s="303"/>
      <c r="E360" s="286"/>
      <c r="F360" s="321">
        <v>697.38</v>
      </c>
      <c r="G360" s="305" t="s">
        <v>195</v>
      </c>
      <c r="H360" s="286">
        <v>1</v>
      </c>
      <c r="I360" s="304">
        <v>453.3</v>
      </c>
      <c r="J360" s="286">
        <v>23.35</v>
      </c>
      <c r="K360" s="304">
        <v>10584.56</v>
      </c>
    </row>
    <row r="361" spans="1:22" ht="28.5" x14ac:dyDescent="0.2">
      <c r="A361" s="301" t="s">
        <v>1715</v>
      </c>
      <c r="B361" s="302" t="s">
        <v>1532</v>
      </c>
      <c r="C361" s="302" t="s">
        <v>351</v>
      </c>
      <c r="D361" s="303" t="s">
        <v>1533</v>
      </c>
      <c r="E361" s="286">
        <v>1.079</v>
      </c>
      <c r="F361" s="321">
        <v>0</v>
      </c>
      <c r="G361" s="315" t="s">
        <v>195</v>
      </c>
      <c r="H361" s="286">
        <v>1</v>
      </c>
      <c r="I361" s="304">
        <v>0</v>
      </c>
      <c r="J361" s="286">
        <v>5.42</v>
      </c>
      <c r="K361" s="304">
        <v>0</v>
      </c>
      <c r="Q361" s="160">
        <f>[9]Source!X752</f>
        <v>0</v>
      </c>
      <c r="R361" s="160">
        <f>[9]Source!X753</f>
        <v>0</v>
      </c>
      <c r="S361" s="160">
        <f>[9]Source!Y752</f>
        <v>0</v>
      </c>
      <c r="T361" s="160">
        <f>[9]Source!Y753</f>
        <v>0</v>
      </c>
      <c r="U361" s="160">
        <f>ROUND((175/100)*ROUND([9]Source!R752, 2), 2)</f>
        <v>0</v>
      </c>
      <c r="V361" s="160">
        <f>ROUND((157/100)*ROUND([9]Source!R753, 2), 2)</f>
        <v>0</v>
      </c>
    </row>
    <row r="362" spans="1:22" ht="14.25" x14ac:dyDescent="0.2">
      <c r="A362" s="301"/>
      <c r="B362" s="302"/>
      <c r="C362" s="302" t="s">
        <v>194</v>
      </c>
      <c r="D362" s="303" t="s">
        <v>187</v>
      </c>
      <c r="E362" s="286">
        <v>80</v>
      </c>
      <c r="F362" s="321"/>
      <c r="G362" s="305"/>
      <c r="H362" s="286"/>
      <c r="I362" s="304">
        <v>362.64</v>
      </c>
      <c r="J362" s="286">
        <v>68</v>
      </c>
      <c r="K362" s="304">
        <v>7197.5</v>
      </c>
    </row>
    <row r="363" spans="1:22" ht="14.25" x14ac:dyDescent="0.2">
      <c r="A363" s="301"/>
      <c r="B363" s="302"/>
      <c r="C363" s="302" t="s">
        <v>193</v>
      </c>
      <c r="D363" s="303" t="s">
        <v>187</v>
      </c>
      <c r="E363" s="286">
        <v>55</v>
      </c>
      <c r="F363" s="321"/>
      <c r="G363" s="305"/>
      <c r="H363" s="286"/>
      <c r="I363" s="304">
        <v>249.32</v>
      </c>
      <c r="J363" s="286">
        <v>41</v>
      </c>
      <c r="K363" s="304">
        <v>4339.67</v>
      </c>
    </row>
    <row r="364" spans="1:22" ht="14.25" x14ac:dyDescent="0.2">
      <c r="A364" s="348"/>
      <c r="B364" s="349"/>
      <c r="C364" s="349" t="s">
        <v>192</v>
      </c>
      <c r="D364" s="350" t="s">
        <v>191</v>
      </c>
      <c r="E364" s="351">
        <v>60.8</v>
      </c>
      <c r="F364" s="352"/>
      <c r="G364" s="353" t="s">
        <v>195</v>
      </c>
      <c r="H364" s="351">
        <v>1</v>
      </c>
      <c r="I364" s="354">
        <v>39.520000000000003</v>
      </c>
      <c r="J364" s="351"/>
      <c r="K364" s="354"/>
    </row>
    <row r="365" spans="1:22" ht="15" x14ac:dyDescent="0.25">
      <c r="A365" s="355"/>
      <c r="B365" s="355"/>
      <c r="C365" s="356" t="s">
        <v>183</v>
      </c>
      <c r="D365" s="355"/>
      <c r="E365" s="355"/>
      <c r="F365" s="355"/>
      <c r="G365" s="355"/>
      <c r="H365" s="449">
        <v>1065.26</v>
      </c>
      <c r="I365" s="449"/>
      <c r="J365" s="449">
        <v>22121.73</v>
      </c>
      <c r="K365" s="449"/>
      <c r="O365" s="163">
        <f>I360+I362+I363+SUM(I361:I361)</f>
        <v>1065.26</v>
      </c>
      <c r="P365" s="163">
        <f>K360+K362+K363+SUM(K361:K361)</f>
        <v>22121.73</v>
      </c>
    </row>
    <row r="367" spans="1:22" ht="28.5" x14ac:dyDescent="0.2">
      <c r="A367" s="301" t="s">
        <v>1719</v>
      </c>
      <c r="B367" s="302" t="s">
        <v>3287</v>
      </c>
      <c r="C367" s="302" t="s">
        <v>829</v>
      </c>
      <c r="D367" s="303" t="s">
        <v>3284</v>
      </c>
      <c r="E367" s="286">
        <v>0.1</v>
      </c>
      <c r="F367" s="321"/>
      <c r="G367" s="305"/>
      <c r="H367" s="286"/>
      <c r="I367" s="304"/>
      <c r="J367" s="286"/>
      <c r="K367" s="304"/>
      <c r="Q367" s="160">
        <f>[9]Source!X754</f>
        <v>151.9</v>
      </c>
      <c r="R367" s="160">
        <f>[9]Source!X755</f>
        <v>3014.92</v>
      </c>
      <c r="S367" s="160">
        <f>[9]Source!Y754</f>
        <v>104.43</v>
      </c>
      <c r="T367" s="160">
        <f>[9]Source!Y755</f>
        <v>1817.82</v>
      </c>
      <c r="U367" s="160">
        <f>ROUND((175/100)*ROUND([9]Source!R754, 2), 2)</f>
        <v>0</v>
      </c>
      <c r="V367" s="160">
        <f>ROUND((157/100)*ROUND([9]Source!R755, 2), 2)</f>
        <v>0</v>
      </c>
    </row>
    <row r="368" spans="1:22" x14ac:dyDescent="0.2">
      <c r="C368" s="316" t="s">
        <v>3288</v>
      </c>
    </row>
    <row r="369" spans="1:22" ht="14.25" x14ac:dyDescent="0.2">
      <c r="A369" s="301"/>
      <c r="B369" s="302"/>
      <c r="C369" s="302" t="s">
        <v>197</v>
      </c>
      <c r="D369" s="303"/>
      <c r="E369" s="286"/>
      <c r="F369" s="321">
        <v>1898.82</v>
      </c>
      <c r="G369" s="305" t="s">
        <v>195</v>
      </c>
      <c r="H369" s="286">
        <v>1</v>
      </c>
      <c r="I369" s="304">
        <v>189.88</v>
      </c>
      <c r="J369" s="286">
        <v>23.35</v>
      </c>
      <c r="K369" s="304">
        <v>4433.7</v>
      </c>
    </row>
    <row r="370" spans="1:22" ht="28.5" x14ac:dyDescent="0.2">
      <c r="A370" s="301" t="s">
        <v>1720</v>
      </c>
      <c r="B370" s="302" t="s">
        <v>1532</v>
      </c>
      <c r="C370" s="302" t="s">
        <v>351</v>
      </c>
      <c r="D370" s="303" t="s">
        <v>1533</v>
      </c>
      <c r="E370" s="286">
        <v>0.33400000000000002</v>
      </c>
      <c r="F370" s="321">
        <v>0</v>
      </c>
      <c r="G370" s="315" t="s">
        <v>195</v>
      </c>
      <c r="H370" s="286">
        <v>1</v>
      </c>
      <c r="I370" s="304">
        <v>0</v>
      </c>
      <c r="J370" s="286">
        <v>5.42</v>
      </c>
      <c r="K370" s="304">
        <v>0</v>
      </c>
      <c r="Q370" s="160">
        <f>[9]Source!X756</f>
        <v>0</v>
      </c>
      <c r="R370" s="160">
        <f>[9]Source!X757</f>
        <v>0</v>
      </c>
      <c r="S370" s="160">
        <f>[9]Source!Y756</f>
        <v>0</v>
      </c>
      <c r="T370" s="160">
        <f>[9]Source!Y757</f>
        <v>0</v>
      </c>
      <c r="U370" s="160">
        <f>ROUND((175/100)*ROUND([9]Source!R756, 2), 2)</f>
        <v>0</v>
      </c>
      <c r="V370" s="160">
        <f>ROUND((157/100)*ROUND([9]Source!R757, 2), 2)</f>
        <v>0</v>
      </c>
    </row>
    <row r="371" spans="1:22" ht="14.25" x14ac:dyDescent="0.2">
      <c r="A371" s="301"/>
      <c r="B371" s="302"/>
      <c r="C371" s="302" t="s">
        <v>194</v>
      </c>
      <c r="D371" s="303" t="s">
        <v>187</v>
      </c>
      <c r="E371" s="286">
        <v>80</v>
      </c>
      <c r="F371" s="321"/>
      <c r="G371" s="305"/>
      <c r="H371" s="286"/>
      <c r="I371" s="304">
        <v>151.9</v>
      </c>
      <c r="J371" s="286">
        <v>68</v>
      </c>
      <c r="K371" s="304">
        <v>3014.92</v>
      </c>
    </row>
    <row r="372" spans="1:22" ht="14.25" x14ac:dyDescent="0.2">
      <c r="A372" s="301"/>
      <c r="B372" s="302"/>
      <c r="C372" s="302" t="s">
        <v>193</v>
      </c>
      <c r="D372" s="303" t="s">
        <v>187</v>
      </c>
      <c r="E372" s="286">
        <v>55</v>
      </c>
      <c r="F372" s="321"/>
      <c r="G372" s="305"/>
      <c r="H372" s="286"/>
      <c r="I372" s="304">
        <v>104.43</v>
      </c>
      <c r="J372" s="286">
        <v>41</v>
      </c>
      <c r="K372" s="304">
        <v>1817.82</v>
      </c>
    </row>
    <row r="373" spans="1:22" ht="14.25" x14ac:dyDescent="0.2">
      <c r="A373" s="348"/>
      <c r="B373" s="349"/>
      <c r="C373" s="349" t="s">
        <v>192</v>
      </c>
      <c r="D373" s="350" t="s">
        <v>191</v>
      </c>
      <c r="E373" s="351">
        <v>154</v>
      </c>
      <c r="F373" s="352"/>
      <c r="G373" s="353" t="s">
        <v>195</v>
      </c>
      <c r="H373" s="351">
        <v>1</v>
      </c>
      <c r="I373" s="354">
        <v>15.4</v>
      </c>
      <c r="J373" s="351"/>
      <c r="K373" s="354"/>
    </row>
    <row r="374" spans="1:22" ht="15" x14ac:dyDescent="0.25">
      <c r="A374" s="355"/>
      <c r="B374" s="355"/>
      <c r="C374" s="356" t="s">
        <v>183</v>
      </c>
      <c r="D374" s="355"/>
      <c r="E374" s="355"/>
      <c r="F374" s="355"/>
      <c r="G374" s="355"/>
      <c r="H374" s="449">
        <v>446.21</v>
      </c>
      <c r="I374" s="449"/>
      <c r="J374" s="449">
        <v>9266.44</v>
      </c>
      <c r="K374" s="449"/>
      <c r="O374" s="163">
        <f>I369+I371+I372+SUM(I370:I370)</f>
        <v>446.21</v>
      </c>
      <c r="P374" s="163">
        <f>K369+K371+K372+SUM(K370:K370)</f>
        <v>9266.44</v>
      </c>
    </row>
    <row r="376" spans="1:22" ht="14.25" x14ac:dyDescent="0.2">
      <c r="A376" s="301" t="s">
        <v>1722</v>
      </c>
      <c r="B376" s="302" t="s">
        <v>3289</v>
      </c>
      <c r="C376" s="302" t="s">
        <v>828</v>
      </c>
      <c r="D376" s="303" t="s">
        <v>1536</v>
      </c>
      <c r="E376" s="286">
        <v>0.75</v>
      </c>
      <c r="F376" s="321"/>
      <c r="G376" s="305"/>
      <c r="H376" s="286"/>
      <c r="I376" s="304"/>
      <c r="J376" s="286"/>
      <c r="K376" s="304"/>
      <c r="Q376" s="160">
        <f>[9]Source!X758</f>
        <v>1244.01</v>
      </c>
      <c r="R376" s="160">
        <f>[9]Source!X759</f>
        <v>24690.45</v>
      </c>
      <c r="S376" s="160">
        <f>[9]Source!Y758</f>
        <v>855.26</v>
      </c>
      <c r="T376" s="160">
        <f>[9]Source!Y759</f>
        <v>14886.89</v>
      </c>
      <c r="U376" s="160">
        <f>ROUND((175/100)*ROUND([9]Source!R758, 2), 2)</f>
        <v>0</v>
      </c>
      <c r="V376" s="160">
        <f>ROUND((157/100)*ROUND([9]Source!R759, 2), 2)</f>
        <v>0</v>
      </c>
    </row>
    <row r="377" spans="1:22" x14ac:dyDescent="0.2">
      <c r="C377" s="316" t="s">
        <v>3290</v>
      </c>
    </row>
    <row r="378" spans="1:22" ht="14.25" x14ac:dyDescent="0.2">
      <c r="A378" s="301"/>
      <c r="B378" s="302"/>
      <c r="C378" s="302" t="s">
        <v>197</v>
      </c>
      <c r="D378" s="303"/>
      <c r="E378" s="286"/>
      <c r="F378" s="321">
        <v>2073.34</v>
      </c>
      <c r="G378" s="305" t="s">
        <v>195</v>
      </c>
      <c r="H378" s="286">
        <v>1</v>
      </c>
      <c r="I378" s="304">
        <v>1555.01</v>
      </c>
      <c r="J378" s="286">
        <v>23.35</v>
      </c>
      <c r="K378" s="304">
        <v>36309.480000000003</v>
      </c>
    </row>
    <row r="379" spans="1:22" ht="28.5" x14ac:dyDescent="0.2">
      <c r="A379" s="301" t="s">
        <v>1724</v>
      </c>
      <c r="B379" s="302" t="s">
        <v>1532</v>
      </c>
      <c r="C379" s="302" t="s">
        <v>351</v>
      </c>
      <c r="D379" s="303" t="s">
        <v>1533</v>
      </c>
      <c r="E379" s="286">
        <v>0.1575</v>
      </c>
      <c r="F379" s="321">
        <v>0</v>
      </c>
      <c r="G379" s="315" t="s">
        <v>195</v>
      </c>
      <c r="H379" s="286">
        <v>1</v>
      </c>
      <c r="I379" s="304">
        <v>0</v>
      </c>
      <c r="J379" s="286">
        <v>5.42</v>
      </c>
      <c r="K379" s="304">
        <v>0</v>
      </c>
      <c r="Q379" s="160">
        <f>[9]Source!X760</f>
        <v>0</v>
      </c>
      <c r="R379" s="160">
        <f>[9]Source!X761</f>
        <v>0</v>
      </c>
      <c r="S379" s="160">
        <f>[9]Source!Y760</f>
        <v>0</v>
      </c>
      <c r="T379" s="160">
        <f>[9]Source!Y761</f>
        <v>0</v>
      </c>
      <c r="U379" s="160">
        <f>ROUND((175/100)*ROUND([9]Source!R760, 2), 2)</f>
        <v>0</v>
      </c>
      <c r="V379" s="160">
        <f>ROUND((157/100)*ROUND([9]Source!R761, 2), 2)</f>
        <v>0</v>
      </c>
    </row>
    <row r="380" spans="1:22" ht="14.25" x14ac:dyDescent="0.2">
      <c r="A380" s="301"/>
      <c r="B380" s="302"/>
      <c r="C380" s="302" t="s">
        <v>194</v>
      </c>
      <c r="D380" s="303" t="s">
        <v>187</v>
      </c>
      <c r="E380" s="286">
        <v>80</v>
      </c>
      <c r="F380" s="321"/>
      <c r="G380" s="305"/>
      <c r="H380" s="286"/>
      <c r="I380" s="304">
        <v>1244.01</v>
      </c>
      <c r="J380" s="286">
        <v>68</v>
      </c>
      <c r="K380" s="304">
        <v>24690.45</v>
      </c>
    </row>
    <row r="381" spans="1:22" ht="14.25" x14ac:dyDescent="0.2">
      <c r="A381" s="301"/>
      <c r="B381" s="302"/>
      <c r="C381" s="302" t="s">
        <v>193</v>
      </c>
      <c r="D381" s="303" t="s">
        <v>187</v>
      </c>
      <c r="E381" s="286">
        <v>55</v>
      </c>
      <c r="F381" s="321"/>
      <c r="G381" s="305"/>
      <c r="H381" s="286"/>
      <c r="I381" s="304">
        <v>855.26</v>
      </c>
      <c r="J381" s="286">
        <v>41</v>
      </c>
      <c r="K381" s="304">
        <v>14886.89</v>
      </c>
    </row>
    <row r="382" spans="1:22" ht="14.25" x14ac:dyDescent="0.2">
      <c r="A382" s="348"/>
      <c r="B382" s="349"/>
      <c r="C382" s="349" t="s">
        <v>192</v>
      </c>
      <c r="D382" s="350" t="s">
        <v>191</v>
      </c>
      <c r="E382" s="351">
        <v>166</v>
      </c>
      <c r="F382" s="352"/>
      <c r="G382" s="353" t="s">
        <v>195</v>
      </c>
      <c r="H382" s="351">
        <v>1</v>
      </c>
      <c r="I382" s="354">
        <v>124.5</v>
      </c>
      <c r="J382" s="351"/>
      <c r="K382" s="354"/>
    </row>
    <row r="383" spans="1:22" ht="15" x14ac:dyDescent="0.25">
      <c r="A383" s="355"/>
      <c r="B383" s="355"/>
      <c r="C383" s="356" t="s">
        <v>183</v>
      </c>
      <c r="D383" s="355"/>
      <c r="E383" s="355"/>
      <c r="F383" s="355"/>
      <c r="G383" s="355"/>
      <c r="H383" s="449">
        <v>3654.28</v>
      </c>
      <c r="I383" s="449"/>
      <c r="J383" s="449">
        <v>75886.820000000007</v>
      </c>
      <c r="K383" s="449"/>
      <c r="O383" s="163">
        <f>I378+I380+I381+SUM(I379:I379)</f>
        <v>3654.28</v>
      </c>
      <c r="P383" s="163">
        <f>K378+K380+K381+SUM(K379:K379)</f>
        <v>75886.820000000007</v>
      </c>
    </row>
    <row r="386" spans="1:22" ht="15" x14ac:dyDescent="0.25">
      <c r="A386" s="447" t="s">
        <v>2329</v>
      </c>
      <c r="B386" s="447"/>
      <c r="C386" s="447"/>
      <c r="D386" s="447"/>
      <c r="E386" s="447"/>
      <c r="F386" s="447"/>
      <c r="G386" s="447"/>
      <c r="H386" s="445">
        <v>19519.54</v>
      </c>
      <c r="I386" s="446"/>
      <c r="J386" s="445">
        <v>405354.55</v>
      </c>
      <c r="K386" s="446"/>
    </row>
    <row r="387" spans="1:22" hidden="1" x14ac:dyDescent="0.2">
      <c r="A387" s="281" t="s">
        <v>182</v>
      </c>
      <c r="I387" s="281">
        <v>0</v>
      </c>
      <c r="J387" s="281">
        <v>0</v>
      </c>
    </row>
    <row r="388" spans="1:22" hidden="1" x14ac:dyDescent="0.2">
      <c r="A388" s="281" t="s">
        <v>181</v>
      </c>
      <c r="I388" s="281">
        <v>0</v>
      </c>
      <c r="J388" s="281">
        <v>0</v>
      </c>
    </row>
    <row r="390" spans="1:22" ht="16.5" x14ac:dyDescent="0.25">
      <c r="A390" s="448" t="s">
        <v>1921</v>
      </c>
      <c r="B390" s="448"/>
      <c r="C390" s="448"/>
      <c r="D390" s="448"/>
      <c r="E390" s="448"/>
      <c r="F390" s="448"/>
      <c r="G390" s="448"/>
      <c r="H390" s="448"/>
      <c r="I390" s="448"/>
      <c r="J390" s="448"/>
      <c r="K390" s="448"/>
    </row>
    <row r="391" spans="1:22" ht="42.75" x14ac:dyDescent="0.2">
      <c r="A391" s="301" t="s">
        <v>1729</v>
      </c>
      <c r="B391" s="302" t="s">
        <v>1923</v>
      </c>
      <c r="C391" s="302" t="s">
        <v>190</v>
      </c>
      <c r="D391" s="303" t="s">
        <v>1785</v>
      </c>
      <c r="E391" s="286">
        <v>1.4948999999999999</v>
      </c>
      <c r="F391" s="321"/>
      <c r="G391" s="305"/>
      <c r="H391" s="286"/>
      <c r="I391" s="304"/>
      <c r="J391" s="286"/>
      <c r="K391" s="304"/>
      <c r="Q391" s="160">
        <f>[9]Source!X797</f>
        <v>0</v>
      </c>
      <c r="R391" s="160">
        <f>[9]Source!X798</f>
        <v>0</v>
      </c>
      <c r="S391" s="160">
        <f>[9]Source!Y797</f>
        <v>0</v>
      </c>
      <c r="T391" s="160">
        <f>[9]Source!Y798</f>
        <v>0</v>
      </c>
      <c r="U391" s="160">
        <f>ROUND((175/100)*ROUND([9]Source!R797, 2), 2)</f>
        <v>3.87</v>
      </c>
      <c r="V391" s="160">
        <f>ROUND((157/100)*ROUND([9]Source!R798, 2), 2)</f>
        <v>81.010000000000005</v>
      </c>
    </row>
    <row r="392" spans="1:22" x14ac:dyDescent="0.2">
      <c r="C392" s="316" t="s">
        <v>3291</v>
      </c>
    </row>
    <row r="393" spans="1:22" ht="14.25" x14ac:dyDescent="0.2">
      <c r="A393" s="301"/>
      <c r="B393" s="302"/>
      <c r="C393" s="302" t="s">
        <v>184</v>
      </c>
      <c r="D393" s="303"/>
      <c r="E393" s="286"/>
      <c r="F393" s="321">
        <v>8.86</v>
      </c>
      <c r="G393" s="305" t="s">
        <v>195</v>
      </c>
      <c r="H393" s="286">
        <v>1</v>
      </c>
      <c r="I393" s="304">
        <v>13.24</v>
      </c>
      <c r="J393" s="286">
        <v>8.36</v>
      </c>
      <c r="K393" s="304">
        <v>110.69</v>
      </c>
    </row>
    <row r="394" spans="1:22" ht="14.25" x14ac:dyDescent="0.2">
      <c r="A394" s="301"/>
      <c r="B394" s="302"/>
      <c r="C394" s="302" t="s">
        <v>189</v>
      </c>
      <c r="D394" s="303"/>
      <c r="E394" s="286"/>
      <c r="F394" s="321">
        <v>1.48</v>
      </c>
      <c r="G394" s="305" t="s">
        <v>195</v>
      </c>
      <c r="H394" s="286">
        <v>1</v>
      </c>
      <c r="I394" s="306">
        <v>2.21</v>
      </c>
      <c r="J394" s="286">
        <v>23.35</v>
      </c>
      <c r="K394" s="306">
        <v>51.6</v>
      </c>
    </row>
    <row r="395" spans="1:22" ht="14.25" x14ac:dyDescent="0.2">
      <c r="A395" s="348"/>
      <c r="B395" s="349"/>
      <c r="C395" s="349" t="s">
        <v>188</v>
      </c>
      <c r="D395" s="350" t="s">
        <v>187</v>
      </c>
      <c r="E395" s="351">
        <v>175</v>
      </c>
      <c r="F395" s="352"/>
      <c r="G395" s="353"/>
      <c r="H395" s="351"/>
      <c r="I395" s="354">
        <v>3.87</v>
      </c>
      <c r="J395" s="351">
        <v>157</v>
      </c>
      <c r="K395" s="354">
        <v>81.010000000000005</v>
      </c>
    </row>
    <row r="396" spans="1:22" ht="15" x14ac:dyDescent="0.25">
      <c r="A396" s="355"/>
      <c r="B396" s="355"/>
      <c r="C396" s="356" t="s">
        <v>183</v>
      </c>
      <c r="D396" s="355"/>
      <c r="E396" s="355"/>
      <c r="F396" s="355"/>
      <c r="G396" s="355"/>
      <c r="H396" s="449">
        <v>17.11</v>
      </c>
      <c r="I396" s="449"/>
      <c r="J396" s="449">
        <v>191.7</v>
      </c>
      <c r="K396" s="449"/>
      <c r="O396" s="163">
        <f>I393+I395</f>
        <v>17.11</v>
      </c>
      <c r="P396" s="163">
        <f>K393+K395</f>
        <v>191.7</v>
      </c>
    </row>
    <row r="399" spans="1:22" ht="15" x14ac:dyDescent="0.25">
      <c r="A399" s="447" t="s">
        <v>1925</v>
      </c>
      <c r="B399" s="447"/>
      <c r="C399" s="447"/>
      <c r="D399" s="447"/>
      <c r="E399" s="447"/>
      <c r="F399" s="447"/>
      <c r="G399" s="447"/>
      <c r="H399" s="445">
        <v>17.11</v>
      </c>
      <c r="I399" s="446"/>
      <c r="J399" s="445">
        <v>191.7</v>
      </c>
      <c r="K399" s="446"/>
    </row>
    <row r="400" spans="1:22" hidden="1" x14ac:dyDescent="0.2">
      <c r="A400" s="281" t="s">
        <v>182</v>
      </c>
      <c r="I400" s="281">
        <v>0</v>
      </c>
      <c r="J400" s="281">
        <v>0</v>
      </c>
    </row>
    <row r="401" spans="1:22" hidden="1" x14ac:dyDescent="0.2">
      <c r="A401" s="281" t="s">
        <v>181</v>
      </c>
      <c r="I401" s="281">
        <v>0</v>
      </c>
      <c r="J401" s="281">
        <v>0</v>
      </c>
    </row>
    <row r="403" spans="1:22" ht="16.5" x14ac:dyDescent="0.25">
      <c r="A403" s="448" t="s">
        <v>1926</v>
      </c>
      <c r="B403" s="448"/>
      <c r="C403" s="448"/>
      <c r="D403" s="448"/>
      <c r="E403" s="448"/>
      <c r="F403" s="448"/>
      <c r="G403" s="448"/>
      <c r="H403" s="448"/>
      <c r="I403" s="448"/>
      <c r="J403" s="448"/>
      <c r="K403" s="448"/>
    </row>
    <row r="404" spans="1:22" ht="42.75" x14ac:dyDescent="0.2">
      <c r="A404" s="301" t="s">
        <v>1737</v>
      </c>
      <c r="B404" s="302" t="s">
        <v>1928</v>
      </c>
      <c r="C404" s="302" t="s">
        <v>186</v>
      </c>
      <c r="D404" s="303" t="s">
        <v>1533</v>
      </c>
      <c r="E404" s="286">
        <v>1.4948999999999999</v>
      </c>
      <c r="F404" s="321"/>
      <c r="G404" s="305"/>
      <c r="H404" s="286"/>
      <c r="I404" s="304"/>
      <c r="J404" s="286"/>
      <c r="K404" s="304"/>
      <c r="Q404" s="160">
        <f>[9]Source!X834</f>
        <v>0</v>
      </c>
      <c r="R404" s="160">
        <f>[9]Source!X835</f>
        <v>0</v>
      </c>
      <c r="S404" s="160">
        <f>[9]Source!Y834</f>
        <v>0</v>
      </c>
      <c r="T404" s="160">
        <f>[9]Source!Y835</f>
        <v>0</v>
      </c>
      <c r="U404" s="160">
        <f>ROUND((175/100)*ROUND([9]Source!R834, 2), 2)</f>
        <v>0</v>
      </c>
      <c r="V404" s="160">
        <f>ROUND((157/100)*ROUND([9]Source!R835, 2), 2)</f>
        <v>0</v>
      </c>
    </row>
    <row r="405" spans="1:22" ht="14.25" x14ac:dyDescent="0.2">
      <c r="A405" s="348"/>
      <c r="B405" s="349"/>
      <c r="C405" s="349" t="s">
        <v>184</v>
      </c>
      <c r="D405" s="350"/>
      <c r="E405" s="351"/>
      <c r="F405" s="352">
        <v>27.84</v>
      </c>
      <c r="G405" s="353" t="s">
        <v>195</v>
      </c>
      <c r="H405" s="351">
        <v>1</v>
      </c>
      <c r="I405" s="354">
        <v>41.62</v>
      </c>
      <c r="J405" s="351">
        <v>10.64</v>
      </c>
      <c r="K405" s="354">
        <v>442.84</v>
      </c>
    </row>
    <row r="406" spans="1:22" ht="15" x14ac:dyDescent="0.25">
      <c r="A406" s="355"/>
      <c r="B406" s="355"/>
      <c r="C406" s="356" t="s">
        <v>183</v>
      </c>
      <c r="D406" s="355"/>
      <c r="E406" s="355"/>
      <c r="F406" s="355"/>
      <c r="G406" s="355"/>
      <c r="H406" s="449">
        <v>41.62</v>
      </c>
      <c r="I406" s="449"/>
      <c r="J406" s="449">
        <v>442.84</v>
      </c>
      <c r="K406" s="449"/>
      <c r="O406" s="163">
        <f>I405</f>
        <v>41.62</v>
      </c>
      <c r="P406" s="163">
        <f>K405</f>
        <v>442.84</v>
      </c>
    </row>
    <row r="408" spans="1:22" ht="28.5" x14ac:dyDescent="0.2">
      <c r="A408" s="301" t="s">
        <v>1740</v>
      </c>
      <c r="B408" s="302" t="s">
        <v>1930</v>
      </c>
      <c r="C408" s="302" t="s">
        <v>827</v>
      </c>
      <c r="D408" s="303" t="s">
        <v>1785</v>
      </c>
      <c r="E408" s="286">
        <v>1.4948999999999999</v>
      </c>
      <c r="F408" s="321"/>
      <c r="G408" s="305"/>
      <c r="H408" s="286"/>
      <c r="I408" s="304"/>
      <c r="J408" s="286"/>
      <c r="K408" s="304"/>
      <c r="Q408" s="160">
        <f>[9]Source!X836</f>
        <v>0</v>
      </c>
      <c r="R408" s="160">
        <f>[9]Source!X837</f>
        <v>0</v>
      </c>
      <c r="S408" s="160">
        <f>[9]Source!Y836</f>
        <v>0</v>
      </c>
      <c r="T408" s="160">
        <f>[9]Source!Y837</f>
        <v>0</v>
      </c>
      <c r="U408" s="160">
        <f>ROUND((175/100)*ROUND([9]Source!R836, 2), 2)</f>
        <v>0</v>
      </c>
      <c r="V408" s="160">
        <f>ROUND((157/100)*ROUND([9]Source!R837, 2), 2)</f>
        <v>0</v>
      </c>
    </row>
    <row r="409" spans="1:22" ht="14.25" x14ac:dyDescent="0.2">
      <c r="A409" s="348"/>
      <c r="B409" s="349"/>
      <c r="C409" s="349" t="s">
        <v>184</v>
      </c>
      <c r="D409" s="350"/>
      <c r="E409" s="351"/>
      <c r="F409" s="352">
        <v>101</v>
      </c>
      <c r="G409" s="353" t="s">
        <v>195</v>
      </c>
      <c r="H409" s="351">
        <v>1</v>
      </c>
      <c r="I409" s="354">
        <v>150.97999999999999</v>
      </c>
      <c r="J409" s="351">
        <v>1.96</v>
      </c>
      <c r="K409" s="354">
        <v>295.92</v>
      </c>
    </row>
    <row r="410" spans="1:22" ht="15" x14ac:dyDescent="0.25">
      <c r="A410" s="355"/>
      <c r="B410" s="355"/>
      <c r="C410" s="356" t="s">
        <v>183</v>
      </c>
      <c r="D410" s="355"/>
      <c r="E410" s="355"/>
      <c r="F410" s="355"/>
      <c r="G410" s="355"/>
      <c r="H410" s="449">
        <v>150.97999999999999</v>
      </c>
      <c r="I410" s="449"/>
      <c r="J410" s="449">
        <v>295.92</v>
      </c>
      <c r="K410" s="449"/>
      <c r="O410" s="163">
        <f>I409</f>
        <v>150.97999999999999</v>
      </c>
      <c r="P410" s="163">
        <f>K409</f>
        <v>295.92</v>
      </c>
    </row>
    <row r="413" spans="1:22" ht="15" x14ac:dyDescent="0.25">
      <c r="A413" s="447" t="s">
        <v>1931</v>
      </c>
      <c r="B413" s="447"/>
      <c r="C413" s="447"/>
      <c r="D413" s="447"/>
      <c r="E413" s="447"/>
      <c r="F413" s="447"/>
      <c r="G413" s="447"/>
      <c r="H413" s="445">
        <v>192.6</v>
      </c>
      <c r="I413" s="446"/>
      <c r="J413" s="445">
        <v>738.76</v>
      </c>
      <c r="K413" s="446"/>
    </row>
    <row r="414" spans="1:22" hidden="1" x14ac:dyDescent="0.2">
      <c r="A414" s="281" t="s">
        <v>182</v>
      </c>
      <c r="I414" s="281">
        <v>0</v>
      </c>
      <c r="J414" s="281">
        <v>0</v>
      </c>
    </row>
    <row r="415" spans="1:22" hidden="1" x14ac:dyDescent="0.2">
      <c r="A415" s="281" t="s">
        <v>181</v>
      </c>
      <c r="I415" s="281">
        <v>0</v>
      </c>
      <c r="J415" s="281">
        <v>0</v>
      </c>
    </row>
    <row r="417" spans="1:11" ht="15" x14ac:dyDescent="0.25">
      <c r="A417" s="447" t="s">
        <v>3292</v>
      </c>
      <c r="B417" s="447"/>
      <c r="C417" s="447"/>
      <c r="D417" s="447"/>
      <c r="E417" s="447"/>
      <c r="F417" s="447"/>
      <c r="G417" s="447"/>
      <c r="H417" s="445">
        <v>289435.14</v>
      </c>
      <c r="I417" s="446"/>
      <c r="J417" s="445">
        <v>1573854.33</v>
      </c>
      <c r="K417" s="446"/>
    </row>
    <row r="418" spans="1:11" hidden="1" x14ac:dyDescent="0.2">
      <c r="A418" s="281" t="s">
        <v>182</v>
      </c>
      <c r="I418" s="281">
        <v>0</v>
      </c>
      <c r="J418" s="281">
        <v>0</v>
      </c>
    </row>
    <row r="419" spans="1:11" hidden="1" x14ac:dyDescent="0.2">
      <c r="A419" s="281" t="s">
        <v>181</v>
      </c>
      <c r="I419" s="281">
        <v>0</v>
      </c>
      <c r="J419" s="281">
        <v>0</v>
      </c>
    </row>
    <row r="420" spans="1:11" ht="14.25" x14ac:dyDescent="0.2">
      <c r="C420" s="442" t="s">
        <v>1920</v>
      </c>
      <c r="D420" s="442"/>
      <c r="E420" s="442"/>
      <c r="F420" s="442"/>
      <c r="G420" s="442"/>
      <c r="H420" s="443">
        <v>257939.39</v>
      </c>
      <c r="I420" s="443"/>
      <c r="J420" s="443">
        <v>1029150.43</v>
      </c>
      <c r="K420" s="443"/>
    </row>
    <row r="421" spans="1:11" ht="14.25" x14ac:dyDescent="0.2">
      <c r="C421" s="442" t="s">
        <v>1933</v>
      </c>
      <c r="D421" s="442"/>
      <c r="E421" s="442"/>
      <c r="F421" s="442"/>
      <c r="G421" s="442"/>
      <c r="H421" s="443">
        <v>237672.43</v>
      </c>
      <c r="I421" s="443"/>
      <c r="J421" s="443">
        <v>572023.36</v>
      </c>
      <c r="K421" s="443"/>
    </row>
    <row r="422" spans="1:11" ht="14.25" x14ac:dyDescent="0.2">
      <c r="C422" s="442" t="s">
        <v>1934</v>
      </c>
      <c r="D422" s="442"/>
      <c r="E422" s="442"/>
      <c r="F422" s="442"/>
      <c r="G422" s="442"/>
      <c r="H422" s="443">
        <v>237672.43</v>
      </c>
      <c r="I422" s="443"/>
      <c r="J422" s="443">
        <v>572023.36</v>
      </c>
      <c r="K422" s="443"/>
    </row>
    <row r="423" spans="1:11" ht="14.25" x14ac:dyDescent="0.2">
      <c r="C423" s="442" t="s">
        <v>1935</v>
      </c>
      <c r="D423" s="442"/>
      <c r="E423" s="442"/>
      <c r="F423" s="442"/>
      <c r="G423" s="442"/>
      <c r="H423" s="443">
        <v>0</v>
      </c>
      <c r="I423" s="443"/>
      <c r="J423" s="443">
        <v>0</v>
      </c>
      <c r="K423" s="443"/>
    </row>
    <row r="424" spans="1:11" ht="14.25" x14ac:dyDescent="0.2">
      <c r="C424" s="442" t="s">
        <v>1936</v>
      </c>
      <c r="D424" s="442"/>
      <c r="E424" s="442"/>
      <c r="F424" s="442"/>
      <c r="G424" s="442"/>
      <c r="H424" s="443">
        <v>1046</v>
      </c>
      <c r="I424" s="443"/>
      <c r="J424" s="443">
        <v>8317.65</v>
      </c>
      <c r="K424" s="443"/>
    </row>
    <row r="425" spans="1:11" ht="14.25" x14ac:dyDescent="0.2">
      <c r="C425" s="442" t="s">
        <v>1937</v>
      </c>
      <c r="D425" s="442"/>
      <c r="E425" s="442"/>
      <c r="F425" s="442"/>
      <c r="G425" s="442"/>
      <c r="H425" s="443">
        <v>163.96</v>
      </c>
      <c r="I425" s="443"/>
      <c r="J425" s="443">
        <v>3736.24</v>
      </c>
      <c r="K425" s="443"/>
    </row>
    <row r="426" spans="1:11" ht="14.25" x14ac:dyDescent="0.2">
      <c r="C426" s="442" t="s">
        <v>1938</v>
      </c>
      <c r="D426" s="442"/>
      <c r="E426" s="442"/>
      <c r="F426" s="442"/>
      <c r="G426" s="442"/>
      <c r="H426" s="443">
        <v>19220.96</v>
      </c>
      <c r="I426" s="443"/>
      <c r="J426" s="443">
        <v>448809.42</v>
      </c>
      <c r="K426" s="443"/>
    </row>
    <row r="427" spans="1:11" ht="14.25" x14ac:dyDescent="0.2">
      <c r="C427" s="442" t="s">
        <v>1939</v>
      </c>
      <c r="D427" s="442"/>
      <c r="E427" s="442"/>
      <c r="F427" s="442"/>
      <c r="G427" s="442"/>
      <c r="H427" s="443">
        <v>289242.53999999998</v>
      </c>
      <c r="I427" s="443"/>
      <c r="J427" s="443">
        <v>1573115.57</v>
      </c>
      <c r="K427" s="443"/>
    </row>
    <row r="428" spans="1:11" ht="14.25" x14ac:dyDescent="0.2">
      <c r="C428" s="442" t="s">
        <v>1940</v>
      </c>
      <c r="D428" s="442"/>
      <c r="E428" s="442"/>
      <c r="F428" s="442"/>
      <c r="G428" s="442"/>
      <c r="H428" s="443">
        <v>0</v>
      </c>
      <c r="I428" s="443"/>
      <c r="J428" s="443">
        <v>0</v>
      </c>
      <c r="K428" s="443"/>
    </row>
    <row r="429" spans="1:11" ht="14.25" x14ac:dyDescent="0.2">
      <c r="C429" s="442" t="s">
        <v>1941</v>
      </c>
      <c r="D429" s="442"/>
      <c r="E429" s="442"/>
      <c r="F429" s="442"/>
      <c r="G429" s="442"/>
      <c r="H429" s="443">
        <v>192.6</v>
      </c>
      <c r="I429" s="443"/>
      <c r="J429" s="443">
        <v>738.76</v>
      </c>
      <c r="K429" s="443"/>
    </row>
    <row r="430" spans="1:11" ht="14.25" x14ac:dyDescent="0.2">
      <c r="C430" s="442" t="s">
        <v>2370</v>
      </c>
      <c r="D430" s="442"/>
      <c r="E430" s="442"/>
      <c r="F430" s="442"/>
      <c r="G430" s="442"/>
      <c r="H430" s="444">
        <v>1554.2564749999999</v>
      </c>
      <c r="I430" s="444"/>
      <c r="J430" s="444">
        <v>1554.2564749999999</v>
      </c>
      <c r="K430" s="444"/>
    </row>
    <row r="431" spans="1:11" ht="14.25" x14ac:dyDescent="0.2">
      <c r="C431" s="442" t="s">
        <v>1942</v>
      </c>
      <c r="D431" s="442"/>
      <c r="E431" s="442"/>
      <c r="F431" s="442"/>
      <c r="G431" s="442"/>
      <c r="H431" s="443">
        <v>18578.71</v>
      </c>
      <c r="I431" s="443"/>
      <c r="J431" s="443">
        <v>354826.14</v>
      </c>
      <c r="K431" s="443"/>
    </row>
    <row r="432" spans="1:11" ht="14.25" x14ac:dyDescent="0.2">
      <c r="C432" s="442" t="s">
        <v>1943</v>
      </c>
      <c r="D432" s="442"/>
      <c r="E432" s="442"/>
      <c r="F432" s="442"/>
      <c r="G432" s="442"/>
      <c r="H432" s="443">
        <v>12630.07</v>
      </c>
      <c r="I432" s="443"/>
      <c r="J432" s="443">
        <v>184011.87</v>
      </c>
      <c r="K432" s="443"/>
    </row>
    <row r="433" spans="1:11" ht="14.25" x14ac:dyDescent="0.2">
      <c r="C433" s="442" t="s">
        <v>1944</v>
      </c>
      <c r="D433" s="442"/>
      <c r="E433" s="442"/>
      <c r="F433" s="442"/>
      <c r="G433" s="442"/>
      <c r="H433" s="443">
        <v>289435.14</v>
      </c>
      <c r="I433" s="443"/>
      <c r="J433" s="443">
        <v>1573854.33</v>
      </c>
      <c r="K433" s="443"/>
    </row>
    <row r="436" spans="1:11" ht="14.25" x14ac:dyDescent="0.2">
      <c r="A436" s="440" t="s">
        <v>180</v>
      </c>
      <c r="B436" s="440"/>
      <c r="C436" s="357" t="s">
        <v>107</v>
      </c>
      <c r="D436" s="357"/>
      <c r="E436" s="357"/>
      <c r="F436" s="357"/>
      <c r="G436" s="357"/>
      <c r="H436" s="287" t="s">
        <v>107</v>
      </c>
      <c r="I436" s="287"/>
      <c r="J436" s="287"/>
      <c r="K436" s="287"/>
    </row>
    <row r="437" spans="1:11" ht="14.25" x14ac:dyDescent="0.2">
      <c r="A437" s="287"/>
      <c r="B437" s="287"/>
      <c r="C437" s="441" t="s">
        <v>72</v>
      </c>
      <c r="D437" s="441"/>
      <c r="E437" s="441"/>
      <c r="F437" s="441"/>
      <c r="G437" s="441"/>
      <c r="H437" s="287"/>
      <c r="I437" s="287"/>
      <c r="J437" s="287"/>
      <c r="K437" s="287"/>
    </row>
    <row r="438" spans="1:11" ht="14.25" x14ac:dyDescent="0.2">
      <c r="A438" s="287"/>
      <c r="B438" s="287"/>
      <c r="C438" s="287"/>
      <c r="D438" s="287"/>
      <c r="E438" s="287"/>
      <c r="F438" s="287"/>
      <c r="G438" s="287"/>
      <c r="H438" s="287"/>
      <c r="I438" s="287"/>
      <c r="J438" s="287"/>
      <c r="K438" s="287"/>
    </row>
    <row r="439" spans="1:11" ht="14.25" x14ac:dyDescent="0.2">
      <c r="A439" s="440" t="s">
        <v>179</v>
      </c>
      <c r="B439" s="440"/>
      <c r="C439" s="357" t="s">
        <v>107</v>
      </c>
      <c r="D439" s="357"/>
      <c r="E439" s="357"/>
      <c r="F439" s="357"/>
      <c r="G439" s="357"/>
      <c r="H439" s="287" t="s">
        <v>107</v>
      </c>
      <c r="I439" s="287"/>
      <c r="J439" s="287"/>
      <c r="K439" s="287"/>
    </row>
    <row r="440" spans="1:11" ht="14.25" x14ac:dyDescent="0.2">
      <c r="A440" s="287"/>
      <c r="B440" s="287"/>
      <c r="C440" s="441" t="s">
        <v>72</v>
      </c>
      <c r="D440" s="441"/>
      <c r="E440" s="441"/>
      <c r="F440" s="441"/>
      <c r="G440" s="441"/>
      <c r="H440" s="287"/>
      <c r="I440" s="287"/>
      <c r="J440" s="287"/>
      <c r="K440" s="287"/>
    </row>
  </sheetData>
  <mergeCells count="156"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36:K36"/>
    <mergeCell ref="J47:K47"/>
    <mergeCell ref="H47:I47"/>
    <mergeCell ref="J62:K62"/>
    <mergeCell ref="H62:I62"/>
    <mergeCell ref="J75:K75"/>
    <mergeCell ref="H75:I75"/>
    <mergeCell ref="J87:K87"/>
    <mergeCell ref="H87:I87"/>
    <mergeCell ref="J90:K90"/>
    <mergeCell ref="H90:I90"/>
    <mergeCell ref="A90:G90"/>
    <mergeCell ref="A94:K94"/>
    <mergeCell ref="J105:K105"/>
    <mergeCell ref="H105:I105"/>
    <mergeCell ref="J114:K114"/>
    <mergeCell ref="H114:I114"/>
    <mergeCell ref="J130:K130"/>
    <mergeCell ref="H130:I130"/>
    <mergeCell ref="J143:K143"/>
    <mergeCell ref="H143:I143"/>
    <mergeCell ref="J157:K157"/>
    <mergeCell ref="H157:I157"/>
    <mergeCell ref="J169:K169"/>
    <mergeCell ref="H169:I169"/>
    <mergeCell ref="J181:K181"/>
    <mergeCell ref="H181:I181"/>
    <mergeCell ref="J190:K190"/>
    <mergeCell ref="H190:I190"/>
    <mergeCell ref="J203:K203"/>
    <mergeCell ref="H203:I203"/>
    <mergeCell ref="J215:K215"/>
    <mergeCell ref="H215:I215"/>
    <mergeCell ref="J218:K218"/>
    <mergeCell ref="H218:I218"/>
    <mergeCell ref="A218:G218"/>
    <mergeCell ref="A222:K222"/>
    <mergeCell ref="J236:K236"/>
    <mergeCell ref="H236:I236"/>
    <mergeCell ref="J252:K252"/>
    <mergeCell ref="H252:I252"/>
    <mergeCell ref="J269:K269"/>
    <mergeCell ref="H269:I269"/>
    <mergeCell ref="J281:K281"/>
    <mergeCell ref="H281:I281"/>
    <mergeCell ref="J293:K293"/>
    <mergeCell ref="H293:I293"/>
    <mergeCell ref="J306:K306"/>
    <mergeCell ref="H306:I306"/>
    <mergeCell ref="J323:K323"/>
    <mergeCell ref="H323:I323"/>
    <mergeCell ref="J326:K326"/>
    <mergeCell ref="H326:I326"/>
    <mergeCell ref="A326:G326"/>
    <mergeCell ref="A330:K330"/>
    <mergeCell ref="J338:K338"/>
    <mergeCell ref="H338:I338"/>
    <mergeCell ref="J347:K347"/>
    <mergeCell ref="H347:I347"/>
    <mergeCell ref="J356:K356"/>
    <mergeCell ref="H356:I356"/>
    <mergeCell ref="J365:K365"/>
    <mergeCell ref="H365:I365"/>
    <mergeCell ref="J374:K374"/>
    <mergeCell ref="H374:I374"/>
    <mergeCell ref="J383:K383"/>
    <mergeCell ref="H383:I383"/>
    <mergeCell ref="J386:K386"/>
    <mergeCell ref="H386:I386"/>
    <mergeCell ref="A386:G386"/>
    <mergeCell ref="A390:K390"/>
    <mergeCell ref="J396:K396"/>
    <mergeCell ref="H396:I396"/>
    <mergeCell ref="J399:K399"/>
    <mergeCell ref="H399:I399"/>
    <mergeCell ref="A399:G399"/>
    <mergeCell ref="A403:K403"/>
    <mergeCell ref="J406:K406"/>
    <mergeCell ref="H406:I406"/>
    <mergeCell ref="J410:K410"/>
    <mergeCell ref="H410:I410"/>
    <mergeCell ref="J413:K413"/>
    <mergeCell ref="H413:I413"/>
    <mergeCell ref="A413:G413"/>
    <mergeCell ref="J417:K417"/>
    <mergeCell ref="H417:I417"/>
    <mergeCell ref="A417:G417"/>
    <mergeCell ref="C420:G420"/>
    <mergeCell ref="H420:I420"/>
    <mergeCell ref="J420:K420"/>
    <mergeCell ref="C421:G421"/>
    <mergeCell ref="H421:I421"/>
    <mergeCell ref="J421:K421"/>
    <mergeCell ref="C422:G422"/>
    <mergeCell ref="H422:I422"/>
    <mergeCell ref="J422:K422"/>
    <mergeCell ref="C423:G423"/>
    <mergeCell ref="H423:I423"/>
    <mergeCell ref="J423:K423"/>
    <mergeCell ref="C424:G424"/>
    <mergeCell ref="H424:I424"/>
    <mergeCell ref="J424:K424"/>
    <mergeCell ref="C425:G425"/>
    <mergeCell ref="H425:I425"/>
    <mergeCell ref="J425:K425"/>
    <mergeCell ref="C426:G426"/>
    <mergeCell ref="H426:I426"/>
    <mergeCell ref="J426:K426"/>
    <mergeCell ref="C427:G427"/>
    <mergeCell ref="H427:I427"/>
    <mergeCell ref="J427:K427"/>
    <mergeCell ref="A436:B436"/>
    <mergeCell ref="C437:G437"/>
    <mergeCell ref="A439:B439"/>
    <mergeCell ref="C440:G440"/>
    <mergeCell ref="C432:G432"/>
    <mergeCell ref="H432:I432"/>
    <mergeCell ref="C428:G428"/>
    <mergeCell ref="H428:I428"/>
    <mergeCell ref="J428:K428"/>
    <mergeCell ref="C429:G429"/>
    <mergeCell ref="H429:I429"/>
    <mergeCell ref="J429:K429"/>
    <mergeCell ref="J432:K432"/>
    <mergeCell ref="C433:G433"/>
    <mergeCell ref="H433:I433"/>
    <mergeCell ref="J433:K433"/>
    <mergeCell ref="C430:G430"/>
    <mergeCell ref="H430:I430"/>
    <mergeCell ref="J430:K430"/>
    <mergeCell ref="C431:G431"/>
    <mergeCell ref="H431:I431"/>
    <mergeCell ref="J431:K431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AE715"/>
  <sheetViews>
    <sheetView zoomScaleNormal="100" workbookViewId="0">
      <selection sqref="A1:N1048576"/>
    </sheetView>
  </sheetViews>
  <sheetFormatPr defaultColWidth="9.140625" defaultRowHeight="12.75" x14ac:dyDescent="0.2"/>
  <cols>
    <col min="1" max="1" width="5.7109375" style="281" customWidth="1"/>
    <col min="2" max="2" width="11.7109375" style="281" customWidth="1"/>
    <col min="3" max="3" width="40.7109375" style="281" customWidth="1"/>
    <col min="4" max="6" width="11.7109375" style="281" customWidth="1"/>
    <col min="7" max="7" width="12.7109375" style="281" customWidth="1"/>
    <col min="8" max="8" width="10.7109375" style="281" customWidth="1"/>
    <col min="9" max="11" width="12.7109375" style="281" customWidth="1"/>
    <col min="12" max="14" width="9.140625" style="281"/>
    <col min="15" max="30" width="0" style="160" hidden="1" customWidth="1"/>
    <col min="31" max="31" width="150.7109375" style="160" hidden="1" customWidth="1"/>
    <col min="32" max="36" width="0" style="160" hidden="1" customWidth="1"/>
    <col min="37" max="16384" width="9.140625" style="160"/>
  </cols>
  <sheetData>
    <row r="1" spans="1:31" x14ac:dyDescent="0.2">
      <c r="A1" s="285" t="s">
        <v>1523</v>
      </c>
    </row>
    <row r="2" spans="1:31" ht="14.25" x14ac:dyDescent="0.2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7" t="s">
        <v>381</v>
      </c>
    </row>
    <row r="3" spans="1:31" ht="16.5" x14ac:dyDescent="0.25">
      <c r="A3" s="288"/>
      <c r="B3" s="458" t="s">
        <v>380</v>
      </c>
      <c r="C3" s="458"/>
      <c r="D3" s="458"/>
      <c r="E3" s="458"/>
      <c r="F3" s="287"/>
      <c r="G3" s="458" t="s">
        <v>0</v>
      </c>
      <c r="H3" s="458"/>
      <c r="I3" s="458"/>
      <c r="J3" s="458"/>
      <c r="K3" s="458"/>
    </row>
    <row r="4" spans="1:31" ht="14.25" x14ac:dyDescent="0.2">
      <c r="A4" s="287"/>
      <c r="B4" s="450"/>
      <c r="C4" s="450"/>
      <c r="D4" s="450"/>
      <c r="E4" s="450"/>
      <c r="F4" s="287"/>
      <c r="G4" s="450"/>
      <c r="H4" s="450"/>
      <c r="I4" s="450"/>
      <c r="J4" s="450"/>
      <c r="K4" s="450"/>
    </row>
    <row r="5" spans="1:31" ht="14.25" x14ac:dyDescent="0.2">
      <c r="A5" s="289"/>
      <c r="B5" s="289"/>
      <c r="C5" s="290"/>
      <c r="D5" s="290"/>
      <c r="E5" s="290"/>
      <c r="F5" s="287"/>
      <c r="G5" s="188"/>
      <c r="H5" s="290"/>
      <c r="I5" s="290"/>
      <c r="J5" s="290"/>
      <c r="K5" s="188"/>
    </row>
    <row r="6" spans="1:31" ht="14.25" x14ac:dyDescent="0.2">
      <c r="A6" s="188"/>
      <c r="B6" s="450" t="s">
        <v>1524</v>
      </c>
      <c r="C6" s="450"/>
      <c r="D6" s="450"/>
      <c r="E6" s="450"/>
      <c r="F6" s="287"/>
      <c r="G6" s="450" t="s">
        <v>1524</v>
      </c>
      <c r="H6" s="450"/>
      <c r="I6" s="450"/>
      <c r="J6" s="450"/>
      <c r="K6" s="450"/>
    </row>
    <row r="7" spans="1:31" ht="14.25" x14ac:dyDescent="0.2">
      <c r="A7" s="291"/>
      <c r="B7" s="459" t="s">
        <v>379</v>
      </c>
      <c r="C7" s="459"/>
      <c r="D7" s="459"/>
      <c r="E7" s="459"/>
      <c r="F7" s="287"/>
      <c r="G7" s="459" t="s">
        <v>379</v>
      </c>
      <c r="H7" s="459"/>
      <c r="I7" s="459"/>
      <c r="J7" s="459"/>
      <c r="K7" s="459"/>
    </row>
    <row r="9" spans="1:31" ht="14.25" x14ac:dyDescent="0.2">
      <c r="A9" s="287"/>
      <c r="B9" s="287"/>
      <c r="C9" s="287"/>
      <c r="D9" s="287"/>
      <c r="E9" s="287"/>
      <c r="F9" s="287"/>
      <c r="G9" s="287"/>
      <c r="H9" s="287"/>
      <c r="I9" s="287"/>
      <c r="J9" s="287"/>
      <c r="K9" s="287"/>
    </row>
    <row r="10" spans="1:31" ht="47.25" x14ac:dyDescent="0.25">
      <c r="A10" s="464" t="s">
        <v>3850</v>
      </c>
      <c r="B10" s="464"/>
      <c r="C10" s="464"/>
      <c r="D10" s="464"/>
      <c r="E10" s="464"/>
      <c r="F10" s="464"/>
      <c r="G10" s="464"/>
      <c r="H10" s="464"/>
      <c r="I10" s="464"/>
      <c r="J10" s="464"/>
      <c r="K10" s="464"/>
      <c r="AE10" s="259" t="str">
        <f>IF([10]Source!G12&lt;&gt;"Новый объект", [10]Source!G12,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60" t="s">
        <v>75</v>
      </c>
      <c r="B11" s="460"/>
      <c r="C11" s="460"/>
      <c r="D11" s="460"/>
      <c r="E11" s="460"/>
      <c r="F11" s="460"/>
      <c r="G11" s="460"/>
      <c r="H11" s="460"/>
      <c r="I11" s="460"/>
      <c r="J11" s="460"/>
      <c r="K11" s="460"/>
    </row>
    <row r="12" spans="1:31" ht="14.25" x14ac:dyDescent="0.2">
      <c r="A12" s="287"/>
      <c r="B12" s="287"/>
      <c r="C12" s="287"/>
      <c r="D12" s="287"/>
      <c r="E12" s="287"/>
      <c r="F12" s="287"/>
      <c r="G12" s="287"/>
      <c r="H12" s="287"/>
      <c r="I12" s="287"/>
      <c r="J12" s="287"/>
      <c r="K12" s="287"/>
    </row>
    <row r="13" spans="1:31" ht="15.75" x14ac:dyDescent="0.25">
      <c r="A13" s="464" t="s">
        <v>3889</v>
      </c>
      <c r="B13" s="465"/>
      <c r="C13" s="465"/>
      <c r="D13" s="465"/>
      <c r="E13" s="465"/>
      <c r="F13" s="465"/>
      <c r="G13" s="465"/>
      <c r="H13" s="465"/>
      <c r="I13" s="465"/>
      <c r="J13" s="465"/>
      <c r="K13" s="465"/>
    </row>
    <row r="14" spans="1:31" ht="14.25" x14ac:dyDescent="0.2">
      <c r="A14" s="287"/>
      <c r="B14" s="287"/>
      <c r="C14" s="287"/>
      <c r="D14" s="287"/>
      <c r="E14" s="287"/>
      <c r="F14" s="287"/>
      <c r="G14" s="287"/>
      <c r="H14" s="287"/>
      <c r="I14" s="287"/>
      <c r="J14" s="287"/>
      <c r="K14" s="287"/>
    </row>
    <row r="15" spans="1:31" ht="18" x14ac:dyDescent="0.25">
      <c r="A15" s="466" t="s">
        <v>3293</v>
      </c>
      <c r="B15" s="466"/>
      <c r="C15" s="466"/>
      <c r="D15" s="466"/>
      <c r="E15" s="466"/>
      <c r="F15" s="466"/>
      <c r="G15" s="466"/>
      <c r="H15" s="466"/>
      <c r="I15" s="466"/>
      <c r="J15" s="466"/>
      <c r="K15" s="466"/>
    </row>
    <row r="16" spans="1:31" x14ac:dyDescent="0.2">
      <c r="A16" s="455" t="s">
        <v>378</v>
      </c>
      <c r="B16" s="456"/>
      <c r="C16" s="456"/>
      <c r="D16" s="456"/>
      <c r="E16" s="456"/>
      <c r="F16" s="456"/>
      <c r="G16" s="456"/>
      <c r="H16" s="456"/>
      <c r="I16" s="456"/>
      <c r="J16" s="456"/>
      <c r="K16" s="456"/>
    </row>
    <row r="17" spans="1:31" ht="14.25" x14ac:dyDescent="0.2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</row>
    <row r="18" spans="1:31" ht="14.25" x14ac:dyDescent="0.2">
      <c r="A18" s="463" t="s">
        <v>3851</v>
      </c>
      <c r="B18" s="463"/>
      <c r="C18" s="463"/>
      <c r="D18" s="463"/>
      <c r="E18" s="463"/>
      <c r="F18" s="463"/>
      <c r="G18" s="463"/>
      <c r="H18" s="463"/>
      <c r="I18" s="463"/>
      <c r="J18" s="463"/>
      <c r="K18" s="463"/>
    </row>
    <row r="19" spans="1:31" ht="14.25" x14ac:dyDescent="0.2">
      <c r="A19" s="293"/>
      <c r="B19" s="293"/>
      <c r="C19" s="293"/>
      <c r="D19" s="293"/>
      <c r="E19" s="293"/>
      <c r="F19" s="293"/>
      <c r="G19" s="293"/>
      <c r="H19" s="293"/>
      <c r="I19" s="293"/>
      <c r="J19" s="293"/>
      <c r="K19" s="293"/>
    </row>
    <row r="20" spans="1:31" ht="28.5" x14ac:dyDescent="0.2">
      <c r="A20" s="287"/>
      <c r="B20" s="287"/>
      <c r="C20" s="287"/>
      <c r="D20" s="287"/>
      <c r="E20" s="287"/>
      <c r="F20" s="287"/>
      <c r="G20" s="287"/>
      <c r="H20" s="287"/>
      <c r="I20" s="294" t="s">
        <v>377</v>
      </c>
      <c r="J20" s="294" t="s">
        <v>376</v>
      </c>
      <c r="K20" s="287"/>
    </row>
    <row r="21" spans="1:31" ht="15" x14ac:dyDescent="0.25">
      <c r="A21" s="287"/>
      <c r="B21" s="287"/>
      <c r="C21" s="287"/>
      <c r="D21" s="287"/>
      <c r="E21" s="287"/>
      <c r="F21" s="457" t="s">
        <v>375</v>
      </c>
      <c r="G21" s="457"/>
      <c r="H21" s="457"/>
      <c r="I21" s="295">
        <v>1751.89</v>
      </c>
      <c r="J21" s="295">
        <v>8523.75</v>
      </c>
      <c r="K21" s="296" t="s">
        <v>366</v>
      </c>
    </row>
    <row r="22" spans="1:31" ht="14.25" x14ac:dyDescent="0.2">
      <c r="A22" s="287"/>
      <c r="B22" s="287"/>
      <c r="C22" s="287"/>
      <c r="D22" s="287"/>
      <c r="E22" s="287"/>
      <c r="F22" s="450" t="s">
        <v>374</v>
      </c>
      <c r="G22" s="450"/>
      <c r="H22" s="450"/>
      <c r="I22" s="297">
        <v>5.42</v>
      </c>
      <c r="J22" s="297">
        <v>28.07</v>
      </c>
      <c r="K22" s="287" t="s">
        <v>366</v>
      </c>
    </row>
    <row r="23" spans="1:31" ht="14.25" x14ac:dyDescent="0.2">
      <c r="A23" s="287"/>
      <c r="B23" s="287"/>
      <c r="C23" s="287"/>
      <c r="D23" s="287"/>
      <c r="E23" s="287"/>
      <c r="F23" s="450" t="s">
        <v>373</v>
      </c>
      <c r="G23" s="450"/>
      <c r="H23" s="450"/>
      <c r="I23" s="297">
        <v>891.18</v>
      </c>
      <c r="J23" s="297">
        <v>4626.76</v>
      </c>
      <c r="K23" s="287" t="s">
        <v>366</v>
      </c>
    </row>
    <row r="24" spans="1:31" ht="14.25" x14ac:dyDescent="0.2">
      <c r="A24" s="287"/>
      <c r="B24" s="287"/>
      <c r="C24" s="287"/>
      <c r="D24" s="287"/>
      <c r="E24" s="287"/>
      <c r="F24" s="450" t="s">
        <v>106</v>
      </c>
      <c r="G24" s="450"/>
      <c r="H24" s="450"/>
      <c r="I24" s="297">
        <v>846.46</v>
      </c>
      <c r="J24" s="297">
        <v>3693.07</v>
      </c>
      <c r="K24" s="287" t="s">
        <v>366</v>
      </c>
    </row>
    <row r="25" spans="1:31" ht="14.25" x14ac:dyDescent="0.2">
      <c r="A25" s="287"/>
      <c r="B25" s="287"/>
      <c r="C25" s="287"/>
      <c r="D25" s="287"/>
      <c r="E25" s="287"/>
      <c r="F25" s="450" t="s">
        <v>372</v>
      </c>
      <c r="G25" s="450"/>
      <c r="H25" s="450"/>
      <c r="I25" s="297">
        <v>8.83</v>
      </c>
      <c r="J25" s="297">
        <v>175.85</v>
      </c>
      <c r="K25" s="287" t="s">
        <v>366</v>
      </c>
    </row>
    <row r="26" spans="1:31" ht="14.25" x14ac:dyDescent="0.2">
      <c r="A26" s="287"/>
      <c r="B26" s="287"/>
      <c r="C26" s="287"/>
      <c r="D26" s="287"/>
      <c r="E26" s="287"/>
      <c r="F26" s="450" t="s">
        <v>371</v>
      </c>
      <c r="G26" s="450"/>
      <c r="H26" s="450"/>
      <c r="I26" s="297">
        <v>28.15</v>
      </c>
      <c r="J26" s="297">
        <v>657.29</v>
      </c>
      <c r="K26" s="287" t="s">
        <v>366</v>
      </c>
    </row>
    <row r="27" spans="1:31" ht="14.25" x14ac:dyDescent="0.2">
      <c r="A27" s="287"/>
      <c r="B27" s="287"/>
      <c r="C27" s="287"/>
      <c r="D27" s="287"/>
      <c r="E27" s="287"/>
      <c r="F27" s="450" t="s">
        <v>370</v>
      </c>
      <c r="G27" s="450"/>
      <c r="H27" s="450"/>
      <c r="I27" s="297">
        <v>2125.3200000000002</v>
      </c>
      <c r="J27" s="297"/>
      <c r="K27" s="287" t="s">
        <v>369</v>
      </c>
    </row>
    <row r="28" spans="1:31" ht="14.25" hidden="1" x14ac:dyDescent="0.2">
      <c r="A28" s="287"/>
      <c r="B28" s="287"/>
      <c r="C28" s="287"/>
      <c r="D28" s="287"/>
      <c r="E28" s="287"/>
      <c r="F28" s="188" t="s">
        <v>368</v>
      </c>
      <c r="G28" s="188"/>
      <c r="H28" s="188"/>
      <c r="I28" s="297"/>
      <c r="J28" s="297"/>
      <c r="K28" s="287"/>
    </row>
    <row r="29" spans="1:31" ht="14.25" hidden="1" x14ac:dyDescent="0.2">
      <c r="A29" s="287"/>
      <c r="B29" s="287"/>
      <c r="C29" s="287"/>
      <c r="D29" s="287"/>
      <c r="E29" s="287"/>
      <c r="F29" s="419" t="s">
        <v>367</v>
      </c>
      <c r="G29" s="420"/>
      <c r="H29" s="420"/>
      <c r="I29" s="297">
        <v>0</v>
      </c>
      <c r="J29" s="297">
        <v>0</v>
      </c>
      <c r="K29" s="287" t="s">
        <v>366</v>
      </c>
    </row>
    <row r="30" spans="1:31" ht="14.25" x14ac:dyDescent="0.2">
      <c r="A30" s="287"/>
      <c r="B30" s="287"/>
      <c r="C30" s="287"/>
      <c r="D30" s="287"/>
      <c r="E30" s="287"/>
      <c r="F30" s="188"/>
      <c r="G30" s="188"/>
      <c r="H30" s="188"/>
      <c r="I30" s="297"/>
      <c r="J30" s="297"/>
      <c r="K30" s="287"/>
    </row>
    <row r="31" spans="1:31" ht="14.25" x14ac:dyDescent="0.2">
      <c r="A31" s="287" t="s">
        <v>365</v>
      </c>
      <c r="B31" s="287"/>
      <c r="C31" s="287"/>
      <c r="D31" s="287"/>
      <c r="E31" s="287"/>
      <c r="F31" s="188"/>
      <c r="G31" s="188"/>
      <c r="H31" s="188"/>
      <c r="I31" s="297"/>
      <c r="J31" s="297"/>
      <c r="K31" s="287"/>
    </row>
    <row r="32" spans="1:31" ht="28.5" x14ac:dyDescent="0.2">
      <c r="A32" s="463" t="s">
        <v>364</v>
      </c>
      <c r="B32" s="463"/>
      <c r="C32" s="463"/>
      <c r="D32" s="463"/>
      <c r="E32" s="463"/>
      <c r="F32" s="463"/>
      <c r="G32" s="463"/>
      <c r="H32" s="463"/>
      <c r="I32" s="463"/>
      <c r="J32" s="463"/>
      <c r="K32" s="463"/>
      <c r="AE32" s="258" t="s">
        <v>364</v>
      </c>
    </row>
    <row r="33" spans="1:22" ht="85.5" x14ac:dyDescent="0.2">
      <c r="A33" s="299" t="s">
        <v>81</v>
      </c>
      <c r="B33" s="299" t="s">
        <v>363</v>
      </c>
      <c r="C33" s="299" t="s">
        <v>83</v>
      </c>
      <c r="D33" s="299" t="s">
        <v>362</v>
      </c>
      <c r="E33" s="299" t="s">
        <v>361</v>
      </c>
      <c r="F33" s="299" t="s">
        <v>360</v>
      </c>
      <c r="G33" s="300" t="s">
        <v>359</v>
      </c>
      <c r="H33" s="300" t="s">
        <v>358</v>
      </c>
      <c r="I33" s="299" t="s">
        <v>357</v>
      </c>
      <c r="J33" s="299" t="s">
        <v>356</v>
      </c>
      <c r="K33" s="299" t="s">
        <v>355</v>
      </c>
    </row>
    <row r="34" spans="1:22" ht="14.25" x14ac:dyDescent="0.2">
      <c r="A34" s="299">
        <v>1</v>
      </c>
      <c r="B34" s="299">
        <v>2</v>
      </c>
      <c r="C34" s="299">
        <v>3</v>
      </c>
      <c r="D34" s="299">
        <v>4</v>
      </c>
      <c r="E34" s="299">
        <v>5</v>
      </c>
      <c r="F34" s="299">
        <v>6</v>
      </c>
      <c r="G34" s="299">
        <v>7</v>
      </c>
      <c r="H34" s="299">
        <v>8</v>
      </c>
      <c r="I34" s="299">
        <v>9</v>
      </c>
      <c r="J34" s="299">
        <v>10</v>
      </c>
      <c r="K34" s="299">
        <v>11</v>
      </c>
    </row>
    <row r="36" spans="1:22" ht="16.5" x14ac:dyDescent="0.25">
      <c r="A36" s="448" t="s">
        <v>3294</v>
      </c>
      <c r="B36" s="448"/>
      <c r="C36" s="448"/>
      <c r="D36" s="448"/>
      <c r="E36" s="448"/>
      <c r="F36" s="448"/>
      <c r="G36" s="448"/>
      <c r="H36" s="448"/>
      <c r="I36" s="448"/>
      <c r="J36" s="448"/>
      <c r="K36" s="448"/>
    </row>
    <row r="37" spans="1:22" ht="114" x14ac:dyDescent="0.2">
      <c r="A37" s="301" t="s">
        <v>719</v>
      </c>
      <c r="B37" s="302" t="s">
        <v>3295</v>
      </c>
      <c r="C37" s="302" t="s">
        <v>1342</v>
      </c>
      <c r="D37" s="303" t="s">
        <v>3296</v>
      </c>
      <c r="E37" s="286">
        <v>3.06</v>
      </c>
      <c r="F37" s="321"/>
      <c r="G37" s="305"/>
      <c r="H37" s="286"/>
      <c r="I37" s="304"/>
      <c r="J37" s="286"/>
      <c r="K37" s="304"/>
      <c r="Q37" s="160">
        <f>[10]Source!X28</f>
        <v>934.2</v>
      </c>
      <c r="R37" s="160">
        <f>[10]Source!X29</f>
        <v>14733.66</v>
      </c>
      <c r="S37" s="160">
        <f>[10]Source!Y28</f>
        <v>549.04</v>
      </c>
      <c r="T37" s="160">
        <f>[10]Source!Y29</f>
        <v>7845.19</v>
      </c>
      <c r="U37" s="160">
        <f>ROUND((175/100)*ROUND([10]Source!R28, 2), 2)</f>
        <v>135.38</v>
      </c>
      <c r="V37" s="160">
        <f>ROUND((157/100)*ROUND([10]Source!R29, 2), 2)</f>
        <v>2835.99</v>
      </c>
    </row>
    <row r="38" spans="1:22" x14ac:dyDescent="0.2">
      <c r="C38" s="316" t="s">
        <v>3297</v>
      </c>
    </row>
    <row r="39" spans="1:22" ht="14.25" x14ac:dyDescent="0.2">
      <c r="A39" s="301"/>
      <c r="B39" s="302"/>
      <c r="C39" s="302" t="s">
        <v>197</v>
      </c>
      <c r="D39" s="303"/>
      <c r="E39" s="286"/>
      <c r="F39" s="321">
        <v>267.8</v>
      </c>
      <c r="G39" s="305" t="s">
        <v>195</v>
      </c>
      <c r="H39" s="286">
        <v>1</v>
      </c>
      <c r="I39" s="304">
        <v>819.47</v>
      </c>
      <c r="J39" s="286">
        <v>23.35</v>
      </c>
      <c r="K39" s="304">
        <v>19134.62</v>
      </c>
    </row>
    <row r="40" spans="1:22" ht="14.25" x14ac:dyDescent="0.2">
      <c r="A40" s="301"/>
      <c r="B40" s="302"/>
      <c r="C40" s="302" t="s">
        <v>184</v>
      </c>
      <c r="D40" s="303"/>
      <c r="E40" s="286"/>
      <c r="F40" s="321">
        <v>184.83</v>
      </c>
      <c r="G40" s="305" t="s">
        <v>195</v>
      </c>
      <c r="H40" s="286">
        <v>1</v>
      </c>
      <c r="I40" s="304">
        <v>565.58000000000004</v>
      </c>
      <c r="J40" s="286">
        <v>7.81</v>
      </c>
      <c r="K40" s="304">
        <v>4417.18</v>
      </c>
    </row>
    <row r="41" spans="1:22" ht="14.25" x14ac:dyDescent="0.2">
      <c r="A41" s="301"/>
      <c r="B41" s="302"/>
      <c r="C41" s="302" t="s">
        <v>189</v>
      </c>
      <c r="D41" s="303"/>
      <c r="E41" s="286"/>
      <c r="F41" s="321">
        <v>25.28</v>
      </c>
      <c r="G41" s="305" t="s">
        <v>195</v>
      </c>
      <c r="H41" s="286">
        <v>1</v>
      </c>
      <c r="I41" s="306">
        <v>77.36</v>
      </c>
      <c r="J41" s="286">
        <v>23.35</v>
      </c>
      <c r="K41" s="306">
        <v>1806.36</v>
      </c>
    </row>
    <row r="42" spans="1:22" ht="14.25" x14ac:dyDescent="0.2">
      <c r="A42" s="301"/>
      <c r="B42" s="302"/>
      <c r="C42" s="302" t="s">
        <v>205</v>
      </c>
      <c r="D42" s="303"/>
      <c r="E42" s="286"/>
      <c r="F42" s="321">
        <v>70.7</v>
      </c>
      <c r="G42" s="305" t="s">
        <v>195</v>
      </c>
      <c r="H42" s="286">
        <v>1</v>
      </c>
      <c r="I42" s="304">
        <v>216.34</v>
      </c>
      <c r="J42" s="286">
        <v>5.42</v>
      </c>
      <c r="K42" s="304">
        <v>1172.56</v>
      </c>
    </row>
    <row r="43" spans="1:22" ht="256.5" x14ac:dyDescent="0.2">
      <c r="A43" s="322" t="s">
        <v>1531</v>
      </c>
      <c r="B43" s="323" t="s">
        <v>3298</v>
      </c>
      <c r="C43" s="323" t="s">
        <v>1341</v>
      </c>
      <c r="D43" s="324" t="s">
        <v>3299</v>
      </c>
      <c r="E43" s="325">
        <v>2</v>
      </c>
      <c r="F43" s="326">
        <v>9184.4699999999993</v>
      </c>
      <c r="G43" s="327" t="s">
        <v>195</v>
      </c>
      <c r="H43" s="325">
        <v>1</v>
      </c>
      <c r="I43" s="328">
        <v>18368.939999999999</v>
      </c>
      <c r="J43" s="325">
        <v>3.03</v>
      </c>
      <c r="K43" s="328">
        <v>55657.89</v>
      </c>
      <c r="Q43" s="160">
        <f>[10]Source!X30</f>
        <v>0</v>
      </c>
      <c r="R43" s="160">
        <f>[10]Source!X31</f>
        <v>0</v>
      </c>
      <c r="S43" s="160">
        <f>[10]Source!Y30</f>
        <v>0</v>
      </c>
      <c r="T43" s="160">
        <f>[10]Source!Y31</f>
        <v>0</v>
      </c>
      <c r="U43" s="160">
        <f>ROUND((175/100)*ROUND([10]Source!R30, 2), 2)</f>
        <v>0</v>
      </c>
      <c r="V43" s="160">
        <f>ROUND((157/100)*ROUND([10]Source!R31, 2), 2)</f>
        <v>0</v>
      </c>
    </row>
    <row r="44" spans="1:22" ht="142.5" x14ac:dyDescent="0.2">
      <c r="A44" s="322" t="s">
        <v>3138</v>
      </c>
      <c r="B44" s="323" t="s">
        <v>3300</v>
      </c>
      <c r="C44" s="323" t="s">
        <v>1340</v>
      </c>
      <c r="D44" s="324" t="s">
        <v>3299</v>
      </c>
      <c r="E44" s="325">
        <v>3</v>
      </c>
      <c r="F44" s="326">
        <v>10548.44</v>
      </c>
      <c r="G44" s="327" t="s">
        <v>195</v>
      </c>
      <c r="H44" s="325">
        <v>1</v>
      </c>
      <c r="I44" s="328">
        <v>31645.32</v>
      </c>
      <c r="J44" s="325">
        <v>3.21</v>
      </c>
      <c r="K44" s="328">
        <v>101581.48</v>
      </c>
      <c r="Q44" s="160">
        <f>[10]Source!X32</f>
        <v>0</v>
      </c>
      <c r="R44" s="160">
        <f>[10]Source!X33</f>
        <v>0</v>
      </c>
      <c r="S44" s="160">
        <f>[10]Source!Y32</f>
        <v>0</v>
      </c>
      <c r="T44" s="160">
        <f>[10]Source!Y33</f>
        <v>0</v>
      </c>
      <c r="U44" s="160">
        <f>ROUND((175/100)*ROUND([10]Source!R32, 2), 2)</f>
        <v>0</v>
      </c>
      <c r="V44" s="160">
        <f>ROUND((157/100)*ROUND([10]Source!R33, 2), 2)</f>
        <v>0</v>
      </c>
    </row>
    <row r="45" spans="1:22" ht="14.25" x14ac:dyDescent="0.2">
      <c r="A45" s="301"/>
      <c r="B45" s="302"/>
      <c r="C45" s="302" t="s">
        <v>194</v>
      </c>
      <c r="D45" s="303" t="s">
        <v>187</v>
      </c>
      <c r="E45" s="286">
        <v>114</v>
      </c>
      <c r="F45" s="321"/>
      <c r="G45" s="305"/>
      <c r="H45" s="286"/>
      <c r="I45" s="304">
        <v>934.2</v>
      </c>
      <c r="J45" s="286">
        <v>77</v>
      </c>
      <c r="K45" s="304">
        <v>14733.66</v>
      </c>
    </row>
    <row r="46" spans="1:22" ht="14.25" x14ac:dyDescent="0.2">
      <c r="A46" s="301"/>
      <c r="B46" s="302"/>
      <c r="C46" s="302" t="s">
        <v>193</v>
      </c>
      <c r="D46" s="303" t="s">
        <v>187</v>
      </c>
      <c r="E46" s="286">
        <v>67</v>
      </c>
      <c r="F46" s="321"/>
      <c r="G46" s="305"/>
      <c r="H46" s="286"/>
      <c r="I46" s="304">
        <v>549.04</v>
      </c>
      <c r="J46" s="286">
        <v>41</v>
      </c>
      <c r="K46" s="304">
        <v>7845.19</v>
      </c>
    </row>
    <row r="47" spans="1:22" ht="14.25" x14ac:dyDescent="0.2">
      <c r="A47" s="301"/>
      <c r="B47" s="302"/>
      <c r="C47" s="302" t="s">
        <v>188</v>
      </c>
      <c r="D47" s="303" t="s">
        <v>187</v>
      </c>
      <c r="E47" s="286">
        <v>175</v>
      </c>
      <c r="F47" s="321"/>
      <c r="G47" s="305"/>
      <c r="H47" s="286"/>
      <c r="I47" s="304">
        <v>135.38</v>
      </c>
      <c r="J47" s="286">
        <v>157</v>
      </c>
      <c r="K47" s="304">
        <v>2835.99</v>
      </c>
    </row>
    <row r="48" spans="1:22" ht="14.25" x14ac:dyDescent="0.2">
      <c r="A48" s="329"/>
      <c r="B48" s="330"/>
      <c r="C48" s="330" t="s">
        <v>192</v>
      </c>
      <c r="D48" s="331" t="s">
        <v>191</v>
      </c>
      <c r="E48" s="332">
        <v>20.6</v>
      </c>
      <c r="F48" s="333"/>
      <c r="G48" s="334" t="s">
        <v>195</v>
      </c>
      <c r="H48" s="332">
        <v>1</v>
      </c>
      <c r="I48" s="335">
        <v>63.04</v>
      </c>
      <c r="J48" s="332"/>
      <c r="K48" s="335"/>
    </row>
    <row r="49" spans="1:22" ht="15" x14ac:dyDescent="0.25">
      <c r="A49" s="336"/>
      <c r="B49" s="336"/>
      <c r="C49" s="337" t="s">
        <v>183</v>
      </c>
      <c r="D49" s="336"/>
      <c r="E49" s="336"/>
      <c r="F49" s="336"/>
      <c r="G49" s="336"/>
      <c r="H49" s="461">
        <v>53234.27</v>
      </c>
      <c r="I49" s="461"/>
      <c r="J49" s="461">
        <v>207378.57</v>
      </c>
      <c r="K49" s="461"/>
      <c r="O49" s="163">
        <f>I39+I40+I42+I45+I46+I47+SUM(I43:I44)</f>
        <v>53234.27</v>
      </c>
      <c r="P49" s="163">
        <f>K39+K40+K42+K45+K46+K47+SUM(K43:K44)</f>
        <v>207378.57</v>
      </c>
    </row>
    <row r="51" spans="1:22" ht="57" x14ac:dyDescent="0.2">
      <c r="A51" s="301" t="s">
        <v>1534</v>
      </c>
      <c r="B51" s="302" t="s">
        <v>3301</v>
      </c>
      <c r="C51" s="302" t="s">
        <v>1339</v>
      </c>
      <c r="D51" s="303" t="s">
        <v>1903</v>
      </c>
      <c r="E51" s="286">
        <v>1</v>
      </c>
      <c r="F51" s="321"/>
      <c r="G51" s="305"/>
      <c r="H51" s="286"/>
      <c r="I51" s="304"/>
      <c r="J51" s="286"/>
      <c r="K51" s="304"/>
      <c r="Q51" s="160">
        <f>[10]Source!X34</f>
        <v>30.53</v>
      </c>
      <c r="R51" s="160">
        <f>[10]Source!X35</f>
        <v>481.49</v>
      </c>
      <c r="S51" s="160">
        <f>[10]Source!Y34</f>
        <v>17.940000000000001</v>
      </c>
      <c r="T51" s="160">
        <f>[10]Source!Y35</f>
        <v>256.38</v>
      </c>
      <c r="U51" s="160">
        <f>ROUND((175/100)*ROUND([10]Source!R34, 2), 2)</f>
        <v>30.33</v>
      </c>
      <c r="V51" s="160">
        <f>ROUND((157/100)*ROUND([10]Source!R35, 2), 2)</f>
        <v>635.32000000000005</v>
      </c>
    </row>
    <row r="52" spans="1:22" ht="14.25" x14ac:dyDescent="0.2">
      <c r="A52" s="301"/>
      <c r="B52" s="302"/>
      <c r="C52" s="302" t="s">
        <v>197</v>
      </c>
      <c r="D52" s="303"/>
      <c r="E52" s="286"/>
      <c r="F52" s="321">
        <v>26.78</v>
      </c>
      <c r="G52" s="305" t="s">
        <v>195</v>
      </c>
      <c r="H52" s="286">
        <v>1</v>
      </c>
      <c r="I52" s="304">
        <v>26.78</v>
      </c>
      <c r="J52" s="286">
        <v>23.35</v>
      </c>
      <c r="K52" s="304">
        <v>625.30999999999995</v>
      </c>
    </row>
    <row r="53" spans="1:22" ht="14.25" x14ac:dyDescent="0.2">
      <c r="A53" s="301"/>
      <c r="B53" s="302"/>
      <c r="C53" s="302" t="s">
        <v>184</v>
      </c>
      <c r="D53" s="303"/>
      <c r="E53" s="286"/>
      <c r="F53" s="321">
        <v>98.7</v>
      </c>
      <c r="G53" s="305" t="s">
        <v>195</v>
      </c>
      <c r="H53" s="286">
        <v>1</v>
      </c>
      <c r="I53" s="304">
        <v>98.7</v>
      </c>
      <c r="J53" s="286">
        <v>8.51</v>
      </c>
      <c r="K53" s="304">
        <v>839.94</v>
      </c>
    </row>
    <row r="54" spans="1:22" ht="14.25" x14ac:dyDescent="0.2">
      <c r="A54" s="301"/>
      <c r="B54" s="302"/>
      <c r="C54" s="302" t="s">
        <v>189</v>
      </c>
      <c r="D54" s="303"/>
      <c r="E54" s="286"/>
      <c r="F54" s="321">
        <v>17.329999999999998</v>
      </c>
      <c r="G54" s="305" t="s">
        <v>195</v>
      </c>
      <c r="H54" s="286">
        <v>1</v>
      </c>
      <c r="I54" s="306">
        <v>17.329999999999998</v>
      </c>
      <c r="J54" s="286">
        <v>23.35</v>
      </c>
      <c r="K54" s="306">
        <v>404.66</v>
      </c>
    </row>
    <row r="55" spans="1:22" ht="14.25" x14ac:dyDescent="0.2">
      <c r="A55" s="301"/>
      <c r="B55" s="302"/>
      <c r="C55" s="302" t="s">
        <v>205</v>
      </c>
      <c r="D55" s="303"/>
      <c r="E55" s="286"/>
      <c r="F55" s="321">
        <v>10.29</v>
      </c>
      <c r="G55" s="305" t="s">
        <v>195</v>
      </c>
      <c r="H55" s="286">
        <v>1</v>
      </c>
      <c r="I55" s="304">
        <v>10.29</v>
      </c>
      <c r="J55" s="286">
        <v>5.42</v>
      </c>
      <c r="K55" s="304">
        <v>55.77</v>
      </c>
    </row>
    <row r="56" spans="1:22" ht="82.5" x14ac:dyDescent="0.2">
      <c r="A56" s="322" t="s">
        <v>1538</v>
      </c>
      <c r="B56" s="323" t="s">
        <v>2659</v>
      </c>
      <c r="C56" s="323" t="s">
        <v>1338</v>
      </c>
      <c r="D56" s="324" t="s">
        <v>1661</v>
      </c>
      <c r="E56" s="325">
        <v>1</v>
      </c>
      <c r="F56" s="326">
        <v>13790.74</v>
      </c>
      <c r="G56" s="327" t="s">
        <v>195</v>
      </c>
      <c r="H56" s="325">
        <v>1</v>
      </c>
      <c r="I56" s="328">
        <v>13790.74</v>
      </c>
      <c r="J56" s="325">
        <v>4.4000000000000004</v>
      </c>
      <c r="K56" s="328">
        <v>60679.26</v>
      </c>
      <c r="Q56" s="160">
        <f>[10]Source!X36</f>
        <v>0</v>
      </c>
      <c r="R56" s="160">
        <f>[10]Source!X37</f>
        <v>0</v>
      </c>
      <c r="S56" s="160">
        <f>[10]Source!Y36</f>
        <v>0</v>
      </c>
      <c r="T56" s="160">
        <f>[10]Source!Y37</f>
        <v>0</v>
      </c>
      <c r="U56" s="160">
        <f>ROUND((175/100)*ROUND([10]Source!R36, 2), 2)</f>
        <v>0</v>
      </c>
      <c r="V56" s="160">
        <f>ROUND((157/100)*ROUND([10]Source!R37, 2), 2)</f>
        <v>0</v>
      </c>
    </row>
    <row r="57" spans="1:22" ht="111" x14ac:dyDescent="0.2">
      <c r="A57" s="322" t="s">
        <v>3153</v>
      </c>
      <c r="B57" s="323" t="s">
        <v>1644</v>
      </c>
      <c r="C57" s="323" t="s">
        <v>1337</v>
      </c>
      <c r="D57" s="324" t="s">
        <v>1913</v>
      </c>
      <c r="E57" s="325">
        <v>1</v>
      </c>
      <c r="F57" s="326">
        <v>6534.89</v>
      </c>
      <c r="G57" s="327" t="s">
        <v>195</v>
      </c>
      <c r="H57" s="325">
        <v>1</v>
      </c>
      <c r="I57" s="328">
        <v>6534.89</v>
      </c>
      <c r="J57" s="325">
        <v>4.4000000000000004</v>
      </c>
      <c r="K57" s="328">
        <v>28753.52</v>
      </c>
      <c r="Q57" s="160">
        <f>[10]Source!X38</f>
        <v>0</v>
      </c>
      <c r="R57" s="160">
        <f>[10]Source!X39</f>
        <v>0</v>
      </c>
      <c r="S57" s="160">
        <f>[10]Source!Y38</f>
        <v>0</v>
      </c>
      <c r="T57" s="160">
        <f>[10]Source!Y39</f>
        <v>0</v>
      </c>
      <c r="U57" s="160">
        <f>ROUND((175/100)*ROUND([10]Source!R38, 2), 2)</f>
        <v>0</v>
      </c>
      <c r="V57" s="160">
        <f>ROUND((157/100)*ROUND([10]Source!R39, 2), 2)</f>
        <v>0</v>
      </c>
    </row>
    <row r="58" spans="1:22" ht="14.25" x14ac:dyDescent="0.2">
      <c r="A58" s="301"/>
      <c r="B58" s="302"/>
      <c r="C58" s="302" t="s">
        <v>194</v>
      </c>
      <c r="D58" s="303" t="s">
        <v>187</v>
      </c>
      <c r="E58" s="286">
        <v>114</v>
      </c>
      <c r="F58" s="321"/>
      <c r="G58" s="305"/>
      <c r="H58" s="286"/>
      <c r="I58" s="304">
        <v>30.53</v>
      </c>
      <c r="J58" s="286">
        <v>77</v>
      </c>
      <c r="K58" s="304">
        <v>481.49</v>
      </c>
    </row>
    <row r="59" spans="1:22" ht="14.25" x14ac:dyDescent="0.2">
      <c r="A59" s="301"/>
      <c r="B59" s="302"/>
      <c r="C59" s="302" t="s">
        <v>193</v>
      </c>
      <c r="D59" s="303" t="s">
        <v>187</v>
      </c>
      <c r="E59" s="286">
        <v>67</v>
      </c>
      <c r="F59" s="321"/>
      <c r="G59" s="305"/>
      <c r="H59" s="286"/>
      <c r="I59" s="304">
        <v>17.940000000000001</v>
      </c>
      <c r="J59" s="286">
        <v>41</v>
      </c>
      <c r="K59" s="304">
        <v>256.38</v>
      </c>
    </row>
    <row r="60" spans="1:22" ht="14.25" x14ac:dyDescent="0.2">
      <c r="A60" s="301"/>
      <c r="B60" s="302"/>
      <c r="C60" s="302" t="s">
        <v>188</v>
      </c>
      <c r="D60" s="303" t="s">
        <v>187</v>
      </c>
      <c r="E60" s="286">
        <v>175</v>
      </c>
      <c r="F60" s="321"/>
      <c r="G60" s="305"/>
      <c r="H60" s="286"/>
      <c r="I60" s="304">
        <v>30.33</v>
      </c>
      <c r="J60" s="286">
        <v>157</v>
      </c>
      <c r="K60" s="304">
        <v>635.32000000000005</v>
      </c>
    </row>
    <row r="61" spans="1:22" ht="14.25" x14ac:dyDescent="0.2">
      <c r="A61" s="329"/>
      <c r="B61" s="330"/>
      <c r="C61" s="330" t="s">
        <v>192</v>
      </c>
      <c r="D61" s="331" t="s">
        <v>191</v>
      </c>
      <c r="E61" s="332">
        <v>2.06</v>
      </c>
      <c r="F61" s="333"/>
      <c r="G61" s="334" t="s">
        <v>195</v>
      </c>
      <c r="H61" s="332">
        <v>1</v>
      </c>
      <c r="I61" s="335">
        <v>2.06</v>
      </c>
      <c r="J61" s="332"/>
      <c r="K61" s="335"/>
    </row>
    <row r="62" spans="1:22" ht="15" x14ac:dyDescent="0.25">
      <c r="A62" s="336"/>
      <c r="B62" s="336"/>
      <c r="C62" s="337" t="s">
        <v>183</v>
      </c>
      <c r="D62" s="336"/>
      <c r="E62" s="336"/>
      <c r="F62" s="336"/>
      <c r="G62" s="336"/>
      <c r="H62" s="461">
        <v>20540.2</v>
      </c>
      <c r="I62" s="461"/>
      <c r="J62" s="461">
        <v>92326.99</v>
      </c>
      <c r="K62" s="461"/>
      <c r="O62" s="163">
        <f>I52+I53+I55+I58+I59+I60+SUM(I56:I57)</f>
        <v>20540.2</v>
      </c>
      <c r="P62" s="163">
        <f>K52+K53+K55+K58+K59+K60+SUM(K56:K57)</f>
        <v>92326.99</v>
      </c>
    </row>
    <row r="64" spans="1:22" ht="28.5" x14ac:dyDescent="0.2">
      <c r="A64" s="301" t="s">
        <v>104</v>
      </c>
      <c r="B64" s="302" t="s">
        <v>3302</v>
      </c>
      <c r="C64" s="302" t="s">
        <v>1336</v>
      </c>
      <c r="D64" s="303" t="s">
        <v>1903</v>
      </c>
      <c r="E64" s="286">
        <v>4</v>
      </c>
      <c r="F64" s="321"/>
      <c r="G64" s="305"/>
      <c r="H64" s="286"/>
      <c r="I64" s="304"/>
      <c r="J64" s="286"/>
      <c r="K64" s="304"/>
      <c r="Q64" s="160">
        <f>[10]Source!X40</f>
        <v>72.91</v>
      </c>
      <c r="R64" s="160">
        <f>[10]Source!X41</f>
        <v>1149.97</v>
      </c>
      <c r="S64" s="160">
        <f>[10]Source!Y40</f>
        <v>42.85</v>
      </c>
      <c r="T64" s="160">
        <f>[10]Source!Y41</f>
        <v>612.32000000000005</v>
      </c>
      <c r="U64" s="160">
        <f>ROUND((175/100)*ROUND([10]Source!R40, 2), 2)</f>
        <v>2.2400000000000002</v>
      </c>
      <c r="V64" s="160">
        <f>ROUND((157/100)*ROUND([10]Source!R41, 2), 2)</f>
        <v>46.93</v>
      </c>
    </row>
    <row r="65" spans="1:22" ht="14.25" x14ac:dyDescent="0.2">
      <c r="A65" s="301"/>
      <c r="B65" s="302"/>
      <c r="C65" s="302" t="s">
        <v>197</v>
      </c>
      <c r="D65" s="303"/>
      <c r="E65" s="286"/>
      <c r="F65" s="321">
        <v>15.99</v>
      </c>
      <c r="G65" s="305" t="s">
        <v>195</v>
      </c>
      <c r="H65" s="286">
        <v>1</v>
      </c>
      <c r="I65" s="304">
        <v>63.96</v>
      </c>
      <c r="J65" s="286">
        <v>23.35</v>
      </c>
      <c r="K65" s="304">
        <v>1493.47</v>
      </c>
    </row>
    <row r="66" spans="1:22" ht="14.25" x14ac:dyDescent="0.2">
      <c r="A66" s="301"/>
      <c r="B66" s="302"/>
      <c r="C66" s="302" t="s">
        <v>184</v>
      </c>
      <c r="D66" s="303"/>
      <c r="E66" s="286"/>
      <c r="F66" s="321">
        <v>1.79</v>
      </c>
      <c r="G66" s="305" t="s">
        <v>195</v>
      </c>
      <c r="H66" s="286">
        <v>1</v>
      </c>
      <c r="I66" s="304">
        <v>7.16</v>
      </c>
      <c r="J66" s="286">
        <v>8.57</v>
      </c>
      <c r="K66" s="304">
        <v>61.36</v>
      </c>
    </row>
    <row r="67" spans="1:22" ht="14.25" x14ac:dyDescent="0.2">
      <c r="A67" s="301"/>
      <c r="B67" s="302"/>
      <c r="C67" s="302" t="s">
        <v>189</v>
      </c>
      <c r="D67" s="303"/>
      <c r="E67" s="286"/>
      <c r="F67" s="321">
        <v>0.32</v>
      </c>
      <c r="G67" s="305" t="s">
        <v>195</v>
      </c>
      <c r="H67" s="286">
        <v>1</v>
      </c>
      <c r="I67" s="306">
        <v>1.28</v>
      </c>
      <c r="J67" s="286">
        <v>23.35</v>
      </c>
      <c r="K67" s="306">
        <v>29.89</v>
      </c>
    </row>
    <row r="68" spans="1:22" ht="14.25" x14ac:dyDescent="0.2">
      <c r="A68" s="301"/>
      <c r="B68" s="302"/>
      <c r="C68" s="302" t="s">
        <v>205</v>
      </c>
      <c r="D68" s="303"/>
      <c r="E68" s="286"/>
      <c r="F68" s="321">
        <v>0.63</v>
      </c>
      <c r="G68" s="305" t="s">
        <v>195</v>
      </c>
      <c r="H68" s="286">
        <v>1</v>
      </c>
      <c r="I68" s="304">
        <v>2.52</v>
      </c>
      <c r="J68" s="286">
        <v>5.41</v>
      </c>
      <c r="K68" s="304">
        <v>13.63</v>
      </c>
    </row>
    <row r="69" spans="1:22" ht="68.25" x14ac:dyDescent="0.2">
      <c r="A69" s="322" t="s">
        <v>1542</v>
      </c>
      <c r="B69" s="323" t="s">
        <v>1644</v>
      </c>
      <c r="C69" s="323" t="s">
        <v>1335</v>
      </c>
      <c r="D69" s="324" t="s">
        <v>1913</v>
      </c>
      <c r="E69" s="325">
        <v>4</v>
      </c>
      <c r="F69" s="326">
        <v>761.23</v>
      </c>
      <c r="G69" s="327" t="s">
        <v>195</v>
      </c>
      <c r="H69" s="325">
        <v>1</v>
      </c>
      <c r="I69" s="328">
        <v>3044.92</v>
      </c>
      <c r="J69" s="325">
        <v>4.4000000000000004</v>
      </c>
      <c r="K69" s="328">
        <v>13397.65</v>
      </c>
      <c r="Q69" s="160">
        <f>[10]Source!X42</f>
        <v>0</v>
      </c>
      <c r="R69" s="160">
        <f>[10]Source!X43</f>
        <v>0</v>
      </c>
      <c r="S69" s="160">
        <f>[10]Source!Y42</f>
        <v>0</v>
      </c>
      <c r="T69" s="160">
        <f>[10]Source!Y43</f>
        <v>0</v>
      </c>
      <c r="U69" s="160">
        <f>ROUND((175/100)*ROUND([10]Source!R42, 2), 2)</f>
        <v>0</v>
      </c>
      <c r="V69" s="160">
        <f>ROUND((157/100)*ROUND([10]Source!R43, 2), 2)</f>
        <v>0</v>
      </c>
    </row>
    <row r="70" spans="1:22" ht="14.25" x14ac:dyDescent="0.2">
      <c r="A70" s="301"/>
      <c r="B70" s="302"/>
      <c r="C70" s="302" t="s">
        <v>194</v>
      </c>
      <c r="D70" s="303" t="s">
        <v>187</v>
      </c>
      <c r="E70" s="286">
        <v>114</v>
      </c>
      <c r="F70" s="321"/>
      <c r="G70" s="305"/>
      <c r="H70" s="286"/>
      <c r="I70" s="304">
        <v>72.91</v>
      </c>
      <c r="J70" s="286">
        <v>77</v>
      </c>
      <c r="K70" s="304">
        <v>1149.97</v>
      </c>
    </row>
    <row r="71" spans="1:22" ht="14.25" x14ac:dyDescent="0.2">
      <c r="A71" s="301"/>
      <c r="B71" s="302"/>
      <c r="C71" s="302" t="s">
        <v>193</v>
      </c>
      <c r="D71" s="303" t="s">
        <v>187</v>
      </c>
      <c r="E71" s="286">
        <v>67</v>
      </c>
      <c r="F71" s="321"/>
      <c r="G71" s="305"/>
      <c r="H71" s="286"/>
      <c r="I71" s="304">
        <v>42.85</v>
      </c>
      <c r="J71" s="286">
        <v>41</v>
      </c>
      <c r="K71" s="304">
        <v>612.32000000000005</v>
      </c>
    </row>
    <row r="72" spans="1:22" ht="14.25" x14ac:dyDescent="0.2">
      <c r="A72" s="301"/>
      <c r="B72" s="302"/>
      <c r="C72" s="302" t="s">
        <v>188</v>
      </c>
      <c r="D72" s="303" t="s">
        <v>187</v>
      </c>
      <c r="E72" s="286">
        <v>175</v>
      </c>
      <c r="F72" s="321"/>
      <c r="G72" s="305"/>
      <c r="H72" s="286"/>
      <c r="I72" s="304">
        <v>2.2400000000000002</v>
      </c>
      <c r="J72" s="286">
        <v>157</v>
      </c>
      <c r="K72" s="304">
        <v>46.93</v>
      </c>
    </row>
    <row r="73" spans="1:22" ht="14.25" x14ac:dyDescent="0.2">
      <c r="A73" s="329"/>
      <c r="B73" s="330"/>
      <c r="C73" s="330" t="s">
        <v>192</v>
      </c>
      <c r="D73" s="331" t="s">
        <v>191</v>
      </c>
      <c r="E73" s="332">
        <v>1.23</v>
      </c>
      <c r="F73" s="333"/>
      <c r="G73" s="334" t="s">
        <v>195</v>
      </c>
      <c r="H73" s="332">
        <v>1</v>
      </c>
      <c r="I73" s="335">
        <v>4.92</v>
      </c>
      <c r="J73" s="332"/>
      <c r="K73" s="335"/>
    </row>
    <row r="74" spans="1:22" ht="15" x14ac:dyDescent="0.25">
      <c r="A74" s="336"/>
      <c r="B74" s="336"/>
      <c r="C74" s="337" t="s">
        <v>183</v>
      </c>
      <c r="D74" s="336"/>
      <c r="E74" s="336"/>
      <c r="F74" s="336"/>
      <c r="G74" s="336"/>
      <c r="H74" s="461">
        <v>3236.56</v>
      </c>
      <c r="I74" s="461"/>
      <c r="J74" s="461">
        <v>16775.330000000002</v>
      </c>
      <c r="K74" s="461"/>
      <c r="O74" s="163">
        <f>I65+I66+I68+I70+I71+I72+SUM(I69:I69)</f>
        <v>3236.56</v>
      </c>
      <c r="P74" s="163">
        <f>K65+K66+K68+K70+K71+K72+SUM(K69:K69)</f>
        <v>16775.330000000002</v>
      </c>
    </row>
    <row r="77" spans="1:22" ht="15" x14ac:dyDescent="0.25">
      <c r="A77" s="447" t="s">
        <v>3303</v>
      </c>
      <c r="B77" s="447"/>
      <c r="C77" s="447"/>
      <c r="D77" s="447"/>
      <c r="E77" s="447"/>
      <c r="F77" s="447"/>
      <c r="G77" s="447"/>
      <c r="H77" s="445">
        <v>77011.03</v>
      </c>
      <c r="I77" s="446"/>
      <c r="J77" s="445">
        <v>316480.89</v>
      </c>
      <c r="K77" s="446"/>
    </row>
    <row r="78" spans="1:22" hidden="1" x14ac:dyDescent="0.2">
      <c r="A78" s="281" t="s">
        <v>182</v>
      </c>
      <c r="I78" s="281">
        <v>0</v>
      </c>
      <c r="J78" s="281">
        <v>0</v>
      </c>
    </row>
    <row r="79" spans="1:22" hidden="1" x14ac:dyDescent="0.2">
      <c r="A79" s="281" t="s">
        <v>181</v>
      </c>
      <c r="I79" s="281">
        <v>0</v>
      </c>
      <c r="J79" s="281">
        <v>0</v>
      </c>
    </row>
    <row r="81" spans="1:22" ht="16.5" x14ac:dyDescent="0.25">
      <c r="A81" s="448" t="s">
        <v>3304</v>
      </c>
      <c r="B81" s="448"/>
      <c r="C81" s="448"/>
      <c r="D81" s="448"/>
      <c r="E81" s="448"/>
      <c r="F81" s="448"/>
      <c r="G81" s="448"/>
      <c r="H81" s="448"/>
      <c r="I81" s="448"/>
      <c r="J81" s="448"/>
      <c r="K81" s="448"/>
    </row>
    <row r="82" spans="1:22" ht="57" x14ac:dyDescent="0.2">
      <c r="A82" s="301" t="s">
        <v>1546</v>
      </c>
      <c r="B82" s="302" t="s">
        <v>3305</v>
      </c>
      <c r="C82" s="302" t="s">
        <v>1334</v>
      </c>
      <c r="D82" s="303" t="s">
        <v>1536</v>
      </c>
      <c r="E82" s="286">
        <v>0.49</v>
      </c>
      <c r="F82" s="321"/>
      <c r="G82" s="305"/>
      <c r="H82" s="286"/>
      <c r="I82" s="304"/>
      <c r="J82" s="286"/>
      <c r="K82" s="304"/>
      <c r="Q82" s="160">
        <f>[10]Source!X81</f>
        <v>922.25</v>
      </c>
      <c r="R82" s="160">
        <f>[10]Source!X82</f>
        <v>14545.24</v>
      </c>
      <c r="S82" s="160">
        <f>[10]Source!Y81</f>
        <v>542.02</v>
      </c>
      <c r="T82" s="160">
        <f>[10]Source!Y82</f>
        <v>7744.87</v>
      </c>
      <c r="U82" s="160">
        <f>ROUND((175/100)*ROUND([10]Source!R81, 2), 2)</f>
        <v>23.94</v>
      </c>
      <c r="V82" s="160">
        <f>ROUND((157/100)*ROUND([10]Source!R82, 2), 2)</f>
        <v>501.51</v>
      </c>
    </row>
    <row r="83" spans="1:22" x14ac:dyDescent="0.2">
      <c r="C83" s="316" t="s">
        <v>3306</v>
      </c>
    </row>
    <row r="84" spans="1:22" ht="14.25" x14ac:dyDescent="0.2">
      <c r="A84" s="301"/>
      <c r="B84" s="302"/>
      <c r="C84" s="302" t="s">
        <v>197</v>
      </c>
      <c r="D84" s="303"/>
      <c r="E84" s="286"/>
      <c r="F84" s="321">
        <v>1651</v>
      </c>
      <c r="G84" s="305" t="s">
        <v>195</v>
      </c>
      <c r="H84" s="286">
        <v>1</v>
      </c>
      <c r="I84" s="304">
        <v>808.99</v>
      </c>
      <c r="J84" s="286">
        <v>23.35</v>
      </c>
      <c r="K84" s="304">
        <v>18889.919999999998</v>
      </c>
    </row>
    <row r="85" spans="1:22" ht="14.25" x14ac:dyDescent="0.2">
      <c r="A85" s="301"/>
      <c r="B85" s="302"/>
      <c r="C85" s="302" t="s">
        <v>184</v>
      </c>
      <c r="D85" s="303"/>
      <c r="E85" s="286"/>
      <c r="F85" s="321">
        <v>120.22</v>
      </c>
      <c r="G85" s="305" t="s">
        <v>195</v>
      </c>
      <c r="H85" s="286">
        <v>1</v>
      </c>
      <c r="I85" s="304">
        <v>58.91</v>
      </c>
      <c r="J85" s="286">
        <v>9.5299999999999994</v>
      </c>
      <c r="K85" s="304">
        <v>561.41</v>
      </c>
    </row>
    <row r="86" spans="1:22" ht="14.25" x14ac:dyDescent="0.2">
      <c r="A86" s="301"/>
      <c r="B86" s="302"/>
      <c r="C86" s="302" t="s">
        <v>189</v>
      </c>
      <c r="D86" s="303"/>
      <c r="E86" s="286"/>
      <c r="F86" s="321">
        <v>27.92</v>
      </c>
      <c r="G86" s="305" t="s">
        <v>195</v>
      </c>
      <c r="H86" s="286">
        <v>1</v>
      </c>
      <c r="I86" s="306">
        <v>13.68</v>
      </c>
      <c r="J86" s="286">
        <v>23.35</v>
      </c>
      <c r="K86" s="306">
        <v>319.43</v>
      </c>
    </row>
    <row r="87" spans="1:22" ht="14.25" x14ac:dyDescent="0.2">
      <c r="A87" s="301"/>
      <c r="B87" s="302"/>
      <c r="C87" s="302" t="s">
        <v>205</v>
      </c>
      <c r="D87" s="303"/>
      <c r="E87" s="286"/>
      <c r="F87" s="321">
        <v>295.39999999999998</v>
      </c>
      <c r="G87" s="305" t="s">
        <v>195</v>
      </c>
      <c r="H87" s="286">
        <v>1</v>
      </c>
      <c r="I87" s="304">
        <v>144.75</v>
      </c>
      <c r="J87" s="286">
        <v>5.42</v>
      </c>
      <c r="K87" s="304">
        <v>784.55</v>
      </c>
    </row>
    <row r="88" spans="1:22" ht="54" x14ac:dyDescent="0.2">
      <c r="A88" s="301" t="s">
        <v>1550</v>
      </c>
      <c r="B88" s="302" t="s">
        <v>3307</v>
      </c>
      <c r="C88" s="302" t="s">
        <v>1333</v>
      </c>
      <c r="D88" s="303" t="s">
        <v>1661</v>
      </c>
      <c r="E88" s="286">
        <v>46</v>
      </c>
      <c r="F88" s="321">
        <v>743.42</v>
      </c>
      <c r="G88" s="315" t="s">
        <v>195</v>
      </c>
      <c r="H88" s="286">
        <v>1</v>
      </c>
      <c r="I88" s="304">
        <v>34197.32</v>
      </c>
      <c r="J88" s="286">
        <v>5.42</v>
      </c>
      <c r="K88" s="304">
        <v>185349.47</v>
      </c>
      <c r="Q88" s="160">
        <f>[10]Source!X83</f>
        <v>0</v>
      </c>
      <c r="R88" s="160">
        <f>[10]Source!X84</f>
        <v>0</v>
      </c>
      <c r="S88" s="160">
        <f>[10]Source!Y83</f>
        <v>0</v>
      </c>
      <c r="T88" s="160">
        <f>[10]Source!Y84</f>
        <v>0</v>
      </c>
      <c r="U88" s="160">
        <f>ROUND((175/100)*ROUND([10]Source!R83, 2), 2)</f>
        <v>0</v>
      </c>
      <c r="V88" s="160">
        <f>ROUND((157/100)*ROUND([10]Source!R84, 2), 2)</f>
        <v>0</v>
      </c>
    </row>
    <row r="89" spans="1:22" ht="68.25" x14ac:dyDescent="0.2">
      <c r="A89" s="301" t="s">
        <v>1553</v>
      </c>
      <c r="B89" s="302" t="s">
        <v>3307</v>
      </c>
      <c r="C89" s="302" t="s">
        <v>1332</v>
      </c>
      <c r="D89" s="303" t="s">
        <v>1661</v>
      </c>
      <c r="E89" s="286">
        <v>3</v>
      </c>
      <c r="F89" s="321">
        <v>864.4</v>
      </c>
      <c r="G89" s="315" t="s">
        <v>195</v>
      </c>
      <c r="H89" s="286">
        <v>1</v>
      </c>
      <c r="I89" s="304">
        <v>2593.1999999999998</v>
      </c>
      <c r="J89" s="286">
        <v>5.42</v>
      </c>
      <c r="K89" s="304">
        <v>14055.14</v>
      </c>
      <c r="Q89" s="160">
        <f>[10]Source!X85</f>
        <v>0</v>
      </c>
      <c r="R89" s="160">
        <f>[10]Source!X86</f>
        <v>0</v>
      </c>
      <c r="S89" s="160">
        <f>[10]Source!Y85</f>
        <v>0</v>
      </c>
      <c r="T89" s="160">
        <f>[10]Source!Y86</f>
        <v>0</v>
      </c>
      <c r="U89" s="160">
        <f>ROUND((175/100)*ROUND([10]Source!R85, 2), 2)</f>
        <v>0</v>
      </c>
      <c r="V89" s="160">
        <f>ROUND((157/100)*ROUND([10]Source!R86, 2), 2)</f>
        <v>0</v>
      </c>
    </row>
    <row r="90" spans="1:22" ht="14.25" x14ac:dyDescent="0.2">
      <c r="A90" s="301"/>
      <c r="B90" s="302"/>
      <c r="C90" s="302" t="s">
        <v>194</v>
      </c>
      <c r="D90" s="303" t="s">
        <v>187</v>
      </c>
      <c r="E90" s="286">
        <v>114</v>
      </c>
      <c r="F90" s="321"/>
      <c r="G90" s="305"/>
      <c r="H90" s="286"/>
      <c r="I90" s="304">
        <v>922.25</v>
      </c>
      <c r="J90" s="286">
        <v>77</v>
      </c>
      <c r="K90" s="304">
        <v>14545.24</v>
      </c>
    </row>
    <row r="91" spans="1:22" ht="14.25" x14ac:dyDescent="0.2">
      <c r="A91" s="301"/>
      <c r="B91" s="302"/>
      <c r="C91" s="302" t="s">
        <v>193</v>
      </c>
      <c r="D91" s="303" t="s">
        <v>187</v>
      </c>
      <c r="E91" s="286">
        <v>67</v>
      </c>
      <c r="F91" s="321"/>
      <c r="G91" s="305"/>
      <c r="H91" s="286"/>
      <c r="I91" s="304">
        <v>542.02</v>
      </c>
      <c r="J91" s="286">
        <v>41</v>
      </c>
      <c r="K91" s="304">
        <v>7744.87</v>
      </c>
    </row>
    <row r="92" spans="1:22" ht="14.25" x14ac:dyDescent="0.2">
      <c r="A92" s="301"/>
      <c r="B92" s="302"/>
      <c r="C92" s="302" t="s">
        <v>188</v>
      </c>
      <c r="D92" s="303" t="s">
        <v>187</v>
      </c>
      <c r="E92" s="286">
        <v>175</v>
      </c>
      <c r="F92" s="321"/>
      <c r="G92" s="305"/>
      <c r="H92" s="286"/>
      <c r="I92" s="304">
        <v>23.94</v>
      </c>
      <c r="J92" s="286">
        <v>157</v>
      </c>
      <c r="K92" s="304">
        <v>501.51</v>
      </c>
    </row>
    <row r="93" spans="1:22" ht="14.25" x14ac:dyDescent="0.2">
      <c r="A93" s="329"/>
      <c r="B93" s="330"/>
      <c r="C93" s="330" t="s">
        <v>192</v>
      </c>
      <c r="D93" s="331" t="s">
        <v>191</v>
      </c>
      <c r="E93" s="332">
        <v>127</v>
      </c>
      <c r="F93" s="333"/>
      <c r="G93" s="334" t="s">
        <v>195</v>
      </c>
      <c r="H93" s="332">
        <v>1</v>
      </c>
      <c r="I93" s="335">
        <v>62.23</v>
      </c>
      <c r="J93" s="332"/>
      <c r="K93" s="335"/>
    </row>
    <row r="94" spans="1:22" ht="15" x14ac:dyDescent="0.25">
      <c r="A94" s="336"/>
      <c r="B94" s="336"/>
      <c r="C94" s="337" t="s">
        <v>183</v>
      </c>
      <c r="D94" s="336"/>
      <c r="E94" s="336"/>
      <c r="F94" s="336"/>
      <c r="G94" s="336"/>
      <c r="H94" s="461">
        <v>39291.379999999997</v>
      </c>
      <c r="I94" s="461"/>
      <c r="J94" s="461">
        <v>242432.11</v>
      </c>
      <c r="K94" s="461"/>
      <c r="O94" s="163">
        <f>I84+I85+I87+I90+I91+I92+SUM(I88:I89)</f>
        <v>39291.379999999997</v>
      </c>
      <c r="P94" s="163">
        <f>K84+K85+K87+K90+K91+K92+SUM(K88:K89)</f>
        <v>242432.11</v>
      </c>
    </row>
    <row r="96" spans="1:22" ht="57" x14ac:dyDescent="0.2">
      <c r="A96" s="301" t="s">
        <v>105</v>
      </c>
      <c r="B96" s="302" t="s">
        <v>3308</v>
      </c>
      <c r="C96" s="302" t="s">
        <v>1331</v>
      </c>
      <c r="D96" s="303" t="s">
        <v>1536</v>
      </c>
      <c r="E96" s="286">
        <v>0.16</v>
      </c>
      <c r="F96" s="321"/>
      <c r="G96" s="305"/>
      <c r="H96" s="286"/>
      <c r="I96" s="304"/>
      <c r="J96" s="286"/>
      <c r="K96" s="304"/>
      <c r="Q96" s="160">
        <f>[10]Source!X87</f>
        <v>313</v>
      </c>
      <c r="R96" s="160">
        <f>[10]Source!X88</f>
        <v>4936.45</v>
      </c>
      <c r="S96" s="160">
        <f>[10]Source!Y87</f>
        <v>183.96</v>
      </c>
      <c r="T96" s="160">
        <f>[10]Source!Y88</f>
        <v>2628.5</v>
      </c>
      <c r="U96" s="160">
        <f>ROUND((175/100)*ROUND([10]Source!R87, 2), 2)</f>
        <v>13.55</v>
      </c>
      <c r="V96" s="160">
        <f>ROUND((157/100)*ROUND([10]Source!R88, 2), 2)</f>
        <v>283.75</v>
      </c>
    </row>
    <row r="97" spans="1:22" x14ac:dyDescent="0.2">
      <c r="C97" s="316" t="s">
        <v>3309</v>
      </c>
    </row>
    <row r="98" spans="1:22" ht="14.25" x14ac:dyDescent="0.2">
      <c r="A98" s="301"/>
      <c r="B98" s="302"/>
      <c r="C98" s="302" t="s">
        <v>197</v>
      </c>
      <c r="D98" s="303"/>
      <c r="E98" s="286"/>
      <c r="F98" s="321">
        <v>1716</v>
      </c>
      <c r="G98" s="305" t="s">
        <v>195</v>
      </c>
      <c r="H98" s="286">
        <v>1</v>
      </c>
      <c r="I98" s="304">
        <v>274.56</v>
      </c>
      <c r="J98" s="286">
        <v>23.35</v>
      </c>
      <c r="K98" s="304">
        <v>6410.98</v>
      </c>
    </row>
    <row r="99" spans="1:22" ht="14.25" x14ac:dyDescent="0.2">
      <c r="A99" s="301"/>
      <c r="B99" s="302"/>
      <c r="C99" s="302" t="s">
        <v>184</v>
      </c>
      <c r="D99" s="303"/>
      <c r="E99" s="286"/>
      <c r="F99" s="321">
        <v>208.26</v>
      </c>
      <c r="G99" s="305" t="s">
        <v>195</v>
      </c>
      <c r="H99" s="286">
        <v>1</v>
      </c>
      <c r="I99" s="304">
        <v>33.32</v>
      </c>
      <c r="J99" s="286">
        <v>9.5299999999999994</v>
      </c>
      <c r="K99" s="304">
        <v>317.54000000000002</v>
      </c>
    </row>
    <row r="100" spans="1:22" ht="14.25" x14ac:dyDescent="0.2">
      <c r="A100" s="301"/>
      <c r="B100" s="302"/>
      <c r="C100" s="302" t="s">
        <v>189</v>
      </c>
      <c r="D100" s="303"/>
      <c r="E100" s="286"/>
      <c r="F100" s="321">
        <v>48.36</v>
      </c>
      <c r="G100" s="305" t="s">
        <v>195</v>
      </c>
      <c r="H100" s="286">
        <v>1</v>
      </c>
      <c r="I100" s="306">
        <v>7.74</v>
      </c>
      <c r="J100" s="286">
        <v>23.35</v>
      </c>
      <c r="K100" s="306">
        <v>180.73</v>
      </c>
    </row>
    <row r="101" spans="1:22" ht="14.25" x14ac:dyDescent="0.2">
      <c r="A101" s="301"/>
      <c r="B101" s="302"/>
      <c r="C101" s="302" t="s">
        <v>205</v>
      </c>
      <c r="D101" s="303"/>
      <c r="E101" s="286"/>
      <c r="F101" s="321">
        <v>301</v>
      </c>
      <c r="G101" s="305" t="s">
        <v>195</v>
      </c>
      <c r="H101" s="286">
        <v>1</v>
      </c>
      <c r="I101" s="304">
        <v>48.16</v>
      </c>
      <c r="J101" s="286">
        <v>5.42</v>
      </c>
      <c r="K101" s="304">
        <v>261.02999999999997</v>
      </c>
    </row>
    <row r="102" spans="1:22" ht="71.25" x14ac:dyDescent="0.2">
      <c r="A102" s="301" t="s">
        <v>1558</v>
      </c>
      <c r="B102" s="302" t="s">
        <v>3310</v>
      </c>
      <c r="C102" s="302" t="s">
        <v>1330</v>
      </c>
      <c r="D102" s="303" t="s">
        <v>1661</v>
      </c>
      <c r="E102" s="286">
        <v>16</v>
      </c>
      <c r="F102" s="321">
        <v>1533.35</v>
      </c>
      <c r="G102" s="315" t="s">
        <v>195</v>
      </c>
      <c r="H102" s="286">
        <v>1</v>
      </c>
      <c r="I102" s="304">
        <v>24533.599999999999</v>
      </c>
      <c r="J102" s="286">
        <v>4.58</v>
      </c>
      <c r="K102" s="304">
        <v>112363.89</v>
      </c>
      <c r="Q102" s="160">
        <f>[10]Source!X89</f>
        <v>0</v>
      </c>
      <c r="R102" s="160">
        <f>[10]Source!X90</f>
        <v>0</v>
      </c>
      <c r="S102" s="160">
        <f>[10]Source!Y89</f>
        <v>0</v>
      </c>
      <c r="T102" s="160">
        <f>[10]Source!Y90</f>
        <v>0</v>
      </c>
      <c r="U102" s="160">
        <f>ROUND((175/100)*ROUND([10]Source!R89, 2), 2)</f>
        <v>0</v>
      </c>
      <c r="V102" s="160">
        <f>ROUND((157/100)*ROUND([10]Source!R90, 2), 2)</f>
        <v>0</v>
      </c>
    </row>
    <row r="103" spans="1:22" ht="14.25" x14ac:dyDescent="0.2">
      <c r="A103" s="301"/>
      <c r="B103" s="302"/>
      <c r="C103" s="302" t="s">
        <v>194</v>
      </c>
      <c r="D103" s="303" t="s">
        <v>187</v>
      </c>
      <c r="E103" s="286">
        <v>114</v>
      </c>
      <c r="F103" s="321"/>
      <c r="G103" s="305"/>
      <c r="H103" s="286"/>
      <c r="I103" s="304">
        <v>313</v>
      </c>
      <c r="J103" s="286">
        <v>77</v>
      </c>
      <c r="K103" s="304">
        <v>4936.45</v>
      </c>
    </row>
    <row r="104" spans="1:22" ht="14.25" x14ac:dyDescent="0.2">
      <c r="A104" s="301"/>
      <c r="B104" s="302"/>
      <c r="C104" s="302" t="s">
        <v>193</v>
      </c>
      <c r="D104" s="303" t="s">
        <v>187</v>
      </c>
      <c r="E104" s="286">
        <v>67</v>
      </c>
      <c r="F104" s="321"/>
      <c r="G104" s="305"/>
      <c r="H104" s="286"/>
      <c r="I104" s="304">
        <v>183.96</v>
      </c>
      <c r="J104" s="286">
        <v>41</v>
      </c>
      <c r="K104" s="304">
        <v>2628.5</v>
      </c>
    </row>
    <row r="105" spans="1:22" ht="14.25" x14ac:dyDescent="0.2">
      <c r="A105" s="301"/>
      <c r="B105" s="302"/>
      <c r="C105" s="302" t="s">
        <v>188</v>
      </c>
      <c r="D105" s="303" t="s">
        <v>187</v>
      </c>
      <c r="E105" s="286">
        <v>175</v>
      </c>
      <c r="F105" s="321"/>
      <c r="G105" s="305"/>
      <c r="H105" s="286"/>
      <c r="I105" s="304">
        <v>13.55</v>
      </c>
      <c r="J105" s="286">
        <v>157</v>
      </c>
      <c r="K105" s="304">
        <v>283.75</v>
      </c>
    </row>
    <row r="106" spans="1:22" ht="14.25" x14ac:dyDescent="0.2">
      <c r="A106" s="329"/>
      <c r="B106" s="330"/>
      <c r="C106" s="330" t="s">
        <v>192</v>
      </c>
      <c r="D106" s="331" t="s">
        <v>191</v>
      </c>
      <c r="E106" s="332">
        <v>132</v>
      </c>
      <c r="F106" s="333"/>
      <c r="G106" s="334" t="s">
        <v>195</v>
      </c>
      <c r="H106" s="332">
        <v>1</v>
      </c>
      <c r="I106" s="335">
        <v>21.12</v>
      </c>
      <c r="J106" s="332"/>
      <c r="K106" s="335"/>
    </row>
    <row r="107" spans="1:22" ht="15" x14ac:dyDescent="0.25">
      <c r="A107" s="336"/>
      <c r="B107" s="336"/>
      <c r="C107" s="337" t="s">
        <v>183</v>
      </c>
      <c r="D107" s="336"/>
      <c r="E107" s="336"/>
      <c r="F107" s="336"/>
      <c r="G107" s="336"/>
      <c r="H107" s="461">
        <v>25400.15</v>
      </c>
      <c r="I107" s="461"/>
      <c r="J107" s="461">
        <v>127202.14</v>
      </c>
      <c r="K107" s="461"/>
      <c r="O107" s="163">
        <f>I98+I99+I101+I103+I104+I105+SUM(I102:I102)</f>
        <v>25400.15</v>
      </c>
      <c r="P107" s="163">
        <f>K98+K99+K101+K103+K104+K105+SUM(K102:K102)</f>
        <v>127202.14</v>
      </c>
    </row>
    <row r="109" spans="1:22" ht="14.25" x14ac:dyDescent="0.2">
      <c r="A109" s="301" t="s">
        <v>1560</v>
      </c>
      <c r="B109" s="302" t="s">
        <v>3311</v>
      </c>
      <c r="C109" s="302" t="s">
        <v>1329</v>
      </c>
      <c r="D109" s="303" t="s">
        <v>1536</v>
      </c>
      <c r="E109" s="286">
        <v>4.4000000000000004</v>
      </c>
      <c r="F109" s="321"/>
      <c r="G109" s="305"/>
      <c r="H109" s="286"/>
      <c r="I109" s="304"/>
      <c r="J109" s="286"/>
      <c r="K109" s="304"/>
      <c r="Q109" s="160">
        <f>[10]Source!X91</f>
        <v>3543.41</v>
      </c>
      <c r="R109" s="160">
        <f>[10]Source!X92</f>
        <v>55884.78</v>
      </c>
      <c r="S109" s="160">
        <f>[10]Source!Y91</f>
        <v>2082.5300000000002</v>
      </c>
      <c r="T109" s="160">
        <f>[10]Source!Y92</f>
        <v>29756.83</v>
      </c>
      <c r="U109" s="160">
        <f>ROUND((175/100)*ROUND([10]Source!R91, 2), 2)</f>
        <v>49.98</v>
      </c>
      <c r="V109" s="160">
        <f>ROUND((157/100)*ROUND([10]Source!R92, 2), 2)</f>
        <v>1047</v>
      </c>
    </row>
    <row r="110" spans="1:22" x14ac:dyDescent="0.2">
      <c r="C110" s="316" t="s">
        <v>3312</v>
      </c>
    </row>
    <row r="111" spans="1:22" ht="14.25" x14ac:dyDescent="0.2">
      <c r="A111" s="301"/>
      <c r="B111" s="302"/>
      <c r="C111" s="302" t="s">
        <v>197</v>
      </c>
      <c r="D111" s="303"/>
      <c r="E111" s="286"/>
      <c r="F111" s="321">
        <v>706.42</v>
      </c>
      <c r="G111" s="305" t="s">
        <v>195</v>
      </c>
      <c r="H111" s="286">
        <v>1</v>
      </c>
      <c r="I111" s="304">
        <v>3108.25</v>
      </c>
      <c r="J111" s="286">
        <v>23.35</v>
      </c>
      <c r="K111" s="304">
        <v>72577.64</v>
      </c>
    </row>
    <row r="112" spans="1:22" ht="14.25" x14ac:dyDescent="0.2">
      <c r="A112" s="301"/>
      <c r="B112" s="302"/>
      <c r="C112" s="302" t="s">
        <v>184</v>
      </c>
      <c r="D112" s="303"/>
      <c r="E112" s="286"/>
      <c r="F112" s="321">
        <v>27.94</v>
      </c>
      <c r="G112" s="305" t="s">
        <v>195</v>
      </c>
      <c r="H112" s="286">
        <v>1</v>
      </c>
      <c r="I112" s="304">
        <v>122.94</v>
      </c>
      <c r="J112" s="286">
        <v>9.5299999999999994</v>
      </c>
      <c r="K112" s="304">
        <v>1171.6199999999999</v>
      </c>
    </row>
    <row r="113" spans="1:22" ht="14.25" x14ac:dyDescent="0.2">
      <c r="A113" s="301"/>
      <c r="B113" s="302"/>
      <c r="C113" s="302" t="s">
        <v>189</v>
      </c>
      <c r="D113" s="303"/>
      <c r="E113" s="286"/>
      <c r="F113" s="321">
        <v>6.49</v>
      </c>
      <c r="G113" s="305" t="s">
        <v>195</v>
      </c>
      <c r="H113" s="286">
        <v>1</v>
      </c>
      <c r="I113" s="306">
        <v>28.56</v>
      </c>
      <c r="J113" s="286">
        <v>23.35</v>
      </c>
      <c r="K113" s="306">
        <v>666.88</v>
      </c>
    </row>
    <row r="114" spans="1:22" ht="14.25" x14ac:dyDescent="0.2">
      <c r="A114" s="301"/>
      <c r="B114" s="302"/>
      <c r="C114" s="302" t="s">
        <v>205</v>
      </c>
      <c r="D114" s="303"/>
      <c r="E114" s="286"/>
      <c r="F114" s="321">
        <v>697.9</v>
      </c>
      <c r="G114" s="305" t="s">
        <v>195</v>
      </c>
      <c r="H114" s="286">
        <v>1</v>
      </c>
      <c r="I114" s="304">
        <v>3070.76</v>
      </c>
      <c r="J114" s="286">
        <v>5.42</v>
      </c>
      <c r="K114" s="304">
        <v>16643.52</v>
      </c>
    </row>
    <row r="115" spans="1:22" ht="68.25" x14ac:dyDescent="0.2">
      <c r="A115" s="301" t="s">
        <v>1562</v>
      </c>
      <c r="B115" s="302" t="s">
        <v>3307</v>
      </c>
      <c r="C115" s="302" t="s">
        <v>1328</v>
      </c>
      <c r="D115" s="303" t="s">
        <v>1661</v>
      </c>
      <c r="E115" s="286">
        <v>26</v>
      </c>
      <c r="F115" s="321">
        <v>847.02</v>
      </c>
      <c r="G115" s="315" t="s">
        <v>195</v>
      </c>
      <c r="H115" s="286">
        <v>1</v>
      </c>
      <c r="I115" s="304">
        <v>22022.52</v>
      </c>
      <c r="J115" s="286">
        <v>5.42</v>
      </c>
      <c r="K115" s="304">
        <v>119362.06</v>
      </c>
      <c r="Q115" s="160">
        <f>[10]Source!X93</f>
        <v>0</v>
      </c>
      <c r="R115" s="160">
        <f>[10]Source!X94</f>
        <v>0</v>
      </c>
      <c r="S115" s="160">
        <f>[10]Source!Y93</f>
        <v>0</v>
      </c>
      <c r="T115" s="160">
        <f>[10]Source!Y94</f>
        <v>0</v>
      </c>
      <c r="U115" s="160">
        <f>ROUND((175/100)*ROUND([10]Source!R93, 2), 2)</f>
        <v>0</v>
      </c>
      <c r="V115" s="160">
        <f>ROUND((157/100)*ROUND([10]Source!R94, 2), 2)</f>
        <v>0</v>
      </c>
    </row>
    <row r="116" spans="1:22" ht="68.25" x14ac:dyDescent="0.2">
      <c r="A116" s="301" t="s">
        <v>1563</v>
      </c>
      <c r="B116" s="302" t="s">
        <v>3307</v>
      </c>
      <c r="C116" s="302" t="s">
        <v>1327</v>
      </c>
      <c r="D116" s="303" t="s">
        <v>1661</v>
      </c>
      <c r="E116" s="286">
        <v>414</v>
      </c>
      <c r="F116" s="321">
        <v>595.47</v>
      </c>
      <c r="G116" s="315" t="s">
        <v>195</v>
      </c>
      <c r="H116" s="286">
        <v>1</v>
      </c>
      <c r="I116" s="304">
        <v>246524.58</v>
      </c>
      <c r="J116" s="286">
        <v>5.42</v>
      </c>
      <c r="K116" s="304">
        <v>1336163.22</v>
      </c>
      <c r="Q116" s="160">
        <f>[10]Source!X95</f>
        <v>0</v>
      </c>
      <c r="R116" s="160">
        <f>[10]Source!X96</f>
        <v>0</v>
      </c>
      <c r="S116" s="160">
        <f>[10]Source!Y95</f>
        <v>0</v>
      </c>
      <c r="T116" s="160">
        <f>[10]Source!Y96</f>
        <v>0</v>
      </c>
      <c r="U116" s="160">
        <f>ROUND((175/100)*ROUND([10]Source!R95, 2), 2)</f>
        <v>0</v>
      </c>
      <c r="V116" s="160">
        <f>ROUND((157/100)*ROUND([10]Source!R96, 2), 2)</f>
        <v>0</v>
      </c>
    </row>
    <row r="117" spans="1:22" ht="14.25" x14ac:dyDescent="0.2">
      <c r="A117" s="301"/>
      <c r="B117" s="302"/>
      <c r="C117" s="302" t="s">
        <v>194</v>
      </c>
      <c r="D117" s="303" t="s">
        <v>187</v>
      </c>
      <c r="E117" s="286">
        <v>114</v>
      </c>
      <c r="F117" s="321"/>
      <c r="G117" s="305"/>
      <c r="H117" s="286"/>
      <c r="I117" s="304">
        <v>3543.41</v>
      </c>
      <c r="J117" s="286">
        <v>77</v>
      </c>
      <c r="K117" s="304">
        <v>55884.78</v>
      </c>
    </row>
    <row r="118" spans="1:22" ht="14.25" x14ac:dyDescent="0.2">
      <c r="A118" s="301"/>
      <c r="B118" s="302"/>
      <c r="C118" s="302" t="s">
        <v>193</v>
      </c>
      <c r="D118" s="303" t="s">
        <v>187</v>
      </c>
      <c r="E118" s="286">
        <v>67</v>
      </c>
      <c r="F118" s="321"/>
      <c r="G118" s="305"/>
      <c r="H118" s="286"/>
      <c r="I118" s="304">
        <v>2082.5300000000002</v>
      </c>
      <c r="J118" s="286">
        <v>41</v>
      </c>
      <c r="K118" s="304">
        <v>29756.83</v>
      </c>
    </row>
    <row r="119" spans="1:22" ht="14.25" x14ac:dyDescent="0.2">
      <c r="A119" s="301"/>
      <c r="B119" s="302"/>
      <c r="C119" s="302" t="s">
        <v>188</v>
      </c>
      <c r="D119" s="303" t="s">
        <v>187</v>
      </c>
      <c r="E119" s="286">
        <v>175</v>
      </c>
      <c r="F119" s="321"/>
      <c r="G119" s="305"/>
      <c r="H119" s="286"/>
      <c r="I119" s="304">
        <v>49.98</v>
      </c>
      <c r="J119" s="286">
        <v>157</v>
      </c>
      <c r="K119" s="304">
        <v>1047</v>
      </c>
    </row>
    <row r="120" spans="1:22" ht="14.25" x14ac:dyDescent="0.2">
      <c r="A120" s="329"/>
      <c r="B120" s="330"/>
      <c r="C120" s="330" t="s">
        <v>192</v>
      </c>
      <c r="D120" s="331" t="s">
        <v>191</v>
      </c>
      <c r="E120" s="332">
        <v>54.34</v>
      </c>
      <c r="F120" s="333"/>
      <c r="G120" s="334" t="s">
        <v>195</v>
      </c>
      <c r="H120" s="332">
        <v>1</v>
      </c>
      <c r="I120" s="335">
        <v>239.1</v>
      </c>
      <c r="J120" s="332"/>
      <c r="K120" s="335"/>
    </row>
    <row r="121" spans="1:22" ht="15" x14ac:dyDescent="0.25">
      <c r="A121" s="336"/>
      <c r="B121" s="336"/>
      <c r="C121" s="337" t="s">
        <v>183</v>
      </c>
      <c r="D121" s="336"/>
      <c r="E121" s="336"/>
      <c r="F121" s="336"/>
      <c r="G121" s="336"/>
      <c r="H121" s="461">
        <v>280524.96999999997</v>
      </c>
      <c r="I121" s="461"/>
      <c r="J121" s="461">
        <v>1632606.67</v>
      </c>
      <c r="K121" s="461"/>
      <c r="O121" s="163">
        <f>I111+I112+I114+I117+I118+I119+SUM(I115:I116)</f>
        <v>280524.96999999997</v>
      </c>
      <c r="P121" s="163">
        <f>K111+K112+K114+K117+K118+K119+SUM(K115:K116)</f>
        <v>1632606.67</v>
      </c>
    </row>
    <row r="123" spans="1:22" ht="57" x14ac:dyDescent="0.2">
      <c r="A123" s="301" t="s">
        <v>1565</v>
      </c>
      <c r="B123" s="302" t="s">
        <v>3313</v>
      </c>
      <c r="C123" s="302" t="s">
        <v>1326</v>
      </c>
      <c r="D123" s="303" t="s">
        <v>1890</v>
      </c>
      <c r="E123" s="286">
        <v>5.2</v>
      </c>
      <c r="F123" s="321">
        <v>902.73</v>
      </c>
      <c r="G123" s="305" t="s">
        <v>195</v>
      </c>
      <c r="H123" s="286">
        <v>1</v>
      </c>
      <c r="I123" s="304">
        <v>4694.2</v>
      </c>
      <c r="J123" s="286">
        <v>0.85</v>
      </c>
      <c r="K123" s="304">
        <v>3990.07</v>
      </c>
      <c r="Q123" s="160">
        <f>[10]Source!X97</f>
        <v>0</v>
      </c>
      <c r="R123" s="160">
        <f>[10]Source!X98</f>
        <v>0</v>
      </c>
      <c r="S123" s="160">
        <f>[10]Source!Y97</f>
        <v>0</v>
      </c>
      <c r="T123" s="160">
        <f>[10]Source!Y98</f>
        <v>0</v>
      </c>
      <c r="U123" s="160">
        <f>ROUND((175/100)*ROUND([10]Source!R97, 2), 2)</f>
        <v>0</v>
      </c>
      <c r="V123" s="160">
        <f>ROUND((157/100)*ROUND([10]Source!R98, 2), 2)</f>
        <v>0</v>
      </c>
    </row>
    <row r="124" spans="1:22" x14ac:dyDescent="0.2">
      <c r="A124" s="358"/>
      <c r="B124" s="358"/>
      <c r="C124" s="359" t="s">
        <v>3314</v>
      </c>
      <c r="D124" s="358"/>
      <c r="E124" s="358"/>
      <c r="F124" s="358"/>
      <c r="G124" s="358"/>
      <c r="H124" s="358"/>
      <c r="I124" s="358"/>
      <c r="J124" s="358"/>
      <c r="K124" s="358"/>
    </row>
    <row r="125" spans="1:22" ht="15" x14ac:dyDescent="0.25">
      <c r="A125" s="336"/>
      <c r="B125" s="336"/>
      <c r="C125" s="337" t="s">
        <v>183</v>
      </c>
      <c r="D125" s="336"/>
      <c r="E125" s="336"/>
      <c r="F125" s="336"/>
      <c r="G125" s="336"/>
      <c r="H125" s="461">
        <v>4694.2</v>
      </c>
      <c r="I125" s="461"/>
      <c r="J125" s="461">
        <v>3990.07</v>
      </c>
      <c r="K125" s="461"/>
      <c r="O125" s="163">
        <f>I123</f>
        <v>4694.2</v>
      </c>
      <c r="P125" s="163">
        <f>K123</f>
        <v>3990.07</v>
      </c>
    </row>
    <row r="127" spans="1:22" ht="57" x14ac:dyDescent="0.2">
      <c r="A127" s="301" t="s">
        <v>1572</v>
      </c>
      <c r="B127" s="302" t="s">
        <v>3315</v>
      </c>
      <c r="C127" s="302" t="s">
        <v>1325</v>
      </c>
      <c r="D127" s="303" t="s">
        <v>1890</v>
      </c>
      <c r="E127" s="286">
        <v>104.4</v>
      </c>
      <c r="F127" s="321">
        <v>152.38</v>
      </c>
      <c r="G127" s="305" t="s">
        <v>195</v>
      </c>
      <c r="H127" s="286">
        <v>1</v>
      </c>
      <c r="I127" s="304">
        <v>15908.47</v>
      </c>
      <c r="J127" s="286">
        <v>2.16</v>
      </c>
      <c r="K127" s="304">
        <v>34362.300000000003</v>
      </c>
      <c r="Q127" s="160">
        <f>[10]Source!X99</f>
        <v>0</v>
      </c>
      <c r="R127" s="160">
        <f>[10]Source!X100</f>
        <v>0</v>
      </c>
      <c r="S127" s="160">
        <f>[10]Source!Y99</f>
        <v>0</v>
      </c>
      <c r="T127" s="160">
        <f>[10]Source!Y100</f>
        <v>0</v>
      </c>
      <c r="U127" s="160">
        <f>ROUND((175/100)*ROUND([10]Source!R99, 2), 2)</f>
        <v>0</v>
      </c>
      <c r="V127" s="160">
        <f>ROUND((157/100)*ROUND([10]Source!R100, 2), 2)</f>
        <v>0</v>
      </c>
    </row>
    <row r="128" spans="1:22" x14ac:dyDescent="0.2">
      <c r="A128" s="358"/>
      <c r="B128" s="358"/>
      <c r="C128" s="359" t="s">
        <v>3316</v>
      </c>
      <c r="D128" s="358"/>
      <c r="E128" s="358"/>
      <c r="F128" s="358"/>
      <c r="G128" s="358"/>
      <c r="H128" s="358"/>
      <c r="I128" s="358"/>
      <c r="J128" s="358"/>
      <c r="K128" s="358"/>
    </row>
    <row r="129" spans="1:22" ht="15" x14ac:dyDescent="0.25">
      <c r="A129" s="336"/>
      <c r="B129" s="336"/>
      <c r="C129" s="337" t="s">
        <v>183</v>
      </c>
      <c r="D129" s="336"/>
      <c r="E129" s="336"/>
      <c r="F129" s="336"/>
      <c r="G129" s="336"/>
      <c r="H129" s="461">
        <v>15908.47</v>
      </c>
      <c r="I129" s="461"/>
      <c r="J129" s="461">
        <v>34362.300000000003</v>
      </c>
      <c r="K129" s="461"/>
      <c r="O129" s="163">
        <f>I127</f>
        <v>15908.47</v>
      </c>
      <c r="P129" s="163">
        <f>K127</f>
        <v>34362.300000000003</v>
      </c>
    </row>
    <row r="131" spans="1:22" ht="54" x14ac:dyDescent="0.2">
      <c r="A131" s="329" t="s">
        <v>1578</v>
      </c>
      <c r="B131" s="330" t="s">
        <v>3307</v>
      </c>
      <c r="C131" s="330" t="s">
        <v>1324</v>
      </c>
      <c r="D131" s="331" t="s">
        <v>1661</v>
      </c>
      <c r="E131" s="332">
        <v>4</v>
      </c>
      <c r="F131" s="333">
        <v>155.1</v>
      </c>
      <c r="G131" s="334" t="s">
        <v>195</v>
      </c>
      <c r="H131" s="332">
        <v>1</v>
      </c>
      <c r="I131" s="335">
        <v>620.4</v>
      </c>
      <c r="J131" s="332">
        <v>5.42</v>
      </c>
      <c r="K131" s="335">
        <v>3362.57</v>
      </c>
      <c r="Q131" s="160">
        <f>[10]Source!X101</f>
        <v>0</v>
      </c>
      <c r="R131" s="160">
        <f>[10]Source!X102</f>
        <v>0</v>
      </c>
      <c r="S131" s="160">
        <f>[10]Source!Y101</f>
        <v>0</v>
      </c>
      <c r="T131" s="160">
        <f>[10]Source!Y102</f>
        <v>0</v>
      </c>
      <c r="U131" s="160">
        <f>ROUND((175/100)*ROUND([10]Source!R101, 2), 2)</f>
        <v>0</v>
      </c>
      <c r="V131" s="160">
        <f>ROUND((157/100)*ROUND([10]Source!R102, 2), 2)</f>
        <v>0</v>
      </c>
    </row>
    <row r="132" spans="1:22" ht="15" x14ac:dyDescent="0.25">
      <c r="A132" s="336"/>
      <c r="B132" s="336"/>
      <c r="C132" s="337" t="s">
        <v>183</v>
      </c>
      <c r="D132" s="336"/>
      <c r="E132" s="336"/>
      <c r="F132" s="336"/>
      <c r="G132" s="336"/>
      <c r="H132" s="461">
        <v>620.4</v>
      </c>
      <c r="I132" s="461"/>
      <c r="J132" s="461">
        <v>3362.57</v>
      </c>
      <c r="K132" s="461"/>
      <c r="O132" s="163">
        <f>I131</f>
        <v>620.4</v>
      </c>
      <c r="P132" s="163">
        <f>K131</f>
        <v>3362.57</v>
      </c>
    </row>
    <row r="134" spans="1:22" ht="28.5" x14ac:dyDescent="0.2">
      <c r="A134" s="301" t="s">
        <v>1587</v>
      </c>
      <c r="B134" s="302" t="s">
        <v>3317</v>
      </c>
      <c r="C134" s="302" t="s">
        <v>1323</v>
      </c>
      <c r="D134" s="303" t="s">
        <v>1536</v>
      </c>
      <c r="E134" s="286">
        <v>0.02</v>
      </c>
      <c r="F134" s="321"/>
      <c r="G134" s="305"/>
      <c r="H134" s="286"/>
      <c r="I134" s="304"/>
      <c r="J134" s="286"/>
      <c r="K134" s="304"/>
      <c r="Q134" s="160">
        <f>[10]Source!X103</f>
        <v>25.09</v>
      </c>
      <c r="R134" s="160">
        <f>[10]Source!X104</f>
        <v>395.73</v>
      </c>
      <c r="S134" s="160">
        <f>[10]Source!Y103</f>
        <v>14.75</v>
      </c>
      <c r="T134" s="160">
        <f>[10]Source!Y104</f>
        <v>210.71</v>
      </c>
      <c r="U134" s="160">
        <f>ROUND((175/100)*ROUND([10]Source!R103, 2), 2)</f>
        <v>0.79</v>
      </c>
      <c r="V134" s="160">
        <f>ROUND((157/100)*ROUND([10]Source!R104, 2), 2)</f>
        <v>16.5</v>
      </c>
    </row>
    <row r="135" spans="1:22" x14ac:dyDescent="0.2">
      <c r="C135" s="316" t="s">
        <v>3318</v>
      </c>
    </row>
    <row r="136" spans="1:22" ht="14.25" x14ac:dyDescent="0.2">
      <c r="A136" s="301"/>
      <c r="B136" s="302"/>
      <c r="C136" s="302" t="s">
        <v>197</v>
      </c>
      <c r="D136" s="303"/>
      <c r="E136" s="286"/>
      <c r="F136" s="321">
        <v>1100.71</v>
      </c>
      <c r="G136" s="305" t="s">
        <v>195</v>
      </c>
      <c r="H136" s="286">
        <v>1</v>
      </c>
      <c r="I136" s="304">
        <v>22.01</v>
      </c>
      <c r="J136" s="286">
        <v>23.35</v>
      </c>
      <c r="K136" s="304">
        <v>513.92999999999995</v>
      </c>
    </row>
    <row r="137" spans="1:22" ht="14.25" x14ac:dyDescent="0.2">
      <c r="A137" s="301"/>
      <c r="B137" s="302"/>
      <c r="C137" s="302" t="s">
        <v>184</v>
      </c>
      <c r="D137" s="303"/>
      <c r="E137" s="286"/>
      <c r="F137" s="321">
        <v>139.31</v>
      </c>
      <c r="G137" s="305" t="s">
        <v>195</v>
      </c>
      <c r="H137" s="286">
        <v>1</v>
      </c>
      <c r="I137" s="304">
        <v>2.79</v>
      </c>
      <c r="J137" s="286">
        <v>8.25</v>
      </c>
      <c r="K137" s="304">
        <v>23.02</v>
      </c>
    </row>
    <row r="138" spans="1:22" ht="14.25" x14ac:dyDescent="0.2">
      <c r="A138" s="301"/>
      <c r="B138" s="302"/>
      <c r="C138" s="302" t="s">
        <v>189</v>
      </c>
      <c r="D138" s="303"/>
      <c r="E138" s="286"/>
      <c r="F138" s="321">
        <v>22.46</v>
      </c>
      <c r="G138" s="305" t="s">
        <v>195</v>
      </c>
      <c r="H138" s="286">
        <v>1</v>
      </c>
      <c r="I138" s="306">
        <v>0.45</v>
      </c>
      <c r="J138" s="286">
        <v>23.35</v>
      </c>
      <c r="K138" s="306">
        <v>10.51</v>
      </c>
    </row>
    <row r="139" spans="1:22" ht="14.25" x14ac:dyDescent="0.2">
      <c r="A139" s="301"/>
      <c r="B139" s="302"/>
      <c r="C139" s="302" t="s">
        <v>205</v>
      </c>
      <c r="D139" s="303"/>
      <c r="E139" s="286"/>
      <c r="F139" s="321">
        <v>116.9</v>
      </c>
      <c r="G139" s="305" t="s">
        <v>195</v>
      </c>
      <c r="H139" s="286">
        <v>1</v>
      </c>
      <c r="I139" s="304">
        <v>2.34</v>
      </c>
      <c r="J139" s="286">
        <v>5.42</v>
      </c>
      <c r="K139" s="304">
        <v>12.68</v>
      </c>
    </row>
    <row r="140" spans="1:22" ht="42.75" x14ac:dyDescent="0.2">
      <c r="A140" s="301" t="s">
        <v>1588</v>
      </c>
      <c r="B140" s="302" t="s">
        <v>3319</v>
      </c>
      <c r="C140" s="302" t="s">
        <v>1322</v>
      </c>
      <c r="D140" s="303" t="s">
        <v>1661</v>
      </c>
      <c r="E140" s="286">
        <v>1</v>
      </c>
      <c r="F140" s="321">
        <v>347.2</v>
      </c>
      <c r="G140" s="315" t="s">
        <v>195</v>
      </c>
      <c r="H140" s="286">
        <v>1</v>
      </c>
      <c r="I140" s="304">
        <v>347.2</v>
      </c>
      <c r="J140" s="286">
        <v>6.42</v>
      </c>
      <c r="K140" s="304">
        <v>2229.02</v>
      </c>
      <c r="Q140" s="160">
        <f>[10]Source!X105</f>
        <v>0</v>
      </c>
      <c r="R140" s="160">
        <f>[10]Source!X106</f>
        <v>0</v>
      </c>
      <c r="S140" s="160">
        <f>[10]Source!Y105</f>
        <v>0</v>
      </c>
      <c r="T140" s="160">
        <f>[10]Source!Y106</f>
        <v>0</v>
      </c>
      <c r="U140" s="160">
        <f>ROUND((175/100)*ROUND([10]Source!R105, 2), 2)</f>
        <v>0</v>
      </c>
      <c r="V140" s="160">
        <f>ROUND((157/100)*ROUND([10]Source!R106, 2), 2)</f>
        <v>0</v>
      </c>
    </row>
    <row r="141" spans="1:22" ht="114" x14ac:dyDescent="0.2">
      <c r="A141" s="301" t="s">
        <v>1967</v>
      </c>
      <c r="B141" s="302" t="s">
        <v>3320</v>
      </c>
      <c r="C141" s="302" t="s">
        <v>1321</v>
      </c>
      <c r="D141" s="303" t="s">
        <v>1661</v>
      </c>
      <c r="E141" s="286">
        <v>1</v>
      </c>
      <c r="F141" s="321">
        <v>771.4</v>
      </c>
      <c r="G141" s="315" t="s">
        <v>195</v>
      </c>
      <c r="H141" s="286">
        <v>1</v>
      </c>
      <c r="I141" s="304">
        <v>771.4</v>
      </c>
      <c r="J141" s="286">
        <v>7.19</v>
      </c>
      <c r="K141" s="304">
        <v>5546.37</v>
      </c>
      <c r="Q141" s="160">
        <f>[10]Source!X107</f>
        <v>0</v>
      </c>
      <c r="R141" s="160">
        <f>[10]Source!X108</f>
        <v>0</v>
      </c>
      <c r="S141" s="160">
        <f>[10]Source!Y107</f>
        <v>0</v>
      </c>
      <c r="T141" s="160">
        <f>[10]Source!Y108</f>
        <v>0</v>
      </c>
      <c r="U141" s="160">
        <f>ROUND((175/100)*ROUND([10]Source!R107, 2), 2)</f>
        <v>0</v>
      </c>
      <c r="V141" s="160">
        <f>ROUND((157/100)*ROUND([10]Source!R108, 2), 2)</f>
        <v>0</v>
      </c>
    </row>
    <row r="142" spans="1:22" ht="14.25" x14ac:dyDescent="0.2">
      <c r="A142" s="301"/>
      <c r="B142" s="302"/>
      <c r="C142" s="302" t="s">
        <v>194</v>
      </c>
      <c r="D142" s="303" t="s">
        <v>187</v>
      </c>
      <c r="E142" s="286">
        <v>114</v>
      </c>
      <c r="F142" s="321"/>
      <c r="G142" s="305"/>
      <c r="H142" s="286"/>
      <c r="I142" s="304">
        <v>25.09</v>
      </c>
      <c r="J142" s="286">
        <v>77</v>
      </c>
      <c r="K142" s="304">
        <v>395.73</v>
      </c>
    </row>
    <row r="143" spans="1:22" ht="14.25" x14ac:dyDescent="0.2">
      <c r="A143" s="301"/>
      <c r="B143" s="302"/>
      <c r="C143" s="302" t="s">
        <v>193</v>
      </c>
      <c r="D143" s="303" t="s">
        <v>187</v>
      </c>
      <c r="E143" s="286">
        <v>67</v>
      </c>
      <c r="F143" s="321"/>
      <c r="G143" s="305"/>
      <c r="H143" s="286"/>
      <c r="I143" s="304">
        <v>14.75</v>
      </c>
      <c r="J143" s="286">
        <v>41</v>
      </c>
      <c r="K143" s="304">
        <v>210.71</v>
      </c>
    </row>
    <row r="144" spans="1:22" ht="14.25" x14ac:dyDescent="0.2">
      <c r="A144" s="301"/>
      <c r="B144" s="302"/>
      <c r="C144" s="302" t="s">
        <v>188</v>
      </c>
      <c r="D144" s="303" t="s">
        <v>187</v>
      </c>
      <c r="E144" s="286">
        <v>175</v>
      </c>
      <c r="F144" s="321"/>
      <c r="G144" s="305"/>
      <c r="H144" s="286"/>
      <c r="I144" s="304">
        <v>0.79</v>
      </c>
      <c r="J144" s="286">
        <v>157</v>
      </c>
      <c r="K144" s="304">
        <v>16.5</v>
      </c>
    </row>
    <row r="145" spans="1:22" ht="14.25" x14ac:dyDescent="0.2">
      <c r="A145" s="329"/>
      <c r="B145" s="330"/>
      <c r="C145" s="330" t="s">
        <v>192</v>
      </c>
      <c r="D145" s="331" t="s">
        <v>191</v>
      </c>
      <c r="E145" s="332">
        <v>84.67</v>
      </c>
      <c r="F145" s="333"/>
      <c r="G145" s="334" t="s">
        <v>195</v>
      </c>
      <c r="H145" s="332">
        <v>1</v>
      </c>
      <c r="I145" s="335">
        <v>1.69</v>
      </c>
      <c r="J145" s="332"/>
      <c r="K145" s="335"/>
    </row>
    <row r="146" spans="1:22" ht="15" x14ac:dyDescent="0.25">
      <c r="A146" s="336"/>
      <c r="B146" s="336"/>
      <c r="C146" s="337" t="s">
        <v>183</v>
      </c>
      <c r="D146" s="336"/>
      <c r="E146" s="336"/>
      <c r="F146" s="336"/>
      <c r="G146" s="336"/>
      <c r="H146" s="461">
        <v>1186.3699999999999</v>
      </c>
      <c r="I146" s="461"/>
      <c r="J146" s="461">
        <v>8947.9599999999991</v>
      </c>
      <c r="K146" s="461"/>
      <c r="O146" s="163">
        <f>I136+I137+I139+I142+I143+I144+SUM(I140:I141)</f>
        <v>1186.3699999999999</v>
      </c>
      <c r="P146" s="163">
        <f>K136+K137+K139+K142+K143+K144+SUM(K140:K141)</f>
        <v>8947.9599999999991</v>
      </c>
    </row>
    <row r="148" spans="1:22" ht="42.75" x14ac:dyDescent="0.2">
      <c r="A148" s="301" t="s">
        <v>1589</v>
      </c>
      <c r="B148" s="302" t="s">
        <v>3321</v>
      </c>
      <c r="C148" s="302" t="s">
        <v>1320</v>
      </c>
      <c r="D148" s="303" t="s">
        <v>1536</v>
      </c>
      <c r="E148" s="286">
        <v>1.1399999999999999</v>
      </c>
      <c r="F148" s="321"/>
      <c r="G148" s="305"/>
      <c r="H148" s="286"/>
      <c r="I148" s="304"/>
      <c r="J148" s="286"/>
      <c r="K148" s="304"/>
      <c r="Q148" s="160">
        <f>[10]Source!X109</f>
        <v>506.84</v>
      </c>
      <c r="R148" s="160">
        <f>[10]Source!X110</f>
        <v>7993.69</v>
      </c>
      <c r="S148" s="160">
        <f>[10]Source!Y109</f>
        <v>297.88</v>
      </c>
      <c r="T148" s="160">
        <f>[10]Source!Y110</f>
        <v>4256.38</v>
      </c>
      <c r="U148" s="160">
        <f>ROUND((175/100)*ROUND([10]Source!R109, 2), 2)</f>
        <v>1.26</v>
      </c>
      <c r="V148" s="160">
        <f>ROUND((157/100)*ROUND([10]Source!R110, 2), 2)</f>
        <v>26.39</v>
      </c>
    </row>
    <row r="149" spans="1:22" x14ac:dyDescent="0.2">
      <c r="C149" s="316" t="s">
        <v>3322</v>
      </c>
    </row>
    <row r="150" spans="1:22" ht="14.25" x14ac:dyDescent="0.2">
      <c r="A150" s="301"/>
      <c r="B150" s="302"/>
      <c r="C150" s="302" t="s">
        <v>197</v>
      </c>
      <c r="D150" s="303"/>
      <c r="E150" s="286"/>
      <c r="F150" s="321">
        <v>390</v>
      </c>
      <c r="G150" s="305" t="s">
        <v>195</v>
      </c>
      <c r="H150" s="286">
        <v>1</v>
      </c>
      <c r="I150" s="304">
        <v>444.6</v>
      </c>
      <c r="J150" s="286">
        <v>23.35</v>
      </c>
      <c r="K150" s="304">
        <v>10381.41</v>
      </c>
    </row>
    <row r="151" spans="1:22" ht="14.25" x14ac:dyDescent="0.2">
      <c r="A151" s="301"/>
      <c r="B151" s="302"/>
      <c r="C151" s="302" t="s">
        <v>184</v>
      </c>
      <c r="D151" s="303"/>
      <c r="E151" s="286"/>
      <c r="F151" s="321">
        <v>2.71</v>
      </c>
      <c r="G151" s="305" t="s">
        <v>195</v>
      </c>
      <c r="H151" s="286">
        <v>1</v>
      </c>
      <c r="I151" s="304">
        <v>3.09</v>
      </c>
      <c r="J151" s="286">
        <v>9.5399999999999991</v>
      </c>
      <c r="K151" s="304">
        <v>29.48</v>
      </c>
    </row>
    <row r="152" spans="1:22" ht="14.25" x14ac:dyDescent="0.2">
      <c r="A152" s="301"/>
      <c r="B152" s="302"/>
      <c r="C152" s="302" t="s">
        <v>189</v>
      </c>
      <c r="D152" s="303"/>
      <c r="E152" s="286"/>
      <c r="F152" s="321">
        <v>0.63</v>
      </c>
      <c r="G152" s="305" t="s">
        <v>195</v>
      </c>
      <c r="H152" s="286">
        <v>1</v>
      </c>
      <c r="I152" s="306">
        <v>0.72</v>
      </c>
      <c r="J152" s="286">
        <v>23.35</v>
      </c>
      <c r="K152" s="306">
        <v>16.809999999999999</v>
      </c>
    </row>
    <row r="153" spans="1:22" ht="14.25" x14ac:dyDescent="0.2">
      <c r="A153" s="301"/>
      <c r="B153" s="302"/>
      <c r="C153" s="302" t="s">
        <v>205</v>
      </c>
      <c r="D153" s="303"/>
      <c r="E153" s="286"/>
      <c r="F153" s="321">
        <v>7.56</v>
      </c>
      <c r="G153" s="305" t="s">
        <v>195</v>
      </c>
      <c r="H153" s="286">
        <v>1</v>
      </c>
      <c r="I153" s="304">
        <v>8.6199999999999992</v>
      </c>
      <c r="J153" s="286">
        <v>5.42</v>
      </c>
      <c r="K153" s="304">
        <v>46.72</v>
      </c>
    </row>
    <row r="154" spans="1:22" ht="57" x14ac:dyDescent="0.2">
      <c r="A154" s="301" t="s">
        <v>1592</v>
      </c>
      <c r="B154" s="302" t="s">
        <v>3323</v>
      </c>
      <c r="C154" s="302" t="s">
        <v>1319</v>
      </c>
      <c r="D154" s="303" t="s">
        <v>1661</v>
      </c>
      <c r="E154" s="286">
        <v>114</v>
      </c>
      <c r="F154" s="321">
        <v>15.71</v>
      </c>
      <c r="G154" s="315" t="s">
        <v>195</v>
      </c>
      <c r="H154" s="286">
        <v>1</v>
      </c>
      <c r="I154" s="304">
        <v>1790.94</v>
      </c>
      <c r="J154" s="286">
        <v>3.88</v>
      </c>
      <c r="K154" s="304">
        <v>6948.85</v>
      </c>
      <c r="Q154" s="160">
        <f>[10]Source!X111</f>
        <v>0</v>
      </c>
      <c r="R154" s="160">
        <f>[10]Source!X112</f>
        <v>0</v>
      </c>
      <c r="S154" s="160">
        <f>[10]Source!Y111</f>
        <v>0</v>
      </c>
      <c r="T154" s="160">
        <f>[10]Source!Y112</f>
        <v>0</v>
      </c>
      <c r="U154" s="160">
        <f>ROUND((175/100)*ROUND([10]Source!R111, 2), 2)</f>
        <v>0</v>
      </c>
      <c r="V154" s="160">
        <f>ROUND((157/100)*ROUND([10]Source!R112, 2), 2)</f>
        <v>0</v>
      </c>
    </row>
    <row r="155" spans="1:22" ht="14.25" x14ac:dyDescent="0.2">
      <c r="A155" s="301"/>
      <c r="B155" s="302"/>
      <c r="C155" s="302" t="s">
        <v>194</v>
      </c>
      <c r="D155" s="303" t="s">
        <v>187</v>
      </c>
      <c r="E155" s="286">
        <v>114</v>
      </c>
      <c r="F155" s="321"/>
      <c r="G155" s="305"/>
      <c r="H155" s="286"/>
      <c r="I155" s="304">
        <v>506.84</v>
      </c>
      <c r="J155" s="286">
        <v>77</v>
      </c>
      <c r="K155" s="304">
        <v>7993.69</v>
      </c>
    </row>
    <row r="156" spans="1:22" ht="14.25" x14ac:dyDescent="0.2">
      <c r="A156" s="301"/>
      <c r="B156" s="302"/>
      <c r="C156" s="302" t="s">
        <v>193</v>
      </c>
      <c r="D156" s="303" t="s">
        <v>187</v>
      </c>
      <c r="E156" s="286">
        <v>67</v>
      </c>
      <c r="F156" s="321"/>
      <c r="G156" s="305"/>
      <c r="H156" s="286"/>
      <c r="I156" s="304">
        <v>297.88</v>
      </c>
      <c r="J156" s="286">
        <v>41</v>
      </c>
      <c r="K156" s="304">
        <v>4256.38</v>
      </c>
    </row>
    <row r="157" spans="1:22" ht="14.25" x14ac:dyDescent="0.2">
      <c r="A157" s="301"/>
      <c r="B157" s="302"/>
      <c r="C157" s="302" t="s">
        <v>188</v>
      </c>
      <c r="D157" s="303" t="s">
        <v>187</v>
      </c>
      <c r="E157" s="286">
        <v>175</v>
      </c>
      <c r="F157" s="321"/>
      <c r="G157" s="305"/>
      <c r="H157" s="286"/>
      <c r="I157" s="304">
        <v>1.26</v>
      </c>
      <c r="J157" s="286">
        <v>157</v>
      </c>
      <c r="K157" s="304">
        <v>26.39</v>
      </c>
    </row>
    <row r="158" spans="1:22" ht="14.25" x14ac:dyDescent="0.2">
      <c r="A158" s="329"/>
      <c r="B158" s="330"/>
      <c r="C158" s="330" t="s">
        <v>192</v>
      </c>
      <c r="D158" s="331" t="s">
        <v>191</v>
      </c>
      <c r="E158" s="332">
        <v>30</v>
      </c>
      <c r="F158" s="333"/>
      <c r="G158" s="334" t="s">
        <v>195</v>
      </c>
      <c r="H158" s="332">
        <v>1</v>
      </c>
      <c r="I158" s="335">
        <v>34.200000000000003</v>
      </c>
      <c r="J158" s="332"/>
      <c r="K158" s="335"/>
    </row>
    <row r="159" spans="1:22" ht="15" x14ac:dyDescent="0.25">
      <c r="A159" s="336"/>
      <c r="B159" s="336"/>
      <c r="C159" s="337" t="s">
        <v>183</v>
      </c>
      <c r="D159" s="336"/>
      <c r="E159" s="336"/>
      <c r="F159" s="336"/>
      <c r="G159" s="336"/>
      <c r="H159" s="461">
        <v>3053.23</v>
      </c>
      <c r="I159" s="461"/>
      <c r="J159" s="461">
        <v>29682.92</v>
      </c>
      <c r="K159" s="461"/>
      <c r="O159" s="163">
        <f>I150+I151+I153+I155+I156+I157+SUM(I154:I154)</f>
        <v>3053.23</v>
      </c>
      <c r="P159" s="163">
        <f>K150+K151+K153+K155+K156+K157+SUM(K154:K154)</f>
        <v>29682.92</v>
      </c>
    </row>
    <row r="161" spans="1:22" ht="42.75" x14ac:dyDescent="0.2">
      <c r="A161" s="301" t="s">
        <v>1599</v>
      </c>
      <c r="B161" s="302" t="s">
        <v>3324</v>
      </c>
      <c r="C161" s="302" t="s">
        <v>1318</v>
      </c>
      <c r="D161" s="303" t="s">
        <v>1536</v>
      </c>
      <c r="E161" s="286">
        <v>0.56999999999999995</v>
      </c>
      <c r="F161" s="321"/>
      <c r="G161" s="305"/>
      <c r="H161" s="286"/>
      <c r="I161" s="304"/>
      <c r="J161" s="286"/>
      <c r="K161" s="304"/>
      <c r="Q161" s="160">
        <f>[10]Source!X113</f>
        <v>254.36</v>
      </c>
      <c r="R161" s="160">
        <f>[10]Source!X114</f>
        <v>4011.58</v>
      </c>
      <c r="S161" s="160">
        <f>[10]Source!Y113</f>
        <v>149.49</v>
      </c>
      <c r="T161" s="160">
        <f>[10]Source!Y114</f>
        <v>2136.04</v>
      </c>
      <c r="U161" s="160">
        <f>ROUND((175/100)*ROUND([10]Source!R113, 2), 2)</f>
        <v>0.63</v>
      </c>
      <c r="V161" s="160">
        <f>ROUND((157/100)*ROUND([10]Source!R114, 2), 2)</f>
        <v>13.2</v>
      </c>
    </row>
    <row r="162" spans="1:22" x14ac:dyDescent="0.2">
      <c r="C162" s="316" t="s">
        <v>3325</v>
      </c>
    </row>
    <row r="163" spans="1:22" ht="14.25" x14ac:dyDescent="0.2">
      <c r="A163" s="301"/>
      <c r="B163" s="302"/>
      <c r="C163" s="302" t="s">
        <v>197</v>
      </c>
      <c r="D163" s="303"/>
      <c r="E163" s="286"/>
      <c r="F163" s="321">
        <v>391.43</v>
      </c>
      <c r="G163" s="305" t="s">
        <v>195</v>
      </c>
      <c r="H163" s="286">
        <v>1</v>
      </c>
      <c r="I163" s="304">
        <v>223.12</v>
      </c>
      <c r="J163" s="286">
        <v>23.35</v>
      </c>
      <c r="K163" s="304">
        <v>5209.8500000000004</v>
      </c>
    </row>
    <row r="164" spans="1:22" ht="14.25" x14ac:dyDescent="0.2">
      <c r="A164" s="301"/>
      <c r="B164" s="302"/>
      <c r="C164" s="302" t="s">
        <v>184</v>
      </c>
      <c r="D164" s="303"/>
      <c r="E164" s="286"/>
      <c r="F164" s="321">
        <v>2.71</v>
      </c>
      <c r="G164" s="305" t="s">
        <v>195</v>
      </c>
      <c r="H164" s="286">
        <v>1</v>
      </c>
      <c r="I164" s="304">
        <v>1.54</v>
      </c>
      <c r="J164" s="286">
        <v>9.5399999999999991</v>
      </c>
      <c r="K164" s="304">
        <v>14.69</v>
      </c>
    </row>
    <row r="165" spans="1:22" ht="14.25" x14ac:dyDescent="0.2">
      <c r="A165" s="301"/>
      <c r="B165" s="302"/>
      <c r="C165" s="302" t="s">
        <v>189</v>
      </c>
      <c r="D165" s="303"/>
      <c r="E165" s="286"/>
      <c r="F165" s="321">
        <v>0.63</v>
      </c>
      <c r="G165" s="305" t="s">
        <v>195</v>
      </c>
      <c r="H165" s="286">
        <v>1</v>
      </c>
      <c r="I165" s="306">
        <v>0.36</v>
      </c>
      <c r="J165" s="286">
        <v>23.35</v>
      </c>
      <c r="K165" s="306">
        <v>8.41</v>
      </c>
    </row>
    <row r="166" spans="1:22" ht="14.25" x14ac:dyDescent="0.2">
      <c r="A166" s="301"/>
      <c r="B166" s="302"/>
      <c r="C166" s="302" t="s">
        <v>205</v>
      </c>
      <c r="D166" s="303"/>
      <c r="E166" s="286"/>
      <c r="F166" s="321">
        <v>7.56</v>
      </c>
      <c r="G166" s="305" t="s">
        <v>195</v>
      </c>
      <c r="H166" s="286">
        <v>1</v>
      </c>
      <c r="I166" s="304">
        <v>4.3099999999999996</v>
      </c>
      <c r="J166" s="286">
        <v>5.42</v>
      </c>
      <c r="K166" s="304">
        <v>23.36</v>
      </c>
    </row>
    <row r="167" spans="1:22" ht="57" x14ac:dyDescent="0.2">
      <c r="A167" s="301" t="s">
        <v>1600</v>
      </c>
      <c r="B167" s="302" t="s">
        <v>3326</v>
      </c>
      <c r="C167" s="302" t="s">
        <v>1317</v>
      </c>
      <c r="D167" s="303" t="s">
        <v>1661</v>
      </c>
      <c r="E167" s="286">
        <v>57</v>
      </c>
      <c r="F167" s="321">
        <v>17.760000000000002</v>
      </c>
      <c r="G167" s="315" t="s">
        <v>195</v>
      </c>
      <c r="H167" s="286">
        <v>1</v>
      </c>
      <c r="I167" s="304">
        <v>1012.32</v>
      </c>
      <c r="J167" s="286">
        <v>4.4400000000000004</v>
      </c>
      <c r="K167" s="304">
        <v>4494.7</v>
      </c>
      <c r="Q167" s="160">
        <f>[10]Source!X115</f>
        <v>0</v>
      </c>
      <c r="R167" s="160">
        <f>[10]Source!X116</f>
        <v>0</v>
      </c>
      <c r="S167" s="160">
        <f>[10]Source!Y115</f>
        <v>0</v>
      </c>
      <c r="T167" s="160">
        <f>[10]Source!Y116</f>
        <v>0</v>
      </c>
      <c r="U167" s="160">
        <f>ROUND((175/100)*ROUND([10]Source!R115, 2), 2)</f>
        <v>0</v>
      </c>
      <c r="V167" s="160">
        <f>ROUND((157/100)*ROUND([10]Source!R116, 2), 2)</f>
        <v>0</v>
      </c>
    </row>
    <row r="168" spans="1:22" ht="14.25" x14ac:dyDescent="0.2">
      <c r="A168" s="301"/>
      <c r="B168" s="302"/>
      <c r="C168" s="302" t="s">
        <v>194</v>
      </c>
      <c r="D168" s="303" t="s">
        <v>187</v>
      </c>
      <c r="E168" s="286">
        <v>114</v>
      </c>
      <c r="F168" s="321"/>
      <c r="G168" s="305"/>
      <c r="H168" s="286"/>
      <c r="I168" s="304">
        <v>254.36</v>
      </c>
      <c r="J168" s="286">
        <v>77</v>
      </c>
      <c r="K168" s="304">
        <v>4011.58</v>
      </c>
    </row>
    <row r="169" spans="1:22" ht="14.25" x14ac:dyDescent="0.2">
      <c r="A169" s="301"/>
      <c r="B169" s="302"/>
      <c r="C169" s="302" t="s">
        <v>193</v>
      </c>
      <c r="D169" s="303" t="s">
        <v>187</v>
      </c>
      <c r="E169" s="286">
        <v>67</v>
      </c>
      <c r="F169" s="321"/>
      <c r="G169" s="305"/>
      <c r="H169" s="286"/>
      <c r="I169" s="304">
        <v>149.49</v>
      </c>
      <c r="J169" s="286">
        <v>41</v>
      </c>
      <c r="K169" s="304">
        <v>2136.04</v>
      </c>
    </row>
    <row r="170" spans="1:22" ht="14.25" x14ac:dyDescent="0.2">
      <c r="A170" s="301"/>
      <c r="B170" s="302"/>
      <c r="C170" s="302" t="s">
        <v>188</v>
      </c>
      <c r="D170" s="303" t="s">
        <v>187</v>
      </c>
      <c r="E170" s="286">
        <v>175</v>
      </c>
      <c r="F170" s="321"/>
      <c r="G170" s="305"/>
      <c r="H170" s="286"/>
      <c r="I170" s="304">
        <v>0.63</v>
      </c>
      <c r="J170" s="286">
        <v>157</v>
      </c>
      <c r="K170" s="304">
        <v>13.2</v>
      </c>
    </row>
    <row r="171" spans="1:22" ht="14.25" x14ac:dyDescent="0.2">
      <c r="A171" s="329"/>
      <c r="B171" s="330"/>
      <c r="C171" s="330" t="s">
        <v>192</v>
      </c>
      <c r="D171" s="331" t="s">
        <v>191</v>
      </c>
      <c r="E171" s="332">
        <v>30.11</v>
      </c>
      <c r="F171" s="333"/>
      <c r="G171" s="334" t="s">
        <v>195</v>
      </c>
      <c r="H171" s="332">
        <v>1</v>
      </c>
      <c r="I171" s="335">
        <v>17.16</v>
      </c>
      <c r="J171" s="332"/>
      <c r="K171" s="335"/>
    </row>
    <row r="172" spans="1:22" ht="15" x14ac:dyDescent="0.25">
      <c r="A172" s="336"/>
      <c r="B172" s="336"/>
      <c r="C172" s="337" t="s">
        <v>183</v>
      </c>
      <c r="D172" s="336"/>
      <c r="E172" s="336"/>
      <c r="F172" s="336"/>
      <c r="G172" s="336"/>
      <c r="H172" s="461">
        <v>1645.77</v>
      </c>
      <c r="I172" s="461"/>
      <c r="J172" s="461">
        <v>15903.42</v>
      </c>
      <c r="K172" s="461"/>
      <c r="O172" s="163">
        <f>I163+I164+I166+I168+I169+I170+SUM(I167:I167)</f>
        <v>1645.77</v>
      </c>
      <c r="P172" s="163">
        <f>K163+K164+K166+K168+K169+K170+SUM(K167:K167)</f>
        <v>15903.42</v>
      </c>
    </row>
    <row r="174" spans="1:22" ht="42.75" x14ac:dyDescent="0.2">
      <c r="A174" s="301" t="s">
        <v>1602</v>
      </c>
      <c r="B174" s="302" t="s">
        <v>3327</v>
      </c>
      <c r="C174" s="302" t="s">
        <v>1316</v>
      </c>
      <c r="D174" s="303" t="s">
        <v>1536</v>
      </c>
      <c r="E174" s="286">
        <v>0.17</v>
      </c>
      <c r="F174" s="321"/>
      <c r="G174" s="305"/>
      <c r="H174" s="286"/>
      <c r="I174" s="304"/>
      <c r="J174" s="286"/>
      <c r="K174" s="304"/>
      <c r="Q174" s="160">
        <f>[10]Source!X117</f>
        <v>85.91</v>
      </c>
      <c r="R174" s="160">
        <f>[10]Source!X118</f>
        <v>1354.94</v>
      </c>
      <c r="S174" s="160">
        <f>[10]Source!Y117</f>
        <v>50.49</v>
      </c>
      <c r="T174" s="160">
        <f>[10]Source!Y118</f>
        <v>721.46</v>
      </c>
      <c r="U174" s="160">
        <f>ROUND((175/100)*ROUND([10]Source!R117, 2), 2)</f>
        <v>0.33</v>
      </c>
      <c r="V174" s="160">
        <f>ROUND((157/100)*ROUND([10]Source!R118, 2), 2)</f>
        <v>6.97</v>
      </c>
    </row>
    <row r="175" spans="1:22" x14ac:dyDescent="0.2">
      <c r="C175" s="316" t="s">
        <v>2936</v>
      </c>
    </row>
    <row r="176" spans="1:22" ht="14.25" x14ac:dyDescent="0.2">
      <c r="A176" s="301"/>
      <c r="B176" s="302"/>
      <c r="C176" s="302" t="s">
        <v>197</v>
      </c>
      <c r="D176" s="303"/>
      <c r="E176" s="286"/>
      <c r="F176" s="321">
        <v>443.3</v>
      </c>
      <c r="G176" s="305" t="s">
        <v>195</v>
      </c>
      <c r="H176" s="286">
        <v>1</v>
      </c>
      <c r="I176" s="304">
        <v>75.36</v>
      </c>
      <c r="J176" s="286">
        <v>23.35</v>
      </c>
      <c r="K176" s="304">
        <v>1759.66</v>
      </c>
    </row>
    <row r="177" spans="1:22" ht="14.25" x14ac:dyDescent="0.2">
      <c r="A177" s="301"/>
      <c r="B177" s="302"/>
      <c r="C177" s="302" t="s">
        <v>184</v>
      </c>
      <c r="D177" s="303"/>
      <c r="E177" s="286"/>
      <c r="F177" s="321">
        <v>15.57</v>
      </c>
      <c r="G177" s="305" t="s">
        <v>195</v>
      </c>
      <c r="H177" s="286">
        <v>1</v>
      </c>
      <c r="I177" s="304">
        <v>2.65</v>
      </c>
      <c r="J177" s="286">
        <v>6.67</v>
      </c>
      <c r="K177" s="304">
        <v>17.68</v>
      </c>
    </row>
    <row r="178" spans="1:22" ht="14.25" x14ac:dyDescent="0.2">
      <c r="A178" s="301"/>
      <c r="B178" s="302"/>
      <c r="C178" s="302" t="s">
        <v>189</v>
      </c>
      <c r="D178" s="303"/>
      <c r="E178" s="286"/>
      <c r="F178" s="321">
        <v>1.1399999999999999</v>
      </c>
      <c r="G178" s="305" t="s">
        <v>195</v>
      </c>
      <c r="H178" s="286">
        <v>1</v>
      </c>
      <c r="I178" s="306">
        <v>0.19</v>
      </c>
      <c r="J178" s="286">
        <v>23.35</v>
      </c>
      <c r="K178" s="306">
        <v>4.4400000000000004</v>
      </c>
    </row>
    <row r="179" spans="1:22" ht="14.25" x14ac:dyDescent="0.2">
      <c r="A179" s="301"/>
      <c r="B179" s="302"/>
      <c r="C179" s="302" t="s">
        <v>205</v>
      </c>
      <c r="D179" s="303"/>
      <c r="E179" s="286"/>
      <c r="F179" s="321">
        <v>26.25</v>
      </c>
      <c r="G179" s="305" t="s">
        <v>195</v>
      </c>
      <c r="H179" s="286">
        <v>1</v>
      </c>
      <c r="I179" s="304">
        <v>4.46</v>
      </c>
      <c r="J179" s="286">
        <v>5.42</v>
      </c>
      <c r="K179" s="304">
        <v>24.17</v>
      </c>
    </row>
    <row r="180" spans="1:22" ht="57" x14ac:dyDescent="0.2">
      <c r="A180" s="301" t="s">
        <v>1604</v>
      </c>
      <c r="B180" s="302" t="s">
        <v>3328</v>
      </c>
      <c r="C180" s="302" t="s">
        <v>1315</v>
      </c>
      <c r="D180" s="303" t="s">
        <v>1661</v>
      </c>
      <c r="E180" s="286">
        <v>17</v>
      </c>
      <c r="F180" s="321">
        <v>16.72</v>
      </c>
      <c r="G180" s="315" t="s">
        <v>195</v>
      </c>
      <c r="H180" s="286">
        <v>1</v>
      </c>
      <c r="I180" s="304">
        <v>284.24</v>
      </c>
      <c r="J180" s="286">
        <v>3.64</v>
      </c>
      <c r="K180" s="304">
        <v>1034.6300000000001</v>
      </c>
      <c r="Q180" s="160">
        <f>[10]Source!X119</f>
        <v>0</v>
      </c>
      <c r="R180" s="160">
        <f>[10]Source!X120</f>
        <v>0</v>
      </c>
      <c r="S180" s="160">
        <f>[10]Source!Y119</f>
        <v>0</v>
      </c>
      <c r="T180" s="160">
        <f>[10]Source!Y120</f>
        <v>0</v>
      </c>
      <c r="U180" s="160">
        <f>ROUND((175/100)*ROUND([10]Source!R119, 2), 2)</f>
        <v>0</v>
      </c>
      <c r="V180" s="160">
        <f>ROUND((157/100)*ROUND([10]Source!R120, 2), 2)</f>
        <v>0</v>
      </c>
    </row>
    <row r="181" spans="1:22" ht="14.25" x14ac:dyDescent="0.2">
      <c r="A181" s="301"/>
      <c r="B181" s="302"/>
      <c r="C181" s="302" t="s">
        <v>194</v>
      </c>
      <c r="D181" s="303" t="s">
        <v>187</v>
      </c>
      <c r="E181" s="286">
        <v>114</v>
      </c>
      <c r="F181" s="321"/>
      <c r="G181" s="305"/>
      <c r="H181" s="286"/>
      <c r="I181" s="304">
        <v>85.91</v>
      </c>
      <c r="J181" s="286">
        <v>77</v>
      </c>
      <c r="K181" s="304">
        <v>1354.94</v>
      </c>
    </row>
    <row r="182" spans="1:22" ht="14.25" x14ac:dyDescent="0.2">
      <c r="A182" s="301"/>
      <c r="B182" s="302"/>
      <c r="C182" s="302" t="s">
        <v>193</v>
      </c>
      <c r="D182" s="303" t="s">
        <v>187</v>
      </c>
      <c r="E182" s="286">
        <v>67</v>
      </c>
      <c r="F182" s="321"/>
      <c r="G182" s="305"/>
      <c r="H182" s="286"/>
      <c r="I182" s="304">
        <v>50.49</v>
      </c>
      <c r="J182" s="286">
        <v>41</v>
      </c>
      <c r="K182" s="304">
        <v>721.46</v>
      </c>
    </row>
    <row r="183" spans="1:22" ht="14.25" x14ac:dyDescent="0.2">
      <c r="A183" s="301"/>
      <c r="B183" s="302"/>
      <c r="C183" s="302" t="s">
        <v>188</v>
      </c>
      <c r="D183" s="303" t="s">
        <v>187</v>
      </c>
      <c r="E183" s="286">
        <v>175</v>
      </c>
      <c r="F183" s="321"/>
      <c r="G183" s="305"/>
      <c r="H183" s="286"/>
      <c r="I183" s="304">
        <v>0.33</v>
      </c>
      <c r="J183" s="286">
        <v>157</v>
      </c>
      <c r="K183" s="304">
        <v>6.97</v>
      </c>
    </row>
    <row r="184" spans="1:22" ht="14.25" x14ac:dyDescent="0.2">
      <c r="A184" s="329"/>
      <c r="B184" s="330"/>
      <c r="C184" s="330" t="s">
        <v>192</v>
      </c>
      <c r="D184" s="331" t="s">
        <v>191</v>
      </c>
      <c r="E184" s="332">
        <v>34.1</v>
      </c>
      <c r="F184" s="333"/>
      <c r="G184" s="334" t="s">
        <v>195</v>
      </c>
      <c r="H184" s="332">
        <v>1</v>
      </c>
      <c r="I184" s="335">
        <v>5.8</v>
      </c>
      <c r="J184" s="332"/>
      <c r="K184" s="335"/>
    </row>
    <row r="185" spans="1:22" ht="15" x14ac:dyDescent="0.25">
      <c r="A185" s="336"/>
      <c r="B185" s="336"/>
      <c r="C185" s="337" t="s">
        <v>183</v>
      </c>
      <c r="D185" s="336"/>
      <c r="E185" s="336"/>
      <c r="F185" s="336"/>
      <c r="G185" s="336"/>
      <c r="H185" s="461">
        <v>503.44</v>
      </c>
      <c r="I185" s="461"/>
      <c r="J185" s="461">
        <v>4919.51</v>
      </c>
      <c r="K185" s="461"/>
      <c r="O185" s="163">
        <f>I176+I177+I179+I181+I182+I183+SUM(I180:I180)</f>
        <v>503.44</v>
      </c>
      <c r="P185" s="163">
        <f>K176+K177+K179+K181+K182+K183+SUM(K180:K180)</f>
        <v>4919.51</v>
      </c>
    </row>
    <row r="187" spans="1:22" ht="28.5" x14ac:dyDescent="0.2">
      <c r="A187" s="301" t="s">
        <v>1607</v>
      </c>
      <c r="B187" s="302" t="s">
        <v>3329</v>
      </c>
      <c r="C187" s="302" t="s">
        <v>1314</v>
      </c>
      <c r="D187" s="303" t="s">
        <v>1536</v>
      </c>
      <c r="E187" s="286">
        <v>0.04</v>
      </c>
      <c r="F187" s="321"/>
      <c r="G187" s="305"/>
      <c r="H187" s="286"/>
      <c r="I187" s="304"/>
      <c r="J187" s="286"/>
      <c r="K187" s="304"/>
      <c r="Q187" s="160">
        <f>[10]Source!X121</f>
        <v>17.89</v>
      </c>
      <c r="R187" s="160">
        <f>[10]Source!X122</f>
        <v>282.10000000000002</v>
      </c>
      <c r="S187" s="160">
        <f>[10]Source!Y121</f>
        <v>10.51</v>
      </c>
      <c r="T187" s="160">
        <f>[10]Source!Y122</f>
        <v>150.21</v>
      </c>
      <c r="U187" s="160">
        <f>ROUND((175/100)*ROUND([10]Source!R121, 2), 2)</f>
        <v>0.05</v>
      </c>
      <c r="V187" s="160">
        <f>ROUND((157/100)*ROUND([10]Source!R122, 2), 2)</f>
        <v>1.1000000000000001</v>
      </c>
    </row>
    <row r="188" spans="1:22" x14ac:dyDescent="0.2">
      <c r="C188" s="316" t="s">
        <v>3202</v>
      </c>
    </row>
    <row r="189" spans="1:22" ht="14.25" x14ac:dyDescent="0.2">
      <c r="A189" s="301"/>
      <c r="B189" s="302"/>
      <c r="C189" s="302" t="s">
        <v>197</v>
      </c>
      <c r="D189" s="303"/>
      <c r="E189" s="286"/>
      <c r="F189" s="321">
        <v>392.21</v>
      </c>
      <c r="G189" s="305" t="s">
        <v>195</v>
      </c>
      <c r="H189" s="286">
        <v>1</v>
      </c>
      <c r="I189" s="304">
        <v>15.69</v>
      </c>
      <c r="J189" s="286">
        <v>23.35</v>
      </c>
      <c r="K189" s="304">
        <v>366.36</v>
      </c>
    </row>
    <row r="190" spans="1:22" ht="14.25" x14ac:dyDescent="0.2">
      <c r="A190" s="301"/>
      <c r="B190" s="302"/>
      <c r="C190" s="302" t="s">
        <v>184</v>
      </c>
      <c r="D190" s="303"/>
      <c r="E190" s="286"/>
      <c r="F190" s="321">
        <v>2.71</v>
      </c>
      <c r="G190" s="305" t="s">
        <v>195</v>
      </c>
      <c r="H190" s="286">
        <v>1</v>
      </c>
      <c r="I190" s="304">
        <v>0.11</v>
      </c>
      <c r="J190" s="286">
        <v>9.5399999999999991</v>
      </c>
      <c r="K190" s="304">
        <v>1.05</v>
      </c>
    </row>
    <row r="191" spans="1:22" ht="14.25" x14ac:dyDescent="0.2">
      <c r="A191" s="301"/>
      <c r="B191" s="302"/>
      <c r="C191" s="302" t="s">
        <v>189</v>
      </c>
      <c r="D191" s="303"/>
      <c r="E191" s="286"/>
      <c r="F191" s="321">
        <v>0.63</v>
      </c>
      <c r="G191" s="305" t="s">
        <v>195</v>
      </c>
      <c r="H191" s="286">
        <v>1</v>
      </c>
      <c r="I191" s="306">
        <v>0.03</v>
      </c>
      <c r="J191" s="286">
        <v>23.35</v>
      </c>
      <c r="K191" s="306">
        <v>0.7</v>
      </c>
    </row>
    <row r="192" spans="1:22" ht="14.25" x14ac:dyDescent="0.2">
      <c r="A192" s="301"/>
      <c r="B192" s="302"/>
      <c r="C192" s="302" t="s">
        <v>205</v>
      </c>
      <c r="D192" s="303"/>
      <c r="E192" s="286"/>
      <c r="F192" s="321">
        <v>7.56</v>
      </c>
      <c r="G192" s="305" t="s">
        <v>195</v>
      </c>
      <c r="H192" s="286">
        <v>1</v>
      </c>
      <c r="I192" s="304">
        <v>0.3</v>
      </c>
      <c r="J192" s="286">
        <v>5.42</v>
      </c>
      <c r="K192" s="304">
        <v>1.63</v>
      </c>
    </row>
    <row r="193" spans="1:22" ht="71.25" x14ac:dyDescent="0.2">
      <c r="A193" s="301" t="s">
        <v>1608</v>
      </c>
      <c r="B193" s="302" t="s">
        <v>3330</v>
      </c>
      <c r="C193" s="302" t="s">
        <v>1313</v>
      </c>
      <c r="D193" s="303" t="s">
        <v>1661</v>
      </c>
      <c r="E193" s="286">
        <v>4</v>
      </c>
      <c r="F193" s="321">
        <v>10.78</v>
      </c>
      <c r="G193" s="315" t="s">
        <v>195</v>
      </c>
      <c r="H193" s="286">
        <v>1</v>
      </c>
      <c r="I193" s="304">
        <v>43.12</v>
      </c>
      <c r="J193" s="286">
        <v>4.82</v>
      </c>
      <c r="K193" s="304">
        <v>207.84</v>
      </c>
      <c r="Q193" s="160">
        <f>[10]Source!X123</f>
        <v>0</v>
      </c>
      <c r="R193" s="160">
        <f>[10]Source!X124</f>
        <v>0</v>
      </c>
      <c r="S193" s="160">
        <f>[10]Source!Y123</f>
        <v>0</v>
      </c>
      <c r="T193" s="160">
        <f>[10]Source!Y124</f>
        <v>0</v>
      </c>
      <c r="U193" s="160">
        <f>ROUND((175/100)*ROUND([10]Source!R123, 2), 2)</f>
        <v>0</v>
      </c>
      <c r="V193" s="160">
        <f>ROUND((157/100)*ROUND([10]Source!R124, 2), 2)</f>
        <v>0</v>
      </c>
    </row>
    <row r="194" spans="1:22" ht="14.25" x14ac:dyDescent="0.2">
      <c r="A194" s="301"/>
      <c r="B194" s="302"/>
      <c r="C194" s="302" t="s">
        <v>194</v>
      </c>
      <c r="D194" s="303" t="s">
        <v>187</v>
      </c>
      <c r="E194" s="286">
        <v>114</v>
      </c>
      <c r="F194" s="321"/>
      <c r="G194" s="305"/>
      <c r="H194" s="286"/>
      <c r="I194" s="304">
        <v>17.89</v>
      </c>
      <c r="J194" s="286">
        <v>77</v>
      </c>
      <c r="K194" s="304">
        <v>282.10000000000002</v>
      </c>
    </row>
    <row r="195" spans="1:22" ht="14.25" x14ac:dyDescent="0.2">
      <c r="A195" s="301"/>
      <c r="B195" s="302"/>
      <c r="C195" s="302" t="s">
        <v>193</v>
      </c>
      <c r="D195" s="303" t="s">
        <v>187</v>
      </c>
      <c r="E195" s="286">
        <v>67</v>
      </c>
      <c r="F195" s="321"/>
      <c r="G195" s="305"/>
      <c r="H195" s="286"/>
      <c r="I195" s="304">
        <v>10.51</v>
      </c>
      <c r="J195" s="286">
        <v>41</v>
      </c>
      <c r="K195" s="304">
        <v>150.21</v>
      </c>
    </row>
    <row r="196" spans="1:22" ht="14.25" x14ac:dyDescent="0.2">
      <c r="A196" s="301"/>
      <c r="B196" s="302"/>
      <c r="C196" s="302" t="s">
        <v>188</v>
      </c>
      <c r="D196" s="303" t="s">
        <v>187</v>
      </c>
      <c r="E196" s="286">
        <v>175</v>
      </c>
      <c r="F196" s="321"/>
      <c r="G196" s="305"/>
      <c r="H196" s="286"/>
      <c r="I196" s="304">
        <v>0.05</v>
      </c>
      <c r="J196" s="286">
        <v>157</v>
      </c>
      <c r="K196" s="304">
        <v>1.1000000000000001</v>
      </c>
    </row>
    <row r="197" spans="1:22" ht="14.25" x14ac:dyDescent="0.2">
      <c r="A197" s="329"/>
      <c r="B197" s="330"/>
      <c r="C197" s="330" t="s">
        <v>192</v>
      </c>
      <c r="D197" s="331" t="s">
        <v>191</v>
      </c>
      <c r="E197" s="332">
        <v>30.17</v>
      </c>
      <c r="F197" s="333"/>
      <c r="G197" s="334" t="s">
        <v>195</v>
      </c>
      <c r="H197" s="332">
        <v>1</v>
      </c>
      <c r="I197" s="335">
        <v>1.21</v>
      </c>
      <c r="J197" s="332"/>
      <c r="K197" s="335"/>
    </row>
    <row r="198" spans="1:22" ht="15" x14ac:dyDescent="0.25">
      <c r="A198" s="336"/>
      <c r="B198" s="336"/>
      <c r="C198" s="337" t="s">
        <v>183</v>
      </c>
      <c r="D198" s="336"/>
      <c r="E198" s="336"/>
      <c r="F198" s="336"/>
      <c r="G198" s="336"/>
      <c r="H198" s="461">
        <v>87.67</v>
      </c>
      <c r="I198" s="461"/>
      <c r="J198" s="461">
        <v>1010.29</v>
      </c>
      <c r="K198" s="461"/>
      <c r="O198" s="163">
        <f>I189+I190+I192+I194+I195+I196+SUM(I193:I193)</f>
        <v>87.67</v>
      </c>
      <c r="P198" s="163">
        <f>K189+K190+K192+K194+K195+K196+SUM(K193:K193)</f>
        <v>1010.29</v>
      </c>
    </row>
    <row r="200" spans="1:22" ht="28.5" x14ac:dyDescent="0.2">
      <c r="A200" s="301" t="s">
        <v>1609</v>
      </c>
      <c r="B200" s="302" t="s">
        <v>3331</v>
      </c>
      <c r="C200" s="302" t="s">
        <v>1309</v>
      </c>
      <c r="D200" s="303" t="s">
        <v>1536</v>
      </c>
      <c r="E200" s="286">
        <v>2.64</v>
      </c>
      <c r="F200" s="321"/>
      <c r="G200" s="305"/>
      <c r="H200" s="286"/>
      <c r="I200" s="304"/>
      <c r="J200" s="286"/>
      <c r="K200" s="304"/>
      <c r="Q200" s="160">
        <f>[10]Source!X125</f>
        <v>1369.37</v>
      </c>
      <c r="R200" s="160">
        <f>[10]Source!X126</f>
        <v>21596.98</v>
      </c>
      <c r="S200" s="160">
        <f>[10]Source!Y125</f>
        <v>804.8</v>
      </c>
      <c r="T200" s="160">
        <f>[10]Source!Y126</f>
        <v>11499.69</v>
      </c>
      <c r="U200" s="160">
        <f>ROUND((175/100)*ROUND([10]Source!R125, 2), 2)</f>
        <v>2.91</v>
      </c>
      <c r="V200" s="160">
        <f>ROUND((157/100)*ROUND([10]Source!R126, 2), 2)</f>
        <v>60.85</v>
      </c>
    </row>
    <row r="201" spans="1:22" x14ac:dyDescent="0.2">
      <c r="C201" s="316" t="s">
        <v>3332</v>
      </c>
    </row>
    <row r="202" spans="1:22" ht="14.25" x14ac:dyDescent="0.2">
      <c r="A202" s="301"/>
      <c r="B202" s="302"/>
      <c r="C202" s="302" t="s">
        <v>197</v>
      </c>
      <c r="D202" s="303"/>
      <c r="E202" s="286"/>
      <c r="F202" s="321">
        <v>455</v>
      </c>
      <c r="G202" s="305" t="s">
        <v>195</v>
      </c>
      <c r="H202" s="286">
        <v>1</v>
      </c>
      <c r="I202" s="304">
        <v>1201.2</v>
      </c>
      <c r="J202" s="286">
        <v>23.35</v>
      </c>
      <c r="K202" s="304">
        <v>28048.02</v>
      </c>
    </row>
    <row r="203" spans="1:22" ht="14.25" x14ac:dyDescent="0.2">
      <c r="A203" s="301"/>
      <c r="B203" s="302"/>
      <c r="C203" s="302" t="s">
        <v>184</v>
      </c>
      <c r="D203" s="303"/>
      <c r="E203" s="286"/>
      <c r="F203" s="321">
        <v>2.71</v>
      </c>
      <c r="G203" s="305" t="s">
        <v>195</v>
      </c>
      <c r="H203" s="286">
        <v>1</v>
      </c>
      <c r="I203" s="304">
        <v>7.15</v>
      </c>
      <c r="J203" s="286">
        <v>9.5399999999999991</v>
      </c>
      <c r="K203" s="304">
        <v>68.209999999999994</v>
      </c>
    </row>
    <row r="204" spans="1:22" ht="14.25" x14ac:dyDescent="0.2">
      <c r="A204" s="301"/>
      <c r="B204" s="302"/>
      <c r="C204" s="302" t="s">
        <v>189</v>
      </c>
      <c r="D204" s="303"/>
      <c r="E204" s="286"/>
      <c r="F204" s="321">
        <v>0.63</v>
      </c>
      <c r="G204" s="305" t="s">
        <v>195</v>
      </c>
      <c r="H204" s="286">
        <v>1</v>
      </c>
      <c r="I204" s="306">
        <v>1.66</v>
      </c>
      <c r="J204" s="286">
        <v>23.35</v>
      </c>
      <c r="K204" s="306">
        <v>38.76</v>
      </c>
    </row>
    <row r="205" spans="1:22" ht="14.25" x14ac:dyDescent="0.2">
      <c r="A205" s="301"/>
      <c r="B205" s="302"/>
      <c r="C205" s="302" t="s">
        <v>205</v>
      </c>
      <c r="D205" s="303"/>
      <c r="E205" s="286"/>
      <c r="F205" s="321">
        <v>27.86</v>
      </c>
      <c r="G205" s="305" t="s">
        <v>195</v>
      </c>
      <c r="H205" s="286">
        <v>1</v>
      </c>
      <c r="I205" s="304">
        <v>73.55</v>
      </c>
      <c r="J205" s="286">
        <v>5.42</v>
      </c>
      <c r="K205" s="304">
        <v>398.64</v>
      </c>
    </row>
    <row r="206" spans="1:22" ht="114" x14ac:dyDescent="0.2">
      <c r="A206" s="301" t="s">
        <v>1611</v>
      </c>
      <c r="B206" s="302" t="s">
        <v>3333</v>
      </c>
      <c r="C206" s="302" t="s">
        <v>1312</v>
      </c>
      <c r="D206" s="303" t="s">
        <v>1661</v>
      </c>
      <c r="E206" s="286">
        <v>264</v>
      </c>
      <c r="F206" s="321">
        <v>16.46</v>
      </c>
      <c r="G206" s="315" t="s">
        <v>195</v>
      </c>
      <c r="H206" s="286">
        <v>1</v>
      </c>
      <c r="I206" s="304">
        <v>4345.4399999999996</v>
      </c>
      <c r="J206" s="286">
        <v>4.7300000000000004</v>
      </c>
      <c r="K206" s="304">
        <v>20553.93</v>
      </c>
      <c r="Q206" s="160">
        <f>[10]Source!X127</f>
        <v>0</v>
      </c>
      <c r="R206" s="160">
        <f>[10]Source!X128</f>
        <v>0</v>
      </c>
      <c r="S206" s="160">
        <f>[10]Source!Y127</f>
        <v>0</v>
      </c>
      <c r="T206" s="160">
        <f>[10]Source!Y128</f>
        <v>0</v>
      </c>
      <c r="U206" s="160">
        <f>ROUND((175/100)*ROUND([10]Source!R127, 2), 2)</f>
        <v>0</v>
      </c>
      <c r="V206" s="160">
        <f>ROUND((157/100)*ROUND([10]Source!R128, 2), 2)</f>
        <v>0</v>
      </c>
    </row>
    <row r="207" spans="1:22" ht="14.25" x14ac:dyDescent="0.2">
      <c r="A207" s="301"/>
      <c r="B207" s="302"/>
      <c r="C207" s="302" t="s">
        <v>194</v>
      </c>
      <c r="D207" s="303" t="s">
        <v>187</v>
      </c>
      <c r="E207" s="286">
        <v>114</v>
      </c>
      <c r="F207" s="321"/>
      <c r="G207" s="305"/>
      <c r="H207" s="286"/>
      <c r="I207" s="304">
        <v>1369.37</v>
      </c>
      <c r="J207" s="286">
        <v>77</v>
      </c>
      <c r="K207" s="304">
        <v>21596.98</v>
      </c>
    </row>
    <row r="208" spans="1:22" ht="14.25" x14ac:dyDescent="0.2">
      <c r="A208" s="301"/>
      <c r="B208" s="302"/>
      <c r="C208" s="302" t="s">
        <v>193</v>
      </c>
      <c r="D208" s="303" t="s">
        <v>187</v>
      </c>
      <c r="E208" s="286">
        <v>67</v>
      </c>
      <c r="F208" s="321"/>
      <c r="G208" s="305"/>
      <c r="H208" s="286"/>
      <c r="I208" s="304">
        <v>804.8</v>
      </c>
      <c r="J208" s="286">
        <v>41</v>
      </c>
      <c r="K208" s="304">
        <v>11499.69</v>
      </c>
    </row>
    <row r="209" spans="1:22" ht="14.25" x14ac:dyDescent="0.2">
      <c r="A209" s="301"/>
      <c r="B209" s="302"/>
      <c r="C209" s="302" t="s">
        <v>188</v>
      </c>
      <c r="D209" s="303" t="s">
        <v>187</v>
      </c>
      <c r="E209" s="286">
        <v>175</v>
      </c>
      <c r="F209" s="321"/>
      <c r="G209" s="305"/>
      <c r="H209" s="286"/>
      <c r="I209" s="304">
        <v>2.91</v>
      </c>
      <c r="J209" s="286">
        <v>157</v>
      </c>
      <c r="K209" s="304">
        <v>60.85</v>
      </c>
    </row>
    <row r="210" spans="1:22" ht="14.25" x14ac:dyDescent="0.2">
      <c r="A210" s="329"/>
      <c r="B210" s="330"/>
      <c r="C210" s="330" t="s">
        <v>192</v>
      </c>
      <c r="D210" s="331" t="s">
        <v>191</v>
      </c>
      <c r="E210" s="332">
        <v>35</v>
      </c>
      <c r="F210" s="333"/>
      <c r="G210" s="334" t="s">
        <v>195</v>
      </c>
      <c r="H210" s="332">
        <v>1</v>
      </c>
      <c r="I210" s="335">
        <v>92.4</v>
      </c>
      <c r="J210" s="332"/>
      <c r="K210" s="335"/>
    </row>
    <row r="211" spans="1:22" ht="15" x14ac:dyDescent="0.25">
      <c r="A211" s="336"/>
      <c r="B211" s="336"/>
      <c r="C211" s="337" t="s">
        <v>183</v>
      </c>
      <c r="D211" s="336"/>
      <c r="E211" s="336"/>
      <c r="F211" s="336"/>
      <c r="G211" s="336"/>
      <c r="H211" s="461">
        <v>7804.42</v>
      </c>
      <c r="I211" s="461"/>
      <c r="J211" s="461">
        <v>82226.320000000007</v>
      </c>
      <c r="K211" s="461"/>
      <c r="O211" s="163">
        <f>I202+I203+I205+I207+I208+I209+SUM(I206:I206)</f>
        <v>7804.42</v>
      </c>
      <c r="P211" s="163">
        <f>K202+K203+K205+K207+K208+K209+SUM(K206:K206)</f>
        <v>82226.320000000007</v>
      </c>
    </row>
    <row r="213" spans="1:22" ht="28.5" x14ac:dyDescent="0.2">
      <c r="A213" s="301" t="s">
        <v>1617</v>
      </c>
      <c r="B213" s="302" t="s">
        <v>3331</v>
      </c>
      <c r="C213" s="302" t="s">
        <v>1309</v>
      </c>
      <c r="D213" s="303" t="s">
        <v>1536</v>
      </c>
      <c r="E213" s="286">
        <v>0.3</v>
      </c>
      <c r="F213" s="321"/>
      <c r="G213" s="305"/>
      <c r="H213" s="286"/>
      <c r="I213" s="304"/>
      <c r="J213" s="286"/>
      <c r="K213" s="304"/>
      <c r="Q213" s="160">
        <f>[10]Source!X131</f>
        <v>155.61000000000001</v>
      </c>
      <c r="R213" s="160">
        <f>[10]Source!X132</f>
        <v>2454.21</v>
      </c>
      <c r="S213" s="160">
        <f>[10]Source!Y131</f>
        <v>91.46</v>
      </c>
      <c r="T213" s="160">
        <f>[10]Source!Y132</f>
        <v>1306.78</v>
      </c>
      <c r="U213" s="160">
        <f>ROUND((175/100)*ROUND([10]Source!R131, 2), 2)</f>
        <v>0.33</v>
      </c>
      <c r="V213" s="160">
        <f>ROUND((157/100)*ROUND([10]Source!R132, 2), 2)</f>
        <v>6.97</v>
      </c>
    </row>
    <row r="214" spans="1:22" x14ac:dyDescent="0.2">
      <c r="C214" s="316" t="s">
        <v>3334</v>
      </c>
    </row>
    <row r="215" spans="1:22" ht="14.25" x14ac:dyDescent="0.2">
      <c r="A215" s="301"/>
      <c r="B215" s="302"/>
      <c r="C215" s="302" t="s">
        <v>197</v>
      </c>
      <c r="D215" s="303"/>
      <c r="E215" s="286"/>
      <c r="F215" s="321">
        <v>455</v>
      </c>
      <c r="G215" s="305" t="s">
        <v>195</v>
      </c>
      <c r="H215" s="286">
        <v>1</v>
      </c>
      <c r="I215" s="304">
        <v>136.5</v>
      </c>
      <c r="J215" s="286">
        <v>23.35</v>
      </c>
      <c r="K215" s="304">
        <v>3187.28</v>
      </c>
    </row>
    <row r="216" spans="1:22" ht="14.25" x14ac:dyDescent="0.2">
      <c r="A216" s="301"/>
      <c r="B216" s="302"/>
      <c r="C216" s="302" t="s">
        <v>184</v>
      </c>
      <c r="D216" s="303"/>
      <c r="E216" s="286"/>
      <c r="F216" s="321">
        <v>2.71</v>
      </c>
      <c r="G216" s="305" t="s">
        <v>195</v>
      </c>
      <c r="H216" s="286">
        <v>1</v>
      </c>
      <c r="I216" s="304">
        <v>0.81</v>
      </c>
      <c r="J216" s="286">
        <v>9.5399999999999991</v>
      </c>
      <c r="K216" s="304">
        <v>7.73</v>
      </c>
    </row>
    <row r="217" spans="1:22" ht="14.25" x14ac:dyDescent="0.2">
      <c r="A217" s="301"/>
      <c r="B217" s="302"/>
      <c r="C217" s="302" t="s">
        <v>189</v>
      </c>
      <c r="D217" s="303"/>
      <c r="E217" s="286"/>
      <c r="F217" s="321">
        <v>0.63</v>
      </c>
      <c r="G217" s="305" t="s">
        <v>195</v>
      </c>
      <c r="H217" s="286">
        <v>1</v>
      </c>
      <c r="I217" s="306">
        <v>0.19</v>
      </c>
      <c r="J217" s="286">
        <v>23.35</v>
      </c>
      <c r="K217" s="306">
        <v>4.4400000000000004</v>
      </c>
    </row>
    <row r="218" spans="1:22" ht="14.25" x14ac:dyDescent="0.2">
      <c r="A218" s="301"/>
      <c r="B218" s="302"/>
      <c r="C218" s="302" t="s">
        <v>205</v>
      </c>
      <c r="D218" s="303"/>
      <c r="E218" s="286"/>
      <c r="F218" s="321">
        <v>27.86</v>
      </c>
      <c r="G218" s="305" t="s">
        <v>195</v>
      </c>
      <c r="H218" s="286">
        <v>1</v>
      </c>
      <c r="I218" s="304">
        <v>8.36</v>
      </c>
      <c r="J218" s="286">
        <v>5.42</v>
      </c>
      <c r="K218" s="304">
        <v>45.31</v>
      </c>
    </row>
    <row r="219" spans="1:22" ht="71.25" x14ac:dyDescent="0.2">
      <c r="A219" s="301" t="s">
        <v>1619</v>
      </c>
      <c r="B219" s="302" t="s">
        <v>3335</v>
      </c>
      <c r="C219" s="302" t="s">
        <v>1311</v>
      </c>
      <c r="D219" s="303" t="s">
        <v>1661</v>
      </c>
      <c r="E219" s="286">
        <v>30</v>
      </c>
      <c r="F219" s="321">
        <v>35.229999999999997</v>
      </c>
      <c r="G219" s="315" t="s">
        <v>195</v>
      </c>
      <c r="H219" s="286">
        <v>1</v>
      </c>
      <c r="I219" s="304">
        <v>1056.9000000000001</v>
      </c>
      <c r="J219" s="286">
        <v>3.44</v>
      </c>
      <c r="K219" s="304">
        <v>3635.74</v>
      </c>
      <c r="Q219" s="160">
        <f>[10]Source!X133</f>
        <v>0</v>
      </c>
      <c r="R219" s="160">
        <f>[10]Source!X134</f>
        <v>0</v>
      </c>
      <c r="S219" s="160">
        <f>[10]Source!Y133</f>
        <v>0</v>
      </c>
      <c r="T219" s="160">
        <f>[10]Source!Y134</f>
        <v>0</v>
      </c>
      <c r="U219" s="160">
        <f>ROUND((175/100)*ROUND([10]Source!R133, 2), 2)</f>
        <v>0</v>
      </c>
      <c r="V219" s="160">
        <f>ROUND((157/100)*ROUND([10]Source!R134, 2), 2)</f>
        <v>0</v>
      </c>
    </row>
    <row r="220" spans="1:22" ht="57" x14ac:dyDescent="0.2">
      <c r="A220" s="301" t="s">
        <v>1620</v>
      </c>
      <c r="B220" s="302" t="s">
        <v>3336</v>
      </c>
      <c r="C220" s="302" t="s">
        <v>1310</v>
      </c>
      <c r="D220" s="303" t="s">
        <v>1661</v>
      </c>
      <c r="E220" s="286">
        <v>219</v>
      </c>
      <c r="F220" s="321">
        <v>21.62</v>
      </c>
      <c r="G220" s="315" t="s">
        <v>195</v>
      </c>
      <c r="H220" s="286">
        <v>1</v>
      </c>
      <c r="I220" s="304">
        <v>4734.78</v>
      </c>
      <c r="J220" s="286">
        <v>6.07</v>
      </c>
      <c r="K220" s="304">
        <v>28740.11</v>
      </c>
      <c r="Q220" s="160">
        <f>[10]Source!X135</f>
        <v>0</v>
      </c>
      <c r="R220" s="160">
        <f>[10]Source!X136</f>
        <v>0</v>
      </c>
      <c r="S220" s="160">
        <f>[10]Source!Y135</f>
        <v>0</v>
      </c>
      <c r="T220" s="160">
        <f>[10]Source!Y136</f>
        <v>0</v>
      </c>
      <c r="U220" s="160">
        <f>ROUND((175/100)*ROUND([10]Source!R135, 2), 2)</f>
        <v>0</v>
      </c>
      <c r="V220" s="160">
        <f>ROUND((157/100)*ROUND([10]Source!R136, 2), 2)</f>
        <v>0</v>
      </c>
    </row>
    <row r="221" spans="1:22" ht="14.25" x14ac:dyDescent="0.2">
      <c r="A221" s="301"/>
      <c r="B221" s="302"/>
      <c r="C221" s="302" t="s">
        <v>194</v>
      </c>
      <c r="D221" s="303" t="s">
        <v>187</v>
      </c>
      <c r="E221" s="286">
        <v>114</v>
      </c>
      <c r="F221" s="321"/>
      <c r="G221" s="305"/>
      <c r="H221" s="286"/>
      <c r="I221" s="304">
        <v>155.61000000000001</v>
      </c>
      <c r="J221" s="286">
        <v>77</v>
      </c>
      <c r="K221" s="304">
        <v>2454.21</v>
      </c>
    </row>
    <row r="222" spans="1:22" ht="14.25" x14ac:dyDescent="0.2">
      <c r="A222" s="301"/>
      <c r="B222" s="302"/>
      <c r="C222" s="302" t="s">
        <v>193</v>
      </c>
      <c r="D222" s="303" t="s">
        <v>187</v>
      </c>
      <c r="E222" s="286">
        <v>67</v>
      </c>
      <c r="F222" s="321"/>
      <c r="G222" s="305"/>
      <c r="H222" s="286"/>
      <c r="I222" s="304">
        <v>91.46</v>
      </c>
      <c r="J222" s="286">
        <v>41</v>
      </c>
      <c r="K222" s="304">
        <v>1306.78</v>
      </c>
    </row>
    <row r="223" spans="1:22" ht="14.25" x14ac:dyDescent="0.2">
      <c r="A223" s="301"/>
      <c r="B223" s="302"/>
      <c r="C223" s="302" t="s">
        <v>188</v>
      </c>
      <c r="D223" s="303" t="s">
        <v>187</v>
      </c>
      <c r="E223" s="286">
        <v>175</v>
      </c>
      <c r="F223" s="321"/>
      <c r="G223" s="305"/>
      <c r="H223" s="286"/>
      <c r="I223" s="304">
        <v>0.33</v>
      </c>
      <c r="J223" s="286">
        <v>157</v>
      </c>
      <c r="K223" s="304">
        <v>6.97</v>
      </c>
    </row>
    <row r="224" spans="1:22" ht="14.25" x14ac:dyDescent="0.2">
      <c r="A224" s="329"/>
      <c r="B224" s="330"/>
      <c r="C224" s="330" t="s">
        <v>192</v>
      </c>
      <c r="D224" s="331" t="s">
        <v>191</v>
      </c>
      <c r="E224" s="332">
        <v>35</v>
      </c>
      <c r="F224" s="333"/>
      <c r="G224" s="334" t="s">
        <v>195</v>
      </c>
      <c r="H224" s="332">
        <v>1</v>
      </c>
      <c r="I224" s="335">
        <v>10.5</v>
      </c>
      <c r="J224" s="332"/>
      <c r="K224" s="335"/>
    </row>
    <row r="225" spans="1:22" ht="15" x14ac:dyDescent="0.25">
      <c r="A225" s="336"/>
      <c r="B225" s="336"/>
      <c r="C225" s="337" t="s">
        <v>183</v>
      </c>
      <c r="D225" s="336"/>
      <c r="E225" s="336"/>
      <c r="F225" s="336"/>
      <c r="G225" s="336"/>
      <c r="H225" s="461">
        <v>6184.75</v>
      </c>
      <c r="I225" s="461"/>
      <c r="J225" s="461">
        <v>39384.129999999997</v>
      </c>
      <c r="K225" s="461"/>
      <c r="O225" s="163">
        <f>I215+I216+I218+I221+I222+I223+SUM(I219:I220)</f>
        <v>6184.75</v>
      </c>
      <c r="P225" s="163">
        <f>K215+K216+K218+K221+K222+K223+SUM(K219:K220)</f>
        <v>39384.129999999997</v>
      </c>
    </row>
    <row r="227" spans="1:22" ht="28.5" x14ac:dyDescent="0.2">
      <c r="A227" s="301" t="s">
        <v>1622</v>
      </c>
      <c r="B227" s="302" t="s">
        <v>3331</v>
      </c>
      <c r="C227" s="302" t="s">
        <v>1309</v>
      </c>
      <c r="D227" s="303" t="s">
        <v>1536</v>
      </c>
      <c r="E227" s="286">
        <v>0.1</v>
      </c>
      <c r="F227" s="321"/>
      <c r="G227" s="305"/>
      <c r="H227" s="286"/>
      <c r="I227" s="304"/>
      <c r="J227" s="286"/>
      <c r="K227" s="304"/>
      <c r="Q227" s="160">
        <f>[10]Source!X137</f>
        <v>51.87</v>
      </c>
      <c r="R227" s="160">
        <f>[10]Source!X138</f>
        <v>818.07</v>
      </c>
      <c r="S227" s="160">
        <f>[10]Source!Y137</f>
        <v>30.49</v>
      </c>
      <c r="T227" s="160">
        <f>[10]Source!Y138</f>
        <v>435.6</v>
      </c>
      <c r="U227" s="160">
        <f>ROUND((175/100)*ROUND([10]Source!R137, 2), 2)</f>
        <v>0.11</v>
      </c>
      <c r="V227" s="160">
        <f>ROUND((157/100)*ROUND([10]Source!R138, 2), 2)</f>
        <v>2.2000000000000002</v>
      </c>
    </row>
    <row r="228" spans="1:22" x14ac:dyDescent="0.2">
      <c r="C228" s="316" t="s">
        <v>3288</v>
      </c>
    </row>
    <row r="229" spans="1:22" ht="14.25" x14ac:dyDescent="0.2">
      <c r="A229" s="301"/>
      <c r="B229" s="302"/>
      <c r="C229" s="302" t="s">
        <v>197</v>
      </c>
      <c r="D229" s="303"/>
      <c r="E229" s="286"/>
      <c r="F229" s="321">
        <v>455</v>
      </c>
      <c r="G229" s="305" t="s">
        <v>195</v>
      </c>
      <c r="H229" s="286">
        <v>1</v>
      </c>
      <c r="I229" s="304">
        <v>45.5</v>
      </c>
      <c r="J229" s="286">
        <v>23.35</v>
      </c>
      <c r="K229" s="304">
        <v>1062.43</v>
      </c>
    </row>
    <row r="230" spans="1:22" ht="14.25" x14ac:dyDescent="0.2">
      <c r="A230" s="301"/>
      <c r="B230" s="302"/>
      <c r="C230" s="302" t="s">
        <v>184</v>
      </c>
      <c r="D230" s="303"/>
      <c r="E230" s="286"/>
      <c r="F230" s="321">
        <v>2.71</v>
      </c>
      <c r="G230" s="305" t="s">
        <v>195</v>
      </c>
      <c r="H230" s="286">
        <v>1</v>
      </c>
      <c r="I230" s="304">
        <v>0.27</v>
      </c>
      <c r="J230" s="286">
        <v>9.5399999999999991</v>
      </c>
      <c r="K230" s="304">
        <v>2.58</v>
      </c>
    </row>
    <row r="231" spans="1:22" ht="14.25" x14ac:dyDescent="0.2">
      <c r="A231" s="301"/>
      <c r="B231" s="302"/>
      <c r="C231" s="302" t="s">
        <v>189</v>
      </c>
      <c r="D231" s="303"/>
      <c r="E231" s="286"/>
      <c r="F231" s="321">
        <v>0.63</v>
      </c>
      <c r="G231" s="305" t="s">
        <v>195</v>
      </c>
      <c r="H231" s="286">
        <v>1</v>
      </c>
      <c r="I231" s="306">
        <v>0.06</v>
      </c>
      <c r="J231" s="286">
        <v>23.35</v>
      </c>
      <c r="K231" s="306">
        <v>1.4</v>
      </c>
    </row>
    <row r="232" spans="1:22" ht="14.25" x14ac:dyDescent="0.2">
      <c r="A232" s="301"/>
      <c r="B232" s="302"/>
      <c r="C232" s="302" t="s">
        <v>205</v>
      </c>
      <c r="D232" s="303"/>
      <c r="E232" s="286"/>
      <c r="F232" s="321">
        <v>27.86</v>
      </c>
      <c r="G232" s="305" t="s">
        <v>195</v>
      </c>
      <c r="H232" s="286">
        <v>1</v>
      </c>
      <c r="I232" s="304">
        <v>2.79</v>
      </c>
      <c r="J232" s="286">
        <v>5.42</v>
      </c>
      <c r="K232" s="304">
        <v>15.12</v>
      </c>
    </row>
    <row r="233" spans="1:22" ht="85.5" x14ac:dyDescent="0.2">
      <c r="A233" s="301" t="s">
        <v>1624</v>
      </c>
      <c r="B233" s="302" t="s">
        <v>3337</v>
      </c>
      <c r="C233" s="302" t="s">
        <v>1308</v>
      </c>
      <c r="D233" s="303" t="s">
        <v>1661</v>
      </c>
      <c r="E233" s="286">
        <v>10</v>
      </c>
      <c r="F233" s="321">
        <v>28.92</v>
      </c>
      <c r="G233" s="315" t="s">
        <v>195</v>
      </c>
      <c r="H233" s="286">
        <v>1</v>
      </c>
      <c r="I233" s="304">
        <v>289.2</v>
      </c>
      <c r="J233" s="286">
        <v>3.62</v>
      </c>
      <c r="K233" s="304">
        <v>1046.9000000000001</v>
      </c>
      <c r="Q233" s="160">
        <f>[10]Source!X141</f>
        <v>0</v>
      </c>
      <c r="R233" s="160">
        <f>[10]Source!X142</f>
        <v>0</v>
      </c>
      <c r="S233" s="160">
        <f>[10]Source!Y141</f>
        <v>0</v>
      </c>
      <c r="T233" s="160">
        <f>[10]Source!Y142</f>
        <v>0</v>
      </c>
      <c r="U233" s="160">
        <f>ROUND((175/100)*ROUND([10]Source!R141, 2), 2)</f>
        <v>0</v>
      </c>
      <c r="V233" s="160">
        <f>ROUND((157/100)*ROUND([10]Source!R142, 2), 2)</f>
        <v>0</v>
      </c>
    </row>
    <row r="234" spans="1:22" ht="57" x14ac:dyDescent="0.2">
      <c r="A234" s="301" t="s">
        <v>2444</v>
      </c>
      <c r="B234" s="302" t="s">
        <v>3338</v>
      </c>
      <c r="C234" s="302" t="s">
        <v>1307</v>
      </c>
      <c r="D234" s="303" t="s">
        <v>2396</v>
      </c>
      <c r="E234" s="286">
        <v>0.20499999999999999</v>
      </c>
      <c r="F234" s="321">
        <v>3907.01</v>
      </c>
      <c r="G234" s="315" t="s">
        <v>195</v>
      </c>
      <c r="H234" s="286">
        <v>1</v>
      </c>
      <c r="I234" s="304">
        <v>800.94</v>
      </c>
      <c r="J234" s="286">
        <v>2.21</v>
      </c>
      <c r="K234" s="304">
        <v>1770.08</v>
      </c>
      <c r="Q234" s="160">
        <f>[10]Source!X143</f>
        <v>0</v>
      </c>
      <c r="R234" s="160">
        <f>[10]Source!X144</f>
        <v>0</v>
      </c>
      <c r="S234" s="160">
        <f>[10]Source!Y143</f>
        <v>0</v>
      </c>
      <c r="T234" s="160">
        <f>[10]Source!Y144</f>
        <v>0</v>
      </c>
      <c r="U234" s="160">
        <f>ROUND((175/100)*ROUND([10]Source!R143, 2), 2)</f>
        <v>0</v>
      </c>
      <c r="V234" s="160">
        <f>ROUND((157/100)*ROUND([10]Source!R144, 2), 2)</f>
        <v>0</v>
      </c>
    </row>
    <row r="235" spans="1:22" ht="14.25" x14ac:dyDescent="0.2">
      <c r="A235" s="301"/>
      <c r="B235" s="302"/>
      <c r="C235" s="302" t="s">
        <v>194</v>
      </c>
      <c r="D235" s="303" t="s">
        <v>187</v>
      </c>
      <c r="E235" s="286">
        <v>114</v>
      </c>
      <c r="F235" s="321"/>
      <c r="G235" s="305"/>
      <c r="H235" s="286"/>
      <c r="I235" s="304">
        <v>51.87</v>
      </c>
      <c r="J235" s="286">
        <v>77</v>
      </c>
      <c r="K235" s="304">
        <v>818.07</v>
      </c>
    </row>
    <row r="236" spans="1:22" ht="14.25" x14ac:dyDescent="0.2">
      <c r="A236" s="301"/>
      <c r="B236" s="302"/>
      <c r="C236" s="302" t="s">
        <v>193</v>
      </c>
      <c r="D236" s="303" t="s">
        <v>187</v>
      </c>
      <c r="E236" s="286">
        <v>67</v>
      </c>
      <c r="F236" s="321"/>
      <c r="G236" s="305"/>
      <c r="H236" s="286"/>
      <c r="I236" s="304">
        <v>30.49</v>
      </c>
      <c r="J236" s="286">
        <v>41</v>
      </c>
      <c r="K236" s="304">
        <v>435.6</v>
      </c>
    </row>
    <row r="237" spans="1:22" ht="14.25" x14ac:dyDescent="0.2">
      <c r="A237" s="301"/>
      <c r="B237" s="302"/>
      <c r="C237" s="302" t="s">
        <v>188</v>
      </c>
      <c r="D237" s="303" t="s">
        <v>187</v>
      </c>
      <c r="E237" s="286">
        <v>175</v>
      </c>
      <c r="F237" s="321"/>
      <c r="G237" s="305"/>
      <c r="H237" s="286"/>
      <c r="I237" s="304">
        <v>0.11</v>
      </c>
      <c r="J237" s="286">
        <v>157</v>
      </c>
      <c r="K237" s="304">
        <v>2.2000000000000002</v>
      </c>
    </row>
    <row r="238" spans="1:22" ht="14.25" x14ac:dyDescent="0.2">
      <c r="A238" s="329"/>
      <c r="B238" s="330"/>
      <c r="C238" s="330" t="s">
        <v>192</v>
      </c>
      <c r="D238" s="331" t="s">
        <v>191</v>
      </c>
      <c r="E238" s="332">
        <v>35</v>
      </c>
      <c r="F238" s="333"/>
      <c r="G238" s="334" t="s">
        <v>195</v>
      </c>
      <c r="H238" s="332">
        <v>1</v>
      </c>
      <c r="I238" s="335">
        <v>3.5</v>
      </c>
      <c r="J238" s="332"/>
      <c r="K238" s="335"/>
    </row>
    <row r="239" spans="1:22" ht="15" x14ac:dyDescent="0.25">
      <c r="A239" s="336"/>
      <c r="B239" s="336"/>
      <c r="C239" s="337" t="s">
        <v>183</v>
      </c>
      <c r="D239" s="336"/>
      <c r="E239" s="336"/>
      <c r="F239" s="336"/>
      <c r="G239" s="336"/>
      <c r="H239" s="461">
        <v>1221.17</v>
      </c>
      <c r="I239" s="461"/>
      <c r="J239" s="461">
        <v>5152.9799999999996</v>
      </c>
      <c r="K239" s="461"/>
      <c r="O239" s="163">
        <f>I229+I230+I232+I235+I236+I237+SUM(I233:I234)</f>
        <v>1221.17</v>
      </c>
      <c r="P239" s="163">
        <f>K229+K230+K232+K235+K236+K237+SUM(K233:K234)</f>
        <v>5152.9799999999996</v>
      </c>
    </row>
    <row r="242" spans="1:22" ht="15" x14ac:dyDescent="0.25">
      <c r="A242" s="447" t="s">
        <v>3339</v>
      </c>
      <c r="B242" s="447"/>
      <c r="C242" s="447"/>
      <c r="D242" s="447"/>
      <c r="E242" s="447"/>
      <c r="F242" s="447"/>
      <c r="G242" s="447"/>
      <c r="H242" s="445">
        <v>388126.39</v>
      </c>
      <c r="I242" s="446"/>
      <c r="J242" s="445">
        <v>2231183.39</v>
      </c>
      <c r="K242" s="446"/>
    </row>
    <row r="243" spans="1:22" hidden="1" x14ac:dyDescent="0.2">
      <c r="A243" s="281" t="s">
        <v>182</v>
      </c>
      <c r="I243" s="281">
        <v>0</v>
      </c>
      <c r="J243" s="281">
        <v>0</v>
      </c>
    </row>
    <row r="244" spans="1:22" hidden="1" x14ac:dyDescent="0.2">
      <c r="A244" s="281" t="s">
        <v>181</v>
      </c>
      <c r="I244" s="281">
        <v>0</v>
      </c>
      <c r="J244" s="281">
        <v>0</v>
      </c>
    </row>
    <row r="246" spans="1:22" ht="16.5" x14ac:dyDescent="0.25">
      <c r="A246" s="448" t="s">
        <v>3340</v>
      </c>
      <c r="B246" s="448"/>
      <c r="C246" s="448"/>
      <c r="D246" s="448"/>
      <c r="E246" s="448"/>
      <c r="F246" s="448"/>
      <c r="G246" s="448"/>
      <c r="H246" s="448"/>
      <c r="I246" s="448"/>
      <c r="J246" s="448"/>
      <c r="K246" s="448"/>
    </row>
    <row r="247" spans="1:22" ht="28.5" x14ac:dyDescent="0.2">
      <c r="A247" s="301" t="s">
        <v>1625</v>
      </c>
      <c r="B247" s="302" t="s">
        <v>3341</v>
      </c>
      <c r="C247" s="302" t="s">
        <v>1167</v>
      </c>
      <c r="D247" s="303" t="s">
        <v>1686</v>
      </c>
      <c r="E247" s="286">
        <v>7.6</v>
      </c>
      <c r="F247" s="321"/>
      <c r="G247" s="305"/>
      <c r="H247" s="286"/>
      <c r="I247" s="304"/>
      <c r="J247" s="286"/>
      <c r="K247" s="304"/>
      <c r="Q247" s="160">
        <f>[10]Source!X180</f>
        <v>4257.0600000000004</v>
      </c>
      <c r="R247" s="160">
        <f>[10]Source!X181</f>
        <v>67140.13</v>
      </c>
      <c r="S247" s="160">
        <f>[10]Source!Y180</f>
        <v>2501.9499999999998</v>
      </c>
      <c r="T247" s="160">
        <f>[10]Source!Y181</f>
        <v>35749.94</v>
      </c>
      <c r="U247" s="160">
        <f>ROUND((175/100)*ROUND([10]Source!R180, 2), 2)</f>
        <v>52.4</v>
      </c>
      <c r="V247" s="160">
        <f>ROUND((157/100)*ROUND([10]Source!R181, 2), 2)</f>
        <v>1097.5899999999999</v>
      </c>
    </row>
    <row r="248" spans="1:22" x14ac:dyDescent="0.2">
      <c r="C248" s="316" t="s">
        <v>3342</v>
      </c>
    </row>
    <row r="249" spans="1:22" ht="14.25" x14ac:dyDescent="0.2">
      <c r="A249" s="301"/>
      <c r="B249" s="302"/>
      <c r="C249" s="302" t="s">
        <v>197</v>
      </c>
      <c r="D249" s="303"/>
      <c r="E249" s="286"/>
      <c r="F249" s="321">
        <v>491.35</v>
      </c>
      <c r="G249" s="305" t="s">
        <v>195</v>
      </c>
      <c r="H249" s="286">
        <v>1</v>
      </c>
      <c r="I249" s="304">
        <v>3734.26</v>
      </c>
      <c r="J249" s="286">
        <v>23.35</v>
      </c>
      <c r="K249" s="304">
        <v>87194.97</v>
      </c>
    </row>
    <row r="250" spans="1:22" ht="14.25" x14ac:dyDescent="0.2">
      <c r="A250" s="301"/>
      <c r="B250" s="302"/>
      <c r="C250" s="302" t="s">
        <v>184</v>
      </c>
      <c r="D250" s="303"/>
      <c r="E250" s="286"/>
      <c r="F250" s="321">
        <v>29.47</v>
      </c>
      <c r="G250" s="305" t="s">
        <v>195</v>
      </c>
      <c r="H250" s="286">
        <v>1</v>
      </c>
      <c r="I250" s="304">
        <v>223.97</v>
      </c>
      <c r="J250" s="286">
        <v>7.76</v>
      </c>
      <c r="K250" s="304">
        <v>1738.01</v>
      </c>
    </row>
    <row r="251" spans="1:22" ht="14.25" x14ac:dyDescent="0.2">
      <c r="A251" s="301"/>
      <c r="B251" s="302"/>
      <c r="C251" s="302" t="s">
        <v>189</v>
      </c>
      <c r="D251" s="303"/>
      <c r="E251" s="286"/>
      <c r="F251" s="321">
        <v>3.94</v>
      </c>
      <c r="G251" s="305" t="s">
        <v>195</v>
      </c>
      <c r="H251" s="286">
        <v>1</v>
      </c>
      <c r="I251" s="306">
        <v>29.94</v>
      </c>
      <c r="J251" s="286">
        <v>23.35</v>
      </c>
      <c r="K251" s="306">
        <v>699.1</v>
      </c>
    </row>
    <row r="252" spans="1:22" ht="14.25" x14ac:dyDescent="0.2">
      <c r="A252" s="301"/>
      <c r="B252" s="302"/>
      <c r="C252" s="302" t="s">
        <v>205</v>
      </c>
      <c r="D252" s="303"/>
      <c r="E252" s="286"/>
      <c r="F252" s="321">
        <v>1844.59</v>
      </c>
      <c r="G252" s="305" t="s">
        <v>195</v>
      </c>
      <c r="H252" s="286">
        <v>1</v>
      </c>
      <c r="I252" s="304">
        <v>14018.88</v>
      </c>
      <c r="J252" s="286">
        <v>5.42</v>
      </c>
      <c r="K252" s="304">
        <v>75982.33</v>
      </c>
    </row>
    <row r="253" spans="1:22" ht="28.5" x14ac:dyDescent="0.2">
      <c r="A253" s="301" t="s">
        <v>1627</v>
      </c>
      <c r="B253" s="302" t="s">
        <v>3343</v>
      </c>
      <c r="C253" s="302" t="s">
        <v>1306</v>
      </c>
      <c r="D253" s="303" t="s">
        <v>1552</v>
      </c>
      <c r="E253" s="286">
        <v>760</v>
      </c>
      <c r="F253" s="321">
        <v>86.29</v>
      </c>
      <c r="G253" s="315" t="s">
        <v>195</v>
      </c>
      <c r="H253" s="286">
        <v>1</v>
      </c>
      <c r="I253" s="304">
        <v>65580.399999999994</v>
      </c>
      <c r="J253" s="286">
        <v>2.2000000000000002</v>
      </c>
      <c r="K253" s="304">
        <v>144276.88</v>
      </c>
      <c r="Q253" s="160">
        <f>[10]Source!X182</f>
        <v>0</v>
      </c>
      <c r="R253" s="160">
        <f>[10]Source!X183</f>
        <v>0</v>
      </c>
      <c r="S253" s="160">
        <f>[10]Source!Y182</f>
        <v>0</v>
      </c>
      <c r="T253" s="160">
        <f>[10]Source!Y183</f>
        <v>0</v>
      </c>
      <c r="U253" s="160">
        <f>ROUND((175/100)*ROUND([10]Source!R182, 2), 2)</f>
        <v>0</v>
      </c>
      <c r="V253" s="160">
        <f>ROUND((157/100)*ROUND([10]Source!R183, 2), 2)</f>
        <v>0</v>
      </c>
    </row>
    <row r="254" spans="1:22" ht="14.25" x14ac:dyDescent="0.2">
      <c r="A254" s="301"/>
      <c r="B254" s="302"/>
      <c r="C254" s="302" t="s">
        <v>194</v>
      </c>
      <c r="D254" s="303" t="s">
        <v>187</v>
      </c>
      <c r="E254" s="286">
        <v>114</v>
      </c>
      <c r="F254" s="321"/>
      <c r="G254" s="305"/>
      <c r="H254" s="286"/>
      <c r="I254" s="304">
        <v>4257.0600000000004</v>
      </c>
      <c r="J254" s="286">
        <v>77</v>
      </c>
      <c r="K254" s="304">
        <v>67140.13</v>
      </c>
    </row>
    <row r="255" spans="1:22" ht="14.25" x14ac:dyDescent="0.2">
      <c r="A255" s="301"/>
      <c r="B255" s="302"/>
      <c r="C255" s="302" t="s">
        <v>193</v>
      </c>
      <c r="D255" s="303" t="s">
        <v>187</v>
      </c>
      <c r="E255" s="286">
        <v>67</v>
      </c>
      <c r="F255" s="321"/>
      <c r="G255" s="305"/>
      <c r="H255" s="286"/>
      <c r="I255" s="304">
        <v>2501.9499999999998</v>
      </c>
      <c r="J255" s="286">
        <v>41</v>
      </c>
      <c r="K255" s="304">
        <v>35749.94</v>
      </c>
    </row>
    <row r="256" spans="1:22" ht="14.25" x14ac:dyDescent="0.2">
      <c r="A256" s="301"/>
      <c r="B256" s="302"/>
      <c r="C256" s="302" t="s">
        <v>188</v>
      </c>
      <c r="D256" s="303" t="s">
        <v>187</v>
      </c>
      <c r="E256" s="286">
        <v>175</v>
      </c>
      <c r="F256" s="321"/>
      <c r="G256" s="305"/>
      <c r="H256" s="286"/>
      <c r="I256" s="304">
        <v>52.4</v>
      </c>
      <c r="J256" s="286">
        <v>157</v>
      </c>
      <c r="K256" s="304">
        <v>1097.5899999999999</v>
      </c>
    </row>
    <row r="257" spans="1:22" ht="14.25" x14ac:dyDescent="0.2">
      <c r="A257" s="329"/>
      <c r="B257" s="330"/>
      <c r="C257" s="330" t="s">
        <v>192</v>
      </c>
      <c r="D257" s="331" t="s">
        <v>191</v>
      </c>
      <c r="E257" s="332">
        <v>40.67</v>
      </c>
      <c r="F257" s="333"/>
      <c r="G257" s="334" t="s">
        <v>195</v>
      </c>
      <c r="H257" s="332">
        <v>1</v>
      </c>
      <c r="I257" s="335">
        <v>309.08999999999997</v>
      </c>
      <c r="J257" s="332"/>
      <c r="K257" s="335"/>
    </row>
    <row r="258" spans="1:22" ht="15" x14ac:dyDescent="0.25">
      <c r="A258" s="336"/>
      <c r="B258" s="336"/>
      <c r="C258" s="337" t="s">
        <v>183</v>
      </c>
      <c r="D258" s="336"/>
      <c r="E258" s="336"/>
      <c r="F258" s="336"/>
      <c r="G258" s="336"/>
      <c r="H258" s="461">
        <v>90368.92</v>
      </c>
      <c r="I258" s="461"/>
      <c r="J258" s="461">
        <v>413179.85</v>
      </c>
      <c r="K258" s="461"/>
      <c r="O258" s="163">
        <f>I249+I250+I252+I254+I255+I256+SUM(I253:I253)</f>
        <v>90368.92</v>
      </c>
      <c r="P258" s="163">
        <f>K249+K250+K252+K254+K255+K256+SUM(K253:K253)</f>
        <v>413179.85</v>
      </c>
    </row>
    <row r="260" spans="1:22" ht="42.75" x14ac:dyDescent="0.2">
      <c r="A260" s="301" t="s">
        <v>1629</v>
      </c>
      <c r="B260" s="302" t="s">
        <v>3344</v>
      </c>
      <c r="C260" s="302" t="s">
        <v>1305</v>
      </c>
      <c r="D260" s="303" t="s">
        <v>1785</v>
      </c>
      <c r="E260" s="286">
        <v>5.9499999999999997E-2</v>
      </c>
      <c r="F260" s="321"/>
      <c r="G260" s="305"/>
      <c r="H260" s="286"/>
      <c r="I260" s="304"/>
      <c r="J260" s="286"/>
      <c r="K260" s="304"/>
      <c r="Q260" s="160">
        <f>[10]Source!X192</f>
        <v>49.09</v>
      </c>
      <c r="R260" s="160">
        <f>[10]Source!X193</f>
        <v>774.2</v>
      </c>
      <c r="S260" s="160">
        <f>[10]Source!Y192</f>
        <v>28.85</v>
      </c>
      <c r="T260" s="160">
        <f>[10]Source!Y193</f>
        <v>412.23</v>
      </c>
      <c r="U260" s="160">
        <f>ROUND((175/100)*ROUND([10]Source!R192, 2), 2)</f>
        <v>6.07</v>
      </c>
      <c r="V260" s="160">
        <f>ROUND((157/100)*ROUND([10]Source!R193, 2), 2)</f>
        <v>127.2</v>
      </c>
    </row>
    <row r="261" spans="1:22" x14ac:dyDescent="0.2">
      <c r="C261" s="316" t="s">
        <v>3345</v>
      </c>
    </row>
    <row r="262" spans="1:22" ht="14.25" x14ac:dyDescent="0.2">
      <c r="A262" s="301"/>
      <c r="B262" s="302"/>
      <c r="C262" s="302" t="s">
        <v>197</v>
      </c>
      <c r="D262" s="303"/>
      <c r="E262" s="286"/>
      <c r="F262" s="321">
        <v>723.77</v>
      </c>
      <c r="G262" s="305" t="s">
        <v>195</v>
      </c>
      <c r="H262" s="286">
        <v>1</v>
      </c>
      <c r="I262" s="304">
        <v>43.06</v>
      </c>
      <c r="J262" s="286">
        <v>23.35</v>
      </c>
      <c r="K262" s="304">
        <v>1005.45</v>
      </c>
    </row>
    <row r="263" spans="1:22" ht="14.25" x14ac:dyDescent="0.2">
      <c r="A263" s="301"/>
      <c r="B263" s="302"/>
      <c r="C263" s="302" t="s">
        <v>184</v>
      </c>
      <c r="D263" s="303"/>
      <c r="E263" s="286"/>
      <c r="F263" s="321">
        <v>611.48</v>
      </c>
      <c r="G263" s="305" t="s">
        <v>195</v>
      </c>
      <c r="H263" s="286">
        <v>1</v>
      </c>
      <c r="I263" s="304">
        <v>36.380000000000003</v>
      </c>
      <c r="J263" s="286">
        <v>7.07</v>
      </c>
      <c r="K263" s="304">
        <v>257.20999999999998</v>
      </c>
    </row>
    <row r="264" spans="1:22" ht="14.25" x14ac:dyDescent="0.2">
      <c r="A264" s="301"/>
      <c r="B264" s="302"/>
      <c r="C264" s="302" t="s">
        <v>189</v>
      </c>
      <c r="D264" s="303"/>
      <c r="E264" s="286"/>
      <c r="F264" s="321">
        <v>58.4</v>
      </c>
      <c r="G264" s="305" t="s">
        <v>195</v>
      </c>
      <c r="H264" s="286">
        <v>1</v>
      </c>
      <c r="I264" s="306">
        <v>3.47</v>
      </c>
      <c r="J264" s="286">
        <v>23.35</v>
      </c>
      <c r="K264" s="306">
        <v>81.02</v>
      </c>
    </row>
    <row r="265" spans="1:22" ht="14.25" x14ac:dyDescent="0.2">
      <c r="A265" s="301"/>
      <c r="B265" s="302"/>
      <c r="C265" s="302" t="s">
        <v>205</v>
      </c>
      <c r="D265" s="303"/>
      <c r="E265" s="286"/>
      <c r="F265" s="321">
        <v>97.3</v>
      </c>
      <c r="G265" s="305" t="s">
        <v>195</v>
      </c>
      <c r="H265" s="286">
        <v>1</v>
      </c>
      <c r="I265" s="304">
        <v>5.79</v>
      </c>
      <c r="J265" s="286">
        <v>5.42</v>
      </c>
      <c r="K265" s="304">
        <v>31.38</v>
      </c>
    </row>
    <row r="266" spans="1:22" ht="42.75" x14ac:dyDescent="0.2">
      <c r="A266" s="301" t="s">
        <v>1630</v>
      </c>
      <c r="B266" s="302" t="s">
        <v>3346</v>
      </c>
      <c r="C266" s="302" t="s">
        <v>1304</v>
      </c>
      <c r="D266" s="303" t="s">
        <v>1552</v>
      </c>
      <c r="E266" s="286">
        <v>150</v>
      </c>
      <c r="F266" s="321">
        <v>84.56</v>
      </c>
      <c r="G266" s="315" t="s">
        <v>195</v>
      </c>
      <c r="H266" s="286">
        <v>1</v>
      </c>
      <c r="I266" s="304">
        <v>12684</v>
      </c>
      <c r="J266" s="286">
        <v>1.8</v>
      </c>
      <c r="K266" s="304">
        <v>22831.200000000001</v>
      </c>
      <c r="Q266" s="160">
        <f>[10]Source!X194</f>
        <v>0</v>
      </c>
      <c r="R266" s="160">
        <f>[10]Source!X195</f>
        <v>0</v>
      </c>
      <c r="S266" s="160">
        <f>[10]Source!Y194</f>
        <v>0</v>
      </c>
      <c r="T266" s="160">
        <f>[10]Source!Y195</f>
        <v>0</v>
      </c>
      <c r="U266" s="160">
        <f>ROUND((175/100)*ROUND([10]Source!R194, 2), 2)</f>
        <v>0</v>
      </c>
      <c r="V266" s="160">
        <f>ROUND((157/100)*ROUND([10]Source!R195, 2), 2)</f>
        <v>0</v>
      </c>
    </row>
    <row r="267" spans="1:22" ht="14.25" x14ac:dyDescent="0.2">
      <c r="A267" s="301"/>
      <c r="B267" s="302"/>
      <c r="C267" s="302" t="s">
        <v>194</v>
      </c>
      <c r="D267" s="303" t="s">
        <v>187</v>
      </c>
      <c r="E267" s="286">
        <v>114</v>
      </c>
      <c r="F267" s="321"/>
      <c r="G267" s="305"/>
      <c r="H267" s="286"/>
      <c r="I267" s="304">
        <v>49.09</v>
      </c>
      <c r="J267" s="286">
        <v>77</v>
      </c>
      <c r="K267" s="304">
        <v>774.2</v>
      </c>
    </row>
    <row r="268" spans="1:22" ht="14.25" x14ac:dyDescent="0.2">
      <c r="A268" s="301"/>
      <c r="B268" s="302"/>
      <c r="C268" s="302" t="s">
        <v>193</v>
      </c>
      <c r="D268" s="303" t="s">
        <v>187</v>
      </c>
      <c r="E268" s="286">
        <v>67</v>
      </c>
      <c r="F268" s="321"/>
      <c r="G268" s="305"/>
      <c r="H268" s="286"/>
      <c r="I268" s="304">
        <v>28.85</v>
      </c>
      <c r="J268" s="286">
        <v>41</v>
      </c>
      <c r="K268" s="304">
        <v>412.23</v>
      </c>
    </row>
    <row r="269" spans="1:22" ht="14.25" x14ac:dyDescent="0.2">
      <c r="A269" s="301"/>
      <c r="B269" s="302"/>
      <c r="C269" s="302" t="s">
        <v>188</v>
      </c>
      <c r="D269" s="303" t="s">
        <v>187</v>
      </c>
      <c r="E269" s="286">
        <v>175</v>
      </c>
      <c r="F269" s="321"/>
      <c r="G269" s="305"/>
      <c r="H269" s="286"/>
      <c r="I269" s="304">
        <v>6.07</v>
      </c>
      <c r="J269" s="286">
        <v>157</v>
      </c>
      <c r="K269" s="304">
        <v>127.2</v>
      </c>
    </row>
    <row r="270" spans="1:22" ht="14.25" x14ac:dyDescent="0.2">
      <c r="A270" s="329"/>
      <c r="B270" s="330"/>
      <c r="C270" s="330" t="s">
        <v>192</v>
      </c>
      <c r="D270" s="331" t="s">
        <v>191</v>
      </c>
      <c r="E270" s="332">
        <v>58.7</v>
      </c>
      <c r="F270" s="333"/>
      <c r="G270" s="334" t="s">
        <v>195</v>
      </c>
      <c r="H270" s="332">
        <v>1</v>
      </c>
      <c r="I270" s="335">
        <v>3.49</v>
      </c>
      <c r="J270" s="332"/>
      <c r="K270" s="335"/>
    </row>
    <row r="271" spans="1:22" ht="15" x14ac:dyDescent="0.25">
      <c r="A271" s="336"/>
      <c r="B271" s="336"/>
      <c r="C271" s="337" t="s">
        <v>183</v>
      </c>
      <c r="D271" s="336"/>
      <c r="E271" s="336"/>
      <c r="F271" s="336"/>
      <c r="G271" s="336"/>
      <c r="H271" s="461">
        <v>12853.24</v>
      </c>
      <c r="I271" s="461"/>
      <c r="J271" s="461">
        <v>25438.87</v>
      </c>
      <c r="K271" s="461"/>
      <c r="O271" s="163">
        <f>I262+I263+I265+I267+I268+I269+SUM(I266:I266)</f>
        <v>12853.24</v>
      </c>
      <c r="P271" s="163">
        <f>K262+K263+K265+K267+K268+K269+SUM(K266:K266)</f>
        <v>25438.87</v>
      </c>
    </row>
    <row r="273" spans="1:22" ht="71.25" x14ac:dyDescent="0.2">
      <c r="A273" s="301" t="s">
        <v>1633</v>
      </c>
      <c r="B273" s="302" t="s">
        <v>3347</v>
      </c>
      <c r="C273" s="302" t="s">
        <v>1171</v>
      </c>
      <c r="D273" s="303" t="s">
        <v>1686</v>
      </c>
      <c r="E273" s="286">
        <v>7.7</v>
      </c>
      <c r="F273" s="321"/>
      <c r="G273" s="305"/>
      <c r="H273" s="286"/>
      <c r="I273" s="304"/>
      <c r="J273" s="286"/>
      <c r="K273" s="304"/>
      <c r="Q273" s="160">
        <f>[10]Source!X196</f>
        <v>1687.66</v>
      </c>
      <c r="R273" s="160">
        <f>[10]Source!X197</f>
        <v>26616.85</v>
      </c>
      <c r="S273" s="160">
        <f>[10]Source!Y196</f>
        <v>991.87</v>
      </c>
      <c r="T273" s="160">
        <f>[10]Source!Y197</f>
        <v>14172.61</v>
      </c>
      <c r="U273" s="160">
        <f>ROUND((175/100)*ROUND([10]Source!R196, 2), 2)</f>
        <v>76.95</v>
      </c>
      <c r="V273" s="160">
        <f>ROUND((157/100)*ROUND([10]Source!R197, 2), 2)</f>
        <v>1611.92</v>
      </c>
    </row>
    <row r="274" spans="1:22" x14ac:dyDescent="0.2">
      <c r="C274" s="316" t="s">
        <v>3348</v>
      </c>
    </row>
    <row r="275" spans="1:22" ht="14.25" x14ac:dyDescent="0.2">
      <c r="A275" s="301"/>
      <c r="B275" s="302"/>
      <c r="C275" s="302" t="s">
        <v>197</v>
      </c>
      <c r="D275" s="303"/>
      <c r="E275" s="286"/>
      <c r="F275" s="321">
        <v>192.26</v>
      </c>
      <c r="G275" s="305" t="s">
        <v>195</v>
      </c>
      <c r="H275" s="286">
        <v>1</v>
      </c>
      <c r="I275" s="304">
        <v>1480.4</v>
      </c>
      <c r="J275" s="286">
        <v>23.35</v>
      </c>
      <c r="K275" s="304">
        <v>34567.339999999997</v>
      </c>
    </row>
    <row r="276" spans="1:22" ht="14.25" x14ac:dyDescent="0.2">
      <c r="A276" s="301"/>
      <c r="B276" s="302"/>
      <c r="C276" s="302" t="s">
        <v>184</v>
      </c>
      <c r="D276" s="303"/>
      <c r="E276" s="286"/>
      <c r="F276" s="321">
        <v>32.869999999999997</v>
      </c>
      <c r="G276" s="305" t="s">
        <v>195</v>
      </c>
      <c r="H276" s="286">
        <v>1</v>
      </c>
      <c r="I276" s="304">
        <v>253.1</v>
      </c>
      <c r="J276" s="286">
        <v>8.48</v>
      </c>
      <c r="K276" s="304">
        <v>2146.29</v>
      </c>
    </row>
    <row r="277" spans="1:22" ht="14.25" x14ac:dyDescent="0.2">
      <c r="A277" s="301"/>
      <c r="B277" s="302"/>
      <c r="C277" s="302" t="s">
        <v>189</v>
      </c>
      <c r="D277" s="303"/>
      <c r="E277" s="286"/>
      <c r="F277" s="321">
        <v>5.71</v>
      </c>
      <c r="G277" s="305" t="s">
        <v>195</v>
      </c>
      <c r="H277" s="286">
        <v>1</v>
      </c>
      <c r="I277" s="306">
        <v>43.97</v>
      </c>
      <c r="J277" s="286">
        <v>23.35</v>
      </c>
      <c r="K277" s="306">
        <v>1026.7</v>
      </c>
    </row>
    <row r="278" spans="1:22" ht="14.25" x14ac:dyDescent="0.2">
      <c r="A278" s="301"/>
      <c r="B278" s="302"/>
      <c r="C278" s="302" t="s">
        <v>205</v>
      </c>
      <c r="D278" s="303"/>
      <c r="E278" s="286"/>
      <c r="F278" s="321">
        <v>314.29000000000002</v>
      </c>
      <c r="G278" s="305" t="s">
        <v>195</v>
      </c>
      <c r="H278" s="286">
        <v>1</v>
      </c>
      <c r="I278" s="304">
        <v>2420.0300000000002</v>
      </c>
      <c r="J278" s="286">
        <v>5.42</v>
      </c>
      <c r="K278" s="304">
        <v>13116.56</v>
      </c>
    </row>
    <row r="279" spans="1:22" ht="57" x14ac:dyDescent="0.2">
      <c r="A279" s="301" t="s">
        <v>1634</v>
      </c>
      <c r="B279" s="302" t="s">
        <v>3349</v>
      </c>
      <c r="C279" s="302" t="s">
        <v>1232</v>
      </c>
      <c r="D279" s="303" t="s">
        <v>1552</v>
      </c>
      <c r="E279" s="286">
        <v>785.4</v>
      </c>
      <c r="F279" s="321">
        <v>3.45</v>
      </c>
      <c r="G279" s="315" t="s">
        <v>195</v>
      </c>
      <c r="H279" s="286">
        <v>1</v>
      </c>
      <c r="I279" s="304">
        <v>2709.63</v>
      </c>
      <c r="J279" s="286">
        <v>6.37</v>
      </c>
      <c r="K279" s="304">
        <v>17260.34</v>
      </c>
      <c r="Q279" s="160">
        <f>[10]Source!X198</f>
        <v>0</v>
      </c>
      <c r="R279" s="160">
        <f>[10]Source!X199</f>
        <v>0</v>
      </c>
      <c r="S279" s="160">
        <f>[10]Source!Y198</f>
        <v>0</v>
      </c>
      <c r="T279" s="160">
        <f>[10]Source!Y199</f>
        <v>0</v>
      </c>
      <c r="U279" s="160">
        <f>ROUND((175/100)*ROUND([10]Source!R198, 2), 2)</f>
        <v>0</v>
      </c>
      <c r="V279" s="160">
        <f>ROUND((157/100)*ROUND([10]Source!R199, 2), 2)</f>
        <v>0</v>
      </c>
    </row>
    <row r="280" spans="1:22" ht="42.75" x14ac:dyDescent="0.2">
      <c r="A280" s="301" t="s">
        <v>3196</v>
      </c>
      <c r="B280" s="302" t="s">
        <v>3350</v>
      </c>
      <c r="C280" s="302" t="s">
        <v>1169</v>
      </c>
      <c r="D280" s="303" t="s">
        <v>1536</v>
      </c>
      <c r="E280" s="286">
        <v>7.7</v>
      </c>
      <c r="F280" s="321">
        <v>146.88999999999999</v>
      </c>
      <c r="G280" s="315" t="s">
        <v>195</v>
      </c>
      <c r="H280" s="286">
        <v>1</v>
      </c>
      <c r="I280" s="304">
        <v>1131.05</v>
      </c>
      <c r="J280" s="286">
        <v>1.19</v>
      </c>
      <c r="K280" s="304">
        <v>1345.95</v>
      </c>
      <c r="Q280" s="160">
        <f>[10]Source!X200</f>
        <v>0</v>
      </c>
      <c r="R280" s="160">
        <f>[10]Source!X201</f>
        <v>0</v>
      </c>
      <c r="S280" s="160">
        <f>[10]Source!Y200</f>
        <v>0</v>
      </c>
      <c r="T280" s="160">
        <f>[10]Source!Y201</f>
        <v>0</v>
      </c>
      <c r="U280" s="160">
        <f>ROUND((175/100)*ROUND([10]Source!R200, 2), 2)</f>
        <v>0</v>
      </c>
      <c r="V280" s="160">
        <f>ROUND((157/100)*ROUND([10]Source!R201, 2), 2)</f>
        <v>0</v>
      </c>
    </row>
    <row r="281" spans="1:22" ht="14.25" x14ac:dyDescent="0.2">
      <c r="A281" s="301"/>
      <c r="B281" s="302"/>
      <c r="C281" s="302" t="s">
        <v>194</v>
      </c>
      <c r="D281" s="303" t="s">
        <v>187</v>
      </c>
      <c r="E281" s="286">
        <v>114</v>
      </c>
      <c r="F281" s="321"/>
      <c r="G281" s="305"/>
      <c r="H281" s="286"/>
      <c r="I281" s="304">
        <v>1687.66</v>
      </c>
      <c r="J281" s="286">
        <v>77</v>
      </c>
      <c r="K281" s="304">
        <v>26616.85</v>
      </c>
    </row>
    <row r="282" spans="1:22" ht="14.25" x14ac:dyDescent="0.2">
      <c r="A282" s="301"/>
      <c r="B282" s="302"/>
      <c r="C282" s="302" t="s">
        <v>193</v>
      </c>
      <c r="D282" s="303" t="s">
        <v>187</v>
      </c>
      <c r="E282" s="286">
        <v>67</v>
      </c>
      <c r="F282" s="321"/>
      <c r="G282" s="305"/>
      <c r="H282" s="286"/>
      <c r="I282" s="304">
        <v>991.87</v>
      </c>
      <c r="J282" s="286">
        <v>41</v>
      </c>
      <c r="K282" s="304">
        <v>14172.61</v>
      </c>
    </row>
    <row r="283" spans="1:22" ht="14.25" x14ac:dyDescent="0.2">
      <c r="A283" s="301"/>
      <c r="B283" s="302"/>
      <c r="C283" s="302" t="s">
        <v>188</v>
      </c>
      <c r="D283" s="303" t="s">
        <v>187</v>
      </c>
      <c r="E283" s="286">
        <v>175</v>
      </c>
      <c r="F283" s="321"/>
      <c r="G283" s="305"/>
      <c r="H283" s="286"/>
      <c r="I283" s="304">
        <v>76.95</v>
      </c>
      <c r="J283" s="286">
        <v>157</v>
      </c>
      <c r="K283" s="304">
        <v>1611.92</v>
      </c>
    </row>
    <row r="284" spans="1:22" ht="14.25" x14ac:dyDescent="0.2">
      <c r="A284" s="329"/>
      <c r="B284" s="330"/>
      <c r="C284" s="330" t="s">
        <v>192</v>
      </c>
      <c r="D284" s="331" t="s">
        <v>191</v>
      </c>
      <c r="E284" s="332">
        <v>15</v>
      </c>
      <c r="F284" s="333"/>
      <c r="G284" s="334" t="s">
        <v>195</v>
      </c>
      <c r="H284" s="332">
        <v>1</v>
      </c>
      <c r="I284" s="335">
        <v>115.5</v>
      </c>
      <c r="J284" s="332"/>
      <c r="K284" s="335"/>
    </row>
    <row r="285" spans="1:22" ht="15" x14ac:dyDescent="0.25">
      <c r="A285" s="336"/>
      <c r="B285" s="336"/>
      <c r="C285" s="337" t="s">
        <v>183</v>
      </c>
      <c r="D285" s="336"/>
      <c r="E285" s="336"/>
      <c r="F285" s="336"/>
      <c r="G285" s="336"/>
      <c r="H285" s="461">
        <v>10750.69</v>
      </c>
      <c r="I285" s="461"/>
      <c r="J285" s="461">
        <v>110837.86</v>
      </c>
      <c r="K285" s="461"/>
      <c r="O285" s="163">
        <f>I275+I276+I278+I281+I282+I283+SUM(I279:I280)</f>
        <v>10750.69</v>
      </c>
      <c r="P285" s="163">
        <f>K275+K276+K278+K281+K282+K283+SUM(K279:K280)</f>
        <v>110837.86</v>
      </c>
    </row>
    <row r="287" spans="1:22" ht="28.5" x14ac:dyDescent="0.2">
      <c r="A287" s="301" t="s">
        <v>1635</v>
      </c>
      <c r="B287" s="302" t="s">
        <v>3351</v>
      </c>
      <c r="C287" s="302" t="s">
        <v>1303</v>
      </c>
      <c r="D287" s="303" t="s">
        <v>1686</v>
      </c>
      <c r="E287" s="286">
        <v>1.5</v>
      </c>
      <c r="F287" s="321"/>
      <c r="G287" s="305"/>
      <c r="H287" s="286"/>
      <c r="I287" s="304"/>
      <c r="J287" s="286"/>
      <c r="K287" s="304"/>
      <c r="Q287" s="160">
        <f>[10]Source!X202</f>
        <v>21.72</v>
      </c>
      <c r="R287" s="160">
        <f>[10]Source!X203</f>
        <v>342.51</v>
      </c>
      <c r="S287" s="160">
        <f>[10]Source!Y202</f>
        <v>12.76</v>
      </c>
      <c r="T287" s="160">
        <f>[10]Source!Y203</f>
        <v>182.38</v>
      </c>
      <c r="U287" s="160">
        <f>ROUND((175/100)*ROUND([10]Source!R202, 2), 2)</f>
        <v>24.15</v>
      </c>
      <c r="V287" s="160">
        <f>ROUND((157/100)*ROUND([10]Source!R203, 2), 2)</f>
        <v>505.9</v>
      </c>
    </row>
    <row r="288" spans="1:22" x14ac:dyDescent="0.2">
      <c r="C288" s="316" t="s">
        <v>3352</v>
      </c>
    </row>
    <row r="289" spans="1:22" ht="14.25" x14ac:dyDescent="0.2">
      <c r="A289" s="301"/>
      <c r="B289" s="302"/>
      <c r="C289" s="302" t="s">
        <v>197</v>
      </c>
      <c r="D289" s="303"/>
      <c r="E289" s="286"/>
      <c r="F289" s="321">
        <v>12.7</v>
      </c>
      <c r="G289" s="305" t="s">
        <v>195</v>
      </c>
      <c r="H289" s="286">
        <v>1</v>
      </c>
      <c r="I289" s="304">
        <v>19.05</v>
      </c>
      <c r="J289" s="286">
        <v>23.35</v>
      </c>
      <c r="K289" s="304">
        <v>444.82</v>
      </c>
    </row>
    <row r="290" spans="1:22" ht="14.25" x14ac:dyDescent="0.2">
      <c r="A290" s="301"/>
      <c r="B290" s="302"/>
      <c r="C290" s="302" t="s">
        <v>184</v>
      </c>
      <c r="D290" s="303"/>
      <c r="E290" s="286"/>
      <c r="F290" s="321">
        <v>42.6</v>
      </c>
      <c r="G290" s="305" t="s">
        <v>195</v>
      </c>
      <c r="H290" s="286">
        <v>1</v>
      </c>
      <c r="I290" s="304">
        <v>63.9</v>
      </c>
      <c r="J290" s="286">
        <v>9.24</v>
      </c>
      <c r="K290" s="304">
        <v>590.44000000000005</v>
      </c>
    </row>
    <row r="291" spans="1:22" ht="14.25" x14ac:dyDescent="0.2">
      <c r="A291" s="301"/>
      <c r="B291" s="302"/>
      <c r="C291" s="302" t="s">
        <v>189</v>
      </c>
      <c r="D291" s="303"/>
      <c r="E291" s="286"/>
      <c r="F291" s="321">
        <v>9.1999999999999993</v>
      </c>
      <c r="G291" s="305" t="s">
        <v>195</v>
      </c>
      <c r="H291" s="286">
        <v>1</v>
      </c>
      <c r="I291" s="306">
        <v>13.8</v>
      </c>
      <c r="J291" s="286">
        <v>23.35</v>
      </c>
      <c r="K291" s="306">
        <v>322.23</v>
      </c>
    </row>
    <row r="292" spans="1:22" ht="14.25" x14ac:dyDescent="0.2">
      <c r="A292" s="301"/>
      <c r="B292" s="302"/>
      <c r="C292" s="302" t="s">
        <v>205</v>
      </c>
      <c r="D292" s="303"/>
      <c r="E292" s="286"/>
      <c r="F292" s="321">
        <v>3.57</v>
      </c>
      <c r="G292" s="305" t="s">
        <v>195</v>
      </c>
      <c r="H292" s="286">
        <v>1</v>
      </c>
      <c r="I292" s="304">
        <v>5.36</v>
      </c>
      <c r="J292" s="286">
        <v>5.42</v>
      </c>
      <c r="K292" s="304">
        <v>29.05</v>
      </c>
    </row>
    <row r="293" spans="1:22" ht="14.25" x14ac:dyDescent="0.2">
      <c r="A293" s="301"/>
      <c r="B293" s="302"/>
      <c r="C293" s="302" t="s">
        <v>194</v>
      </c>
      <c r="D293" s="303" t="s">
        <v>187</v>
      </c>
      <c r="E293" s="286">
        <v>114</v>
      </c>
      <c r="F293" s="321"/>
      <c r="G293" s="305"/>
      <c r="H293" s="286"/>
      <c r="I293" s="304">
        <v>21.72</v>
      </c>
      <c r="J293" s="286">
        <v>77</v>
      </c>
      <c r="K293" s="304">
        <v>342.51</v>
      </c>
    </row>
    <row r="294" spans="1:22" ht="14.25" x14ac:dyDescent="0.2">
      <c r="A294" s="301"/>
      <c r="B294" s="302"/>
      <c r="C294" s="302" t="s">
        <v>193</v>
      </c>
      <c r="D294" s="303" t="s">
        <v>187</v>
      </c>
      <c r="E294" s="286">
        <v>67</v>
      </c>
      <c r="F294" s="321"/>
      <c r="G294" s="305"/>
      <c r="H294" s="286"/>
      <c r="I294" s="304">
        <v>12.76</v>
      </c>
      <c r="J294" s="286">
        <v>41</v>
      </c>
      <c r="K294" s="304">
        <v>182.38</v>
      </c>
    </row>
    <row r="295" spans="1:22" ht="14.25" x14ac:dyDescent="0.2">
      <c r="A295" s="301"/>
      <c r="B295" s="302"/>
      <c r="C295" s="302" t="s">
        <v>188</v>
      </c>
      <c r="D295" s="303" t="s">
        <v>187</v>
      </c>
      <c r="E295" s="286">
        <v>175</v>
      </c>
      <c r="F295" s="321"/>
      <c r="G295" s="305"/>
      <c r="H295" s="286"/>
      <c r="I295" s="304">
        <v>24.15</v>
      </c>
      <c r="J295" s="286">
        <v>157</v>
      </c>
      <c r="K295" s="304">
        <v>505.9</v>
      </c>
    </row>
    <row r="296" spans="1:22" ht="14.25" x14ac:dyDescent="0.2">
      <c r="A296" s="329"/>
      <c r="B296" s="330"/>
      <c r="C296" s="330" t="s">
        <v>192</v>
      </c>
      <c r="D296" s="331" t="s">
        <v>191</v>
      </c>
      <c r="E296" s="332">
        <v>1.03</v>
      </c>
      <c r="F296" s="333"/>
      <c r="G296" s="334" t="s">
        <v>195</v>
      </c>
      <c r="H296" s="332">
        <v>1</v>
      </c>
      <c r="I296" s="335">
        <v>1.55</v>
      </c>
      <c r="J296" s="332"/>
      <c r="K296" s="335"/>
    </row>
    <row r="297" spans="1:22" ht="15" x14ac:dyDescent="0.25">
      <c r="A297" s="336"/>
      <c r="B297" s="336"/>
      <c r="C297" s="337" t="s">
        <v>183</v>
      </c>
      <c r="D297" s="336"/>
      <c r="E297" s="336"/>
      <c r="F297" s="336"/>
      <c r="G297" s="336"/>
      <c r="H297" s="461">
        <v>146.94</v>
      </c>
      <c r="I297" s="461"/>
      <c r="J297" s="461">
        <v>2095.1</v>
      </c>
      <c r="K297" s="461"/>
      <c r="O297" s="163">
        <f>I289+I290+I292+I293+I294+I295</f>
        <v>146.94</v>
      </c>
      <c r="P297" s="163">
        <f>K289+K290+K292+K293+K294+K295</f>
        <v>2095.1</v>
      </c>
    </row>
    <row r="299" spans="1:22" ht="28.5" x14ac:dyDescent="0.2">
      <c r="A299" s="301" t="s">
        <v>1645</v>
      </c>
      <c r="B299" s="302" t="s">
        <v>3353</v>
      </c>
      <c r="C299" s="302" t="s">
        <v>1162</v>
      </c>
      <c r="D299" s="303" t="s">
        <v>1686</v>
      </c>
      <c r="E299" s="286">
        <v>7.6</v>
      </c>
      <c r="F299" s="321"/>
      <c r="G299" s="305"/>
      <c r="H299" s="286"/>
      <c r="I299" s="304"/>
      <c r="J299" s="286"/>
      <c r="K299" s="304"/>
      <c r="Q299" s="160">
        <f>[10]Source!X204</f>
        <v>330.1</v>
      </c>
      <c r="R299" s="160">
        <f>[10]Source!X205</f>
        <v>5206.1499999999996</v>
      </c>
      <c r="S299" s="160">
        <f>[10]Source!Y204</f>
        <v>194.01</v>
      </c>
      <c r="T299" s="160">
        <f>[10]Source!Y205</f>
        <v>2772.1</v>
      </c>
      <c r="U299" s="160">
        <f>ROUND((175/100)*ROUND([10]Source!R204, 2), 2)</f>
        <v>2.66</v>
      </c>
      <c r="V299" s="160">
        <f>ROUND((157/100)*ROUND([10]Source!R205, 2), 2)</f>
        <v>55.72</v>
      </c>
    </row>
    <row r="300" spans="1:22" x14ac:dyDescent="0.2">
      <c r="C300" s="316" t="s">
        <v>3342</v>
      </c>
    </row>
    <row r="301" spans="1:22" ht="14.25" x14ac:dyDescent="0.2">
      <c r="A301" s="301"/>
      <c r="B301" s="302"/>
      <c r="C301" s="302" t="s">
        <v>197</v>
      </c>
      <c r="D301" s="303"/>
      <c r="E301" s="286"/>
      <c r="F301" s="321">
        <v>38.1</v>
      </c>
      <c r="G301" s="305" t="s">
        <v>195</v>
      </c>
      <c r="H301" s="286">
        <v>1</v>
      </c>
      <c r="I301" s="304">
        <v>289.56</v>
      </c>
      <c r="J301" s="286">
        <v>23.35</v>
      </c>
      <c r="K301" s="304">
        <v>6761.23</v>
      </c>
    </row>
    <row r="302" spans="1:22" ht="14.25" x14ac:dyDescent="0.2">
      <c r="A302" s="301"/>
      <c r="B302" s="302"/>
      <c r="C302" s="302" t="s">
        <v>184</v>
      </c>
      <c r="D302" s="303"/>
      <c r="E302" s="286"/>
      <c r="F302" s="321">
        <v>0.85</v>
      </c>
      <c r="G302" s="305" t="s">
        <v>195</v>
      </c>
      <c r="H302" s="286">
        <v>1</v>
      </c>
      <c r="I302" s="304">
        <v>6.46</v>
      </c>
      <c r="J302" s="286">
        <v>9.59</v>
      </c>
      <c r="K302" s="304">
        <v>61.95</v>
      </c>
    </row>
    <row r="303" spans="1:22" ht="14.25" x14ac:dyDescent="0.2">
      <c r="A303" s="301"/>
      <c r="B303" s="302"/>
      <c r="C303" s="302" t="s">
        <v>189</v>
      </c>
      <c r="D303" s="303"/>
      <c r="E303" s="286"/>
      <c r="F303" s="321">
        <v>0.2</v>
      </c>
      <c r="G303" s="305" t="s">
        <v>195</v>
      </c>
      <c r="H303" s="286">
        <v>1</v>
      </c>
      <c r="I303" s="306">
        <v>1.52</v>
      </c>
      <c r="J303" s="286">
        <v>23.35</v>
      </c>
      <c r="K303" s="306">
        <v>35.49</v>
      </c>
    </row>
    <row r="304" spans="1:22" ht="14.25" x14ac:dyDescent="0.2">
      <c r="A304" s="301"/>
      <c r="B304" s="302"/>
      <c r="C304" s="302" t="s">
        <v>205</v>
      </c>
      <c r="D304" s="303"/>
      <c r="E304" s="286"/>
      <c r="F304" s="321">
        <v>3.71</v>
      </c>
      <c r="G304" s="305" t="s">
        <v>195</v>
      </c>
      <c r="H304" s="286">
        <v>1</v>
      </c>
      <c r="I304" s="304">
        <v>28.2</v>
      </c>
      <c r="J304" s="286">
        <v>5.42</v>
      </c>
      <c r="K304" s="304">
        <v>152.84</v>
      </c>
    </row>
    <row r="305" spans="1:22" ht="14.25" x14ac:dyDescent="0.2">
      <c r="A305" s="301"/>
      <c r="B305" s="302"/>
      <c r="C305" s="302" t="s">
        <v>194</v>
      </c>
      <c r="D305" s="303" t="s">
        <v>187</v>
      </c>
      <c r="E305" s="286">
        <v>114</v>
      </c>
      <c r="F305" s="321"/>
      <c r="G305" s="305"/>
      <c r="H305" s="286"/>
      <c r="I305" s="304">
        <v>330.1</v>
      </c>
      <c r="J305" s="286">
        <v>77</v>
      </c>
      <c r="K305" s="304">
        <v>5206.1499999999996</v>
      </c>
    </row>
    <row r="306" spans="1:22" ht="14.25" x14ac:dyDescent="0.2">
      <c r="A306" s="301"/>
      <c r="B306" s="302"/>
      <c r="C306" s="302" t="s">
        <v>193</v>
      </c>
      <c r="D306" s="303" t="s">
        <v>187</v>
      </c>
      <c r="E306" s="286">
        <v>67</v>
      </c>
      <c r="F306" s="321"/>
      <c r="G306" s="305"/>
      <c r="H306" s="286"/>
      <c r="I306" s="304">
        <v>194.01</v>
      </c>
      <c r="J306" s="286">
        <v>41</v>
      </c>
      <c r="K306" s="304">
        <v>2772.1</v>
      </c>
    </row>
    <row r="307" spans="1:22" ht="14.25" x14ac:dyDescent="0.2">
      <c r="A307" s="301"/>
      <c r="B307" s="302"/>
      <c r="C307" s="302" t="s">
        <v>188</v>
      </c>
      <c r="D307" s="303" t="s">
        <v>187</v>
      </c>
      <c r="E307" s="286">
        <v>175</v>
      </c>
      <c r="F307" s="321"/>
      <c r="G307" s="305"/>
      <c r="H307" s="286"/>
      <c r="I307" s="304">
        <v>2.66</v>
      </c>
      <c r="J307" s="286">
        <v>157</v>
      </c>
      <c r="K307" s="304">
        <v>55.72</v>
      </c>
    </row>
    <row r="308" spans="1:22" ht="14.25" x14ac:dyDescent="0.2">
      <c r="A308" s="329"/>
      <c r="B308" s="330"/>
      <c r="C308" s="330" t="s">
        <v>192</v>
      </c>
      <c r="D308" s="331" t="s">
        <v>191</v>
      </c>
      <c r="E308" s="332">
        <v>3.09</v>
      </c>
      <c r="F308" s="333"/>
      <c r="G308" s="334" t="s">
        <v>195</v>
      </c>
      <c r="H308" s="332">
        <v>1</v>
      </c>
      <c r="I308" s="335">
        <v>23.48</v>
      </c>
      <c r="J308" s="332"/>
      <c r="K308" s="335"/>
    </row>
    <row r="309" spans="1:22" ht="15" x14ac:dyDescent="0.25">
      <c r="A309" s="336"/>
      <c r="B309" s="336"/>
      <c r="C309" s="337" t="s">
        <v>183</v>
      </c>
      <c r="D309" s="336"/>
      <c r="E309" s="336"/>
      <c r="F309" s="336"/>
      <c r="G309" s="336"/>
      <c r="H309" s="461">
        <v>850.99</v>
      </c>
      <c r="I309" s="461"/>
      <c r="J309" s="461">
        <v>15009.99</v>
      </c>
      <c r="K309" s="461"/>
      <c r="O309" s="163">
        <f>I301+I302+I304+I305+I306+I307</f>
        <v>850.99</v>
      </c>
      <c r="P309" s="163">
        <f>K301+K302+K304+K305+K306+K307</f>
        <v>15009.99</v>
      </c>
    </row>
    <row r="311" spans="1:22" ht="71.25" x14ac:dyDescent="0.2">
      <c r="A311" s="301" t="s">
        <v>1652</v>
      </c>
      <c r="B311" s="302" t="s">
        <v>3354</v>
      </c>
      <c r="C311" s="302" t="s">
        <v>1111</v>
      </c>
      <c r="D311" s="303" t="s">
        <v>1686</v>
      </c>
      <c r="E311" s="286">
        <v>7.7</v>
      </c>
      <c r="F311" s="321"/>
      <c r="G311" s="305"/>
      <c r="H311" s="286"/>
      <c r="I311" s="304"/>
      <c r="J311" s="286"/>
      <c r="K311" s="304"/>
      <c r="Q311" s="160">
        <f>[10]Source!X206</f>
        <v>668.88</v>
      </c>
      <c r="R311" s="160">
        <f>[10]Source!X207</f>
        <v>10549.29</v>
      </c>
      <c r="S311" s="160">
        <f>[10]Source!Y206</f>
        <v>393.12</v>
      </c>
      <c r="T311" s="160">
        <f>[10]Source!Y207</f>
        <v>5617.16</v>
      </c>
      <c r="U311" s="160">
        <f>ROUND((175/100)*ROUND([10]Source!R206, 2), 2)</f>
        <v>5.25</v>
      </c>
      <c r="V311" s="160">
        <f>ROUND((157/100)*ROUND([10]Source!R207, 2), 2)</f>
        <v>109.98</v>
      </c>
    </row>
    <row r="312" spans="1:22" x14ac:dyDescent="0.2">
      <c r="C312" s="316" t="s">
        <v>3348</v>
      </c>
    </row>
    <row r="313" spans="1:22" ht="14.25" x14ac:dyDescent="0.2">
      <c r="A313" s="301"/>
      <c r="B313" s="302"/>
      <c r="C313" s="302" t="s">
        <v>197</v>
      </c>
      <c r="D313" s="303"/>
      <c r="E313" s="286"/>
      <c r="F313" s="321">
        <v>76.2</v>
      </c>
      <c r="G313" s="305" t="s">
        <v>195</v>
      </c>
      <c r="H313" s="286">
        <v>1</v>
      </c>
      <c r="I313" s="304">
        <v>586.74</v>
      </c>
      <c r="J313" s="286">
        <v>23.35</v>
      </c>
      <c r="K313" s="304">
        <v>13700.38</v>
      </c>
    </row>
    <row r="314" spans="1:22" ht="14.25" x14ac:dyDescent="0.2">
      <c r="A314" s="301"/>
      <c r="B314" s="302"/>
      <c r="C314" s="302" t="s">
        <v>184</v>
      </c>
      <c r="D314" s="303"/>
      <c r="E314" s="286"/>
      <c r="F314" s="321">
        <v>1.69</v>
      </c>
      <c r="G314" s="305" t="s">
        <v>195</v>
      </c>
      <c r="H314" s="286">
        <v>1</v>
      </c>
      <c r="I314" s="304">
        <v>13.01</v>
      </c>
      <c r="J314" s="286">
        <v>9.5</v>
      </c>
      <c r="K314" s="304">
        <v>123.6</v>
      </c>
    </row>
    <row r="315" spans="1:22" ht="14.25" x14ac:dyDescent="0.2">
      <c r="A315" s="301"/>
      <c r="B315" s="302"/>
      <c r="C315" s="302" t="s">
        <v>189</v>
      </c>
      <c r="D315" s="303"/>
      <c r="E315" s="286"/>
      <c r="F315" s="321">
        <v>0.39</v>
      </c>
      <c r="G315" s="305" t="s">
        <v>195</v>
      </c>
      <c r="H315" s="286">
        <v>1</v>
      </c>
      <c r="I315" s="306">
        <v>3</v>
      </c>
      <c r="J315" s="286">
        <v>23.35</v>
      </c>
      <c r="K315" s="306">
        <v>70.05</v>
      </c>
    </row>
    <row r="316" spans="1:22" ht="14.25" x14ac:dyDescent="0.2">
      <c r="A316" s="301"/>
      <c r="B316" s="302"/>
      <c r="C316" s="302" t="s">
        <v>205</v>
      </c>
      <c r="D316" s="303"/>
      <c r="E316" s="286"/>
      <c r="F316" s="321">
        <v>9.94</v>
      </c>
      <c r="G316" s="305" t="s">
        <v>195</v>
      </c>
      <c r="H316" s="286">
        <v>1</v>
      </c>
      <c r="I316" s="304">
        <v>76.540000000000006</v>
      </c>
      <c r="J316" s="286">
        <v>5.42</v>
      </c>
      <c r="K316" s="304">
        <v>414.85</v>
      </c>
    </row>
    <row r="317" spans="1:22" ht="14.25" x14ac:dyDescent="0.2">
      <c r="A317" s="301"/>
      <c r="B317" s="302"/>
      <c r="C317" s="302" t="s">
        <v>194</v>
      </c>
      <c r="D317" s="303" t="s">
        <v>187</v>
      </c>
      <c r="E317" s="286">
        <v>114</v>
      </c>
      <c r="F317" s="321"/>
      <c r="G317" s="305"/>
      <c r="H317" s="286"/>
      <c r="I317" s="304">
        <v>668.88</v>
      </c>
      <c r="J317" s="286">
        <v>77</v>
      </c>
      <c r="K317" s="304">
        <v>10549.29</v>
      </c>
    </row>
    <row r="318" spans="1:22" ht="14.25" x14ac:dyDescent="0.2">
      <c r="A318" s="301"/>
      <c r="B318" s="302"/>
      <c r="C318" s="302" t="s">
        <v>193</v>
      </c>
      <c r="D318" s="303" t="s">
        <v>187</v>
      </c>
      <c r="E318" s="286">
        <v>67</v>
      </c>
      <c r="F318" s="321"/>
      <c r="G318" s="305"/>
      <c r="H318" s="286"/>
      <c r="I318" s="304">
        <v>393.12</v>
      </c>
      <c r="J318" s="286">
        <v>41</v>
      </c>
      <c r="K318" s="304">
        <v>5617.16</v>
      </c>
    </row>
    <row r="319" spans="1:22" ht="14.25" x14ac:dyDescent="0.2">
      <c r="A319" s="301"/>
      <c r="B319" s="302"/>
      <c r="C319" s="302" t="s">
        <v>188</v>
      </c>
      <c r="D319" s="303" t="s">
        <v>187</v>
      </c>
      <c r="E319" s="286">
        <v>175</v>
      </c>
      <c r="F319" s="321"/>
      <c r="G319" s="305"/>
      <c r="H319" s="286"/>
      <c r="I319" s="304">
        <v>5.25</v>
      </c>
      <c r="J319" s="286">
        <v>157</v>
      </c>
      <c r="K319" s="304">
        <v>109.98</v>
      </c>
    </row>
    <row r="320" spans="1:22" ht="14.25" x14ac:dyDescent="0.2">
      <c r="A320" s="329"/>
      <c r="B320" s="330"/>
      <c r="C320" s="330" t="s">
        <v>192</v>
      </c>
      <c r="D320" s="331" t="s">
        <v>191</v>
      </c>
      <c r="E320" s="332">
        <v>6.18</v>
      </c>
      <c r="F320" s="333"/>
      <c r="G320" s="334" t="s">
        <v>195</v>
      </c>
      <c r="H320" s="332">
        <v>1</v>
      </c>
      <c r="I320" s="335">
        <v>47.59</v>
      </c>
      <c r="J320" s="332"/>
      <c r="K320" s="335"/>
    </row>
    <row r="321" spans="1:22" ht="15" x14ac:dyDescent="0.25">
      <c r="A321" s="336"/>
      <c r="B321" s="336"/>
      <c r="C321" s="337" t="s">
        <v>183</v>
      </c>
      <c r="D321" s="336"/>
      <c r="E321" s="336"/>
      <c r="F321" s="336"/>
      <c r="G321" s="336"/>
      <c r="H321" s="461">
        <v>1743.54</v>
      </c>
      <c r="I321" s="461"/>
      <c r="J321" s="461">
        <v>30515.26</v>
      </c>
      <c r="K321" s="461"/>
      <c r="O321" s="163">
        <f>I313+I314+I316+I317+I318+I319</f>
        <v>1743.54</v>
      </c>
      <c r="P321" s="163">
        <f>K313+K314+K316+K317+K318+K319</f>
        <v>30515.26</v>
      </c>
    </row>
    <row r="323" spans="1:22" ht="85.5" x14ac:dyDescent="0.2">
      <c r="A323" s="301" t="s">
        <v>1665</v>
      </c>
      <c r="B323" s="302" t="s">
        <v>3355</v>
      </c>
      <c r="C323" s="302" t="s">
        <v>1228</v>
      </c>
      <c r="D323" s="303" t="s">
        <v>1686</v>
      </c>
      <c r="E323" s="286">
        <v>29.44</v>
      </c>
      <c r="F323" s="321"/>
      <c r="G323" s="305"/>
      <c r="H323" s="286"/>
      <c r="I323" s="304"/>
      <c r="J323" s="286"/>
      <c r="K323" s="304"/>
      <c r="Q323" s="160">
        <f>[10]Source!X208</f>
        <v>868.91</v>
      </c>
      <c r="R323" s="160">
        <f>[10]Source!X209</f>
        <v>13703.97</v>
      </c>
      <c r="S323" s="160">
        <f>[10]Source!Y208</f>
        <v>510.67</v>
      </c>
      <c r="T323" s="160">
        <f>[10]Source!Y209</f>
        <v>7296.92</v>
      </c>
      <c r="U323" s="160">
        <f>ROUND((175/100)*ROUND([10]Source!R208, 2), 2)</f>
        <v>10.31</v>
      </c>
      <c r="V323" s="160">
        <f>ROUND((157/100)*ROUND([10]Source!R209, 2), 2)</f>
        <v>215.92</v>
      </c>
    </row>
    <row r="324" spans="1:22" x14ac:dyDescent="0.2">
      <c r="C324" s="316" t="s">
        <v>3356</v>
      </c>
    </row>
    <row r="325" spans="1:22" ht="14.25" x14ac:dyDescent="0.2">
      <c r="A325" s="301"/>
      <c r="B325" s="302"/>
      <c r="C325" s="302" t="s">
        <v>197</v>
      </c>
      <c r="D325" s="303"/>
      <c r="E325" s="286"/>
      <c r="F325" s="321">
        <v>25.89</v>
      </c>
      <c r="G325" s="305" t="s">
        <v>195</v>
      </c>
      <c r="H325" s="286">
        <v>1</v>
      </c>
      <c r="I325" s="304">
        <v>762.2</v>
      </c>
      <c r="J325" s="286">
        <v>23.35</v>
      </c>
      <c r="K325" s="304">
        <v>17797.37</v>
      </c>
    </row>
    <row r="326" spans="1:22" ht="14.25" x14ac:dyDescent="0.2">
      <c r="A326" s="301"/>
      <c r="B326" s="302"/>
      <c r="C326" s="302" t="s">
        <v>184</v>
      </c>
      <c r="D326" s="303"/>
      <c r="E326" s="286"/>
      <c r="F326" s="321">
        <v>0.85</v>
      </c>
      <c r="G326" s="305" t="s">
        <v>195</v>
      </c>
      <c r="H326" s="286">
        <v>1</v>
      </c>
      <c r="I326" s="304">
        <v>25.02</v>
      </c>
      <c r="J326" s="286">
        <v>9.59</v>
      </c>
      <c r="K326" s="304">
        <v>239.94</v>
      </c>
    </row>
    <row r="327" spans="1:22" ht="14.25" x14ac:dyDescent="0.2">
      <c r="A327" s="301"/>
      <c r="B327" s="302"/>
      <c r="C327" s="302" t="s">
        <v>189</v>
      </c>
      <c r="D327" s="303"/>
      <c r="E327" s="286"/>
      <c r="F327" s="321">
        <v>0.2</v>
      </c>
      <c r="G327" s="305" t="s">
        <v>195</v>
      </c>
      <c r="H327" s="286">
        <v>1</v>
      </c>
      <c r="I327" s="306">
        <v>5.89</v>
      </c>
      <c r="J327" s="286">
        <v>23.35</v>
      </c>
      <c r="K327" s="306">
        <v>137.53</v>
      </c>
    </row>
    <row r="328" spans="1:22" ht="14.25" x14ac:dyDescent="0.2">
      <c r="A328" s="301"/>
      <c r="B328" s="302"/>
      <c r="C328" s="302" t="s">
        <v>205</v>
      </c>
      <c r="D328" s="303"/>
      <c r="E328" s="286"/>
      <c r="F328" s="321">
        <v>9.59</v>
      </c>
      <c r="G328" s="305" t="s">
        <v>195</v>
      </c>
      <c r="H328" s="286">
        <v>1</v>
      </c>
      <c r="I328" s="304">
        <v>282.33</v>
      </c>
      <c r="J328" s="286">
        <v>5.42</v>
      </c>
      <c r="K328" s="304">
        <v>1530.23</v>
      </c>
    </row>
    <row r="329" spans="1:22" ht="14.25" x14ac:dyDescent="0.2">
      <c r="A329" s="301"/>
      <c r="B329" s="302"/>
      <c r="C329" s="302" t="s">
        <v>194</v>
      </c>
      <c r="D329" s="303" t="s">
        <v>187</v>
      </c>
      <c r="E329" s="286">
        <v>114</v>
      </c>
      <c r="F329" s="321"/>
      <c r="G329" s="305"/>
      <c r="H329" s="286"/>
      <c r="I329" s="304">
        <v>868.91</v>
      </c>
      <c r="J329" s="286">
        <v>77</v>
      </c>
      <c r="K329" s="304">
        <v>13703.97</v>
      </c>
    </row>
    <row r="330" spans="1:22" ht="14.25" x14ac:dyDescent="0.2">
      <c r="A330" s="301"/>
      <c r="B330" s="302"/>
      <c r="C330" s="302" t="s">
        <v>193</v>
      </c>
      <c r="D330" s="303" t="s">
        <v>187</v>
      </c>
      <c r="E330" s="286">
        <v>67</v>
      </c>
      <c r="F330" s="321"/>
      <c r="G330" s="305"/>
      <c r="H330" s="286"/>
      <c r="I330" s="304">
        <v>510.67</v>
      </c>
      <c r="J330" s="286">
        <v>41</v>
      </c>
      <c r="K330" s="304">
        <v>7296.92</v>
      </c>
    </row>
    <row r="331" spans="1:22" ht="14.25" x14ac:dyDescent="0.2">
      <c r="A331" s="301"/>
      <c r="B331" s="302"/>
      <c r="C331" s="302" t="s">
        <v>188</v>
      </c>
      <c r="D331" s="303" t="s">
        <v>187</v>
      </c>
      <c r="E331" s="286">
        <v>175</v>
      </c>
      <c r="F331" s="321"/>
      <c r="G331" s="305"/>
      <c r="H331" s="286"/>
      <c r="I331" s="304">
        <v>10.31</v>
      </c>
      <c r="J331" s="286">
        <v>157</v>
      </c>
      <c r="K331" s="304">
        <v>215.92</v>
      </c>
    </row>
    <row r="332" spans="1:22" ht="14.25" x14ac:dyDescent="0.2">
      <c r="A332" s="329"/>
      <c r="B332" s="330"/>
      <c r="C332" s="330" t="s">
        <v>192</v>
      </c>
      <c r="D332" s="331" t="s">
        <v>191</v>
      </c>
      <c r="E332" s="332">
        <v>2.1</v>
      </c>
      <c r="F332" s="333"/>
      <c r="G332" s="334" t="s">
        <v>195</v>
      </c>
      <c r="H332" s="332">
        <v>1</v>
      </c>
      <c r="I332" s="335">
        <v>61.82</v>
      </c>
      <c r="J332" s="332"/>
      <c r="K332" s="335"/>
    </row>
    <row r="333" spans="1:22" ht="15" x14ac:dyDescent="0.25">
      <c r="A333" s="336"/>
      <c r="B333" s="336"/>
      <c r="C333" s="337" t="s">
        <v>183</v>
      </c>
      <c r="D333" s="336"/>
      <c r="E333" s="336"/>
      <c r="F333" s="336"/>
      <c r="G333" s="336"/>
      <c r="H333" s="461">
        <v>2459.44</v>
      </c>
      <c r="I333" s="461"/>
      <c r="J333" s="461">
        <v>40784.35</v>
      </c>
      <c r="K333" s="461"/>
      <c r="O333" s="163">
        <f>I325+I326+I328+I329+I330+I331</f>
        <v>2459.44</v>
      </c>
      <c r="P333" s="163">
        <f>K325+K326+K328+K329+K330+K331</f>
        <v>40784.35</v>
      </c>
    </row>
    <row r="335" spans="1:22" ht="85.5" x14ac:dyDescent="0.2">
      <c r="A335" s="301" t="s">
        <v>1672</v>
      </c>
      <c r="B335" s="302" t="s">
        <v>3357</v>
      </c>
      <c r="C335" s="302" t="s">
        <v>1302</v>
      </c>
      <c r="D335" s="303" t="s">
        <v>1686</v>
      </c>
      <c r="E335" s="286">
        <v>37.4</v>
      </c>
      <c r="F335" s="321"/>
      <c r="G335" s="305"/>
      <c r="H335" s="286"/>
      <c r="I335" s="304"/>
      <c r="J335" s="286"/>
      <c r="K335" s="304"/>
      <c r="Q335" s="160">
        <f>[10]Source!X210</f>
        <v>2707.39</v>
      </c>
      <c r="R335" s="160">
        <f>[10]Source!X211</f>
        <v>42699.519999999997</v>
      </c>
      <c r="S335" s="160">
        <f>[10]Source!Y210</f>
        <v>1591.18</v>
      </c>
      <c r="T335" s="160">
        <f>[10]Source!Y211</f>
        <v>22736.11</v>
      </c>
      <c r="U335" s="160">
        <f>ROUND((175/100)*ROUND([10]Source!R210, 2), 2)</f>
        <v>90.32</v>
      </c>
      <c r="V335" s="160">
        <f>ROUND((157/100)*ROUND([10]Source!R211, 2), 2)</f>
        <v>1891.99</v>
      </c>
    </row>
    <row r="336" spans="1:22" ht="25.5" x14ac:dyDescent="0.2">
      <c r="C336" s="316" t="s">
        <v>3358</v>
      </c>
    </row>
    <row r="337" spans="1:22" ht="14.25" x14ac:dyDescent="0.2">
      <c r="A337" s="301"/>
      <c r="B337" s="302"/>
      <c r="C337" s="302" t="s">
        <v>197</v>
      </c>
      <c r="D337" s="303"/>
      <c r="E337" s="286"/>
      <c r="F337" s="321">
        <v>63.5</v>
      </c>
      <c r="G337" s="305" t="s">
        <v>195</v>
      </c>
      <c r="H337" s="286">
        <v>1</v>
      </c>
      <c r="I337" s="304">
        <v>2374.9</v>
      </c>
      <c r="J337" s="286">
        <v>23.35</v>
      </c>
      <c r="K337" s="304">
        <v>55453.919999999998</v>
      </c>
    </row>
    <row r="338" spans="1:22" ht="14.25" x14ac:dyDescent="0.2">
      <c r="A338" s="301"/>
      <c r="B338" s="302"/>
      <c r="C338" s="302" t="s">
        <v>184</v>
      </c>
      <c r="D338" s="303"/>
      <c r="E338" s="286"/>
      <c r="F338" s="321">
        <v>5.93</v>
      </c>
      <c r="G338" s="305" t="s">
        <v>195</v>
      </c>
      <c r="H338" s="286">
        <v>1</v>
      </c>
      <c r="I338" s="304">
        <v>221.78</v>
      </c>
      <c r="J338" s="286">
        <v>9.5399999999999991</v>
      </c>
      <c r="K338" s="304">
        <v>2115.7800000000002</v>
      </c>
    </row>
    <row r="339" spans="1:22" ht="14.25" x14ac:dyDescent="0.2">
      <c r="A339" s="301"/>
      <c r="B339" s="302"/>
      <c r="C339" s="302" t="s">
        <v>189</v>
      </c>
      <c r="D339" s="303"/>
      <c r="E339" s="286"/>
      <c r="F339" s="321">
        <v>1.38</v>
      </c>
      <c r="G339" s="305" t="s">
        <v>195</v>
      </c>
      <c r="H339" s="286">
        <v>1</v>
      </c>
      <c r="I339" s="306">
        <v>51.61</v>
      </c>
      <c r="J339" s="286">
        <v>23.35</v>
      </c>
      <c r="K339" s="306">
        <v>1205.0899999999999</v>
      </c>
    </row>
    <row r="340" spans="1:22" ht="14.25" x14ac:dyDescent="0.2">
      <c r="A340" s="301"/>
      <c r="B340" s="302"/>
      <c r="C340" s="302" t="s">
        <v>205</v>
      </c>
      <c r="D340" s="303"/>
      <c r="E340" s="286"/>
      <c r="F340" s="321">
        <v>15.54</v>
      </c>
      <c r="G340" s="305" t="s">
        <v>195</v>
      </c>
      <c r="H340" s="286">
        <v>1</v>
      </c>
      <c r="I340" s="304">
        <v>581.20000000000005</v>
      </c>
      <c r="J340" s="286">
        <v>5.42</v>
      </c>
      <c r="K340" s="304">
        <v>3150.1</v>
      </c>
    </row>
    <row r="341" spans="1:22" ht="14.25" x14ac:dyDescent="0.2">
      <c r="A341" s="301"/>
      <c r="B341" s="302"/>
      <c r="C341" s="302" t="s">
        <v>194</v>
      </c>
      <c r="D341" s="303" t="s">
        <v>187</v>
      </c>
      <c r="E341" s="286">
        <v>114</v>
      </c>
      <c r="F341" s="321"/>
      <c r="G341" s="305"/>
      <c r="H341" s="286"/>
      <c r="I341" s="304">
        <v>2707.39</v>
      </c>
      <c r="J341" s="286">
        <v>77</v>
      </c>
      <c r="K341" s="304">
        <v>42699.519999999997</v>
      </c>
    </row>
    <row r="342" spans="1:22" ht="14.25" x14ac:dyDescent="0.2">
      <c r="A342" s="301"/>
      <c r="B342" s="302"/>
      <c r="C342" s="302" t="s">
        <v>193</v>
      </c>
      <c r="D342" s="303" t="s">
        <v>187</v>
      </c>
      <c r="E342" s="286">
        <v>67</v>
      </c>
      <c r="F342" s="321"/>
      <c r="G342" s="305"/>
      <c r="H342" s="286"/>
      <c r="I342" s="304">
        <v>1591.18</v>
      </c>
      <c r="J342" s="286">
        <v>41</v>
      </c>
      <c r="K342" s="304">
        <v>22736.11</v>
      </c>
    </row>
    <row r="343" spans="1:22" ht="14.25" x14ac:dyDescent="0.2">
      <c r="A343" s="301"/>
      <c r="B343" s="302"/>
      <c r="C343" s="302" t="s">
        <v>188</v>
      </c>
      <c r="D343" s="303" t="s">
        <v>187</v>
      </c>
      <c r="E343" s="286">
        <v>175</v>
      </c>
      <c r="F343" s="321"/>
      <c r="G343" s="305"/>
      <c r="H343" s="286"/>
      <c r="I343" s="304">
        <v>90.32</v>
      </c>
      <c r="J343" s="286">
        <v>157</v>
      </c>
      <c r="K343" s="304">
        <v>1891.99</v>
      </c>
    </row>
    <row r="344" spans="1:22" ht="14.25" x14ac:dyDescent="0.2">
      <c r="A344" s="329"/>
      <c r="B344" s="330"/>
      <c r="C344" s="330" t="s">
        <v>192</v>
      </c>
      <c r="D344" s="331" t="s">
        <v>191</v>
      </c>
      <c r="E344" s="332">
        <v>5.15</v>
      </c>
      <c r="F344" s="333"/>
      <c r="G344" s="334" t="s">
        <v>195</v>
      </c>
      <c r="H344" s="332">
        <v>1</v>
      </c>
      <c r="I344" s="335">
        <v>192.61</v>
      </c>
      <c r="J344" s="332"/>
      <c r="K344" s="335"/>
    </row>
    <row r="345" spans="1:22" ht="15" x14ac:dyDescent="0.25">
      <c r="A345" s="336"/>
      <c r="B345" s="336"/>
      <c r="C345" s="337" t="s">
        <v>183</v>
      </c>
      <c r="D345" s="336"/>
      <c r="E345" s="336"/>
      <c r="F345" s="336"/>
      <c r="G345" s="336"/>
      <c r="H345" s="461">
        <v>7566.77</v>
      </c>
      <c r="I345" s="461"/>
      <c r="J345" s="461">
        <v>128047.42</v>
      </c>
      <c r="K345" s="461"/>
      <c r="O345" s="163">
        <f>I337+I338+I340+I341+I342+I343</f>
        <v>7566.77</v>
      </c>
      <c r="P345" s="163">
        <f>K337+K338+K340+K341+K342+K343</f>
        <v>128047.42</v>
      </c>
    </row>
    <row r="347" spans="1:22" ht="85.5" x14ac:dyDescent="0.2">
      <c r="A347" s="301" t="s">
        <v>1685</v>
      </c>
      <c r="B347" s="302" t="s">
        <v>3359</v>
      </c>
      <c r="C347" s="302" t="s">
        <v>1301</v>
      </c>
      <c r="D347" s="303" t="s">
        <v>1686</v>
      </c>
      <c r="E347" s="286">
        <v>0.5</v>
      </c>
      <c r="F347" s="321"/>
      <c r="G347" s="305"/>
      <c r="H347" s="286"/>
      <c r="I347" s="304"/>
      <c r="J347" s="286"/>
      <c r="K347" s="304"/>
      <c r="Q347" s="160">
        <f>[10]Source!X212</f>
        <v>64.95</v>
      </c>
      <c r="R347" s="160">
        <f>[10]Source!X213</f>
        <v>1024.29</v>
      </c>
      <c r="S347" s="160">
        <f>[10]Source!Y212</f>
        <v>38.17</v>
      </c>
      <c r="T347" s="160">
        <f>[10]Source!Y213</f>
        <v>545.4</v>
      </c>
      <c r="U347" s="160">
        <f>ROUND((175/100)*ROUND([10]Source!R212, 2), 2)</f>
        <v>2.2400000000000002</v>
      </c>
      <c r="V347" s="160">
        <f>ROUND((157/100)*ROUND([10]Source!R213, 2), 2)</f>
        <v>46.93</v>
      </c>
    </row>
    <row r="348" spans="1:22" x14ac:dyDescent="0.2">
      <c r="C348" s="316" t="s">
        <v>3360</v>
      </c>
    </row>
    <row r="349" spans="1:22" ht="14.25" x14ac:dyDescent="0.2">
      <c r="A349" s="301"/>
      <c r="B349" s="302"/>
      <c r="C349" s="302" t="s">
        <v>197</v>
      </c>
      <c r="D349" s="303"/>
      <c r="E349" s="286"/>
      <c r="F349" s="321">
        <v>113.93</v>
      </c>
      <c r="G349" s="305" t="s">
        <v>195</v>
      </c>
      <c r="H349" s="286">
        <v>1</v>
      </c>
      <c r="I349" s="304">
        <v>56.97</v>
      </c>
      <c r="J349" s="286">
        <v>23.35</v>
      </c>
      <c r="K349" s="304">
        <v>1330.25</v>
      </c>
    </row>
    <row r="350" spans="1:22" ht="14.25" x14ac:dyDescent="0.2">
      <c r="A350" s="301"/>
      <c r="B350" s="302"/>
      <c r="C350" s="302" t="s">
        <v>184</v>
      </c>
      <c r="D350" s="303"/>
      <c r="E350" s="286"/>
      <c r="F350" s="321">
        <v>11.01</v>
      </c>
      <c r="G350" s="305" t="s">
        <v>195</v>
      </c>
      <c r="H350" s="286">
        <v>1</v>
      </c>
      <c r="I350" s="304">
        <v>5.51</v>
      </c>
      <c r="J350" s="286">
        <v>9.5299999999999994</v>
      </c>
      <c r="K350" s="304">
        <v>52.51</v>
      </c>
    </row>
    <row r="351" spans="1:22" ht="14.25" x14ac:dyDescent="0.2">
      <c r="A351" s="301"/>
      <c r="B351" s="302"/>
      <c r="C351" s="302" t="s">
        <v>189</v>
      </c>
      <c r="D351" s="303"/>
      <c r="E351" s="286"/>
      <c r="F351" s="321">
        <v>2.56</v>
      </c>
      <c r="G351" s="305" t="s">
        <v>195</v>
      </c>
      <c r="H351" s="286">
        <v>1</v>
      </c>
      <c r="I351" s="306">
        <v>1.28</v>
      </c>
      <c r="J351" s="286">
        <v>23.35</v>
      </c>
      <c r="K351" s="306">
        <v>29.89</v>
      </c>
    </row>
    <row r="352" spans="1:22" ht="14.25" x14ac:dyDescent="0.2">
      <c r="A352" s="301"/>
      <c r="B352" s="302"/>
      <c r="C352" s="302" t="s">
        <v>205</v>
      </c>
      <c r="D352" s="303"/>
      <c r="E352" s="286"/>
      <c r="F352" s="321">
        <v>30.66</v>
      </c>
      <c r="G352" s="305" t="s">
        <v>195</v>
      </c>
      <c r="H352" s="286">
        <v>1</v>
      </c>
      <c r="I352" s="304">
        <v>15.33</v>
      </c>
      <c r="J352" s="286">
        <v>5.42</v>
      </c>
      <c r="K352" s="304">
        <v>83.09</v>
      </c>
    </row>
    <row r="353" spans="1:22" ht="14.25" x14ac:dyDescent="0.2">
      <c r="A353" s="301"/>
      <c r="B353" s="302"/>
      <c r="C353" s="302" t="s">
        <v>194</v>
      </c>
      <c r="D353" s="303" t="s">
        <v>187</v>
      </c>
      <c r="E353" s="286">
        <v>114</v>
      </c>
      <c r="F353" s="321"/>
      <c r="G353" s="305"/>
      <c r="H353" s="286"/>
      <c r="I353" s="304">
        <v>64.95</v>
      </c>
      <c r="J353" s="286">
        <v>77</v>
      </c>
      <c r="K353" s="304">
        <v>1024.29</v>
      </c>
    </row>
    <row r="354" spans="1:22" ht="14.25" x14ac:dyDescent="0.2">
      <c r="A354" s="301"/>
      <c r="B354" s="302"/>
      <c r="C354" s="302" t="s">
        <v>193</v>
      </c>
      <c r="D354" s="303" t="s">
        <v>187</v>
      </c>
      <c r="E354" s="286">
        <v>67</v>
      </c>
      <c r="F354" s="321"/>
      <c r="G354" s="305"/>
      <c r="H354" s="286"/>
      <c r="I354" s="304">
        <v>38.17</v>
      </c>
      <c r="J354" s="286">
        <v>41</v>
      </c>
      <c r="K354" s="304">
        <v>545.4</v>
      </c>
    </row>
    <row r="355" spans="1:22" ht="14.25" x14ac:dyDescent="0.2">
      <c r="A355" s="301"/>
      <c r="B355" s="302"/>
      <c r="C355" s="302" t="s">
        <v>188</v>
      </c>
      <c r="D355" s="303" t="s">
        <v>187</v>
      </c>
      <c r="E355" s="286">
        <v>175</v>
      </c>
      <c r="F355" s="321"/>
      <c r="G355" s="305"/>
      <c r="H355" s="286"/>
      <c r="I355" s="304">
        <v>2.2400000000000002</v>
      </c>
      <c r="J355" s="286">
        <v>157</v>
      </c>
      <c r="K355" s="304">
        <v>46.93</v>
      </c>
    </row>
    <row r="356" spans="1:22" ht="14.25" x14ac:dyDescent="0.2">
      <c r="A356" s="329"/>
      <c r="B356" s="330"/>
      <c r="C356" s="330" t="s">
        <v>192</v>
      </c>
      <c r="D356" s="331" t="s">
        <v>191</v>
      </c>
      <c r="E356" s="332">
        <v>9.24</v>
      </c>
      <c r="F356" s="333"/>
      <c r="G356" s="334" t="s">
        <v>195</v>
      </c>
      <c r="H356" s="332">
        <v>1</v>
      </c>
      <c r="I356" s="335">
        <v>4.62</v>
      </c>
      <c r="J356" s="332"/>
      <c r="K356" s="335"/>
    </row>
    <row r="357" spans="1:22" ht="15" x14ac:dyDescent="0.25">
      <c r="A357" s="336"/>
      <c r="B357" s="336"/>
      <c r="C357" s="337" t="s">
        <v>183</v>
      </c>
      <c r="D357" s="336"/>
      <c r="E357" s="336"/>
      <c r="F357" s="336"/>
      <c r="G357" s="336"/>
      <c r="H357" s="461">
        <v>183.17</v>
      </c>
      <c r="I357" s="461"/>
      <c r="J357" s="461">
        <v>3082.47</v>
      </c>
      <c r="K357" s="461"/>
      <c r="O357" s="163">
        <f>I349+I350+I352+I353+I354+I355</f>
        <v>183.17</v>
      </c>
      <c r="P357" s="163">
        <f>K349+K350+K352+K353+K354+K355</f>
        <v>3082.47</v>
      </c>
    </row>
    <row r="359" spans="1:22" ht="85.5" x14ac:dyDescent="0.2">
      <c r="A359" s="301" t="s">
        <v>1696</v>
      </c>
      <c r="B359" s="302" t="s">
        <v>3361</v>
      </c>
      <c r="C359" s="302" t="s">
        <v>1300</v>
      </c>
      <c r="D359" s="303" t="s">
        <v>1686</v>
      </c>
      <c r="E359" s="286">
        <v>1</v>
      </c>
      <c r="F359" s="321"/>
      <c r="G359" s="305"/>
      <c r="H359" s="286"/>
      <c r="I359" s="304"/>
      <c r="J359" s="286"/>
      <c r="K359" s="304"/>
      <c r="Q359" s="160">
        <f>[10]Source!X214</f>
        <v>144.78</v>
      </c>
      <c r="R359" s="160">
        <f>[10]Source!X215</f>
        <v>2283.4</v>
      </c>
      <c r="S359" s="160">
        <f>[10]Source!Y214</f>
        <v>85.09</v>
      </c>
      <c r="T359" s="160">
        <f>[10]Source!Y215</f>
        <v>1215.83</v>
      </c>
      <c r="U359" s="160">
        <f>ROUND((175/100)*ROUND([10]Source!R214, 2), 2)</f>
        <v>7.91</v>
      </c>
      <c r="V359" s="160">
        <f>ROUND((157/100)*ROUND([10]Source!R215, 2), 2)</f>
        <v>165.7</v>
      </c>
    </row>
    <row r="360" spans="1:22" x14ac:dyDescent="0.2">
      <c r="C360" s="316" t="s">
        <v>2957</v>
      </c>
    </row>
    <row r="361" spans="1:22" ht="14.25" x14ac:dyDescent="0.2">
      <c r="A361" s="301"/>
      <c r="B361" s="302"/>
      <c r="C361" s="302" t="s">
        <v>197</v>
      </c>
      <c r="D361" s="303"/>
      <c r="E361" s="286"/>
      <c r="F361" s="321">
        <v>127</v>
      </c>
      <c r="G361" s="305" t="s">
        <v>195</v>
      </c>
      <c r="H361" s="286">
        <v>1</v>
      </c>
      <c r="I361" s="304">
        <v>127</v>
      </c>
      <c r="J361" s="286">
        <v>23.35</v>
      </c>
      <c r="K361" s="304">
        <v>2965.45</v>
      </c>
    </row>
    <row r="362" spans="1:22" ht="14.25" x14ac:dyDescent="0.2">
      <c r="A362" s="301"/>
      <c r="B362" s="302"/>
      <c r="C362" s="302" t="s">
        <v>184</v>
      </c>
      <c r="D362" s="303"/>
      <c r="E362" s="286"/>
      <c r="F362" s="321">
        <v>19.47</v>
      </c>
      <c r="G362" s="305" t="s">
        <v>195</v>
      </c>
      <c r="H362" s="286">
        <v>1</v>
      </c>
      <c r="I362" s="304">
        <v>19.47</v>
      </c>
      <c r="J362" s="286">
        <v>9.5299999999999994</v>
      </c>
      <c r="K362" s="304">
        <v>185.55</v>
      </c>
    </row>
    <row r="363" spans="1:22" ht="14.25" x14ac:dyDescent="0.2">
      <c r="A363" s="301"/>
      <c r="B363" s="302"/>
      <c r="C363" s="302" t="s">
        <v>189</v>
      </c>
      <c r="D363" s="303"/>
      <c r="E363" s="286"/>
      <c r="F363" s="321">
        <v>4.5199999999999996</v>
      </c>
      <c r="G363" s="305" t="s">
        <v>195</v>
      </c>
      <c r="H363" s="286">
        <v>1</v>
      </c>
      <c r="I363" s="306">
        <v>4.5199999999999996</v>
      </c>
      <c r="J363" s="286">
        <v>23.35</v>
      </c>
      <c r="K363" s="306">
        <v>105.54</v>
      </c>
    </row>
    <row r="364" spans="1:22" ht="14.25" x14ac:dyDescent="0.2">
      <c r="A364" s="301"/>
      <c r="B364" s="302"/>
      <c r="C364" s="302" t="s">
        <v>205</v>
      </c>
      <c r="D364" s="303"/>
      <c r="E364" s="286"/>
      <c r="F364" s="321">
        <v>38.99</v>
      </c>
      <c r="G364" s="305" t="s">
        <v>195</v>
      </c>
      <c r="H364" s="286">
        <v>1</v>
      </c>
      <c r="I364" s="304">
        <v>38.99</v>
      </c>
      <c r="J364" s="286">
        <v>5.42</v>
      </c>
      <c r="K364" s="304">
        <v>211.33</v>
      </c>
    </row>
    <row r="365" spans="1:22" ht="14.25" x14ac:dyDescent="0.2">
      <c r="A365" s="301"/>
      <c r="B365" s="302"/>
      <c r="C365" s="302" t="s">
        <v>194</v>
      </c>
      <c r="D365" s="303" t="s">
        <v>187</v>
      </c>
      <c r="E365" s="286">
        <v>114</v>
      </c>
      <c r="F365" s="321"/>
      <c r="G365" s="305"/>
      <c r="H365" s="286"/>
      <c r="I365" s="304">
        <v>144.78</v>
      </c>
      <c r="J365" s="286">
        <v>77</v>
      </c>
      <c r="K365" s="304">
        <v>2283.4</v>
      </c>
    </row>
    <row r="366" spans="1:22" ht="14.25" x14ac:dyDescent="0.2">
      <c r="A366" s="301"/>
      <c r="B366" s="302"/>
      <c r="C366" s="302" t="s">
        <v>193</v>
      </c>
      <c r="D366" s="303" t="s">
        <v>187</v>
      </c>
      <c r="E366" s="286">
        <v>67</v>
      </c>
      <c r="F366" s="321"/>
      <c r="G366" s="305"/>
      <c r="H366" s="286"/>
      <c r="I366" s="304">
        <v>85.09</v>
      </c>
      <c r="J366" s="286">
        <v>41</v>
      </c>
      <c r="K366" s="304">
        <v>1215.83</v>
      </c>
    </row>
    <row r="367" spans="1:22" ht="14.25" x14ac:dyDescent="0.2">
      <c r="A367" s="301"/>
      <c r="B367" s="302"/>
      <c r="C367" s="302" t="s">
        <v>188</v>
      </c>
      <c r="D367" s="303" t="s">
        <v>187</v>
      </c>
      <c r="E367" s="286">
        <v>175</v>
      </c>
      <c r="F367" s="321"/>
      <c r="G367" s="305"/>
      <c r="H367" s="286"/>
      <c r="I367" s="304">
        <v>7.91</v>
      </c>
      <c r="J367" s="286">
        <v>157</v>
      </c>
      <c r="K367" s="304">
        <v>165.7</v>
      </c>
    </row>
    <row r="368" spans="1:22" ht="14.25" x14ac:dyDescent="0.2">
      <c r="A368" s="329"/>
      <c r="B368" s="330"/>
      <c r="C368" s="330" t="s">
        <v>192</v>
      </c>
      <c r="D368" s="331" t="s">
        <v>191</v>
      </c>
      <c r="E368" s="332">
        <v>10.3</v>
      </c>
      <c r="F368" s="333"/>
      <c r="G368" s="334" t="s">
        <v>195</v>
      </c>
      <c r="H368" s="332">
        <v>1</v>
      </c>
      <c r="I368" s="335">
        <v>10.3</v>
      </c>
      <c r="J368" s="332"/>
      <c r="K368" s="335"/>
    </row>
    <row r="369" spans="1:22" ht="15" x14ac:dyDescent="0.25">
      <c r="A369" s="336"/>
      <c r="B369" s="336"/>
      <c r="C369" s="337" t="s">
        <v>183</v>
      </c>
      <c r="D369" s="336"/>
      <c r="E369" s="336"/>
      <c r="F369" s="336"/>
      <c r="G369" s="336"/>
      <c r="H369" s="461">
        <v>423.24</v>
      </c>
      <c r="I369" s="461"/>
      <c r="J369" s="461">
        <v>7027.26</v>
      </c>
      <c r="K369" s="461"/>
      <c r="O369" s="163">
        <f>I361+I362+I364+I365+I366+I367</f>
        <v>423.24</v>
      </c>
      <c r="P369" s="163">
        <f>K361+K362+K364+K365+K366+K367</f>
        <v>7027.26</v>
      </c>
    </row>
    <row r="371" spans="1:22" ht="42.75" x14ac:dyDescent="0.2">
      <c r="A371" s="301" t="s">
        <v>1705</v>
      </c>
      <c r="B371" s="302" t="s">
        <v>3362</v>
      </c>
      <c r="C371" s="302" t="s">
        <v>1299</v>
      </c>
      <c r="D371" s="303" t="s">
        <v>3363</v>
      </c>
      <c r="E371" s="286">
        <v>1</v>
      </c>
      <c r="F371" s="321"/>
      <c r="G371" s="305"/>
      <c r="H371" s="286"/>
      <c r="I371" s="304"/>
      <c r="J371" s="286"/>
      <c r="K371" s="304"/>
      <c r="Q371" s="160">
        <f>[10]Source!X216</f>
        <v>926.31</v>
      </c>
      <c r="R371" s="160">
        <f>[10]Source!X217</f>
        <v>14609.24</v>
      </c>
      <c r="S371" s="160">
        <f>[10]Source!Y216</f>
        <v>544.41</v>
      </c>
      <c r="T371" s="160">
        <f>[10]Source!Y217</f>
        <v>7778.95</v>
      </c>
      <c r="U371" s="160">
        <f>ROUND((175/100)*ROUND([10]Source!R216, 2), 2)</f>
        <v>123.29</v>
      </c>
      <c r="V371" s="160">
        <f>ROUND((157/100)*ROUND([10]Source!R217, 2), 2)</f>
        <v>2582.67</v>
      </c>
    </row>
    <row r="372" spans="1:22" x14ac:dyDescent="0.2">
      <c r="C372" s="316" t="s">
        <v>2957</v>
      </c>
    </row>
    <row r="373" spans="1:22" ht="14.25" x14ac:dyDescent="0.2">
      <c r="A373" s="301"/>
      <c r="B373" s="302"/>
      <c r="C373" s="302" t="s">
        <v>197</v>
      </c>
      <c r="D373" s="303"/>
      <c r="E373" s="286"/>
      <c r="F373" s="321">
        <v>812.55</v>
      </c>
      <c r="G373" s="305" t="s">
        <v>195</v>
      </c>
      <c r="H373" s="286">
        <v>1</v>
      </c>
      <c r="I373" s="304">
        <v>812.55</v>
      </c>
      <c r="J373" s="286">
        <v>23.35</v>
      </c>
      <c r="K373" s="304">
        <v>18973.04</v>
      </c>
    </row>
    <row r="374" spans="1:22" ht="14.25" x14ac:dyDescent="0.2">
      <c r="A374" s="301"/>
      <c r="B374" s="302"/>
      <c r="C374" s="302" t="s">
        <v>184</v>
      </c>
      <c r="D374" s="303"/>
      <c r="E374" s="286"/>
      <c r="F374" s="321">
        <v>483.35</v>
      </c>
      <c r="G374" s="305" t="s">
        <v>195</v>
      </c>
      <c r="H374" s="286">
        <v>1</v>
      </c>
      <c r="I374" s="304">
        <v>483.35</v>
      </c>
      <c r="J374" s="286">
        <v>7.97</v>
      </c>
      <c r="K374" s="304">
        <v>3852.3</v>
      </c>
    </row>
    <row r="375" spans="1:22" ht="14.25" x14ac:dyDescent="0.2">
      <c r="A375" s="301"/>
      <c r="B375" s="302"/>
      <c r="C375" s="302" t="s">
        <v>189</v>
      </c>
      <c r="D375" s="303"/>
      <c r="E375" s="286"/>
      <c r="F375" s="321">
        <v>70.45</v>
      </c>
      <c r="G375" s="305" t="s">
        <v>195</v>
      </c>
      <c r="H375" s="286">
        <v>1</v>
      </c>
      <c r="I375" s="306">
        <v>70.45</v>
      </c>
      <c r="J375" s="286">
        <v>23.35</v>
      </c>
      <c r="K375" s="306">
        <v>1645.01</v>
      </c>
    </row>
    <row r="376" spans="1:22" ht="14.25" x14ac:dyDescent="0.2">
      <c r="A376" s="301"/>
      <c r="B376" s="302"/>
      <c r="C376" s="302" t="s">
        <v>205</v>
      </c>
      <c r="D376" s="303"/>
      <c r="E376" s="286"/>
      <c r="F376" s="321">
        <v>27.3</v>
      </c>
      <c r="G376" s="305" t="s">
        <v>195</v>
      </c>
      <c r="H376" s="286">
        <v>1</v>
      </c>
      <c r="I376" s="304">
        <v>27.3</v>
      </c>
      <c r="J376" s="286">
        <v>5.42</v>
      </c>
      <c r="K376" s="304">
        <v>147.97</v>
      </c>
    </row>
    <row r="377" spans="1:22" ht="14.25" x14ac:dyDescent="0.2">
      <c r="A377" s="301"/>
      <c r="B377" s="302"/>
      <c r="C377" s="302" t="s">
        <v>194</v>
      </c>
      <c r="D377" s="303" t="s">
        <v>187</v>
      </c>
      <c r="E377" s="286">
        <v>114</v>
      </c>
      <c r="F377" s="321"/>
      <c r="G377" s="305"/>
      <c r="H377" s="286"/>
      <c r="I377" s="304">
        <v>926.31</v>
      </c>
      <c r="J377" s="286">
        <v>77</v>
      </c>
      <c r="K377" s="304">
        <v>14609.24</v>
      </c>
    </row>
    <row r="378" spans="1:22" ht="14.25" x14ac:dyDescent="0.2">
      <c r="A378" s="301"/>
      <c r="B378" s="302"/>
      <c r="C378" s="302" t="s">
        <v>193</v>
      </c>
      <c r="D378" s="303" t="s">
        <v>187</v>
      </c>
      <c r="E378" s="286">
        <v>67</v>
      </c>
      <c r="F378" s="321"/>
      <c r="G378" s="305"/>
      <c r="H378" s="286"/>
      <c r="I378" s="304">
        <v>544.41</v>
      </c>
      <c r="J378" s="286">
        <v>41</v>
      </c>
      <c r="K378" s="304">
        <v>7778.95</v>
      </c>
    </row>
    <row r="379" spans="1:22" ht="14.25" x14ac:dyDescent="0.2">
      <c r="A379" s="301"/>
      <c r="B379" s="302"/>
      <c r="C379" s="302" t="s">
        <v>188</v>
      </c>
      <c r="D379" s="303" t="s">
        <v>187</v>
      </c>
      <c r="E379" s="286">
        <v>175</v>
      </c>
      <c r="F379" s="321"/>
      <c r="G379" s="305"/>
      <c r="H379" s="286"/>
      <c r="I379" s="304">
        <v>123.29</v>
      </c>
      <c r="J379" s="286">
        <v>157</v>
      </c>
      <c r="K379" s="304">
        <v>2582.67</v>
      </c>
    </row>
    <row r="380" spans="1:22" ht="14.25" x14ac:dyDescent="0.2">
      <c r="A380" s="329"/>
      <c r="B380" s="330"/>
      <c r="C380" s="330" t="s">
        <v>192</v>
      </c>
      <c r="D380" s="331" t="s">
        <v>191</v>
      </c>
      <c r="E380" s="332">
        <v>65.900000000000006</v>
      </c>
      <c r="F380" s="333"/>
      <c r="G380" s="334" t="s">
        <v>195</v>
      </c>
      <c r="H380" s="332">
        <v>1</v>
      </c>
      <c r="I380" s="335">
        <v>65.900000000000006</v>
      </c>
      <c r="J380" s="332"/>
      <c r="K380" s="335"/>
    </row>
    <row r="381" spans="1:22" ht="15" x14ac:dyDescent="0.25">
      <c r="A381" s="336"/>
      <c r="B381" s="336"/>
      <c r="C381" s="337" t="s">
        <v>183</v>
      </c>
      <c r="D381" s="336"/>
      <c r="E381" s="336"/>
      <c r="F381" s="336"/>
      <c r="G381" s="336"/>
      <c r="H381" s="461">
        <v>2917.21</v>
      </c>
      <c r="I381" s="461"/>
      <c r="J381" s="461">
        <v>47944.17</v>
      </c>
      <c r="K381" s="461"/>
      <c r="O381" s="163">
        <f>I373+I374+I376+I377+I378+I379</f>
        <v>2917.21</v>
      </c>
      <c r="P381" s="163">
        <f>K373+K374+K376+K377+K378+K379</f>
        <v>47944.17</v>
      </c>
    </row>
    <row r="383" spans="1:22" ht="57" x14ac:dyDescent="0.2">
      <c r="A383" s="301" t="s">
        <v>1712</v>
      </c>
      <c r="B383" s="302" t="s">
        <v>3364</v>
      </c>
      <c r="C383" s="302" t="s">
        <v>1298</v>
      </c>
      <c r="D383" s="303" t="s">
        <v>1686</v>
      </c>
      <c r="E383" s="286">
        <v>2.7</v>
      </c>
      <c r="F383" s="321"/>
      <c r="G383" s="305"/>
      <c r="H383" s="286"/>
      <c r="I383" s="304"/>
      <c r="J383" s="286"/>
      <c r="K383" s="304"/>
      <c r="Q383" s="160">
        <f>[10]Source!X218</f>
        <v>1525.67</v>
      </c>
      <c r="R383" s="160">
        <f>[10]Source!X219</f>
        <v>24062.15</v>
      </c>
      <c r="S383" s="160">
        <f>[10]Source!Y218</f>
        <v>896.67</v>
      </c>
      <c r="T383" s="160">
        <f>[10]Source!Y219</f>
        <v>12812.31</v>
      </c>
      <c r="U383" s="160">
        <f>ROUND((175/100)*ROUND([10]Source!R218, 2), 2)</f>
        <v>7.98</v>
      </c>
      <c r="V383" s="160">
        <f>ROUND((157/100)*ROUND([10]Source!R219, 2), 2)</f>
        <v>167.17</v>
      </c>
    </row>
    <row r="384" spans="1:22" x14ac:dyDescent="0.2">
      <c r="C384" s="316" t="s">
        <v>3365</v>
      </c>
    </row>
    <row r="385" spans="1:22" ht="14.25" x14ac:dyDescent="0.2">
      <c r="A385" s="301"/>
      <c r="B385" s="302"/>
      <c r="C385" s="302" t="s">
        <v>197</v>
      </c>
      <c r="D385" s="303"/>
      <c r="E385" s="286"/>
      <c r="F385" s="321">
        <v>495.67</v>
      </c>
      <c r="G385" s="305" t="s">
        <v>195</v>
      </c>
      <c r="H385" s="286">
        <v>1</v>
      </c>
      <c r="I385" s="304">
        <v>1338.31</v>
      </c>
      <c r="J385" s="286">
        <v>23.35</v>
      </c>
      <c r="K385" s="304">
        <v>31249.54</v>
      </c>
    </row>
    <row r="386" spans="1:22" ht="14.25" x14ac:dyDescent="0.2">
      <c r="A386" s="301"/>
      <c r="B386" s="302"/>
      <c r="C386" s="302" t="s">
        <v>184</v>
      </c>
      <c r="D386" s="303"/>
      <c r="E386" s="286"/>
      <c r="F386" s="321">
        <v>28.5</v>
      </c>
      <c r="G386" s="305" t="s">
        <v>195</v>
      </c>
      <c r="H386" s="286">
        <v>1</v>
      </c>
      <c r="I386" s="304">
        <v>76.95</v>
      </c>
      <c r="J386" s="286">
        <v>6.42</v>
      </c>
      <c r="K386" s="304">
        <v>494.02</v>
      </c>
    </row>
    <row r="387" spans="1:22" ht="14.25" x14ac:dyDescent="0.2">
      <c r="A387" s="301"/>
      <c r="B387" s="302"/>
      <c r="C387" s="302" t="s">
        <v>189</v>
      </c>
      <c r="D387" s="303"/>
      <c r="E387" s="286"/>
      <c r="F387" s="321">
        <v>1.69</v>
      </c>
      <c r="G387" s="305" t="s">
        <v>195</v>
      </c>
      <c r="H387" s="286">
        <v>1</v>
      </c>
      <c r="I387" s="306">
        <v>4.5599999999999996</v>
      </c>
      <c r="J387" s="286">
        <v>23.35</v>
      </c>
      <c r="K387" s="306">
        <v>106.48</v>
      </c>
    </row>
    <row r="388" spans="1:22" ht="14.25" x14ac:dyDescent="0.2">
      <c r="A388" s="301"/>
      <c r="B388" s="302"/>
      <c r="C388" s="302" t="s">
        <v>205</v>
      </c>
      <c r="D388" s="303"/>
      <c r="E388" s="286"/>
      <c r="F388" s="321">
        <v>68.81</v>
      </c>
      <c r="G388" s="305" t="s">
        <v>195</v>
      </c>
      <c r="H388" s="286">
        <v>1</v>
      </c>
      <c r="I388" s="304">
        <v>185.79</v>
      </c>
      <c r="J388" s="286">
        <v>5.42</v>
      </c>
      <c r="K388" s="304">
        <v>1006.98</v>
      </c>
    </row>
    <row r="389" spans="1:22" ht="14.25" x14ac:dyDescent="0.2">
      <c r="A389" s="301"/>
      <c r="B389" s="302"/>
      <c r="C389" s="302" t="s">
        <v>194</v>
      </c>
      <c r="D389" s="303" t="s">
        <v>187</v>
      </c>
      <c r="E389" s="286">
        <v>114</v>
      </c>
      <c r="F389" s="321"/>
      <c r="G389" s="305"/>
      <c r="H389" s="286"/>
      <c r="I389" s="304">
        <v>1525.67</v>
      </c>
      <c r="J389" s="286">
        <v>77</v>
      </c>
      <c r="K389" s="304">
        <v>24062.15</v>
      </c>
    </row>
    <row r="390" spans="1:22" ht="14.25" x14ac:dyDescent="0.2">
      <c r="A390" s="301"/>
      <c r="B390" s="302"/>
      <c r="C390" s="302" t="s">
        <v>193</v>
      </c>
      <c r="D390" s="303" t="s">
        <v>187</v>
      </c>
      <c r="E390" s="286">
        <v>67</v>
      </c>
      <c r="F390" s="321"/>
      <c r="G390" s="305"/>
      <c r="H390" s="286"/>
      <c r="I390" s="304">
        <v>896.67</v>
      </c>
      <c r="J390" s="286">
        <v>41</v>
      </c>
      <c r="K390" s="304">
        <v>12812.31</v>
      </c>
    </row>
    <row r="391" spans="1:22" ht="14.25" x14ac:dyDescent="0.2">
      <c r="A391" s="301"/>
      <c r="B391" s="302"/>
      <c r="C391" s="302" t="s">
        <v>188</v>
      </c>
      <c r="D391" s="303" t="s">
        <v>187</v>
      </c>
      <c r="E391" s="286">
        <v>175</v>
      </c>
      <c r="F391" s="321"/>
      <c r="G391" s="305"/>
      <c r="H391" s="286"/>
      <c r="I391" s="304">
        <v>7.98</v>
      </c>
      <c r="J391" s="286">
        <v>157</v>
      </c>
      <c r="K391" s="304">
        <v>167.17</v>
      </c>
    </row>
    <row r="392" spans="1:22" ht="14.25" x14ac:dyDescent="0.2">
      <c r="A392" s="329"/>
      <c r="B392" s="330"/>
      <c r="C392" s="330" t="s">
        <v>192</v>
      </c>
      <c r="D392" s="331" t="s">
        <v>191</v>
      </c>
      <c r="E392" s="332">
        <v>40.200000000000003</v>
      </c>
      <c r="F392" s="333"/>
      <c r="G392" s="334" t="s">
        <v>195</v>
      </c>
      <c r="H392" s="332">
        <v>1</v>
      </c>
      <c r="I392" s="335">
        <v>108.54</v>
      </c>
      <c r="J392" s="332"/>
      <c r="K392" s="335"/>
    </row>
    <row r="393" spans="1:22" ht="15" x14ac:dyDescent="0.25">
      <c r="A393" s="336"/>
      <c r="B393" s="336"/>
      <c r="C393" s="337" t="s">
        <v>183</v>
      </c>
      <c r="D393" s="336"/>
      <c r="E393" s="336"/>
      <c r="F393" s="336"/>
      <c r="G393" s="336"/>
      <c r="H393" s="461">
        <v>4031.37</v>
      </c>
      <c r="I393" s="461"/>
      <c r="J393" s="461">
        <v>69792.17</v>
      </c>
      <c r="K393" s="461"/>
      <c r="O393" s="163">
        <f>I385+I386+I388+I389+I390+I391</f>
        <v>4031.37</v>
      </c>
      <c r="P393" s="163">
        <f>K385+K386+K388+K389+K390+K391</f>
        <v>69792.17</v>
      </c>
    </row>
    <row r="395" spans="1:22" ht="142.5" x14ac:dyDescent="0.2">
      <c r="A395" s="301" t="s">
        <v>1719</v>
      </c>
      <c r="B395" s="302" t="s">
        <v>3366</v>
      </c>
      <c r="C395" s="302" t="s">
        <v>1297</v>
      </c>
      <c r="D395" s="303" t="s">
        <v>3367</v>
      </c>
      <c r="E395" s="286">
        <v>3.9769800000000002</v>
      </c>
      <c r="F395" s="321">
        <v>9707.41</v>
      </c>
      <c r="G395" s="305" t="s">
        <v>195</v>
      </c>
      <c r="H395" s="286">
        <v>1</v>
      </c>
      <c r="I395" s="304">
        <v>38606.18</v>
      </c>
      <c r="J395" s="286">
        <v>3.48</v>
      </c>
      <c r="K395" s="304">
        <v>134349.51</v>
      </c>
      <c r="Q395" s="160">
        <f>[10]Source!X220</f>
        <v>0</v>
      </c>
      <c r="R395" s="160">
        <f>[10]Source!X221</f>
        <v>0</v>
      </c>
      <c r="S395" s="160">
        <f>[10]Source!Y220</f>
        <v>0</v>
      </c>
      <c r="T395" s="160">
        <f>[10]Source!Y221</f>
        <v>0</v>
      </c>
      <c r="U395" s="160">
        <f>ROUND((175/100)*ROUND([10]Source!R220, 2), 2)</f>
        <v>0</v>
      </c>
      <c r="V395" s="160">
        <f>ROUND((157/100)*ROUND([10]Source!R221, 2), 2)</f>
        <v>0</v>
      </c>
    </row>
    <row r="396" spans="1:22" x14ac:dyDescent="0.2">
      <c r="A396" s="358"/>
      <c r="B396" s="358"/>
      <c r="C396" s="359" t="s">
        <v>3368</v>
      </c>
      <c r="D396" s="358"/>
      <c r="E396" s="358"/>
      <c r="F396" s="358"/>
      <c r="G396" s="358"/>
      <c r="H396" s="358"/>
      <c r="I396" s="358"/>
      <c r="J396" s="358"/>
      <c r="K396" s="358"/>
    </row>
    <row r="397" spans="1:22" ht="15" x14ac:dyDescent="0.25">
      <c r="A397" s="336"/>
      <c r="B397" s="336"/>
      <c r="C397" s="337" t="s">
        <v>183</v>
      </c>
      <c r="D397" s="336"/>
      <c r="E397" s="336"/>
      <c r="F397" s="336"/>
      <c r="G397" s="336"/>
      <c r="H397" s="461">
        <v>38606.18</v>
      </c>
      <c r="I397" s="461"/>
      <c r="J397" s="461">
        <v>134349.51</v>
      </c>
      <c r="K397" s="461"/>
      <c r="O397" s="163">
        <f>I395</f>
        <v>38606.18</v>
      </c>
      <c r="P397" s="163">
        <f>K395</f>
        <v>134349.51</v>
      </c>
    </row>
    <row r="399" spans="1:22" ht="142.5" x14ac:dyDescent="0.2">
      <c r="A399" s="301" t="s">
        <v>1722</v>
      </c>
      <c r="B399" s="302" t="s">
        <v>3369</v>
      </c>
      <c r="C399" s="302" t="s">
        <v>1296</v>
      </c>
      <c r="D399" s="303" t="s">
        <v>3367</v>
      </c>
      <c r="E399" s="286">
        <v>0.73950000000000005</v>
      </c>
      <c r="F399" s="321">
        <v>19722.349999999999</v>
      </c>
      <c r="G399" s="305" t="s">
        <v>195</v>
      </c>
      <c r="H399" s="286">
        <v>1</v>
      </c>
      <c r="I399" s="304">
        <v>14584.68</v>
      </c>
      <c r="J399" s="286">
        <v>3.75</v>
      </c>
      <c r="K399" s="304">
        <v>54692.55</v>
      </c>
      <c r="Q399" s="160">
        <f>[10]Source!X222</f>
        <v>0</v>
      </c>
      <c r="R399" s="160">
        <f>[10]Source!X223</f>
        <v>0</v>
      </c>
      <c r="S399" s="160">
        <f>[10]Source!Y222</f>
        <v>0</v>
      </c>
      <c r="T399" s="160">
        <f>[10]Source!Y223</f>
        <v>0</v>
      </c>
      <c r="U399" s="160">
        <f>ROUND((175/100)*ROUND([10]Source!R222, 2), 2)</f>
        <v>0</v>
      </c>
      <c r="V399" s="160">
        <f>ROUND((157/100)*ROUND([10]Source!R223, 2), 2)</f>
        <v>0</v>
      </c>
    </row>
    <row r="400" spans="1:22" x14ac:dyDescent="0.2">
      <c r="A400" s="358"/>
      <c r="B400" s="358"/>
      <c r="C400" s="359" t="s">
        <v>3370</v>
      </c>
      <c r="D400" s="358"/>
      <c r="E400" s="358"/>
      <c r="F400" s="358"/>
      <c r="G400" s="358"/>
      <c r="H400" s="358"/>
      <c r="I400" s="358"/>
      <c r="J400" s="358"/>
      <c r="K400" s="358"/>
    </row>
    <row r="401" spans="1:22" ht="15" x14ac:dyDescent="0.25">
      <c r="A401" s="336"/>
      <c r="B401" s="336"/>
      <c r="C401" s="337" t="s">
        <v>183</v>
      </c>
      <c r="D401" s="336"/>
      <c r="E401" s="336"/>
      <c r="F401" s="336"/>
      <c r="G401" s="336"/>
      <c r="H401" s="461">
        <v>14584.68</v>
      </c>
      <c r="I401" s="461"/>
      <c r="J401" s="461">
        <v>54692.55</v>
      </c>
      <c r="K401" s="461"/>
      <c r="O401" s="163">
        <f>I399</f>
        <v>14584.68</v>
      </c>
      <c r="P401" s="163">
        <f>K399</f>
        <v>54692.55</v>
      </c>
    </row>
    <row r="403" spans="1:22" ht="142.5" x14ac:dyDescent="0.2">
      <c r="A403" s="301" t="s">
        <v>1729</v>
      </c>
      <c r="B403" s="302" t="s">
        <v>3371</v>
      </c>
      <c r="C403" s="302" t="s">
        <v>1295</v>
      </c>
      <c r="D403" s="303" t="s">
        <v>3367</v>
      </c>
      <c r="E403" s="286">
        <v>2.6928000000000001</v>
      </c>
      <c r="F403" s="321">
        <v>14788.24</v>
      </c>
      <c r="G403" s="305" t="s">
        <v>195</v>
      </c>
      <c r="H403" s="286">
        <v>1</v>
      </c>
      <c r="I403" s="304">
        <v>39821.769999999997</v>
      </c>
      <c r="J403" s="286">
        <v>3.29</v>
      </c>
      <c r="K403" s="304">
        <v>131013.62</v>
      </c>
      <c r="Q403" s="160">
        <f>[10]Source!X224</f>
        <v>0</v>
      </c>
      <c r="R403" s="160">
        <f>[10]Source!X225</f>
        <v>0</v>
      </c>
      <c r="S403" s="160">
        <f>[10]Source!Y224</f>
        <v>0</v>
      </c>
      <c r="T403" s="160">
        <f>[10]Source!Y225</f>
        <v>0</v>
      </c>
      <c r="U403" s="160">
        <f>ROUND((175/100)*ROUND([10]Source!R224, 2), 2)</f>
        <v>0</v>
      </c>
      <c r="V403" s="160">
        <f>ROUND((157/100)*ROUND([10]Source!R225, 2), 2)</f>
        <v>0</v>
      </c>
    </row>
    <row r="404" spans="1:22" x14ac:dyDescent="0.2">
      <c r="A404" s="358"/>
      <c r="B404" s="358"/>
      <c r="C404" s="359" t="s">
        <v>3372</v>
      </c>
      <c r="D404" s="358"/>
      <c r="E404" s="358"/>
      <c r="F404" s="358"/>
      <c r="G404" s="358"/>
      <c r="H404" s="358"/>
      <c r="I404" s="358"/>
      <c r="J404" s="358"/>
      <c r="K404" s="358"/>
    </row>
    <row r="405" spans="1:22" ht="15" x14ac:dyDescent="0.25">
      <c r="A405" s="336"/>
      <c r="B405" s="336"/>
      <c r="C405" s="337" t="s">
        <v>183</v>
      </c>
      <c r="D405" s="336"/>
      <c r="E405" s="336"/>
      <c r="F405" s="336"/>
      <c r="G405" s="336"/>
      <c r="H405" s="461">
        <v>39821.769999999997</v>
      </c>
      <c r="I405" s="461"/>
      <c r="J405" s="461">
        <v>131013.62</v>
      </c>
      <c r="K405" s="461"/>
      <c r="O405" s="163">
        <f>I403</f>
        <v>39821.769999999997</v>
      </c>
      <c r="P405" s="163">
        <f>K403</f>
        <v>131013.62</v>
      </c>
    </row>
    <row r="407" spans="1:22" ht="142.5" x14ac:dyDescent="0.2">
      <c r="A407" s="301" t="s">
        <v>1737</v>
      </c>
      <c r="B407" s="302" t="s">
        <v>3373</v>
      </c>
      <c r="C407" s="302" t="s">
        <v>1294</v>
      </c>
      <c r="D407" s="303" t="s">
        <v>3367</v>
      </c>
      <c r="E407" s="286">
        <v>0.40799999999999997</v>
      </c>
      <c r="F407" s="321">
        <v>25074.13</v>
      </c>
      <c r="G407" s="305" t="s">
        <v>195</v>
      </c>
      <c r="H407" s="286">
        <v>1</v>
      </c>
      <c r="I407" s="304">
        <v>10230.25</v>
      </c>
      <c r="J407" s="286">
        <v>3.94</v>
      </c>
      <c r="K407" s="304">
        <v>40307.19</v>
      </c>
      <c r="Q407" s="160">
        <f>[10]Source!X226</f>
        <v>0</v>
      </c>
      <c r="R407" s="160">
        <f>[10]Source!X227</f>
        <v>0</v>
      </c>
      <c r="S407" s="160">
        <f>[10]Source!Y226</f>
        <v>0</v>
      </c>
      <c r="T407" s="160">
        <f>[10]Source!Y227</f>
        <v>0</v>
      </c>
      <c r="U407" s="160">
        <f>ROUND((175/100)*ROUND([10]Source!R226, 2), 2)</f>
        <v>0</v>
      </c>
      <c r="V407" s="160">
        <f>ROUND((157/100)*ROUND([10]Source!R227, 2), 2)</f>
        <v>0</v>
      </c>
    </row>
    <row r="408" spans="1:22" x14ac:dyDescent="0.2">
      <c r="A408" s="358"/>
      <c r="B408" s="358"/>
      <c r="C408" s="359" t="s">
        <v>3374</v>
      </c>
      <c r="D408" s="358"/>
      <c r="E408" s="358"/>
      <c r="F408" s="358"/>
      <c r="G408" s="358"/>
      <c r="H408" s="358"/>
      <c r="I408" s="358"/>
      <c r="J408" s="358"/>
      <c r="K408" s="358"/>
    </row>
    <row r="409" spans="1:22" ht="15" x14ac:dyDescent="0.25">
      <c r="A409" s="336"/>
      <c r="B409" s="336"/>
      <c r="C409" s="337" t="s">
        <v>183</v>
      </c>
      <c r="D409" s="336"/>
      <c r="E409" s="336"/>
      <c r="F409" s="336"/>
      <c r="G409" s="336"/>
      <c r="H409" s="461">
        <v>10230.25</v>
      </c>
      <c r="I409" s="461"/>
      <c r="J409" s="461">
        <v>40307.19</v>
      </c>
      <c r="K409" s="461"/>
      <c r="O409" s="163">
        <f>I407</f>
        <v>10230.25</v>
      </c>
      <c r="P409" s="163">
        <f>K407</f>
        <v>40307.19</v>
      </c>
    </row>
    <row r="411" spans="1:22" ht="142.5" x14ac:dyDescent="0.2">
      <c r="A411" s="301" t="s">
        <v>1740</v>
      </c>
      <c r="B411" s="302" t="s">
        <v>3375</v>
      </c>
      <c r="C411" s="302" t="s">
        <v>1293</v>
      </c>
      <c r="D411" s="303" t="s">
        <v>3367</v>
      </c>
      <c r="E411" s="286">
        <v>0.10199999999999999</v>
      </c>
      <c r="F411" s="321">
        <v>26098.28</v>
      </c>
      <c r="G411" s="305" t="s">
        <v>195</v>
      </c>
      <c r="H411" s="286">
        <v>1</v>
      </c>
      <c r="I411" s="304">
        <v>2662.02</v>
      </c>
      <c r="J411" s="286">
        <v>2.84</v>
      </c>
      <c r="K411" s="304">
        <v>7560.14</v>
      </c>
      <c r="Q411" s="160">
        <f>[10]Source!X228</f>
        <v>0</v>
      </c>
      <c r="R411" s="160">
        <f>[10]Source!X229</f>
        <v>0</v>
      </c>
      <c r="S411" s="160">
        <f>[10]Source!Y228</f>
        <v>0</v>
      </c>
      <c r="T411" s="160">
        <f>[10]Source!Y229</f>
        <v>0</v>
      </c>
      <c r="U411" s="160">
        <f>ROUND((175/100)*ROUND([10]Source!R228, 2), 2)</f>
        <v>0</v>
      </c>
      <c r="V411" s="160">
        <f>ROUND((157/100)*ROUND([10]Source!R229, 2), 2)</f>
        <v>0</v>
      </c>
    </row>
    <row r="412" spans="1:22" x14ac:dyDescent="0.2">
      <c r="A412" s="358"/>
      <c r="B412" s="358"/>
      <c r="C412" s="359" t="s">
        <v>3376</v>
      </c>
      <c r="D412" s="358"/>
      <c r="E412" s="358"/>
      <c r="F412" s="358"/>
      <c r="G412" s="358"/>
      <c r="H412" s="358"/>
      <c r="I412" s="358"/>
      <c r="J412" s="358"/>
      <c r="K412" s="358"/>
    </row>
    <row r="413" spans="1:22" ht="15" x14ac:dyDescent="0.25">
      <c r="A413" s="336"/>
      <c r="B413" s="336"/>
      <c r="C413" s="337" t="s">
        <v>183</v>
      </c>
      <c r="D413" s="336"/>
      <c r="E413" s="336"/>
      <c r="F413" s="336"/>
      <c r="G413" s="336"/>
      <c r="H413" s="461">
        <v>2662.02</v>
      </c>
      <c r="I413" s="461"/>
      <c r="J413" s="461">
        <v>7560.14</v>
      </c>
      <c r="K413" s="461"/>
      <c r="O413" s="163">
        <f>I411</f>
        <v>2662.02</v>
      </c>
      <c r="P413" s="163">
        <f>K411</f>
        <v>7560.14</v>
      </c>
    </row>
    <row r="415" spans="1:22" ht="142.5" x14ac:dyDescent="0.2">
      <c r="A415" s="301" t="s">
        <v>1744</v>
      </c>
      <c r="B415" s="302" t="s">
        <v>3377</v>
      </c>
      <c r="C415" s="302" t="s">
        <v>1292</v>
      </c>
      <c r="D415" s="303" t="s">
        <v>3367</v>
      </c>
      <c r="E415" s="286">
        <v>0.10199999999999999</v>
      </c>
      <c r="F415" s="321">
        <v>45702.559999999998</v>
      </c>
      <c r="G415" s="305" t="s">
        <v>195</v>
      </c>
      <c r="H415" s="286">
        <v>1</v>
      </c>
      <c r="I415" s="304">
        <v>4661.66</v>
      </c>
      <c r="J415" s="286">
        <v>3.11</v>
      </c>
      <c r="K415" s="304">
        <v>14497.76</v>
      </c>
      <c r="Q415" s="160">
        <f>[10]Source!X230</f>
        <v>0</v>
      </c>
      <c r="R415" s="160">
        <f>[10]Source!X231</f>
        <v>0</v>
      </c>
      <c r="S415" s="160">
        <f>[10]Source!Y230</f>
        <v>0</v>
      </c>
      <c r="T415" s="160">
        <f>[10]Source!Y231</f>
        <v>0</v>
      </c>
      <c r="U415" s="160">
        <f>ROUND((175/100)*ROUND([10]Source!R230, 2), 2)</f>
        <v>0</v>
      </c>
      <c r="V415" s="160">
        <f>ROUND((157/100)*ROUND([10]Source!R231, 2), 2)</f>
        <v>0</v>
      </c>
    </row>
    <row r="416" spans="1:22" x14ac:dyDescent="0.2">
      <c r="A416" s="358"/>
      <c r="B416" s="358"/>
      <c r="C416" s="359" t="s">
        <v>3376</v>
      </c>
      <c r="D416" s="358"/>
      <c r="E416" s="358"/>
      <c r="F416" s="358"/>
      <c r="G416" s="358"/>
      <c r="H416" s="358"/>
      <c r="I416" s="358"/>
      <c r="J416" s="358"/>
      <c r="K416" s="358"/>
    </row>
    <row r="417" spans="1:22" ht="15" x14ac:dyDescent="0.25">
      <c r="A417" s="336"/>
      <c r="B417" s="336"/>
      <c r="C417" s="337" t="s">
        <v>183</v>
      </c>
      <c r="D417" s="336"/>
      <c r="E417" s="336"/>
      <c r="F417" s="336"/>
      <c r="G417" s="336"/>
      <c r="H417" s="461">
        <v>4661.66</v>
      </c>
      <c r="I417" s="461"/>
      <c r="J417" s="461">
        <v>14497.76</v>
      </c>
      <c r="K417" s="461"/>
      <c r="O417" s="163">
        <f>I415</f>
        <v>4661.66</v>
      </c>
      <c r="P417" s="163">
        <f>K415</f>
        <v>14497.76</v>
      </c>
    </row>
    <row r="419" spans="1:22" ht="142.5" x14ac:dyDescent="0.2">
      <c r="A419" s="301" t="s">
        <v>2040</v>
      </c>
      <c r="B419" s="302" t="s">
        <v>3378</v>
      </c>
      <c r="C419" s="302" t="s">
        <v>1291</v>
      </c>
      <c r="D419" s="303" t="s">
        <v>3367</v>
      </c>
      <c r="E419" s="286">
        <v>0.30599999999999999</v>
      </c>
      <c r="F419" s="321">
        <v>37545.69</v>
      </c>
      <c r="G419" s="305" t="s">
        <v>195</v>
      </c>
      <c r="H419" s="286">
        <v>1</v>
      </c>
      <c r="I419" s="304">
        <v>11488.98</v>
      </c>
      <c r="J419" s="286">
        <v>3.01</v>
      </c>
      <c r="K419" s="304">
        <v>34581.83</v>
      </c>
      <c r="Q419" s="160">
        <f>[10]Source!X232</f>
        <v>0</v>
      </c>
      <c r="R419" s="160">
        <f>[10]Source!X233</f>
        <v>0</v>
      </c>
      <c r="S419" s="160">
        <f>[10]Source!Y232</f>
        <v>0</v>
      </c>
      <c r="T419" s="160">
        <f>[10]Source!Y233</f>
        <v>0</v>
      </c>
      <c r="U419" s="160">
        <f>ROUND((175/100)*ROUND([10]Source!R232, 2), 2)</f>
        <v>0</v>
      </c>
      <c r="V419" s="160">
        <f>ROUND((157/100)*ROUND([10]Source!R233, 2), 2)</f>
        <v>0</v>
      </c>
    </row>
    <row r="420" spans="1:22" x14ac:dyDescent="0.2">
      <c r="A420" s="358"/>
      <c r="B420" s="358"/>
      <c r="C420" s="359" t="s">
        <v>3379</v>
      </c>
      <c r="D420" s="358"/>
      <c r="E420" s="358"/>
      <c r="F420" s="358"/>
      <c r="G420" s="358"/>
      <c r="H420" s="358"/>
      <c r="I420" s="358"/>
      <c r="J420" s="358"/>
      <c r="K420" s="358"/>
    </row>
    <row r="421" spans="1:22" ht="15" x14ac:dyDescent="0.25">
      <c r="A421" s="336"/>
      <c r="B421" s="336"/>
      <c r="C421" s="337" t="s">
        <v>183</v>
      </c>
      <c r="D421" s="336"/>
      <c r="E421" s="336"/>
      <c r="F421" s="336"/>
      <c r="G421" s="336"/>
      <c r="H421" s="461">
        <v>11488.98</v>
      </c>
      <c r="I421" s="461"/>
      <c r="J421" s="461">
        <v>34581.83</v>
      </c>
      <c r="K421" s="461"/>
      <c r="O421" s="163">
        <f>I419</f>
        <v>11488.98</v>
      </c>
      <c r="P421" s="163">
        <f>K419</f>
        <v>34581.83</v>
      </c>
    </row>
    <row r="423" spans="1:22" ht="142.5" x14ac:dyDescent="0.2">
      <c r="A423" s="301" t="s">
        <v>1748</v>
      </c>
      <c r="B423" s="302" t="s">
        <v>3380</v>
      </c>
      <c r="C423" s="302" t="s">
        <v>1290</v>
      </c>
      <c r="D423" s="303" t="s">
        <v>3367</v>
      </c>
      <c r="E423" s="286">
        <v>0.20399999999999999</v>
      </c>
      <c r="F423" s="321">
        <v>54467.71</v>
      </c>
      <c r="G423" s="305" t="s">
        <v>195</v>
      </c>
      <c r="H423" s="286">
        <v>1</v>
      </c>
      <c r="I423" s="304">
        <v>11111.41</v>
      </c>
      <c r="J423" s="286">
        <v>2.98</v>
      </c>
      <c r="K423" s="304">
        <v>33112</v>
      </c>
      <c r="Q423" s="160">
        <f>[10]Source!X234</f>
        <v>0</v>
      </c>
      <c r="R423" s="160">
        <f>[10]Source!X235</f>
        <v>0</v>
      </c>
      <c r="S423" s="160">
        <f>[10]Source!Y234</f>
        <v>0</v>
      </c>
      <c r="T423" s="160">
        <f>[10]Source!Y235</f>
        <v>0</v>
      </c>
      <c r="U423" s="160">
        <f>ROUND((175/100)*ROUND([10]Source!R234, 2), 2)</f>
        <v>0</v>
      </c>
      <c r="V423" s="160">
        <f>ROUND((157/100)*ROUND([10]Source!R235, 2), 2)</f>
        <v>0</v>
      </c>
    </row>
    <row r="424" spans="1:22" x14ac:dyDescent="0.2">
      <c r="A424" s="358"/>
      <c r="B424" s="358"/>
      <c r="C424" s="359" t="s">
        <v>3381</v>
      </c>
      <c r="D424" s="358"/>
      <c r="E424" s="358"/>
      <c r="F424" s="358"/>
      <c r="G424" s="358"/>
      <c r="H424" s="358"/>
      <c r="I424" s="358"/>
      <c r="J424" s="358"/>
      <c r="K424" s="358"/>
    </row>
    <row r="425" spans="1:22" ht="15" x14ac:dyDescent="0.25">
      <c r="A425" s="336"/>
      <c r="B425" s="336"/>
      <c r="C425" s="337" t="s">
        <v>183</v>
      </c>
      <c r="D425" s="336"/>
      <c r="E425" s="336"/>
      <c r="F425" s="336"/>
      <c r="G425" s="336"/>
      <c r="H425" s="461">
        <v>11111.41</v>
      </c>
      <c r="I425" s="461"/>
      <c r="J425" s="461">
        <v>33112</v>
      </c>
      <c r="K425" s="461"/>
      <c r="O425" s="163">
        <f>I423</f>
        <v>11111.41</v>
      </c>
      <c r="P425" s="163">
        <f>K423</f>
        <v>33112</v>
      </c>
    </row>
    <row r="427" spans="1:22" ht="142.5" x14ac:dyDescent="0.2">
      <c r="A427" s="301" t="s">
        <v>1753</v>
      </c>
      <c r="B427" s="302" t="s">
        <v>3382</v>
      </c>
      <c r="C427" s="302" t="s">
        <v>1289</v>
      </c>
      <c r="D427" s="303" t="s">
        <v>3367</v>
      </c>
      <c r="E427" s="286">
        <v>5.0999999999999997E-2</v>
      </c>
      <c r="F427" s="321">
        <v>77983.03</v>
      </c>
      <c r="G427" s="305" t="s">
        <v>195</v>
      </c>
      <c r="H427" s="286">
        <v>1</v>
      </c>
      <c r="I427" s="304">
        <v>3977.13</v>
      </c>
      <c r="J427" s="286">
        <v>3.24</v>
      </c>
      <c r="K427" s="304">
        <v>12885.9</v>
      </c>
      <c r="Q427" s="160">
        <f>[10]Source!X236</f>
        <v>0</v>
      </c>
      <c r="R427" s="160">
        <f>[10]Source!X237</f>
        <v>0</v>
      </c>
      <c r="S427" s="160">
        <f>[10]Source!Y236</f>
        <v>0</v>
      </c>
      <c r="T427" s="160">
        <f>[10]Source!Y237</f>
        <v>0</v>
      </c>
      <c r="U427" s="160">
        <f>ROUND((175/100)*ROUND([10]Source!R236, 2), 2)</f>
        <v>0</v>
      </c>
      <c r="V427" s="160">
        <f>ROUND((157/100)*ROUND([10]Source!R237, 2), 2)</f>
        <v>0</v>
      </c>
    </row>
    <row r="428" spans="1:22" x14ac:dyDescent="0.2">
      <c r="A428" s="358"/>
      <c r="B428" s="358"/>
      <c r="C428" s="359" t="s">
        <v>3383</v>
      </c>
      <c r="D428" s="358"/>
      <c r="E428" s="358"/>
      <c r="F428" s="358"/>
      <c r="G428" s="358"/>
      <c r="H428" s="358"/>
      <c r="I428" s="358"/>
      <c r="J428" s="358"/>
      <c r="K428" s="358"/>
    </row>
    <row r="429" spans="1:22" ht="15" x14ac:dyDescent="0.25">
      <c r="A429" s="336"/>
      <c r="B429" s="336"/>
      <c r="C429" s="337" t="s">
        <v>183</v>
      </c>
      <c r="D429" s="336"/>
      <c r="E429" s="336"/>
      <c r="F429" s="336"/>
      <c r="G429" s="336"/>
      <c r="H429" s="461">
        <v>3977.13</v>
      </c>
      <c r="I429" s="461"/>
      <c r="J429" s="461">
        <v>12885.9</v>
      </c>
      <c r="K429" s="461"/>
      <c r="O429" s="163">
        <f>I427</f>
        <v>3977.13</v>
      </c>
      <c r="P429" s="163">
        <f>K427</f>
        <v>12885.9</v>
      </c>
    </row>
    <row r="431" spans="1:22" ht="142.5" x14ac:dyDescent="0.2">
      <c r="A431" s="301" t="s">
        <v>1756</v>
      </c>
      <c r="B431" s="302" t="s">
        <v>3384</v>
      </c>
      <c r="C431" s="302" t="s">
        <v>1288</v>
      </c>
      <c r="D431" s="303" t="s">
        <v>3367</v>
      </c>
      <c r="E431" s="286">
        <v>0.10199999999999999</v>
      </c>
      <c r="F431" s="321">
        <v>136080.42000000001</v>
      </c>
      <c r="G431" s="305" t="s">
        <v>195</v>
      </c>
      <c r="H431" s="286">
        <v>1</v>
      </c>
      <c r="I431" s="304">
        <v>13880.2</v>
      </c>
      <c r="J431" s="286">
        <v>2.94</v>
      </c>
      <c r="K431" s="304">
        <v>40807.79</v>
      </c>
      <c r="Q431" s="160">
        <f>[10]Source!X238</f>
        <v>0</v>
      </c>
      <c r="R431" s="160">
        <f>[10]Source!X239</f>
        <v>0</v>
      </c>
      <c r="S431" s="160">
        <f>[10]Source!Y238</f>
        <v>0</v>
      </c>
      <c r="T431" s="160">
        <f>[10]Source!Y239</f>
        <v>0</v>
      </c>
      <c r="U431" s="160">
        <f>ROUND((175/100)*ROUND([10]Source!R238, 2), 2)</f>
        <v>0</v>
      </c>
      <c r="V431" s="160">
        <f>ROUND((157/100)*ROUND([10]Source!R239, 2), 2)</f>
        <v>0</v>
      </c>
    </row>
    <row r="432" spans="1:22" x14ac:dyDescent="0.2">
      <c r="A432" s="358"/>
      <c r="B432" s="358"/>
      <c r="C432" s="359" t="s">
        <v>3376</v>
      </c>
      <c r="D432" s="358"/>
      <c r="E432" s="358"/>
      <c r="F432" s="358"/>
      <c r="G432" s="358"/>
      <c r="H432" s="358"/>
      <c r="I432" s="358"/>
      <c r="J432" s="358"/>
      <c r="K432" s="358"/>
    </row>
    <row r="433" spans="1:22" ht="15" x14ac:dyDescent="0.25">
      <c r="A433" s="336"/>
      <c r="B433" s="336"/>
      <c r="C433" s="337" t="s">
        <v>183</v>
      </c>
      <c r="D433" s="336"/>
      <c r="E433" s="336"/>
      <c r="F433" s="336"/>
      <c r="G433" s="336"/>
      <c r="H433" s="461">
        <v>13880.2</v>
      </c>
      <c r="I433" s="461"/>
      <c r="J433" s="461">
        <v>40807.79</v>
      </c>
      <c r="K433" s="461"/>
      <c r="O433" s="163">
        <f>I431</f>
        <v>13880.2</v>
      </c>
      <c r="P433" s="163">
        <f>K431</f>
        <v>40807.79</v>
      </c>
    </row>
    <row r="435" spans="1:22" ht="57" x14ac:dyDescent="0.2">
      <c r="A435" s="329" t="s">
        <v>1760</v>
      </c>
      <c r="B435" s="330" t="s">
        <v>3385</v>
      </c>
      <c r="C435" s="330" t="s">
        <v>1287</v>
      </c>
      <c r="D435" s="331" t="s">
        <v>3367</v>
      </c>
      <c r="E435" s="332">
        <v>0.12239999999999999</v>
      </c>
      <c r="F435" s="333">
        <v>2191.13</v>
      </c>
      <c r="G435" s="334" t="s">
        <v>195</v>
      </c>
      <c r="H435" s="332">
        <v>1</v>
      </c>
      <c r="I435" s="335">
        <v>268.19</v>
      </c>
      <c r="J435" s="332">
        <v>5.41</v>
      </c>
      <c r="K435" s="335">
        <v>1450.91</v>
      </c>
      <c r="Q435" s="160">
        <f>[10]Source!X240</f>
        <v>0</v>
      </c>
      <c r="R435" s="160">
        <f>[10]Source!X241</f>
        <v>0</v>
      </c>
      <c r="S435" s="160">
        <f>[10]Source!Y240</f>
        <v>0</v>
      </c>
      <c r="T435" s="160">
        <f>[10]Source!Y241</f>
        <v>0</v>
      </c>
      <c r="U435" s="160">
        <f>ROUND((175/100)*ROUND([10]Source!R240, 2), 2)</f>
        <v>0</v>
      </c>
      <c r="V435" s="160">
        <f>ROUND((157/100)*ROUND([10]Source!R241, 2), 2)</f>
        <v>0</v>
      </c>
    </row>
    <row r="436" spans="1:22" ht="15" x14ac:dyDescent="0.25">
      <c r="A436" s="336"/>
      <c r="B436" s="336"/>
      <c r="C436" s="337" t="s">
        <v>183</v>
      </c>
      <c r="D436" s="336"/>
      <c r="E436" s="336"/>
      <c r="F436" s="336"/>
      <c r="G436" s="336"/>
      <c r="H436" s="461">
        <v>268.19</v>
      </c>
      <c r="I436" s="461"/>
      <c r="J436" s="461">
        <v>1450.91</v>
      </c>
      <c r="K436" s="461"/>
      <c r="O436" s="163">
        <f>I435</f>
        <v>268.19</v>
      </c>
      <c r="P436" s="163">
        <f>K435</f>
        <v>1450.91</v>
      </c>
    </row>
    <row r="438" spans="1:22" ht="57" x14ac:dyDescent="0.2">
      <c r="A438" s="301" t="s">
        <v>1768</v>
      </c>
      <c r="B438" s="302" t="s">
        <v>3386</v>
      </c>
      <c r="C438" s="302" t="s">
        <v>1286</v>
      </c>
      <c r="D438" s="303" t="s">
        <v>3367</v>
      </c>
      <c r="E438" s="286">
        <v>0.12239999999999999</v>
      </c>
      <c r="F438" s="321">
        <v>3496.94</v>
      </c>
      <c r="G438" s="305" t="s">
        <v>195</v>
      </c>
      <c r="H438" s="286">
        <v>1</v>
      </c>
      <c r="I438" s="304">
        <v>428.03</v>
      </c>
      <c r="J438" s="286">
        <v>5.41</v>
      </c>
      <c r="K438" s="304">
        <v>2315.64</v>
      </c>
      <c r="Q438" s="160">
        <f>[10]Source!X242</f>
        <v>0</v>
      </c>
      <c r="R438" s="160">
        <f>[10]Source!X243</f>
        <v>0</v>
      </c>
      <c r="S438" s="160">
        <f>[10]Source!Y242</f>
        <v>0</v>
      </c>
      <c r="T438" s="160">
        <f>[10]Source!Y243</f>
        <v>0</v>
      </c>
      <c r="U438" s="160">
        <f>ROUND((175/100)*ROUND([10]Source!R242, 2), 2)</f>
        <v>0</v>
      </c>
      <c r="V438" s="160">
        <f>ROUND((157/100)*ROUND([10]Source!R243, 2), 2)</f>
        <v>0</v>
      </c>
    </row>
    <row r="439" spans="1:22" x14ac:dyDescent="0.2">
      <c r="A439" s="358"/>
      <c r="B439" s="358"/>
      <c r="C439" s="359" t="s">
        <v>3387</v>
      </c>
      <c r="D439" s="358"/>
      <c r="E439" s="358"/>
      <c r="F439" s="358"/>
      <c r="G439" s="358"/>
      <c r="H439" s="358"/>
      <c r="I439" s="358"/>
      <c r="J439" s="358"/>
      <c r="K439" s="358"/>
    </row>
    <row r="440" spans="1:22" ht="15" x14ac:dyDescent="0.25">
      <c r="A440" s="336"/>
      <c r="B440" s="336"/>
      <c r="C440" s="337" t="s">
        <v>183</v>
      </c>
      <c r="D440" s="336"/>
      <c r="E440" s="336"/>
      <c r="F440" s="336"/>
      <c r="G440" s="336"/>
      <c r="H440" s="461">
        <v>428.03</v>
      </c>
      <c r="I440" s="461"/>
      <c r="J440" s="461">
        <v>2315.64</v>
      </c>
      <c r="K440" s="461"/>
      <c r="O440" s="163">
        <f>I438</f>
        <v>428.03</v>
      </c>
      <c r="P440" s="163">
        <f>K438</f>
        <v>2315.64</v>
      </c>
    </row>
    <row r="442" spans="1:22" ht="57" x14ac:dyDescent="0.2">
      <c r="A442" s="301" t="s">
        <v>1771</v>
      </c>
      <c r="B442" s="302" t="s">
        <v>3388</v>
      </c>
      <c r="C442" s="302" t="s">
        <v>1285</v>
      </c>
      <c r="D442" s="303" t="s">
        <v>3367</v>
      </c>
      <c r="E442" s="286">
        <v>3.0599999999999999E-2</v>
      </c>
      <c r="F442" s="321">
        <v>21286.5</v>
      </c>
      <c r="G442" s="305" t="s">
        <v>195</v>
      </c>
      <c r="H442" s="286">
        <v>1</v>
      </c>
      <c r="I442" s="304">
        <v>651.37</v>
      </c>
      <c r="J442" s="286">
        <v>5.41</v>
      </c>
      <c r="K442" s="304">
        <v>3523.91</v>
      </c>
      <c r="Q442" s="160">
        <f>[10]Source!X244</f>
        <v>0</v>
      </c>
      <c r="R442" s="160">
        <f>[10]Source!X245</f>
        <v>0</v>
      </c>
      <c r="S442" s="160">
        <f>[10]Source!Y244</f>
        <v>0</v>
      </c>
      <c r="T442" s="160">
        <f>[10]Source!Y245</f>
        <v>0</v>
      </c>
      <c r="U442" s="160">
        <f>ROUND((175/100)*ROUND([10]Source!R244, 2), 2)</f>
        <v>0</v>
      </c>
      <c r="V442" s="160">
        <f>ROUND((157/100)*ROUND([10]Source!R245, 2), 2)</f>
        <v>0</v>
      </c>
    </row>
    <row r="443" spans="1:22" x14ac:dyDescent="0.2">
      <c r="A443" s="358"/>
      <c r="B443" s="358"/>
      <c r="C443" s="359" t="s">
        <v>3389</v>
      </c>
      <c r="D443" s="358"/>
      <c r="E443" s="358"/>
      <c r="F443" s="358"/>
      <c r="G443" s="358"/>
      <c r="H443" s="358"/>
      <c r="I443" s="358"/>
      <c r="J443" s="358"/>
      <c r="K443" s="358"/>
    </row>
    <row r="444" spans="1:22" ht="15" x14ac:dyDescent="0.25">
      <c r="A444" s="336"/>
      <c r="B444" s="336"/>
      <c r="C444" s="337" t="s">
        <v>183</v>
      </c>
      <c r="D444" s="336"/>
      <c r="E444" s="336"/>
      <c r="F444" s="336"/>
      <c r="G444" s="336"/>
      <c r="H444" s="461">
        <v>651.37</v>
      </c>
      <c r="I444" s="461"/>
      <c r="J444" s="461">
        <v>3523.91</v>
      </c>
      <c r="K444" s="461"/>
      <c r="O444" s="163">
        <f>I442</f>
        <v>651.37</v>
      </c>
      <c r="P444" s="163">
        <f>K442</f>
        <v>3523.91</v>
      </c>
    </row>
    <row r="447" spans="1:22" ht="15" x14ac:dyDescent="0.25">
      <c r="A447" s="447" t="s">
        <v>3390</v>
      </c>
      <c r="B447" s="447"/>
      <c r="C447" s="447"/>
      <c r="D447" s="447"/>
      <c r="E447" s="447"/>
      <c r="F447" s="447"/>
      <c r="G447" s="447"/>
      <c r="H447" s="445">
        <v>286667.39</v>
      </c>
      <c r="I447" s="446"/>
      <c r="J447" s="445">
        <v>1404853.52</v>
      </c>
      <c r="K447" s="446"/>
    </row>
    <row r="448" spans="1:22" hidden="1" x14ac:dyDescent="0.2">
      <c r="A448" s="281" t="s">
        <v>182</v>
      </c>
      <c r="I448" s="281">
        <v>0</v>
      </c>
      <c r="J448" s="281">
        <v>0</v>
      </c>
    </row>
    <row r="449" spans="1:22" hidden="1" x14ac:dyDescent="0.2">
      <c r="A449" s="281" t="s">
        <v>181</v>
      </c>
      <c r="I449" s="281">
        <v>0</v>
      </c>
      <c r="J449" s="281">
        <v>0</v>
      </c>
    </row>
    <row r="451" spans="1:22" ht="16.5" x14ac:dyDescent="0.25">
      <c r="A451" s="448" t="s">
        <v>3391</v>
      </c>
      <c r="B451" s="448"/>
      <c r="C451" s="448"/>
      <c r="D451" s="448"/>
      <c r="E451" s="448"/>
      <c r="F451" s="448"/>
      <c r="G451" s="448"/>
      <c r="H451" s="448"/>
      <c r="I451" s="448"/>
      <c r="J451" s="448"/>
      <c r="K451" s="448"/>
    </row>
    <row r="452" spans="1:22" ht="42.75" x14ac:dyDescent="0.2">
      <c r="A452" s="301" t="s">
        <v>1775</v>
      </c>
      <c r="B452" s="302" t="s">
        <v>3392</v>
      </c>
      <c r="C452" s="302" t="s">
        <v>1284</v>
      </c>
      <c r="D452" s="303" t="s">
        <v>1903</v>
      </c>
      <c r="E452" s="286">
        <v>17</v>
      </c>
      <c r="F452" s="321"/>
      <c r="G452" s="305"/>
      <c r="H452" s="286"/>
      <c r="I452" s="304"/>
      <c r="J452" s="286"/>
      <c r="K452" s="304"/>
      <c r="Q452" s="160">
        <f>[10]Source!X281</f>
        <v>519</v>
      </c>
      <c r="R452" s="160">
        <f>[10]Source!X282</f>
        <v>8185.35</v>
      </c>
      <c r="S452" s="160">
        <f>[10]Source!Y281</f>
        <v>305.02</v>
      </c>
      <c r="T452" s="160">
        <f>[10]Source!Y282</f>
        <v>4358.43</v>
      </c>
      <c r="U452" s="160">
        <f>ROUND((175/100)*ROUND([10]Source!R281, 2), 2)</f>
        <v>294.52999999999997</v>
      </c>
      <c r="V452" s="160">
        <f>ROUND((157/100)*ROUND([10]Source!R282, 2), 2)</f>
        <v>6169.8</v>
      </c>
    </row>
    <row r="453" spans="1:22" ht="14.25" x14ac:dyDescent="0.2">
      <c r="A453" s="301"/>
      <c r="B453" s="302"/>
      <c r="C453" s="302" t="s">
        <v>197</v>
      </c>
      <c r="D453" s="303"/>
      <c r="E453" s="286"/>
      <c r="F453" s="321">
        <v>26.78</v>
      </c>
      <c r="G453" s="305" t="s">
        <v>195</v>
      </c>
      <c r="H453" s="286">
        <v>1</v>
      </c>
      <c r="I453" s="304">
        <v>455.26</v>
      </c>
      <c r="J453" s="286">
        <v>23.35</v>
      </c>
      <c r="K453" s="304">
        <v>10630.32</v>
      </c>
    </row>
    <row r="454" spans="1:22" ht="14.25" x14ac:dyDescent="0.2">
      <c r="A454" s="301"/>
      <c r="B454" s="302"/>
      <c r="C454" s="302" t="s">
        <v>184</v>
      </c>
      <c r="D454" s="303"/>
      <c r="E454" s="286"/>
      <c r="F454" s="321">
        <v>63.58</v>
      </c>
      <c r="G454" s="305" t="s">
        <v>195</v>
      </c>
      <c r="H454" s="286">
        <v>1</v>
      </c>
      <c r="I454" s="304">
        <v>1080.8599999999999</v>
      </c>
      <c r="J454" s="286">
        <v>8.15</v>
      </c>
      <c r="K454" s="304">
        <v>8809.01</v>
      </c>
    </row>
    <row r="455" spans="1:22" ht="14.25" x14ac:dyDescent="0.2">
      <c r="A455" s="301"/>
      <c r="B455" s="302"/>
      <c r="C455" s="302" t="s">
        <v>189</v>
      </c>
      <c r="D455" s="303"/>
      <c r="E455" s="286"/>
      <c r="F455" s="321">
        <v>9.9</v>
      </c>
      <c r="G455" s="305" t="s">
        <v>195</v>
      </c>
      <c r="H455" s="286">
        <v>1</v>
      </c>
      <c r="I455" s="306">
        <v>168.3</v>
      </c>
      <c r="J455" s="286">
        <v>23.35</v>
      </c>
      <c r="K455" s="306">
        <v>3929.81</v>
      </c>
    </row>
    <row r="456" spans="1:22" ht="14.25" x14ac:dyDescent="0.2">
      <c r="A456" s="301"/>
      <c r="B456" s="302"/>
      <c r="C456" s="302" t="s">
        <v>205</v>
      </c>
      <c r="D456" s="303"/>
      <c r="E456" s="286"/>
      <c r="F456" s="321">
        <v>9.17</v>
      </c>
      <c r="G456" s="305" t="s">
        <v>195</v>
      </c>
      <c r="H456" s="286">
        <v>1</v>
      </c>
      <c r="I456" s="304">
        <v>155.88999999999999</v>
      </c>
      <c r="J456" s="286">
        <v>5.42</v>
      </c>
      <c r="K456" s="304">
        <v>844.92</v>
      </c>
    </row>
    <row r="457" spans="1:22" ht="14.25" x14ac:dyDescent="0.2">
      <c r="A457" s="301"/>
      <c r="B457" s="302"/>
      <c r="C457" s="302" t="s">
        <v>194</v>
      </c>
      <c r="D457" s="303" t="s">
        <v>187</v>
      </c>
      <c r="E457" s="286">
        <v>114</v>
      </c>
      <c r="F457" s="321"/>
      <c r="G457" s="305"/>
      <c r="H457" s="286"/>
      <c r="I457" s="304">
        <v>519</v>
      </c>
      <c r="J457" s="286">
        <v>77</v>
      </c>
      <c r="K457" s="304">
        <v>8185.35</v>
      </c>
    </row>
    <row r="458" spans="1:22" ht="14.25" x14ac:dyDescent="0.2">
      <c r="A458" s="301"/>
      <c r="B458" s="302"/>
      <c r="C458" s="302" t="s">
        <v>193</v>
      </c>
      <c r="D458" s="303" t="s">
        <v>187</v>
      </c>
      <c r="E458" s="286">
        <v>67</v>
      </c>
      <c r="F458" s="321"/>
      <c r="G458" s="305"/>
      <c r="H458" s="286"/>
      <c r="I458" s="304">
        <v>305.02</v>
      </c>
      <c r="J458" s="286">
        <v>41</v>
      </c>
      <c r="K458" s="304">
        <v>4358.43</v>
      </c>
    </row>
    <row r="459" spans="1:22" ht="14.25" x14ac:dyDescent="0.2">
      <c r="A459" s="301"/>
      <c r="B459" s="302"/>
      <c r="C459" s="302" t="s">
        <v>188</v>
      </c>
      <c r="D459" s="303" t="s">
        <v>187</v>
      </c>
      <c r="E459" s="286">
        <v>175</v>
      </c>
      <c r="F459" s="321"/>
      <c r="G459" s="305"/>
      <c r="H459" s="286"/>
      <c r="I459" s="304">
        <v>294.52999999999997</v>
      </c>
      <c r="J459" s="286">
        <v>157</v>
      </c>
      <c r="K459" s="304">
        <v>6169.8</v>
      </c>
    </row>
    <row r="460" spans="1:22" ht="14.25" x14ac:dyDescent="0.2">
      <c r="A460" s="329"/>
      <c r="B460" s="330"/>
      <c r="C460" s="330" t="s">
        <v>192</v>
      </c>
      <c r="D460" s="331" t="s">
        <v>191</v>
      </c>
      <c r="E460" s="332">
        <v>2.06</v>
      </c>
      <c r="F460" s="333"/>
      <c r="G460" s="334" t="s">
        <v>195</v>
      </c>
      <c r="H460" s="332">
        <v>1</v>
      </c>
      <c r="I460" s="335">
        <v>35.020000000000003</v>
      </c>
      <c r="J460" s="332"/>
      <c r="K460" s="335"/>
    </row>
    <row r="461" spans="1:22" ht="15" x14ac:dyDescent="0.25">
      <c r="A461" s="336"/>
      <c r="B461" s="336"/>
      <c r="C461" s="337" t="s">
        <v>183</v>
      </c>
      <c r="D461" s="336"/>
      <c r="E461" s="336"/>
      <c r="F461" s="336"/>
      <c r="G461" s="336"/>
      <c r="H461" s="461">
        <v>2810.56</v>
      </c>
      <c r="I461" s="461"/>
      <c r="J461" s="461">
        <v>38997.83</v>
      </c>
      <c r="K461" s="461"/>
      <c r="O461" s="163">
        <f>I453+I454+I456+I457+I458+I459</f>
        <v>2810.56</v>
      </c>
      <c r="P461" s="163">
        <f>K453+K454+K456+K457+K458+K459</f>
        <v>38997.83</v>
      </c>
    </row>
    <row r="463" spans="1:22" ht="71.25" x14ac:dyDescent="0.2">
      <c r="A463" s="329" t="s">
        <v>1778</v>
      </c>
      <c r="B463" s="330" t="s">
        <v>3393</v>
      </c>
      <c r="C463" s="330" t="s">
        <v>1283</v>
      </c>
      <c r="D463" s="331" t="s">
        <v>1661</v>
      </c>
      <c r="E463" s="332">
        <v>5</v>
      </c>
      <c r="F463" s="333">
        <v>777.04</v>
      </c>
      <c r="G463" s="334" t="s">
        <v>195</v>
      </c>
      <c r="H463" s="332">
        <v>1</v>
      </c>
      <c r="I463" s="335">
        <v>3885.2</v>
      </c>
      <c r="J463" s="332">
        <v>2.65</v>
      </c>
      <c r="K463" s="335">
        <v>10295.780000000001</v>
      </c>
      <c r="Q463" s="160">
        <f>[10]Source!X283</f>
        <v>0</v>
      </c>
      <c r="R463" s="160">
        <f>[10]Source!X284</f>
        <v>0</v>
      </c>
      <c r="S463" s="160">
        <f>[10]Source!Y283</f>
        <v>0</v>
      </c>
      <c r="T463" s="160">
        <f>[10]Source!Y284</f>
        <v>0</v>
      </c>
      <c r="U463" s="160">
        <f>ROUND((175/100)*ROUND([10]Source!R283, 2), 2)</f>
        <v>0</v>
      </c>
      <c r="V463" s="160">
        <f>ROUND((157/100)*ROUND([10]Source!R284, 2), 2)</f>
        <v>0</v>
      </c>
    </row>
    <row r="464" spans="1:22" ht="15" x14ac:dyDescent="0.25">
      <c r="A464" s="336"/>
      <c r="B464" s="336"/>
      <c r="C464" s="337" t="s">
        <v>183</v>
      </c>
      <c r="D464" s="336"/>
      <c r="E464" s="336"/>
      <c r="F464" s="336"/>
      <c r="G464" s="336"/>
      <c r="H464" s="461">
        <v>3885.2</v>
      </c>
      <c r="I464" s="461"/>
      <c r="J464" s="461">
        <v>10295.780000000001</v>
      </c>
      <c r="K464" s="461"/>
      <c r="O464" s="163">
        <f>I463</f>
        <v>3885.2</v>
      </c>
      <c r="P464" s="163">
        <f>K463</f>
        <v>10295.780000000001</v>
      </c>
    </row>
    <row r="466" spans="1:22" ht="71.25" x14ac:dyDescent="0.2">
      <c r="A466" s="329" t="s">
        <v>1780</v>
      </c>
      <c r="B466" s="330" t="s">
        <v>3394</v>
      </c>
      <c r="C466" s="330" t="s">
        <v>1282</v>
      </c>
      <c r="D466" s="331" t="s">
        <v>1661</v>
      </c>
      <c r="E466" s="332">
        <v>12</v>
      </c>
      <c r="F466" s="333">
        <v>471.25</v>
      </c>
      <c r="G466" s="334" t="s">
        <v>195</v>
      </c>
      <c r="H466" s="332">
        <v>1</v>
      </c>
      <c r="I466" s="335">
        <v>5655</v>
      </c>
      <c r="J466" s="332">
        <v>1.84</v>
      </c>
      <c r="K466" s="335">
        <v>10405.200000000001</v>
      </c>
      <c r="Q466" s="160">
        <f>[10]Source!X285</f>
        <v>0</v>
      </c>
      <c r="R466" s="160">
        <f>[10]Source!X286</f>
        <v>0</v>
      </c>
      <c r="S466" s="160">
        <f>[10]Source!Y285</f>
        <v>0</v>
      </c>
      <c r="T466" s="160">
        <f>[10]Source!Y286</f>
        <v>0</v>
      </c>
      <c r="U466" s="160">
        <f>ROUND((175/100)*ROUND([10]Source!R285, 2), 2)</f>
        <v>0</v>
      </c>
      <c r="V466" s="160">
        <f>ROUND((157/100)*ROUND([10]Source!R286, 2), 2)</f>
        <v>0</v>
      </c>
    </row>
    <row r="467" spans="1:22" ht="15" x14ac:dyDescent="0.25">
      <c r="A467" s="336"/>
      <c r="B467" s="336"/>
      <c r="C467" s="337" t="s">
        <v>183</v>
      </c>
      <c r="D467" s="336"/>
      <c r="E467" s="336"/>
      <c r="F467" s="336"/>
      <c r="G467" s="336"/>
      <c r="H467" s="461">
        <v>5655</v>
      </c>
      <c r="I467" s="461"/>
      <c r="J467" s="461">
        <v>10405.200000000001</v>
      </c>
      <c r="K467" s="461"/>
      <c r="O467" s="163">
        <f>I466</f>
        <v>5655</v>
      </c>
      <c r="P467" s="163">
        <f>K466</f>
        <v>10405.200000000001</v>
      </c>
    </row>
    <row r="469" spans="1:22" ht="85.5" x14ac:dyDescent="0.2">
      <c r="A469" s="301" t="s">
        <v>1784</v>
      </c>
      <c r="B469" s="302" t="s">
        <v>3395</v>
      </c>
      <c r="C469" s="302" t="s">
        <v>1281</v>
      </c>
      <c r="D469" s="303" t="s">
        <v>1903</v>
      </c>
      <c r="E469" s="286">
        <v>171</v>
      </c>
      <c r="F469" s="321"/>
      <c r="G469" s="305"/>
      <c r="H469" s="286"/>
      <c r="I469" s="304"/>
      <c r="J469" s="286"/>
      <c r="K469" s="304"/>
      <c r="Q469" s="160">
        <f>[10]Source!X287</f>
        <v>2610.63</v>
      </c>
      <c r="R469" s="160">
        <f>[10]Source!X288</f>
        <v>41173.589999999997</v>
      </c>
      <c r="S469" s="160">
        <f>[10]Source!Y287</f>
        <v>1534.32</v>
      </c>
      <c r="T469" s="160">
        <f>[10]Source!Y288</f>
        <v>21923.599999999999</v>
      </c>
      <c r="U469" s="160">
        <f>ROUND((175/100)*ROUND([10]Source!R287, 2), 2)</f>
        <v>79</v>
      </c>
      <c r="V469" s="160">
        <f>ROUND((157/100)*ROUND([10]Source!R288, 2), 2)</f>
        <v>1654.81</v>
      </c>
    </row>
    <row r="470" spans="1:22" ht="14.25" x14ac:dyDescent="0.2">
      <c r="A470" s="301"/>
      <c r="B470" s="302"/>
      <c r="C470" s="302" t="s">
        <v>197</v>
      </c>
      <c r="D470" s="303"/>
      <c r="E470" s="286"/>
      <c r="F470" s="321">
        <v>16.739999999999998</v>
      </c>
      <c r="G470" s="305" t="s">
        <v>2922</v>
      </c>
      <c r="H470" s="286">
        <v>1</v>
      </c>
      <c r="I470" s="304">
        <v>2290.0300000000002</v>
      </c>
      <c r="J470" s="286">
        <v>23.35</v>
      </c>
      <c r="K470" s="304">
        <v>53472.2</v>
      </c>
    </row>
    <row r="471" spans="1:22" ht="14.25" x14ac:dyDescent="0.2">
      <c r="A471" s="301"/>
      <c r="B471" s="302"/>
      <c r="C471" s="302" t="s">
        <v>184</v>
      </c>
      <c r="D471" s="303"/>
      <c r="E471" s="286"/>
      <c r="F471" s="321">
        <v>4.93</v>
      </c>
      <c r="G471" s="305" t="s">
        <v>2922</v>
      </c>
      <c r="H471" s="286">
        <v>1</v>
      </c>
      <c r="I471" s="304">
        <v>674.42</v>
      </c>
      <c r="J471" s="286">
        <v>6.56</v>
      </c>
      <c r="K471" s="304">
        <v>4424.2</v>
      </c>
    </row>
    <row r="472" spans="1:22" ht="14.25" x14ac:dyDescent="0.2">
      <c r="A472" s="301"/>
      <c r="B472" s="302"/>
      <c r="C472" s="302" t="s">
        <v>189</v>
      </c>
      <c r="D472" s="303"/>
      <c r="E472" s="286"/>
      <c r="F472" s="321">
        <v>0.33</v>
      </c>
      <c r="G472" s="305" t="s">
        <v>2922</v>
      </c>
      <c r="H472" s="286">
        <v>1</v>
      </c>
      <c r="I472" s="306">
        <v>45.14</v>
      </c>
      <c r="J472" s="286">
        <v>23.35</v>
      </c>
      <c r="K472" s="306">
        <v>1054.02</v>
      </c>
    </row>
    <row r="473" spans="1:22" ht="14.25" x14ac:dyDescent="0.2">
      <c r="A473" s="301"/>
      <c r="B473" s="302"/>
      <c r="C473" s="302" t="s">
        <v>205</v>
      </c>
      <c r="D473" s="303"/>
      <c r="E473" s="286"/>
      <c r="F473" s="321">
        <v>15.47</v>
      </c>
      <c r="G473" s="305" t="s">
        <v>195</v>
      </c>
      <c r="H473" s="286">
        <v>1</v>
      </c>
      <c r="I473" s="304">
        <v>2645.37</v>
      </c>
      <c r="J473" s="286">
        <v>5.42</v>
      </c>
      <c r="K473" s="304">
        <v>14337.91</v>
      </c>
    </row>
    <row r="474" spans="1:22" ht="14.25" x14ac:dyDescent="0.2">
      <c r="A474" s="301"/>
      <c r="B474" s="302"/>
      <c r="C474" s="302" t="s">
        <v>194</v>
      </c>
      <c r="D474" s="303" t="s">
        <v>187</v>
      </c>
      <c r="E474" s="286">
        <v>114</v>
      </c>
      <c r="F474" s="321"/>
      <c r="G474" s="305"/>
      <c r="H474" s="286"/>
      <c r="I474" s="304">
        <v>2610.63</v>
      </c>
      <c r="J474" s="286">
        <v>77</v>
      </c>
      <c r="K474" s="304">
        <v>41173.589999999997</v>
      </c>
    </row>
    <row r="475" spans="1:22" ht="14.25" x14ac:dyDescent="0.2">
      <c r="A475" s="301"/>
      <c r="B475" s="302"/>
      <c r="C475" s="302" t="s">
        <v>193</v>
      </c>
      <c r="D475" s="303" t="s">
        <v>187</v>
      </c>
      <c r="E475" s="286">
        <v>67</v>
      </c>
      <c r="F475" s="321"/>
      <c r="G475" s="305"/>
      <c r="H475" s="286"/>
      <c r="I475" s="304">
        <v>1534.32</v>
      </c>
      <c r="J475" s="286">
        <v>41</v>
      </c>
      <c r="K475" s="304">
        <v>21923.599999999999</v>
      </c>
    </row>
    <row r="476" spans="1:22" ht="14.25" x14ac:dyDescent="0.2">
      <c r="A476" s="301"/>
      <c r="B476" s="302"/>
      <c r="C476" s="302" t="s">
        <v>188</v>
      </c>
      <c r="D476" s="303" t="s">
        <v>187</v>
      </c>
      <c r="E476" s="286">
        <v>175</v>
      </c>
      <c r="F476" s="321"/>
      <c r="G476" s="305"/>
      <c r="H476" s="286"/>
      <c r="I476" s="304">
        <v>79</v>
      </c>
      <c r="J476" s="286">
        <v>157</v>
      </c>
      <c r="K476" s="304">
        <v>1654.81</v>
      </c>
    </row>
    <row r="477" spans="1:22" ht="14.25" x14ac:dyDescent="0.2">
      <c r="A477" s="329"/>
      <c r="B477" s="330"/>
      <c r="C477" s="330" t="s">
        <v>192</v>
      </c>
      <c r="D477" s="331" t="s">
        <v>191</v>
      </c>
      <c r="E477" s="332">
        <v>1.34</v>
      </c>
      <c r="F477" s="333"/>
      <c r="G477" s="334" t="s">
        <v>2922</v>
      </c>
      <c r="H477" s="332">
        <v>1</v>
      </c>
      <c r="I477" s="335">
        <v>183.31</v>
      </c>
      <c r="J477" s="332"/>
      <c r="K477" s="335"/>
    </row>
    <row r="478" spans="1:22" ht="15" x14ac:dyDescent="0.25">
      <c r="A478" s="336"/>
      <c r="B478" s="336"/>
      <c r="C478" s="337" t="s">
        <v>183</v>
      </c>
      <c r="D478" s="336"/>
      <c r="E478" s="336"/>
      <c r="F478" s="336"/>
      <c r="G478" s="336"/>
      <c r="H478" s="461">
        <v>9833.77</v>
      </c>
      <c r="I478" s="461"/>
      <c r="J478" s="461">
        <v>136986.31</v>
      </c>
      <c r="K478" s="461"/>
      <c r="O478" s="163">
        <f>I470+I471+I473+I474+I475+I476</f>
        <v>9833.77</v>
      </c>
      <c r="P478" s="163">
        <f>K470+K471+K473+K474+K475+K476</f>
        <v>136986.31</v>
      </c>
    </row>
    <row r="480" spans="1:22" ht="85.5" x14ac:dyDescent="0.2">
      <c r="A480" s="301" t="s">
        <v>1789</v>
      </c>
      <c r="B480" s="302" t="s">
        <v>3396</v>
      </c>
      <c r="C480" s="302" t="s">
        <v>1280</v>
      </c>
      <c r="D480" s="303" t="s">
        <v>1903</v>
      </c>
      <c r="E480" s="286">
        <v>4</v>
      </c>
      <c r="F480" s="321"/>
      <c r="G480" s="305"/>
      <c r="H480" s="286"/>
      <c r="I480" s="304"/>
      <c r="J480" s="286"/>
      <c r="K480" s="304"/>
      <c r="Q480" s="160">
        <f>[10]Source!X289</f>
        <v>91.13</v>
      </c>
      <c r="R480" s="160">
        <f>[10]Source!X290</f>
        <v>1437.28</v>
      </c>
      <c r="S480" s="160">
        <f>[10]Source!Y289</f>
        <v>53.56</v>
      </c>
      <c r="T480" s="160">
        <f>[10]Source!Y290</f>
        <v>765.31</v>
      </c>
      <c r="U480" s="160">
        <f>ROUND((175/100)*ROUND([10]Source!R289, 2), 2)</f>
        <v>2.19</v>
      </c>
      <c r="V480" s="160">
        <f>ROUND((157/100)*ROUND([10]Source!R290, 2), 2)</f>
        <v>45.83</v>
      </c>
    </row>
    <row r="481" spans="1:22" ht="14.25" x14ac:dyDescent="0.2">
      <c r="A481" s="301"/>
      <c r="B481" s="302"/>
      <c r="C481" s="302" t="s">
        <v>197</v>
      </c>
      <c r="D481" s="303"/>
      <c r="E481" s="286"/>
      <c r="F481" s="321">
        <v>24.98</v>
      </c>
      <c r="G481" s="305" t="s">
        <v>2922</v>
      </c>
      <c r="H481" s="286">
        <v>1</v>
      </c>
      <c r="I481" s="304">
        <v>79.94</v>
      </c>
      <c r="J481" s="286">
        <v>23.35</v>
      </c>
      <c r="K481" s="304">
        <v>1866.6</v>
      </c>
    </row>
    <row r="482" spans="1:22" ht="14.25" x14ac:dyDescent="0.2">
      <c r="A482" s="301"/>
      <c r="B482" s="302"/>
      <c r="C482" s="302" t="s">
        <v>184</v>
      </c>
      <c r="D482" s="303"/>
      <c r="E482" s="286"/>
      <c r="F482" s="321">
        <v>5.29</v>
      </c>
      <c r="G482" s="305" t="s">
        <v>2922</v>
      </c>
      <c r="H482" s="286">
        <v>1</v>
      </c>
      <c r="I482" s="304">
        <v>16.93</v>
      </c>
      <c r="J482" s="286">
        <v>6.68</v>
      </c>
      <c r="K482" s="304">
        <v>113.09</v>
      </c>
    </row>
    <row r="483" spans="1:22" ht="14.25" x14ac:dyDescent="0.2">
      <c r="A483" s="301"/>
      <c r="B483" s="302"/>
      <c r="C483" s="302" t="s">
        <v>189</v>
      </c>
      <c r="D483" s="303"/>
      <c r="E483" s="286"/>
      <c r="F483" s="321">
        <v>0.39</v>
      </c>
      <c r="G483" s="305" t="s">
        <v>2922</v>
      </c>
      <c r="H483" s="286">
        <v>1</v>
      </c>
      <c r="I483" s="306">
        <v>1.25</v>
      </c>
      <c r="J483" s="286">
        <v>23.35</v>
      </c>
      <c r="K483" s="306">
        <v>29.19</v>
      </c>
    </row>
    <row r="484" spans="1:22" ht="14.25" x14ac:dyDescent="0.2">
      <c r="A484" s="301"/>
      <c r="B484" s="302"/>
      <c r="C484" s="302" t="s">
        <v>205</v>
      </c>
      <c r="D484" s="303"/>
      <c r="E484" s="286"/>
      <c r="F484" s="321">
        <v>29.26</v>
      </c>
      <c r="G484" s="305" t="s">
        <v>195</v>
      </c>
      <c r="H484" s="286">
        <v>1</v>
      </c>
      <c r="I484" s="304">
        <v>117.04</v>
      </c>
      <c r="J484" s="286">
        <v>5.42</v>
      </c>
      <c r="K484" s="304">
        <v>634.36</v>
      </c>
    </row>
    <row r="485" spans="1:22" ht="14.25" x14ac:dyDescent="0.2">
      <c r="A485" s="301"/>
      <c r="B485" s="302"/>
      <c r="C485" s="302" t="s">
        <v>194</v>
      </c>
      <c r="D485" s="303" t="s">
        <v>187</v>
      </c>
      <c r="E485" s="286">
        <v>114</v>
      </c>
      <c r="F485" s="321"/>
      <c r="G485" s="305"/>
      <c r="H485" s="286"/>
      <c r="I485" s="304">
        <v>91.13</v>
      </c>
      <c r="J485" s="286">
        <v>77</v>
      </c>
      <c r="K485" s="304">
        <v>1437.28</v>
      </c>
    </row>
    <row r="486" spans="1:22" ht="14.25" x14ac:dyDescent="0.2">
      <c r="A486" s="301"/>
      <c r="B486" s="302"/>
      <c r="C486" s="302" t="s">
        <v>193</v>
      </c>
      <c r="D486" s="303" t="s">
        <v>187</v>
      </c>
      <c r="E486" s="286">
        <v>67</v>
      </c>
      <c r="F486" s="321"/>
      <c r="G486" s="305"/>
      <c r="H486" s="286"/>
      <c r="I486" s="304">
        <v>53.56</v>
      </c>
      <c r="J486" s="286">
        <v>41</v>
      </c>
      <c r="K486" s="304">
        <v>765.31</v>
      </c>
    </row>
    <row r="487" spans="1:22" ht="14.25" x14ac:dyDescent="0.2">
      <c r="A487" s="301"/>
      <c r="B487" s="302"/>
      <c r="C487" s="302" t="s">
        <v>188</v>
      </c>
      <c r="D487" s="303" t="s">
        <v>187</v>
      </c>
      <c r="E487" s="286">
        <v>175</v>
      </c>
      <c r="F487" s="321"/>
      <c r="G487" s="305"/>
      <c r="H487" s="286"/>
      <c r="I487" s="304">
        <v>2.19</v>
      </c>
      <c r="J487" s="286">
        <v>157</v>
      </c>
      <c r="K487" s="304">
        <v>45.83</v>
      </c>
    </row>
    <row r="488" spans="1:22" ht="14.25" x14ac:dyDescent="0.2">
      <c r="A488" s="329"/>
      <c r="B488" s="330"/>
      <c r="C488" s="330" t="s">
        <v>192</v>
      </c>
      <c r="D488" s="331" t="s">
        <v>191</v>
      </c>
      <c r="E488" s="332">
        <v>2</v>
      </c>
      <c r="F488" s="333"/>
      <c r="G488" s="334" t="s">
        <v>2922</v>
      </c>
      <c r="H488" s="332">
        <v>1</v>
      </c>
      <c r="I488" s="335">
        <v>6.4</v>
      </c>
      <c r="J488" s="332"/>
      <c r="K488" s="335"/>
    </row>
    <row r="489" spans="1:22" ht="15" x14ac:dyDescent="0.25">
      <c r="A489" s="336"/>
      <c r="B489" s="336"/>
      <c r="C489" s="337" t="s">
        <v>183</v>
      </c>
      <c r="D489" s="336"/>
      <c r="E489" s="336"/>
      <c r="F489" s="336"/>
      <c r="G489" s="336"/>
      <c r="H489" s="461">
        <v>360.79</v>
      </c>
      <c r="I489" s="461"/>
      <c r="J489" s="461">
        <v>4862.47</v>
      </c>
      <c r="K489" s="461"/>
      <c r="O489" s="163">
        <f>I481+I482+I484+I485+I486+I487</f>
        <v>360.79</v>
      </c>
      <c r="P489" s="163">
        <f>K481+K482+K484+K485+K486+K487</f>
        <v>4862.47</v>
      </c>
    </row>
    <row r="491" spans="1:22" ht="85.5" x14ac:dyDescent="0.2">
      <c r="A491" s="301" t="s">
        <v>1795</v>
      </c>
      <c r="B491" s="302" t="s">
        <v>3397</v>
      </c>
      <c r="C491" s="302" t="s">
        <v>1279</v>
      </c>
      <c r="D491" s="303" t="s">
        <v>1903</v>
      </c>
      <c r="E491" s="286">
        <v>3</v>
      </c>
      <c r="F491" s="321"/>
      <c r="G491" s="305"/>
      <c r="H491" s="286"/>
      <c r="I491" s="304"/>
      <c r="J491" s="286"/>
      <c r="K491" s="304"/>
      <c r="Q491" s="160">
        <f>[10]Source!X291</f>
        <v>88.37</v>
      </c>
      <c r="R491" s="160">
        <f>[10]Source!X292</f>
        <v>1393.77</v>
      </c>
      <c r="S491" s="160">
        <f>[10]Source!Y291</f>
        <v>51.94</v>
      </c>
      <c r="T491" s="160">
        <f>[10]Source!Y292</f>
        <v>742.14</v>
      </c>
      <c r="U491" s="160">
        <f>ROUND((175/100)*ROUND([10]Source!R291, 2), 2)</f>
        <v>1.72</v>
      </c>
      <c r="V491" s="160">
        <f>ROUND((157/100)*ROUND([10]Source!R292, 2), 2)</f>
        <v>35.92</v>
      </c>
    </row>
    <row r="492" spans="1:22" ht="14.25" x14ac:dyDescent="0.2">
      <c r="A492" s="301"/>
      <c r="B492" s="302"/>
      <c r="C492" s="302" t="s">
        <v>197</v>
      </c>
      <c r="D492" s="303"/>
      <c r="E492" s="286"/>
      <c r="F492" s="321">
        <v>32.299999999999997</v>
      </c>
      <c r="G492" s="305" t="s">
        <v>2922</v>
      </c>
      <c r="H492" s="286">
        <v>1</v>
      </c>
      <c r="I492" s="304">
        <v>77.52</v>
      </c>
      <c r="J492" s="286">
        <v>23.35</v>
      </c>
      <c r="K492" s="304">
        <v>1810.09</v>
      </c>
    </row>
    <row r="493" spans="1:22" ht="14.25" x14ac:dyDescent="0.2">
      <c r="A493" s="301"/>
      <c r="B493" s="302"/>
      <c r="C493" s="302" t="s">
        <v>184</v>
      </c>
      <c r="D493" s="303"/>
      <c r="E493" s="286"/>
      <c r="F493" s="321">
        <v>5.4</v>
      </c>
      <c r="G493" s="305" t="s">
        <v>2922</v>
      </c>
      <c r="H493" s="286">
        <v>1</v>
      </c>
      <c r="I493" s="304">
        <v>12.96</v>
      </c>
      <c r="J493" s="286">
        <v>6.72</v>
      </c>
      <c r="K493" s="304">
        <v>87.09</v>
      </c>
    </row>
    <row r="494" spans="1:22" ht="14.25" x14ac:dyDescent="0.2">
      <c r="A494" s="301"/>
      <c r="B494" s="302"/>
      <c r="C494" s="302" t="s">
        <v>189</v>
      </c>
      <c r="D494" s="303"/>
      <c r="E494" s="286"/>
      <c r="F494" s="321">
        <v>0.41</v>
      </c>
      <c r="G494" s="305" t="s">
        <v>2922</v>
      </c>
      <c r="H494" s="286">
        <v>1</v>
      </c>
      <c r="I494" s="306">
        <v>0.98</v>
      </c>
      <c r="J494" s="286">
        <v>23.35</v>
      </c>
      <c r="K494" s="306">
        <v>22.88</v>
      </c>
    </row>
    <row r="495" spans="1:22" ht="14.25" x14ac:dyDescent="0.2">
      <c r="A495" s="301"/>
      <c r="B495" s="302"/>
      <c r="C495" s="302" t="s">
        <v>205</v>
      </c>
      <c r="D495" s="303"/>
      <c r="E495" s="286"/>
      <c r="F495" s="321">
        <v>31.71</v>
      </c>
      <c r="G495" s="305" t="s">
        <v>195</v>
      </c>
      <c r="H495" s="286">
        <v>1</v>
      </c>
      <c r="I495" s="304">
        <v>95.13</v>
      </c>
      <c r="J495" s="286">
        <v>5.42</v>
      </c>
      <c r="K495" s="304">
        <v>515.6</v>
      </c>
    </row>
    <row r="496" spans="1:22" ht="14.25" x14ac:dyDescent="0.2">
      <c r="A496" s="301"/>
      <c r="B496" s="302"/>
      <c r="C496" s="302" t="s">
        <v>194</v>
      </c>
      <c r="D496" s="303" t="s">
        <v>187</v>
      </c>
      <c r="E496" s="286">
        <v>114</v>
      </c>
      <c r="F496" s="321"/>
      <c r="G496" s="305"/>
      <c r="H496" s="286"/>
      <c r="I496" s="304">
        <v>88.37</v>
      </c>
      <c r="J496" s="286">
        <v>77</v>
      </c>
      <c r="K496" s="304">
        <v>1393.77</v>
      </c>
    </row>
    <row r="497" spans="1:22" ht="14.25" x14ac:dyDescent="0.2">
      <c r="A497" s="301"/>
      <c r="B497" s="302"/>
      <c r="C497" s="302" t="s">
        <v>193</v>
      </c>
      <c r="D497" s="303" t="s">
        <v>187</v>
      </c>
      <c r="E497" s="286">
        <v>67</v>
      </c>
      <c r="F497" s="321"/>
      <c r="G497" s="305"/>
      <c r="H497" s="286"/>
      <c r="I497" s="304">
        <v>51.94</v>
      </c>
      <c r="J497" s="286">
        <v>41</v>
      </c>
      <c r="K497" s="304">
        <v>742.14</v>
      </c>
    </row>
    <row r="498" spans="1:22" ht="14.25" x14ac:dyDescent="0.2">
      <c r="A498" s="301"/>
      <c r="B498" s="302"/>
      <c r="C498" s="302" t="s">
        <v>188</v>
      </c>
      <c r="D498" s="303" t="s">
        <v>187</v>
      </c>
      <c r="E498" s="286">
        <v>175</v>
      </c>
      <c r="F498" s="321"/>
      <c r="G498" s="305"/>
      <c r="H498" s="286"/>
      <c r="I498" s="304">
        <v>1.72</v>
      </c>
      <c r="J498" s="286">
        <v>157</v>
      </c>
      <c r="K498" s="304">
        <v>35.92</v>
      </c>
    </row>
    <row r="499" spans="1:22" ht="14.25" x14ac:dyDescent="0.2">
      <c r="A499" s="329"/>
      <c r="B499" s="330"/>
      <c r="C499" s="330" t="s">
        <v>192</v>
      </c>
      <c r="D499" s="331" t="s">
        <v>191</v>
      </c>
      <c r="E499" s="332">
        <v>2.38</v>
      </c>
      <c r="F499" s="333"/>
      <c r="G499" s="334" t="s">
        <v>2922</v>
      </c>
      <c r="H499" s="332">
        <v>1</v>
      </c>
      <c r="I499" s="335">
        <v>5.71</v>
      </c>
      <c r="J499" s="332"/>
      <c r="K499" s="335"/>
    </row>
    <row r="500" spans="1:22" ht="15" x14ac:dyDescent="0.25">
      <c r="A500" s="336"/>
      <c r="B500" s="336"/>
      <c r="C500" s="337" t="s">
        <v>183</v>
      </c>
      <c r="D500" s="336"/>
      <c r="E500" s="336"/>
      <c r="F500" s="336"/>
      <c r="G500" s="336"/>
      <c r="H500" s="461">
        <v>327.64</v>
      </c>
      <c r="I500" s="461"/>
      <c r="J500" s="461">
        <v>4584.6099999999997</v>
      </c>
      <c r="K500" s="461"/>
      <c r="O500" s="163">
        <f>I492+I493+I495+I496+I497+I498</f>
        <v>327.64</v>
      </c>
      <c r="P500" s="163">
        <f>K492+K493+K495+K496+K497+K498</f>
        <v>4584.6099999999997</v>
      </c>
    </row>
    <row r="502" spans="1:22" ht="28.5" x14ac:dyDescent="0.2">
      <c r="A502" s="301" t="s">
        <v>1798</v>
      </c>
      <c r="B502" s="302" t="s">
        <v>3398</v>
      </c>
      <c r="C502" s="302" t="s">
        <v>1278</v>
      </c>
      <c r="D502" s="303" t="s">
        <v>1661</v>
      </c>
      <c r="E502" s="286">
        <v>15</v>
      </c>
      <c r="F502" s="321">
        <v>256.89999999999998</v>
      </c>
      <c r="G502" s="305" t="s">
        <v>195</v>
      </c>
      <c r="H502" s="286">
        <v>1</v>
      </c>
      <c r="I502" s="304">
        <v>3853.5</v>
      </c>
      <c r="J502" s="286">
        <v>3.58</v>
      </c>
      <c r="K502" s="304">
        <v>13795.53</v>
      </c>
      <c r="Q502" s="160">
        <f>[10]Source!X293</f>
        <v>0</v>
      </c>
      <c r="R502" s="160">
        <f>[10]Source!X294</f>
        <v>0</v>
      </c>
      <c r="S502" s="160">
        <f>[10]Source!Y293</f>
        <v>0</v>
      </c>
      <c r="T502" s="160">
        <f>[10]Source!Y294</f>
        <v>0</v>
      </c>
      <c r="U502" s="160">
        <f>ROUND((175/100)*ROUND([10]Source!R293, 2), 2)</f>
        <v>0</v>
      </c>
      <c r="V502" s="160">
        <f>ROUND((157/100)*ROUND([10]Source!R294, 2), 2)</f>
        <v>0</v>
      </c>
    </row>
    <row r="503" spans="1:22" x14ac:dyDescent="0.2">
      <c r="A503" s="358"/>
      <c r="B503" s="358"/>
      <c r="C503" s="359" t="s">
        <v>3399</v>
      </c>
      <c r="D503" s="358"/>
      <c r="E503" s="358"/>
      <c r="F503" s="358"/>
      <c r="G503" s="358"/>
      <c r="H503" s="358"/>
      <c r="I503" s="358"/>
      <c r="J503" s="358"/>
      <c r="K503" s="358"/>
    </row>
    <row r="504" spans="1:22" ht="15" x14ac:dyDescent="0.25">
      <c r="A504" s="336"/>
      <c r="B504" s="336"/>
      <c r="C504" s="337" t="s">
        <v>183</v>
      </c>
      <c r="D504" s="336"/>
      <c r="E504" s="336"/>
      <c r="F504" s="336"/>
      <c r="G504" s="336"/>
      <c r="H504" s="461">
        <v>3853.5</v>
      </c>
      <c r="I504" s="461"/>
      <c r="J504" s="461">
        <v>13795.53</v>
      </c>
      <c r="K504" s="461"/>
      <c r="O504" s="163">
        <f>I502</f>
        <v>3853.5</v>
      </c>
      <c r="P504" s="163">
        <f>K502</f>
        <v>13795.53</v>
      </c>
    </row>
    <row r="506" spans="1:22" ht="28.5" x14ac:dyDescent="0.2">
      <c r="A506" s="301" t="s">
        <v>1802</v>
      </c>
      <c r="B506" s="302" t="s">
        <v>3400</v>
      </c>
      <c r="C506" s="302" t="s">
        <v>1277</v>
      </c>
      <c r="D506" s="303" t="s">
        <v>1661</v>
      </c>
      <c r="E506" s="286">
        <v>6</v>
      </c>
      <c r="F506" s="321">
        <v>295.54000000000002</v>
      </c>
      <c r="G506" s="305" t="s">
        <v>195</v>
      </c>
      <c r="H506" s="286">
        <v>1</v>
      </c>
      <c r="I506" s="304">
        <v>1773.24</v>
      </c>
      <c r="J506" s="286">
        <v>3.91</v>
      </c>
      <c r="K506" s="304">
        <v>6933.37</v>
      </c>
      <c r="Q506" s="160">
        <f>[10]Source!X295</f>
        <v>0</v>
      </c>
      <c r="R506" s="160">
        <f>[10]Source!X296</f>
        <v>0</v>
      </c>
      <c r="S506" s="160">
        <f>[10]Source!Y295</f>
        <v>0</v>
      </c>
      <c r="T506" s="160">
        <f>[10]Source!Y296</f>
        <v>0</v>
      </c>
      <c r="U506" s="160">
        <f>ROUND((175/100)*ROUND([10]Source!R295, 2), 2)</f>
        <v>0</v>
      </c>
      <c r="V506" s="160">
        <f>ROUND((157/100)*ROUND([10]Source!R296, 2), 2)</f>
        <v>0</v>
      </c>
    </row>
    <row r="507" spans="1:22" x14ac:dyDescent="0.2">
      <c r="A507" s="358"/>
      <c r="B507" s="358"/>
      <c r="C507" s="359" t="s">
        <v>3401</v>
      </c>
      <c r="D507" s="358"/>
      <c r="E507" s="358"/>
      <c r="F507" s="358"/>
      <c r="G507" s="358"/>
      <c r="H507" s="358"/>
      <c r="I507" s="358"/>
      <c r="J507" s="358"/>
      <c r="K507" s="358"/>
    </row>
    <row r="508" spans="1:22" ht="15" x14ac:dyDescent="0.25">
      <c r="A508" s="336"/>
      <c r="B508" s="336"/>
      <c r="C508" s="337" t="s">
        <v>183</v>
      </c>
      <c r="D508" s="336"/>
      <c r="E508" s="336"/>
      <c r="F508" s="336"/>
      <c r="G508" s="336"/>
      <c r="H508" s="461">
        <v>1773.24</v>
      </c>
      <c r="I508" s="461"/>
      <c r="J508" s="461">
        <v>6933.37</v>
      </c>
      <c r="K508" s="461"/>
      <c r="O508" s="163">
        <f>I506</f>
        <v>1773.24</v>
      </c>
      <c r="P508" s="163">
        <f>K506</f>
        <v>6933.37</v>
      </c>
    </row>
    <row r="510" spans="1:22" ht="28.5" x14ac:dyDescent="0.2">
      <c r="A510" s="329" t="s">
        <v>1804</v>
      </c>
      <c r="B510" s="330" t="s">
        <v>3402</v>
      </c>
      <c r="C510" s="330" t="s">
        <v>1276</v>
      </c>
      <c r="D510" s="331" t="s">
        <v>1661</v>
      </c>
      <c r="E510" s="332">
        <v>4</v>
      </c>
      <c r="F510" s="333">
        <v>431.29</v>
      </c>
      <c r="G510" s="334" t="s">
        <v>195</v>
      </c>
      <c r="H510" s="332">
        <v>1</v>
      </c>
      <c r="I510" s="335">
        <v>1725.16</v>
      </c>
      <c r="J510" s="332">
        <v>3.9</v>
      </c>
      <c r="K510" s="335">
        <v>6728.12</v>
      </c>
      <c r="Q510" s="160">
        <f>[10]Source!X297</f>
        <v>0</v>
      </c>
      <c r="R510" s="160">
        <f>[10]Source!X298</f>
        <v>0</v>
      </c>
      <c r="S510" s="160">
        <f>[10]Source!Y297</f>
        <v>0</v>
      </c>
      <c r="T510" s="160">
        <f>[10]Source!Y298</f>
        <v>0</v>
      </c>
      <c r="U510" s="160">
        <f>ROUND((175/100)*ROUND([10]Source!R297, 2), 2)</f>
        <v>0</v>
      </c>
      <c r="V510" s="160">
        <f>ROUND((157/100)*ROUND([10]Source!R298, 2), 2)</f>
        <v>0</v>
      </c>
    </row>
    <row r="511" spans="1:22" ht="15" x14ac:dyDescent="0.25">
      <c r="A511" s="336"/>
      <c r="B511" s="336"/>
      <c r="C511" s="337" t="s">
        <v>183</v>
      </c>
      <c r="D511" s="336"/>
      <c r="E511" s="336"/>
      <c r="F511" s="336"/>
      <c r="G511" s="336"/>
      <c r="H511" s="461">
        <v>1725.16</v>
      </c>
      <c r="I511" s="461"/>
      <c r="J511" s="461">
        <v>6728.12</v>
      </c>
      <c r="K511" s="461"/>
      <c r="O511" s="163">
        <f>I510</f>
        <v>1725.16</v>
      </c>
      <c r="P511" s="163">
        <f>K510</f>
        <v>6728.12</v>
      </c>
    </row>
    <row r="513" spans="1:22" ht="42.75" x14ac:dyDescent="0.2">
      <c r="A513" s="329" t="s">
        <v>1806</v>
      </c>
      <c r="B513" s="330" t="s">
        <v>3403</v>
      </c>
      <c r="C513" s="330" t="s">
        <v>1275</v>
      </c>
      <c r="D513" s="331" t="s">
        <v>1661</v>
      </c>
      <c r="E513" s="332">
        <v>3</v>
      </c>
      <c r="F513" s="333">
        <v>825.01</v>
      </c>
      <c r="G513" s="334" t="s">
        <v>195</v>
      </c>
      <c r="H513" s="332">
        <v>1</v>
      </c>
      <c r="I513" s="335">
        <v>2475.0300000000002</v>
      </c>
      <c r="J513" s="332">
        <v>1.95</v>
      </c>
      <c r="K513" s="335">
        <v>4826.3100000000004</v>
      </c>
      <c r="Q513" s="160">
        <f>[10]Source!X299</f>
        <v>0</v>
      </c>
      <c r="R513" s="160">
        <f>[10]Source!X300</f>
        <v>0</v>
      </c>
      <c r="S513" s="160">
        <f>[10]Source!Y299</f>
        <v>0</v>
      </c>
      <c r="T513" s="160">
        <f>[10]Source!Y300</f>
        <v>0</v>
      </c>
      <c r="U513" s="160">
        <f>ROUND((175/100)*ROUND([10]Source!R299, 2), 2)</f>
        <v>0</v>
      </c>
      <c r="V513" s="160">
        <f>ROUND((157/100)*ROUND([10]Source!R300, 2), 2)</f>
        <v>0</v>
      </c>
    </row>
    <row r="514" spans="1:22" ht="15" x14ac:dyDescent="0.25">
      <c r="A514" s="336"/>
      <c r="B514" s="336"/>
      <c r="C514" s="337" t="s">
        <v>183</v>
      </c>
      <c r="D514" s="336"/>
      <c r="E514" s="336"/>
      <c r="F514" s="336"/>
      <c r="G514" s="336"/>
      <c r="H514" s="461">
        <v>2475.0300000000002</v>
      </c>
      <c r="I514" s="461"/>
      <c r="J514" s="461">
        <v>4826.3100000000004</v>
      </c>
      <c r="K514" s="461"/>
      <c r="O514" s="163">
        <f>I513</f>
        <v>2475.0300000000002</v>
      </c>
      <c r="P514" s="163">
        <f>K513</f>
        <v>4826.3100000000004</v>
      </c>
    </row>
    <row r="516" spans="1:22" ht="28.5" x14ac:dyDescent="0.2">
      <c r="A516" s="301" t="s">
        <v>1809</v>
      </c>
      <c r="B516" s="302" t="s">
        <v>3404</v>
      </c>
      <c r="C516" s="302" t="s">
        <v>1274</v>
      </c>
      <c r="D516" s="303" t="s">
        <v>1661</v>
      </c>
      <c r="E516" s="286">
        <v>85</v>
      </c>
      <c r="F516" s="321">
        <v>77.010000000000005</v>
      </c>
      <c r="G516" s="305" t="s">
        <v>195</v>
      </c>
      <c r="H516" s="286">
        <v>1</v>
      </c>
      <c r="I516" s="304">
        <v>6545.85</v>
      </c>
      <c r="J516" s="286">
        <v>3.65</v>
      </c>
      <c r="K516" s="304">
        <v>23892.35</v>
      </c>
      <c r="Q516" s="160">
        <f>[10]Source!X301</f>
        <v>0</v>
      </c>
      <c r="R516" s="160">
        <f>[10]Source!X302</f>
        <v>0</v>
      </c>
      <c r="S516" s="160">
        <f>[10]Source!Y301</f>
        <v>0</v>
      </c>
      <c r="T516" s="160">
        <f>[10]Source!Y302</f>
        <v>0</v>
      </c>
      <c r="U516" s="160">
        <f>ROUND((175/100)*ROUND([10]Source!R301, 2), 2)</f>
        <v>0</v>
      </c>
      <c r="V516" s="160">
        <f>ROUND((157/100)*ROUND([10]Source!R302, 2), 2)</f>
        <v>0</v>
      </c>
    </row>
    <row r="517" spans="1:22" ht="38.25" x14ac:dyDescent="0.2">
      <c r="A517" s="358"/>
      <c r="B517" s="358"/>
      <c r="C517" s="359" t="s">
        <v>3405</v>
      </c>
      <c r="D517" s="358"/>
      <c r="E517" s="358"/>
      <c r="F517" s="358"/>
      <c r="G517" s="358"/>
      <c r="H517" s="358"/>
      <c r="I517" s="358"/>
      <c r="J517" s="358"/>
      <c r="K517" s="358"/>
    </row>
    <row r="518" spans="1:22" ht="15" x14ac:dyDescent="0.25">
      <c r="A518" s="336"/>
      <c r="B518" s="336"/>
      <c r="C518" s="337" t="s">
        <v>183</v>
      </c>
      <c r="D518" s="336"/>
      <c r="E518" s="336"/>
      <c r="F518" s="336"/>
      <c r="G518" s="336"/>
      <c r="H518" s="461">
        <v>6545.85</v>
      </c>
      <c r="I518" s="461"/>
      <c r="J518" s="461">
        <v>23892.35</v>
      </c>
      <c r="K518" s="461"/>
      <c r="O518" s="163">
        <f>I516</f>
        <v>6545.85</v>
      </c>
      <c r="P518" s="163">
        <f>K516</f>
        <v>23892.35</v>
      </c>
    </row>
    <row r="520" spans="1:22" ht="57" x14ac:dyDescent="0.2">
      <c r="A520" s="301" t="s">
        <v>1814</v>
      </c>
      <c r="B520" s="302" t="s">
        <v>3406</v>
      </c>
      <c r="C520" s="302" t="s">
        <v>1273</v>
      </c>
      <c r="D520" s="303" t="s">
        <v>1661</v>
      </c>
      <c r="E520" s="286">
        <v>64</v>
      </c>
      <c r="F520" s="321">
        <v>2400.06</v>
      </c>
      <c r="G520" s="305" t="s">
        <v>195</v>
      </c>
      <c r="H520" s="286">
        <v>1</v>
      </c>
      <c r="I520" s="304">
        <v>153603.84</v>
      </c>
      <c r="J520" s="286">
        <v>3.3</v>
      </c>
      <c r="K520" s="304">
        <v>506892.67</v>
      </c>
      <c r="Q520" s="160">
        <f>[10]Source!X303</f>
        <v>0</v>
      </c>
      <c r="R520" s="160">
        <f>[10]Source!X304</f>
        <v>0</v>
      </c>
      <c r="S520" s="160">
        <f>[10]Source!Y303</f>
        <v>0</v>
      </c>
      <c r="T520" s="160">
        <f>[10]Source!Y304</f>
        <v>0</v>
      </c>
      <c r="U520" s="160">
        <f>ROUND((175/100)*ROUND([10]Source!R303, 2), 2)</f>
        <v>0</v>
      </c>
      <c r="V520" s="160">
        <f>ROUND((157/100)*ROUND([10]Source!R304, 2), 2)</f>
        <v>0</v>
      </c>
    </row>
    <row r="521" spans="1:22" x14ac:dyDescent="0.2">
      <c r="A521" s="358"/>
      <c r="B521" s="358"/>
      <c r="C521" s="359" t="s">
        <v>3407</v>
      </c>
      <c r="D521" s="358"/>
      <c r="E521" s="358"/>
      <c r="F521" s="358"/>
      <c r="G521" s="358"/>
      <c r="H521" s="358"/>
      <c r="I521" s="358"/>
      <c r="J521" s="358"/>
      <c r="K521" s="358"/>
    </row>
    <row r="522" spans="1:22" ht="15" x14ac:dyDescent="0.25">
      <c r="A522" s="336"/>
      <c r="B522" s="336"/>
      <c r="C522" s="337" t="s">
        <v>183</v>
      </c>
      <c r="D522" s="336"/>
      <c r="E522" s="336"/>
      <c r="F522" s="336"/>
      <c r="G522" s="336"/>
      <c r="H522" s="461">
        <v>153603.84</v>
      </c>
      <c r="I522" s="461"/>
      <c r="J522" s="461">
        <v>506892.67</v>
      </c>
      <c r="K522" s="461"/>
      <c r="O522" s="163">
        <f>I520</f>
        <v>153603.84</v>
      </c>
      <c r="P522" s="163">
        <f>K520</f>
        <v>506892.67</v>
      </c>
    </row>
    <row r="524" spans="1:22" ht="28.5" x14ac:dyDescent="0.2">
      <c r="A524" s="301" t="s">
        <v>1817</v>
      </c>
      <c r="B524" s="302" t="s">
        <v>3408</v>
      </c>
      <c r="C524" s="302" t="s">
        <v>1129</v>
      </c>
      <c r="D524" s="303" t="s">
        <v>1903</v>
      </c>
      <c r="E524" s="286">
        <v>1</v>
      </c>
      <c r="F524" s="321"/>
      <c r="G524" s="305"/>
      <c r="H524" s="286"/>
      <c r="I524" s="304"/>
      <c r="J524" s="286"/>
      <c r="K524" s="304"/>
      <c r="Q524" s="160">
        <f>[10]Source!X305</f>
        <v>21.59</v>
      </c>
      <c r="R524" s="160">
        <f>[10]Source!X306</f>
        <v>340.53</v>
      </c>
      <c r="S524" s="160">
        <f>[10]Source!Y305</f>
        <v>12.69</v>
      </c>
      <c r="T524" s="160">
        <f>[10]Source!Y306</f>
        <v>181.32</v>
      </c>
      <c r="U524" s="160">
        <f>ROUND((175/100)*ROUND([10]Source!R305, 2), 2)</f>
        <v>0</v>
      </c>
      <c r="V524" s="160">
        <f>ROUND((157/100)*ROUND([10]Source!R306, 2), 2)</f>
        <v>0</v>
      </c>
    </row>
    <row r="525" spans="1:22" ht="14.25" x14ac:dyDescent="0.2">
      <c r="A525" s="301"/>
      <c r="B525" s="302"/>
      <c r="C525" s="302" t="s">
        <v>197</v>
      </c>
      <c r="D525" s="303"/>
      <c r="E525" s="286"/>
      <c r="F525" s="321">
        <v>18.940000000000001</v>
      </c>
      <c r="G525" s="305" t="s">
        <v>195</v>
      </c>
      <c r="H525" s="286">
        <v>1</v>
      </c>
      <c r="I525" s="304">
        <v>18.940000000000001</v>
      </c>
      <c r="J525" s="286">
        <v>23.35</v>
      </c>
      <c r="K525" s="304">
        <v>442.25</v>
      </c>
    </row>
    <row r="526" spans="1:22" ht="14.25" x14ac:dyDescent="0.2">
      <c r="A526" s="301"/>
      <c r="B526" s="302"/>
      <c r="C526" s="302" t="s">
        <v>184</v>
      </c>
      <c r="D526" s="303"/>
      <c r="E526" s="286"/>
      <c r="F526" s="321">
        <v>0.05</v>
      </c>
      <c r="G526" s="305" t="s">
        <v>195</v>
      </c>
      <c r="H526" s="286">
        <v>1</v>
      </c>
      <c r="I526" s="304">
        <v>0.05</v>
      </c>
      <c r="J526" s="286">
        <v>5.4</v>
      </c>
      <c r="K526" s="304">
        <v>0.27</v>
      </c>
    </row>
    <row r="527" spans="1:22" ht="14.25" x14ac:dyDescent="0.2">
      <c r="A527" s="301"/>
      <c r="B527" s="302"/>
      <c r="C527" s="302" t="s">
        <v>205</v>
      </c>
      <c r="D527" s="303"/>
      <c r="E527" s="286"/>
      <c r="F527" s="321">
        <v>1.5</v>
      </c>
      <c r="G527" s="305" t="s">
        <v>195</v>
      </c>
      <c r="H527" s="286">
        <v>1</v>
      </c>
      <c r="I527" s="304">
        <v>1.5</v>
      </c>
      <c r="J527" s="286">
        <v>5.42</v>
      </c>
      <c r="K527" s="304">
        <v>8.1300000000000008</v>
      </c>
    </row>
    <row r="528" spans="1:22" ht="81" x14ac:dyDescent="0.2">
      <c r="A528" s="322" t="s">
        <v>1818</v>
      </c>
      <c r="B528" s="323" t="s">
        <v>2659</v>
      </c>
      <c r="C528" s="323" t="s">
        <v>1272</v>
      </c>
      <c r="D528" s="324" t="s">
        <v>1661</v>
      </c>
      <c r="E528" s="325">
        <v>1</v>
      </c>
      <c r="F528" s="326">
        <v>461218.84</v>
      </c>
      <c r="G528" s="327" t="s">
        <v>195</v>
      </c>
      <c r="H528" s="325">
        <v>1</v>
      </c>
      <c r="I528" s="328">
        <v>461218.84</v>
      </c>
      <c r="J528" s="325">
        <v>4.4000000000000004</v>
      </c>
      <c r="K528" s="328">
        <v>2029362.9</v>
      </c>
      <c r="Q528" s="160">
        <f>[10]Source!X307</f>
        <v>0</v>
      </c>
      <c r="R528" s="160">
        <f>[10]Source!X308</f>
        <v>0</v>
      </c>
      <c r="S528" s="160">
        <f>[10]Source!Y307</f>
        <v>0</v>
      </c>
      <c r="T528" s="160">
        <f>[10]Source!Y308</f>
        <v>0</v>
      </c>
      <c r="U528" s="160">
        <f>ROUND((175/100)*ROUND([10]Source!R307, 2), 2)</f>
        <v>0</v>
      </c>
      <c r="V528" s="160">
        <f>ROUND((157/100)*ROUND([10]Source!R308, 2), 2)</f>
        <v>0</v>
      </c>
    </row>
    <row r="529" spans="1:22" ht="81" x14ac:dyDescent="0.2">
      <c r="A529" s="322" t="s">
        <v>2080</v>
      </c>
      <c r="B529" s="323" t="s">
        <v>2659</v>
      </c>
      <c r="C529" s="323" t="s">
        <v>1271</v>
      </c>
      <c r="D529" s="324" t="s">
        <v>1661</v>
      </c>
      <c r="E529" s="325">
        <v>1</v>
      </c>
      <c r="F529" s="326">
        <v>300293.64</v>
      </c>
      <c r="G529" s="327" t="s">
        <v>195</v>
      </c>
      <c r="H529" s="325">
        <v>1</v>
      </c>
      <c r="I529" s="328">
        <v>300293.64</v>
      </c>
      <c r="J529" s="325">
        <v>4.4000000000000004</v>
      </c>
      <c r="K529" s="328">
        <v>1321292.02</v>
      </c>
      <c r="Q529" s="160">
        <f>[10]Source!X309</f>
        <v>0</v>
      </c>
      <c r="R529" s="160">
        <f>[10]Source!X310</f>
        <v>0</v>
      </c>
      <c r="S529" s="160">
        <f>[10]Source!Y309</f>
        <v>0</v>
      </c>
      <c r="T529" s="160">
        <f>[10]Source!Y310</f>
        <v>0</v>
      </c>
      <c r="U529" s="160">
        <f>ROUND((175/100)*ROUND([10]Source!R309, 2), 2)</f>
        <v>0</v>
      </c>
      <c r="V529" s="160">
        <f>ROUND((157/100)*ROUND([10]Source!R310, 2), 2)</f>
        <v>0</v>
      </c>
    </row>
    <row r="530" spans="1:22" ht="14.25" x14ac:dyDescent="0.2">
      <c r="A530" s="301"/>
      <c r="B530" s="302"/>
      <c r="C530" s="302" t="s">
        <v>194</v>
      </c>
      <c r="D530" s="303" t="s">
        <v>187</v>
      </c>
      <c r="E530" s="286">
        <v>114</v>
      </c>
      <c r="F530" s="321"/>
      <c r="G530" s="305"/>
      <c r="H530" s="286"/>
      <c r="I530" s="304">
        <v>21.59</v>
      </c>
      <c r="J530" s="286">
        <v>77</v>
      </c>
      <c r="K530" s="304">
        <v>340.53</v>
      </c>
    </row>
    <row r="531" spans="1:22" ht="14.25" x14ac:dyDescent="0.2">
      <c r="A531" s="301"/>
      <c r="B531" s="302"/>
      <c r="C531" s="302" t="s">
        <v>193</v>
      </c>
      <c r="D531" s="303" t="s">
        <v>187</v>
      </c>
      <c r="E531" s="286">
        <v>67</v>
      </c>
      <c r="F531" s="321"/>
      <c r="G531" s="305"/>
      <c r="H531" s="286"/>
      <c r="I531" s="304">
        <v>12.69</v>
      </c>
      <c r="J531" s="286">
        <v>41</v>
      </c>
      <c r="K531" s="304">
        <v>181.32</v>
      </c>
    </row>
    <row r="532" spans="1:22" ht="14.25" x14ac:dyDescent="0.2">
      <c r="A532" s="329"/>
      <c r="B532" s="330"/>
      <c r="C532" s="330" t="s">
        <v>192</v>
      </c>
      <c r="D532" s="331" t="s">
        <v>191</v>
      </c>
      <c r="E532" s="332">
        <v>1.36</v>
      </c>
      <c r="F532" s="333"/>
      <c r="G532" s="334" t="s">
        <v>195</v>
      </c>
      <c r="H532" s="332">
        <v>1</v>
      </c>
      <c r="I532" s="335">
        <v>1.36</v>
      </c>
      <c r="J532" s="332"/>
      <c r="K532" s="335"/>
    </row>
    <row r="533" spans="1:22" ht="15" x14ac:dyDescent="0.25">
      <c r="A533" s="336"/>
      <c r="B533" s="336"/>
      <c r="C533" s="337" t="s">
        <v>183</v>
      </c>
      <c r="D533" s="336"/>
      <c r="E533" s="336"/>
      <c r="F533" s="336"/>
      <c r="G533" s="336"/>
      <c r="H533" s="461">
        <v>761567.25</v>
      </c>
      <c r="I533" s="461"/>
      <c r="J533" s="461">
        <v>3351627.42</v>
      </c>
      <c r="K533" s="461"/>
      <c r="O533" s="163">
        <f>I525+I526+I527+I530+I531+SUM(I528:I529)</f>
        <v>761567.25</v>
      </c>
      <c r="P533" s="163">
        <f>K525+K526+K527+K530+K531+SUM(K528:K529)</f>
        <v>3351627.42</v>
      </c>
    </row>
    <row r="535" spans="1:22" ht="57" x14ac:dyDescent="0.2">
      <c r="A535" s="301" t="s">
        <v>1819</v>
      </c>
      <c r="B535" s="302" t="s">
        <v>3409</v>
      </c>
      <c r="C535" s="302" t="s">
        <v>1270</v>
      </c>
      <c r="D535" s="303" t="s">
        <v>1686</v>
      </c>
      <c r="E535" s="286">
        <v>2.5</v>
      </c>
      <c r="F535" s="321"/>
      <c r="G535" s="305"/>
      <c r="H535" s="286"/>
      <c r="I535" s="304"/>
      <c r="J535" s="286"/>
      <c r="K535" s="304"/>
      <c r="Q535" s="160">
        <f>[10]Source!X311</f>
        <v>941.75</v>
      </c>
      <c r="R535" s="160">
        <f>[10]Source!X312</f>
        <v>14852.87</v>
      </c>
      <c r="S535" s="160">
        <f>[10]Source!Y311</f>
        <v>553.49</v>
      </c>
      <c r="T535" s="160">
        <f>[10]Source!Y312</f>
        <v>7908.67</v>
      </c>
      <c r="U535" s="160">
        <f>ROUND((175/100)*ROUND([10]Source!R311, 2), 2)</f>
        <v>103.92</v>
      </c>
      <c r="V535" s="160">
        <f>ROUND((157/100)*ROUND([10]Source!R312, 2), 2)</f>
        <v>2176.84</v>
      </c>
    </row>
    <row r="536" spans="1:22" x14ac:dyDescent="0.2">
      <c r="C536" s="316" t="s">
        <v>3410</v>
      </c>
    </row>
    <row r="537" spans="1:22" ht="14.25" x14ac:dyDescent="0.2">
      <c r="A537" s="301"/>
      <c r="B537" s="302"/>
      <c r="C537" s="302" t="s">
        <v>197</v>
      </c>
      <c r="D537" s="303"/>
      <c r="E537" s="286"/>
      <c r="F537" s="321">
        <v>330.44</v>
      </c>
      <c r="G537" s="305" t="s">
        <v>195</v>
      </c>
      <c r="H537" s="286">
        <v>1</v>
      </c>
      <c r="I537" s="304">
        <v>826.1</v>
      </c>
      <c r="J537" s="286">
        <v>23.35</v>
      </c>
      <c r="K537" s="304">
        <v>19289.439999999999</v>
      </c>
    </row>
    <row r="538" spans="1:22" ht="14.25" x14ac:dyDescent="0.2">
      <c r="A538" s="301"/>
      <c r="B538" s="302"/>
      <c r="C538" s="302" t="s">
        <v>184</v>
      </c>
      <c r="D538" s="303"/>
      <c r="E538" s="286"/>
      <c r="F538" s="321">
        <v>284.88</v>
      </c>
      <c r="G538" s="305" t="s">
        <v>195</v>
      </c>
      <c r="H538" s="286">
        <v>1</v>
      </c>
      <c r="I538" s="304">
        <v>712.2</v>
      </c>
      <c r="J538" s="286">
        <v>6.85</v>
      </c>
      <c r="K538" s="304">
        <v>4878.57</v>
      </c>
    </row>
    <row r="539" spans="1:22" ht="14.25" x14ac:dyDescent="0.2">
      <c r="A539" s="301"/>
      <c r="B539" s="302"/>
      <c r="C539" s="302" t="s">
        <v>189</v>
      </c>
      <c r="D539" s="303"/>
      <c r="E539" s="286"/>
      <c r="F539" s="321">
        <v>23.75</v>
      </c>
      <c r="G539" s="305" t="s">
        <v>195</v>
      </c>
      <c r="H539" s="286">
        <v>1</v>
      </c>
      <c r="I539" s="306">
        <v>59.38</v>
      </c>
      <c r="J539" s="286">
        <v>23.35</v>
      </c>
      <c r="K539" s="306">
        <v>1386.52</v>
      </c>
    </row>
    <row r="540" spans="1:22" ht="14.25" x14ac:dyDescent="0.2">
      <c r="A540" s="301"/>
      <c r="B540" s="302"/>
      <c r="C540" s="302" t="s">
        <v>205</v>
      </c>
      <c r="D540" s="303"/>
      <c r="E540" s="286"/>
      <c r="F540" s="321">
        <v>119</v>
      </c>
      <c r="G540" s="305" t="s">
        <v>195</v>
      </c>
      <c r="H540" s="286">
        <v>1</v>
      </c>
      <c r="I540" s="304">
        <v>297.5</v>
      </c>
      <c r="J540" s="286">
        <v>5.42</v>
      </c>
      <c r="K540" s="304">
        <v>1612.45</v>
      </c>
    </row>
    <row r="541" spans="1:22" ht="42.75" x14ac:dyDescent="0.2">
      <c r="A541" s="301" t="s">
        <v>1820</v>
      </c>
      <c r="B541" s="302" t="s">
        <v>3411</v>
      </c>
      <c r="C541" s="302" t="s">
        <v>1269</v>
      </c>
      <c r="D541" s="303" t="s">
        <v>1552</v>
      </c>
      <c r="E541" s="286">
        <v>250</v>
      </c>
      <c r="F541" s="321">
        <v>29.78</v>
      </c>
      <c r="G541" s="315" t="s">
        <v>195</v>
      </c>
      <c r="H541" s="286">
        <v>1</v>
      </c>
      <c r="I541" s="304">
        <v>7445</v>
      </c>
      <c r="J541" s="286">
        <v>2.89</v>
      </c>
      <c r="K541" s="304">
        <v>21516.05</v>
      </c>
      <c r="Q541" s="160">
        <f>[10]Source!X313</f>
        <v>0</v>
      </c>
      <c r="R541" s="160">
        <f>[10]Source!X314</f>
        <v>0</v>
      </c>
      <c r="S541" s="160">
        <f>[10]Source!Y313</f>
        <v>0</v>
      </c>
      <c r="T541" s="160">
        <f>[10]Source!Y314</f>
        <v>0</v>
      </c>
      <c r="U541" s="160">
        <f>ROUND((175/100)*ROUND([10]Source!R313, 2), 2)</f>
        <v>0</v>
      </c>
      <c r="V541" s="160">
        <f>ROUND((157/100)*ROUND([10]Source!R314, 2), 2)</f>
        <v>0</v>
      </c>
    </row>
    <row r="542" spans="1:22" ht="14.25" x14ac:dyDescent="0.2">
      <c r="A542" s="301"/>
      <c r="B542" s="302"/>
      <c r="C542" s="302" t="s">
        <v>194</v>
      </c>
      <c r="D542" s="303" t="s">
        <v>187</v>
      </c>
      <c r="E542" s="286">
        <v>114</v>
      </c>
      <c r="F542" s="321"/>
      <c r="G542" s="305"/>
      <c r="H542" s="286"/>
      <c r="I542" s="304">
        <v>941.75</v>
      </c>
      <c r="J542" s="286">
        <v>77</v>
      </c>
      <c r="K542" s="304">
        <v>14852.87</v>
      </c>
    </row>
    <row r="543" spans="1:22" ht="14.25" x14ac:dyDescent="0.2">
      <c r="A543" s="301"/>
      <c r="B543" s="302"/>
      <c r="C543" s="302" t="s">
        <v>193</v>
      </c>
      <c r="D543" s="303" t="s">
        <v>187</v>
      </c>
      <c r="E543" s="286">
        <v>67</v>
      </c>
      <c r="F543" s="321"/>
      <c r="G543" s="305"/>
      <c r="H543" s="286"/>
      <c r="I543" s="304">
        <v>553.49</v>
      </c>
      <c r="J543" s="286">
        <v>41</v>
      </c>
      <c r="K543" s="304">
        <v>7908.67</v>
      </c>
    </row>
    <row r="544" spans="1:22" ht="14.25" x14ac:dyDescent="0.2">
      <c r="A544" s="301"/>
      <c r="B544" s="302"/>
      <c r="C544" s="302" t="s">
        <v>188</v>
      </c>
      <c r="D544" s="303" t="s">
        <v>187</v>
      </c>
      <c r="E544" s="286">
        <v>175</v>
      </c>
      <c r="F544" s="321"/>
      <c r="G544" s="305"/>
      <c r="H544" s="286"/>
      <c r="I544" s="304">
        <v>103.92</v>
      </c>
      <c r="J544" s="286">
        <v>157</v>
      </c>
      <c r="K544" s="304">
        <v>2176.84</v>
      </c>
    </row>
    <row r="545" spans="1:22" ht="14.25" x14ac:dyDescent="0.2">
      <c r="A545" s="329"/>
      <c r="B545" s="330"/>
      <c r="C545" s="330" t="s">
        <v>192</v>
      </c>
      <c r="D545" s="331" t="s">
        <v>191</v>
      </c>
      <c r="E545" s="332">
        <v>26.8</v>
      </c>
      <c r="F545" s="333"/>
      <c r="G545" s="334" t="s">
        <v>195</v>
      </c>
      <c r="H545" s="332">
        <v>1</v>
      </c>
      <c r="I545" s="335">
        <v>67</v>
      </c>
      <c r="J545" s="332"/>
      <c r="K545" s="335"/>
    </row>
    <row r="546" spans="1:22" ht="15" x14ac:dyDescent="0.25">
      <c r="A546" s="336"/>
      <c r="B546" s="336"/>
      <c r="C546" s="337" t="s">
        <v>183</v>
      </c>
      <c r="D546" s="336"/>
      <c r="E546" s="336"/>
      <c r="F546" s="336"/>
      <c r="G546" s="336"/>
      <c r="H546" s="461">
        <v>10879.96</v>
      </c>
      <c r="I546" s="461"/>
      <c r="J546" s="461">
        <v>72234.89</v>
      </c>
      <c r="K546" s="461"/>
      <c r="O546" s="163">
        <f>I537+I538+I540+I542+I543+I544+SUM(I541:I541)</f>
        <v>10879.96</v>
      </c>
      <c r="P546" s="163">
        <f>K537+K538+K540+K542+K543+K544+SUM(K541:K541)</f>
        <v>72234.89</v>
      </c>
    </row>
    <row r="548" spans="1:22" ht="57" x14ac:dyDescent="0.2">
      <c r="A548" s="301" t="s">
        <v>1821</v>
      </c>
      <c r="B548" s="302" t="s">
        <v>3412</v>
      </c>
      <c r="C548" s="302" t="s">
        <v>1268</v>
      </c>
      <c r="D548" s="303" t="s">
        <v>1686</v>
      </c>
      <c r="E548" s="286">
        <v>0.5</v>
      </c>
      <c r="F548" s="321"/>
      <c r="G548" s="305"/>
      <c r="H548" s="286"/>
      <c r="I548" s="304"/>
      <c r="J548" s="286"/>
      <c r="K548" s="304"/>
      <c r="Q548" s="160">
        <f>[10]Source!X315</f>
        <v>289.56</v>
      </c>
      <c r="R548" s="160">
        <f>[10]Source!X316</f>
        <v>4566.79</v>
      </c>
      <c r="S548" s="160">
        <f>[10]Source!Y315</f>
        <v>170.18</v>
      </c>
      <c r="T548" s="160">
        <f>[10]Source!Y316</f>
        <v>2431.67</v>
      </c>
      <c r="U548" s="160">
        <f>ROUND((175/100)*ROUND([10]Source!R315, 2), 2)</f>
        <v>27.25</v>
      </c>
      <c r="V548" s="160">
        <f>ROUND((157/100)*ROUND([10]Source!R316, 2), 2)</f>
        <v>570.79</v>
      </c>
    </row>
    <row r="549" spans="1:22" x14ac:dyDescent="0.2">
      <c r="C549" s="316" t="s">
        <v>3081</v>
      </c>
    </row>
    <row r="550" spans="1:22" ht="14.25" x14ac:dyDescent="0.2">
      <c r="A550" s="301"/>
      <c r="B550" s="302"/>
      <c r="C550" s="302" t="s">
        <v>197</v>
      </c>
      <c r="D550" s="303"/>
      <c r="E550" s="286"/>
      <c r="F550" s="321">
        <v>508</v>
      </c>
      <c r="G550" s="305" t="s">
        <v>195</v>
      </c>
      <c r="H550" s="286">
        <v>1</v>
      </c>
      <c r="I550" s="304">
        <v>254</v>
      </c>
      <c r="J550" s="286">
        <v>23.35</v>
      </c>
      <c r="K550" s="304">
        <v>5930.9</v>
      </c>
    </row>
    <row r="551" spans="1:22" ht="14.25" x14ac:dyDescent="0.2">
      <c r="A551" s="301"/>
      <c r="B551" s="302"/>
      <c r="C551" s="302" t="s">
        <v>184</v>
      </c>
      <c r="D551" s="303"/>
      <c r="E551" s="286"/>
      <c r="F551" s="321">
        <v>310.27</v>
      </c>
      <c r="G551" s="305" t="s">
        <v>195</v>
      </c>
      <c r="H551" s="286">
        <v>1</v>
      </c>
      <c r="I551" s="304">
        <v>155.13999999999999</v>
      </c>
      <c r="J551" s="286">
        <v>7.16</v>
      </c>
      <c r="K551" s="304">
        <v>1110.8</v>
      </c>
    </row>
    <row r="552" spans="1:22" ht="14.25" x14ac:dyDescent="0.2">
      <c r="A552" s="301"/>
      <c r="B552" s="302"/>
      <c r="C552" s="302" t="s">
        <v>189</v>
      </c>
      <c r="D552" s="303"/>
      <c r="E552" s="286"/>
      <c r="F552" s="321">
        <v>31.14</v>
      </c>
      <c r="G552" s="305" t="s">
        <v>195</v>
      </c>
      <c r="H552" s="286">
        <v>1</v>
      </c>
      <c r="I552" s="306">
        <v>15.57</v>
      </c>
      <c r="J552" s="286">
        <v>23.35</v>
      </c>
      <c r="K552" s="306">
        <v>363.56</v>
      </c>
    </row>
    <row r="553" spans="1:22" ht="14.25" x14ac:dyDescent="0.2">
      <c r="A553" s="301"/>
      <c r="B553" s="302"/>
      <c r="C553" s="302" t="s">
        <v>205</v>
      </c>
      <c r="D553" s="303"/>
      <c r="E553" s="286"/>
      <c r="F553" s="321">
        <v>165.9</v>
      </c>
      <c r="G553" s="305" t="s">
        <v>195</v>
      </c>
      <c r="H553" s="286">
        <v>1</v>
      </c>
      <c r="I553" s="304">
        <v>82.95</v>
      </c>
      <c r="J553" s="286">
        <v>5.42</v>
      </c>
      <c r="K553" s="304">
        <v>449.59</v>
      </c>
    </row>
    <row r="554" spans="1:22" ht="42.75" x14ac:dyDescent="0.2">
      <c r="A554" s="301" t="s">
        <v>1822</v>
      </c>
      <c r="B554" s="302" t="s">
        <v>3413</v>
      </c>
      <c r="C554" s="302" t="s">
        <v>1267</v>
      </c>
      <c r="D554" s="303" t="s">
        <v>1552</v>
      </c>
      <c r="E554" s="286">
        <v>50</v>
      </c>
      <c r="F554" s="321">
        <v>48.9</v>
      </c>
      <c r="G554" s="315" t="s">
        <v>195</v>
      </c>
      <c r="H554" s="286">
        <v>1</v>
      </c>
      <c r="I554" s="304">
        <v>2445</v>
      </c>
      <c r="J554" s="286">
        <v>2.9</v>
      </c>
      <c r="K554" s="304">
        <v>7090.5</v>
      </c>
      <c r="Q554" s="160">
        <f>[10]Source!X317</f>
        <v>0</v>
      </c>
      <c r="R554" s="160">
        <f>[10]Source!X318</f>
        <v>0</v>
      </c>
      <c r="S554" s="160">
        <f>[10]Source!Y317</f>
        <v>0</v>
      </c>
      <c r="T554" s="160">
        <f>[10]Source!Y318</f>
        <v>0</v>
      </c>
      <c r="U554" s="160">
        <f>ROUND((175/100)*ROUND([10]Source!R317, 2), 2)</f>
        <v>0</v>
      </c>
      <c r="V554" s="160">
        <f>ROUND((157/100)*ROUND([10]Source!R318, 2), 2)</f>
        <v>0</v>
      </c>
    </row>
    <row r="555" spans="1:22" ht="14.25" x14ac:dyDescent="0.2">
      <c r="A555" s="301"/>
      <c r="B555" s="302"/>
      <c r="C555" s="302" t="s">
        <v>194</v>
      </c>
      <c r="D555" s="303" t="s">
        <v>187</v>
      </c>
      <c r="E555" s="286">
        <v>114</v>
      </c>
      <c r="F555" s="321"/>
      <c r="G555" s="305"/>
      <c r="H555" s="286"/>
      <c r="I555" s="304">
        <v>289.56</v>
      </c>
      <c r="J555" s="286">
        <v>77</v>
      </c>
      <c r="K555" s="304">
        <v>4566.79</v>
      </c>
    </row>
    <row r="556" spans="1:22" ht="14.25" x14ac:dyDescent="0.2">
      <c r="A556" s="301"/>
      <c r="B556" s="302"/>
      <c r="C556" s="302" t="s">
        <v>193</v>
      </c>
      <c r="D556" s="303" t="s">
        <v>187</v>
      </c>
      <c r="E556" s="286">
        <v>67</v>
      </c>
      <c r="F556" s="321"/>
      <c r="G556" s="305"/>
      <c r="H556" s="286"/>
      <c r="I556" s="304">
        <v>170.18</v>
      </c>
      <c r="J556" s="286">
        <v>41</v>
      </c>
      <c r="K556" s="304">
        <v>2431.67</v>
      </c>
    </row>
    <row r="557" spans="1:22" ht="14.25" x14ac:dyDescent="0.2">
      <c r="A557" s="301"/>
      <c r="B557" s="302"/>
      <c r="C557" s="302" t="s">
        <v>188</v>
      </c>
      <c r="D557" s="303" t="s">
        <v>187</v>
      </c>
      <c r="E557" s="286">
        <v>175</v>
      </c>
      <c r="F557" s="321"/>
      <c r="G557" s="305"/>
      <c r="H557" s="286"/>
      <c r="I557" s="304">
        <v>27.25</v>
      </c>
      <c r="J557" s="286">
        <v>157</v>
      </c>
      <c r="K557" s="304">
        <v>570.79</v>
      </c>
    </row>
    <row r="558" spans="1:22" ht="14.25" x14ac:dyDescent="0.2">
      <c r="A558" s="329"/>
      <c r="B558" s="330"/>
      <c r="C558" s="330" t="s">
        <v>192</v>
      </c>
      <c r="D558" s="331" t="s">
        <v>191</v>
      </c>
      <c r="E558" s="332">
        <v>41.2</v>
      </c>
      <c r="F558" s="333"/>
      <c r="G558" s="334" t="s">
        <v>195</v>
      </c>
      <c r="H558" s="332">
        <v>1</v>
      </c>
      <c r="I558" s="335">
        <v>20.6</v>
      </c>
      <c r="J558" s="332"/>
      <c r="K558" s="335"/>
    </row>
    <row r="559" spans="1:22" ht="15" x14ac:dyDescent="0.25">
      <c r="A559" s="336"/>
      <c r="B559" s="336"/>
      <c r="C559" s="337" t="s">
        <v>183</v>
      </c>
      <c r="D559" s="336"/>
      <c r="E559" s="336"/>
      <c r="F559" s="336"/>
      <c r="G559" s="336"/>
      <c r="H559" s="461">
        <v>3424.08</v>
      </c>
      <c r="I559" s="461"/>
      <c r="J559" s="461">
        <v>22151.040000000001</v>
      </c>
      <c r="K559" s="461"/>
      <c r="O559" s="163">
        <f>I550+I551+I553+I555+I556+I557+SUM(I554:I554)</f>
        <v>3424.08</v>
      </c>
      <c r="P559" s="163">
        <f>K550+K551+K553+K555+K556+K557+SUM(K554:K554)</f>
        <v>22151.040000000001</v>
      </c>
    </row>
    <row r="561" spans="1:22" ht="42.75" x14ac:dyDescent="0.2">
      <c r="A561" s="301" t="s">
        <v>1823</v>
      </c>
      <c r="B561" s="302" t="s">
        <v>3414</v>
      </c>
      <c r="C561" s="302" t="s">
        <v>1266</v>
      </c>
      <c r="D561" s="303" t="s">
        <v>1686</v>
      </c>
      <c r="E561" s="286">
        <v>1.1000000000000001</v>
      </c>
      <c r="F561" s="321"/>
      <c r="G561" s="305"/>
      <c r="H561" s="286"/>
      <c r="I561" s="304"/>
      <c r="J561" s="286"/>
      <c r="K561" s="304"/>
      <c r="Q561" s="160">
        <f>[10]Source!X319</f>
        <v>270.58</v>
      </c>
      <c r="R561" s="160">
        <f>[10]Source!X320</f>
        <v>4267.43</v>
      </c>
      <c r="S561" s="160">
        <f>[10]Source!Y319</f>
        <v>159.02000000000001</v>
      </c>
      <c r="T561" s="160">
        <f>[10]Source!Y320</f>
        <v>2272.27</v>
      </c>
      <c r="U561" s="160">
        <f>ROUND((175/100)*ROUND([10]Source!R319, 2), 2)</f>
        <v>18.739999999999998</v>
      </c>
      <c r="V561" s="160">
        <f>ROUND((157/100)*ROUND([10]Source!R320, 2), 2)</f>
        <v>392.63</v>
      </c>
    </row>
    <row r="562" spans="1:22" x14ac:dyDescent="0.2">
      <c r="C562" s="316" t="s">
        <v>3415</v>
      </c>
    </row>
    <row r="563" spans="1:22" ht="14.25" x14ac:dyDescent="0.2">
      <c r="A563" s="301"/>
      <c r="B563" s="302"/>
      <c r="C563" s="302" t="s">
        <v>197</v>
      </c>
      <c r="D563" s="303"/>
      <c r="E563" s="286"/>
      <c r="F563" s="321">
        <v>215.77</v>
      </c>
      <c r="G563" s="305" t="s">
        <v>195</v>
      </c>
      <c r="H563" s="286">
        <v>1</v>
      </c>
      <c r="I563" s="304">
        <v>237.35</v>
      </c>
      <c r="J563" s="286">
        <v>23.35</v>
      </c>
      <c r="K563" s="304">
        <v>5542.12</v>
      </c>
    </row>
    <row r="564" spans="1:22" ht="14.25" x14ac:dyDescent="0.2">
      <c r="A564" s="301"/>
      <c r="B564" s="302"/>
      <c r="C564" s="302" t="s">
        <v>184</v>
      </c>
      <c r="D564" s="303"/>
      <c r="E564" s="286"/>
      <c r="F564" s="321">
        <v>134.33000000000001</v>
      </c>
      <c r="G564" s="305" t="s">
        <v>195</v>
      </c>
      <c r="H564" s="286">
        <v>1</v>
      </c>
      <c r="I564" s="304">
        <v>147.76</v>
      </c>
      <c r="J564" s="286">
        <v>6.66</v>
      </c>
      <c r="K564" s="304">
        <v>984.08</v>
      </c>
    </row>
    <row r="565" spans="1:22" ht="14.25" x14ac:dyDescent="0.2">
      <c r="A565" s="301"/>
      <c r="B565" s="302"/>
      <c r="C565" s="302" t="s">
        <v>189</v>
      </c>
      <c r="D565" s="303"/>
      <c r="E565" s="286"/>
      <c r="F565" s="321">
        <v>9.74</v>
      </c>
      <c r="G565" s="305" t="s">
        <v>195</v>
      </c>
      <c r="H565" s="286">
        <v>1</v>
      </c>
      <c r="I565" s="306">
        <v>10.71</v>
      </c>
      <c r="J565" s="286">
        <v>23.35</v>
      </c>
      <c r="K565" s="306">
        <v>250.08</v>
      </c>
    </row>
    <row r="566" spans="1:22" ht="14.25" x14ac:dyDescent="0.2">
      <c r="A566" s="301"/>
      <c r="B566" s="302"/>
      <c r="C566" s="302" t="s">
        <v>194</v>
      </c>
      <c r="D566" s="303" t="s">
        <v>187</v>
      </c>
      <c r="E566" s="286">
        <v>114</v>
      </c>
      <c r="F566" s="321"/>
      <c r="G566" s="305"/>
      <c r="H566" s="286"/>
      <c r="I566" s="304">
        <v>270.58</v>
      </c>
      <c r="J566" s="286">
        <v>77</v>
      </c>
      <c r="K566" s="304">
        <v>4267.43</v>
      </c>
    </row>
    <row r="567" spans="1:22" ht="14.25" x14ac:dyDescent="0.2">
      <c r="A567" s="301"/>
      <c r="B567" s="302"/>
      <c r="C567" s="302" t="s">
        <v>193</v>
      </c>
      <c r="D567" s="303" t="s">
        <v>187</v>
      </c>
      <c r="E567" s="286">
        <v>67</v>
      </c>
      <c r="F567" s="321"/>
      <c r="G567" s="305"/>
      <c r="H567" s="286"/>
      <c r="I567" s="304">
        <v>159.02000000000001</v>
      </c>
      <c r="J567" s="286">
        <v>41</v>
      </c>
      <c r="K567" s="304">
        <v>2272.27</v>
      </c>
    </row>
    <row r="568" spans="1:22" ht="14.25" x14ac:dyDescent="0.2">
      <c r="A568" s="301"/>
      <c r="B568" s="302"/>
      <c r="C568" s="302" t="s">
        <v>188</v>
      </c>
      <c r="D568" s="303" t="s">
        <v>187</v>
      </c>
      <c r="E568" s="286">
        <v>175</v>
      </c>
      <c r="F568" s="321"/>
      <c r="G568" s="305"/>
      <c r="H568" s="286"/>
      <c r="I568" s="304">
        <v>18.739999999999998</v>
      </c>
      <c r="J568" s="286">
        <v>157</v>
      </c>
      <c r="K568" s="304">
        <v>392.63</v>
      </c>
    </row>
    <row r="569" spans="1:22" ht="14.25" x14ac:dyDescent="0.2">
      <c r="A569" s="329"/>
      <c r="B569" s="330"/>
      <c r="C569" s="330" t="s">
        <v>192</v>
      </c>
      <c r="D569" s="331" t="s">
        <v>191</v>
      </c>
      <c r="E569" s="332">
        <v>17.5</v>
      </c>
      <c r="F569" s="333"/>
      <c r="G569" s="334" t="s">
        <v>195</v>
      </c>
      <c r="H569" s="332">
        <v>1</v>
      </c>
      <c r="I569" s="335">
        <v>19.25</v>
      </c>
      <c r="J569" s="332"/>
      <c r="K569" s="335"/>
    </row>
    <row r="570" spans="1:22" ht="15" x14ac:dyDescent="0.25">
      <c r="A570" s="336"/>
      <c r="B570" s="336"/>
      <c r="C570" s="337" t="s">
        <v>183</v>
      </c>
      <c r="D570" s="336"/>
      <c r="E570" s="336"/>
      <c r="F570" s="336"/>
      <c r="G570" s="336"/>
      <c r="H570" s="461">
        <v>833.45</v>
      </c>
      <c r="I570" s="461"/>
      <c r="J570" s="461">
        <v>13458.53</v>
      </c>
      <c r="K570" s="461"/>
      <c r="O570" s="163">
        <f>I563+I564+I566+I567+I568</f>
        <v>833.45</v>
      </c>
      <c r="P570" s="163">
        <f>K563+K564+K566+K567+K568</f>
        <v>13458.53</v>
      </c>
    </row>
    <row r="572" spans="1:22" ht="39.75" x14ac:dyDescent="0.2">
      <c r="A572" s="329" t="s">
        <v>1825</v>
      </c>
      <c r="B572" s="330" t="s">
        <v>2659</v>
      </c>
      <c r="C572" s="330" t="s">
        <v>1265</v>
      </c>
      <c r="D572" s="331" t="s">
        <v>1552</v>
      </c>
      <c r="E572" s="332">
        <v>110</v>
      </c>
      <c r="F572" s="333">
        <v>12.92</v>
      </c>
      <c r="G572" s="334" t="s">
        <v>195</v>
      </c>
      <c r="H572" s="332">
        <v>1</v>
      </c>
      <c r="I572" s="335">
        <v>1421.2</v>
      </c>
      <c r="J572" s="332">
        <v>5.42</v>
      </c>
      <c r="K572" s="335">
        <v>7702.9</v>
      </c>
      <c r="Q572" s="160">
        <f>[10]Source!X321</f>
        <v>0</v>
      </c>
      <c r="R572" s="160">
        <f>[10]Source!X322</f>
        <v>0</v>
      </c>
      <c r="S572" s="160">
        <f>[10]Source!Y321</f>
        <v>0</v>
      </c>
      <c r="T572" s="160">
        <f>[10]Source!Y322</f>
        <v>0</v>
      </c>
      <c r="U572" s="160">
        <f>ROUND((175/100)*ROUND([10]Source!R321, 2), 2)</f>
        <v>0</v>
      </c>
      <c r="V572" s="160">
        <f>ROUND((157/100)*ROUND([10]Source!R322, 2), 2)</f>
        <v>0</v>
      </c>
    </row>
    <row r="573" spans="1:22" ht="15" x14ac:dyDescent="0.25">
      <c r="A573" s="336"/>
      <c r="B573" s="336"/>
      <c r="C573" s="337" t="s">
        <v>183</v>
      </c>
      <c r="D573" s="336"/>
      <c r="E573" s="336"/>
      <c r="F573" s="336"/>
      <c r="G573" s="336"/>
      <c r="H573" s="461">
        <v>1421.2</v>
      </c>
      <c r="I573" s="461"/>
      <c r="J573" s="461">
        <v>7702.9</v>
      </c>
      <c r="K573" s="461"/>
      <c r="O573" s="163">
        <f>I572</f>
        <v>1421.2</v>
      </c>
      <c r="P573" s="163">
        <f>K572</f>
        <v>7702.9</v>
      </c>
    </row>
    <row r="575" spans="1:22" ht="39.75" x14ac:dyDescent="0.2">
      <c r="A575" s="329" t="s">
        <v>1828</v>
      </c>
      <c r="B575" s="330" t="s">
        <v>2659</v>
      </c>
      <c r="C575" s="330" t="s">
        <v>1264</v>
      </c>
      <c r="D575" s="331" t="s">
        <v>1661</v>
      </c>
      <c r="E575" s="332">
        <v>25</v>
      </c>
      <c r="F575" s="333">
        <v>27.05</v>
      </c>
      <c r="G575" s="334" t="s">
        <v>195</v>
      </c>
      <c r="H575" s="332">
        <v>1</v>
      </c>
      <c r="I575" s="335">
        <v>676.25</v>
      </c>
      <c r="J575" s="332">
        <v>5.42</v>
      </c>
      <c r="K575" s="335">
        <v>3665.28</v>
      </c>
      <c r="Q575" s="160">
        <f>[10]Source!X323</f>
        <v>0</v>
      </c>
      <c r="R575" s="160">
        <f>[10]Source!X324</f>
        <v>0</v>
      </c>
      <c r="S575" s="160">
        <f>[10]Source!Y323</f>
        <v>0</v>
      </c>
      <c r="T575" s="160">
        <f>[10]Source!Y324</f>
        <v>0</v>
      </c>
      <c r="U575" s="160">
        <f>ROUND((175/100)*ROUND([10]Source!R323, 2), 2)</f>
        <v>0</v>
      </c>
      <c r="V575" s="160">
        <f>ROUND((157/100)*ROUND([10]Source!R324, 2), 2)</f>
        <v>0</v>
      </c>
    </row>
    <row r="576" spans="1:22" ht="15" x14ac:dyDescent="0.25">
      <c r="A576" s="336"/>
      <c r="B576" s="336"/>
      <c r="C576" s="337" t="s">
        <v>183</v>
      </c>
      <c r="D576" s="336"/>
      <c r="E576" s="336"/>
      <c r="F576" s="336"/>
      <c r="G576" s="336"/>
      <c r="H576" s="461">
        <v>676.25</v>
      </c>
      <c r="I576" s="461"/>
      <c r="J576" s="461">
        <v>3665.28</v>
      </c>
      <c r="K576" s="461"/>
      <c r="O576" s="163">
        <f>I575</f>
        <v>676.25</v>
      </c>
      <c r="P576" s="163">
        <f>K575</f>
        <v>3665.28</v>
      </c>
    </row>
    <row r="578" spans="1:22" ht="39.75" x14ac:dyDescent="0.2">
      <c r="A578" s="329" t="s">
        <v>1835</v>
      </c>
      <c r="B578" s="330" t="s">
        <v>2659</v>
      </c>
      <c r="C578" s="330" t="s">
        <v>1263</v>
      </c>
      <c r="D578" s="331" t="s">
        <v>1661</v>
      </c>
      <c r="E578" s="332">
        <v>4</v>
      </c>
      <c r="F578" s="333">
        <v>555.48</v>
      </c>
      <c r="G578" s="334" t="s">
        <v>195</v>
      </c>
      <c r="H578" s="332">
        <v>1</v>
      </c>
      <c r="I578" s="335">
        <v>2221.92</v>
      </c>
      <c r="J578" s="332">
        <v>5.42</v>
      </c>
      <c r="K578" s="335">
        <v>12042.81</v>
      </c>
      <c r="Q578" s="160">
        <f>[10]Source!X325</f>
        <v>0</v>
      </c>
      <c r="R578" s="160">
        <f>[10]Source!X326</f>
        <v>0</v>
      </c>
      <c r="S578" s="160">
        <f>[10]Source!Y325</f>
        <v>0</v>
      </c>
      <c r="T578" s="160">
        <f>[10]Source!Y326</f>
        <v>0</v>
      </c>
      <c r="U578" s="160">
        <f>ROUND((175/100)*ROUND([10]Source!R325, 2), 2)</f>
        <v>0</v>
      </c>
      <c r="V578" s="160">
        <f>ROUND((157/100)*ROUND([10]Source!R326, 2), 2)</f>
        <v>0</v>
      </c>
    </row>
    <row r="579" spans="1:22" ht="15" x14ac:dyDescent="0.25">
      <c r="A579" s="336"/>
      <c r="B579" s="336"/>
      <c r="C579" s="337" t="s">
        <v>183</v>
      </c>
      <c r="D579" s="336"/>
      <c r="E579" s="336"/>
      <c r="F579" s="336"/>
      <c r="G579" s="336"/>
      <c r="H579" s="461">
        <v>2221.92</v>
      </c>
      <c r="I579" s="461"/>
      <c r="J579" s="461">
        <v>12042.81</v>
      </c>
      <c r="K579" s="461"/>
      <c r="O579" s="163">
        <f>I578</f>
        <v>2221.92</v>
      </c>
      <c r="P579" s="163">
        <f>K578</f>
        <v>12042.81</v>
      </c>
    </row>
    <row r="581" spans="1:22" ht="57" x14ac:dyDescent="0.2">
      <c r="A581" s="301" t="s">
        <v>1838</v>
      </c>
      <c r="B581" s="302" t="s">
        <v>3416</v>
      </c>
      <c r="C581" s="302" t="s">
        <v>1262</v>
      </c>
      <c r="D581" s="303" t="s">
        <v>3417</v>
      </c>
      <c r="E581" s="286">
        <v>8.5000000000000006E-2</v>
      </c>
      <c r="F581" s="321"/>
      <c r="G581" s="305"/>
      <c r="H581" s="286"/>
      <c r="I581" s="304"/>
      <c r="J581" s="286"/>
      <c r="K581" s="304"/>
      <c r="Q581" s="160">
        <f>[10]Source!X327</f>
        <v>107.89</v>
      </c>
      <c r="R581" s="160">
        <f>[10]Source!X328</f>
        <v>1701.58</v>
      </c>
      <c r="S581" s="160">
        <f>[10]Source!Y327</f>
        <v>63.41</v>
      </c>
      <c r="T581" s="160">
        <f>[10]Source!Y328</f>
        <v>906.03</v>
      </c>
      <c r="U581" s="160">
        <f>ROUND((175/100)*ROUND([10]Source!R327, 2), 2)</f>
        <v>34.479999999999997</v>
      </c>
      <c r="V581" s="160">
        <f>ROUND((157/100)*ROUND([10]Source!R328, 2), 2)</f>
        <v>722.2</v>
      </c>
    </row>
    <row r="582" spans="1:22" ht="14.25" x14ac:dyDescent="0.2">
      <c r="A582" s="301"/>
      <c r="B582" s="302"/>
      <c r="C582" s="302" t="s">
        <v>197</v>
      </c>
      <c r="D582" s="303"/>
      <c r="E582" s="286"/>
      <c r="F582" s="321">
        <v>1113.4000000000001</v>
      </c>
      <c r="G582" s="305" t="s">
        <v>195</v>
      </c>
      <c r="H582" s="286">
        <v>1</v>
      </c>
      <c r="I582" s="304">
        <v>94.64</v>
      </c>
      <c r="J582" s="286">
        <v>23.35</v>
      </c>
      <c r="K582" s="304">
        <v>2209.84</v>
      </c>
    </row>
    <row r="583" spans="1:22" ht="14.25" x14ac:dyDescent="0.2">
      <c r="A583" s="301"/>
      <c r="B583" s="302"/>
      <c r="C583" s="302" t="s">
        <v>184</v>
      </c>
      <c r="D583" s="303"/>
      <c r="E583" s="286"/>
      <c r="F583" s="321">
        <v>1096.3699999999999</v>
      </c>
      <c r="G583" s="305" t="s">
        <v>195</v>
      </c>
      <c r="H583" s="286">
        <v>1</v>
      </c>
      <c r="I583" s="304">
        <v>93.19</v>
      </c>
      <c r="J583" s="286">
        <v>9.16</v>
      </c>
      <c r="K583" s="304">
        <v>853.62</v>
      </c>
    </row>
    <row r="584" spans="1:22" ht="14.25" x14ac:dyDescent="0.2">
      <c r="A584" s="301"/>
      <c r="B584" s="302"/>
      <c r="C584" s="302" t="s">
        <v>189</v>
      </c>
      <c r="D584" s="303"/>
      <c r="E584" s="286"/>
      <c r="F584" s="321">
        <v>231.77</v>
      </c>
      <c r="G584" s="305" t="s">
        <v>195</v>
      </c>
      <c r="H584" s="286">
        <v>1</v>
      </c>
      <c r="I584" s="306">
        <v>19.7</v>
      </c>
      <c r="J584" s="286">
        <v>23.35</v>
      </c>
      <c r="K584" s="306">
        <v>460</v>
      </c>
    </row>
    <row r="585" spans="1:22" ht="14.25" x14ac:dyDescent="0.2">
      <c r="A585" s="301"/>
      <c r="B585" s="302"/>
      <c r="C585" s="302" t="s">
        <v>205</v>
      </c>
      <c r="D585" s="303"/>
      <c r="E585" s="286"/>
      <c r="F585" s="321">
        <v>7</v>
      </c>
      <c r="G585" s="305" t="s">
        <v>195</v>
      </c>
      <c r="H585" s="286">
        <v>1</v>
      </c>
      <c r="I585" s="304">
        <v>0.6</v>
      </c>
      <c r="J585" s="286">
        <v>5.42</v>
      </c>
      <c r="K585" s="304">
        <v>3.25</v>
      </c>
    </row>
    <row r="586" spans="1:22" ht="14.25" x14ac:dyDescent="0.2">
      <c r="A586" s="301"/>
      <c r="B586" s="302"/>
      <c r="C586" s="302" t="s">
        <v>194</v>
      </c>
      <c r="D586" s="303" t="s">
        <v>187</v>
      </c>
      <c r="E586" s="286">
        <v>114</v>
      </c>
      <c r="F586" s="321"/>
      <c r="G586" s="305"/>
      <c r="H586" s="286"/>
      <c r="I586" s="304">
        <v>107.89</v>
      </c>
      <c r="J586" s="286">
        <v>77</v>
      </c>
      <c r="K586" s="304">
        <v>1701.58</v>
      </c>
    </row>
    <row r="587" spans="1:22" ht="14.25" x14ac:dyDescent="0.2">
      <c r="A587" s="301"/>
      <c r="B587" s="302"/>
      <c r="C587" s="302" t="s">
        <v>193</v>
      </c>
      <c r="D587" s="303" t="s">
        <v>187</v>
      </c>
      <c r="E587" s="286">
        <v>67</v>
      </c>
      <c r="F587" s="321"/>
      <c r="G587" s="305"/>
      <c r="H587" s="286"/>
      <c r="I587" s="304">
        <v>63.41</v>
      </c>
      <c r="J587" s="286">
        <v>41</v>
      </c>
      <c r="K587" s="304">
        <v>906.03</v>
      </c>
    </row>
    <row r="588" spans="1:22" ht="14.25" x14ac:dyDescent="0.2">
      <c r="A588" s="301"/>
      <c r="B588" s="302"/>
      <c r="C588" s="302" t="s">
        <v>188</v>
      </c>
      <c r="D588" s="303" t="s">
        <v>187</v>
      </c>
      <c r="E588" s="286">
        <v>175</v>
      </c>
      <c r="F588" s="321"/>
      <c r="G588" s="305"/>
      <c r="H588" s="286"/>
      <c r="I588" s="304">
        <v>34.479999999999997</v>
      </c>
      <c r="J588" s="286">
        <v>157</v>
      </c>
      <c r="K588" s="304">
        <v>722.2</v>
      </c>
    </row>
    <row r="589" spans="1:22" ht="14.25" x14ac:dyDescent="0.2">
      <c r="A589" s="329"/>
      <c r="B589" s="330"/>
      <c r="C589" s="330" t="s">
        <v>192</v>
      </c>
      <c r="D589" s="331" t="s">
        <v>191</v>
      </c>
      <c r="E589" s="332">
        <v>95.9</v>
      </c>
      <c r="F589" s="333"/>
      <c r="G589" s="334" t="s">
        <v>195</v>
      </c>
      <c r="H589" s="332">
        <v>1</v>
      </c>
      <c r="I589" s="335">
        <v>8.15</v>
      </c>
      <c r="J589" s="332"/>
      <c r="K589" s="335"/>
    </row>
    <row r="590" spans="1:22" ht="15" x14ac:dyDescent="0.25">
      <c r="A590" s="336"/>
      <c r="B590" s="336"/>
      <c r="C590" s="337" t="s">
        <v>183</v>
      </c>
      <c r="D590" s="336"/>
      <c r="E590" s="336"/>
      <c r="F590" s="336"/>
      <c r="G590" s="336"/>
      <c r="H590" s="461">
        <v>394.21</v>
      </c>
      <c r="I590" s="461"/>
      <c r="J590" s="461">
        <v>6396.52</v>
      </c>
      <c r="K590" s="461"/>
      <c r="O590" s="163">
        <f>I582+I583+I585+I586+I587+I588</f>
        <v>394.21</v>
      </c>
      <c r="P590" s="163">
        <f>K582+K583+K585+K586+K587+K588</f>
        <v>6396.52</v>
      </c>
    </row>
    <row r="592" spans="1:22" ht="42.75" x14ac:dyDescent="0.2">
      <c r="A592" s="301" t="s">
        <v>1840</v>
      </c>
      <c r="B592" s="302" t="s">
        <v>3418</v>
      </c>
      <c r="C592" s="302" t="s">
        <v>1261</v>
      </c>
      <c r="D592" s="303" t="s">
        <v>1697</v>
      </c>
      <c r="E592" s="286">
        <v>8.5</v>
      </c>
      <c r="F592" s="321">
        <v>130.49</v>
      </c>
      <c r="G592" s="305" t="s">
        <v>195</v>
      </c>
      <c r="H592" s="286">
        <v>1</v>
      </c>
      <c r="I592" s="304">
        <v>1109.17</v>
      </c>
      <c r="J592" s="286">
        <v>4.2</v>
      </c>
      <c r="K592" s="304">
        <v>4658.51</v>
      </c>
      <c r="Q592" s="160">
        <f>[10]Source!X329</f>
        <v>0</v>
      </c>
      <c r="R592" s="160">
        <f>[10]Source!X330</f>
        <v>0</v>
      </c>
      <c r="S592" s="160">
        <f>[10]Source!Y329</f>
        <v>0</v>
      </c>
      <c r="T592" s="160">
        <f>[10]Source!Y330</f>
        <v>0</v>
      </c>
      <c r="U592" s="160">
        <f>ROUND((175/100)*ROUND([10]Source!R329, 2), 2)</f>
        <v>0</v>
      </c>
      <c r="V592" s="160">
        <f>ROUND((157/100)*ROUND([10]Source!R330, 2), 2)</f>
        <v>0</v>
      </c>
    </row>
    <row r="593" spans="1:22" x14ac:dyDescent="0.2">
      <c r="A593" s="358"/>
      <c r="B593" s="358"/>
      <c r="C593" s="359" t="s">
        <v>3419</v>
      </c>
      <c r="D593" s="358"/>
      <c r="E593" s="358"/>
      <c r="F593" s="358"/>
      <c r="G593" s="358"/>
      <c r="H593" s="358"/>
      <c r="I593" s="358"/>
      <c r="J593" s="358"/>
      <c r="K593" s="358"/>
    </row>
    <row r="594" spans="1:22" ht="15" x14ac:dyDescent="0.25">
      <c r="A594" s="336"/>
      <c r="B594" s="336"/>
      <c r="C594" s="337" t="s">
        <v>183</v>
      </c>
      <c r="D594" s="336"/>
      <c r="E594" s="336"/>
      <c r="F594" s="336"/>
      <c r="G594" s="336"/>
      <c r="H594" s="461">
        <v>1109.17</v>
      </c>
      <c r="I594" s="461"/>
      <c r="J594" s="461">
        <v>4658.51</v>
      </c>
      <c r="K594" s="461"/>
      <c r="O594" s="163">
        <f>I592</f>
        <v>1109.17</v>
      </c>
      <c r="P594" s="163">
        <f>K592</f>
        <v>4658.51</v>
      </c>
    </row>
    <row r="596" spans="1:22" ht="57" x14ac:dyDescent="0.2">
      <c r="A596" s="301" t="s">
        <v>1842</v>
      </c>
      <c r="B596" s="302" t="s">
        <v>3420</v>
      </c>
      <c r="C596" s="302" t="s">
        <v>1260</v>
      </c>
      <c r="D596" s="303" t="s">
        <v>1903</v>
      </c>
      <c r="E596" s="286">
        <v>2</v>
      </c>
      <c r="F596" s="321"/>
      <c r="G596" s="305"/>
      <c r="H596" s="286"/>
      <c r="I596" s="304"/>
      <c r="J596" s="286"/>
      <c r="K596" s="304"/>
      <c r="Q596" s="160">
        <f>[10]Source!X331</f>
        <v>216.69</v>
      </c>
      <c r="R596" s="160">
        <f>[10]Source!X332</f>
        <v>3417.54</v>
      </c>
      <c r="S596" s="160">
        <f>[10]Source!Y331</f>
        <v>127.35</v>
      </c>
      <c r="T596" s="160">
        <f>[10]Source!Y332</f>
        <v>1819.73</v>
      </c>
      <c r="U596" s="160">
        <f>ROUND((175/100)*ROUND([10]Source!R331, 2), 2)</f>
        <v>0.04</v>
      </c>
      <c r="V596" s="160">
        <f>ROUND((157/100)*ROUND([10]Source!R332, 2), 2)</f>
        <v>0.74</v>
      </c>
    </row>
    <row r="597" spans="1:22" ht="14.25" x14ac:dyDescent="0.2">
      <c r="A597" s="301"/>
      <c r="B597" s="302"/>
      <c r="C597" s="302" t="s">
        <v>197</v>
      </c>
      <c r="D597" s="303"/>
      <c r="E597" s="286"/>
      <c r="F597" s="321">
        <v>95.04</v>
      </c>
      <c r="G597" s="305" t="s">
        <v>195</v>
      </c>
      <c r="H597" s="286">
        <v>1</v>
      </c>
      <c r="I597" s="304">
        <v>190.08</v>
      </c>
      <c r="J597" s="286">
        <v>23.35</v>
      </c>
      <c r="K597" s="304">
        <v>4438.37</v>
      </c>
    </row>
    <row r="598" spans="1:22" ht="14.25" x14ac:dyDescent="0.2">
      <c r="A598" s="301"/>
      <c r="B598" s="302"/>
      <c r="C598" s="302" t="s">
        <v>184</v>
      </c>
      <c r="D598" s="303"/>
      <c r="E598" s="286"/>
      <c r="F598" s="321">
        <v>0.06</v>
      </c>
      <c r="G598" s="305" t="s">
        <v>195</v>
      </c>
      <c r="H598" s="286">
        <v>1</v>
      </c>
      <c r="I598" s="304">
        <v>0.12</v>
      </c>
      <c r="J598" s="286">
        <v>8.33</v>
      </c>
      <c r="K598" s="304">
        <v>1</v>
      </c>
    </row>
    <row r="599" spans="1:22" ht="14.25" x14ac:dyDescent="0.2">
      <c r="A599" s="301"/>
      <c r="B599" s="302"/>
      <c r="C599" s="302" t="s">
        <v>189</v>
      </c>
      <c r="D599" s="303"/>
      <c r="E599" s="286"/>
      <c r="F599" s="321">
        <v>0.01</v>
      </c>
      <c r="G599" s="305" t="s">
        <v>195</v>
      </c>
      <c r="H599" s="286">
        <v>1</v>
      </c>
      <c r="I599" s="306">
        <v>0.02</v>
      </c>
      <c r="J599" s="286">
        <v>23.35</v>
      </c>
      <c r="K599" s="306">
        <v>0.47</v>
      </c>
    </row>
    <row r="600" spans="1:22" ht="14.25" x14ac:dyDescent="0.2">
      <c r="A600" s="301"/>
      <c r="B600" s="302"/>
      <c r="C600" s="302" t="s">
        <v>205</v>
      </c>
      <c r="D600" s="303"/>
      <c r="E600" s="286"/>
      <c r="F600" s="321">
        <v>12.53</v>
      </c>
      <c r="G600" s="305" t="s">
        <v>195</v>
      </c>
      <c r="H600" s="286">
        <v>1</v>
      </c>
      <c r="I600" s="304">
        <v>25.06</v>
      </c>
      <c r="J600" s="286">
        <v>5.42</v>
      </c>
      <c r="K600" s="304">
        <v>135.83000000000001</v>
      </c>
    </row>
    <row r="601" spans="1:22" ht="14.25" x14ac:dyDescent="0.2">
      <c r="A601" s="301"/>
      <c r="B601" s="302"/>
      <c r="C601" s="302" t="s">
        <v>194</v>
      </c>
      <c r="D601" s="303" t="s">
        <v>187</v>
      </c>
      <c r="E601" s="286">
        <v>114</v>
      </c>
      <c r="F601" s="321"/>
      <c r="G601" s="305"/>
      <c r="H601" s="286"/>
      <c r="I601" s="304">
        <v>216.69</v>
      </c>
      <c r="J601" s="286">
        <v>77</v>
      </c>
      <c r="K601" s="304">
        <v>3417.54</v>
      </c>
    </row>
    <row r="602" spans="1:22" ht="14.25" x14ac:dyDescent="0.2">
      <c r="A602" s="301"/>
      <c r="B602" s="302"/>
      <c r="C602" s="302" t="s">
        <v>193</v>
      </c>
      <c r="D602" s="303" t="s">
        <v>187</v>
      </c>
      <c r="E602" s="286">
        <v>67</v>
      </c>
      <c r="F602" s="321"/>
      <c r="G602" s="305"/>
      <c r="H602" s="286"/>
      <c r="I602" s="304">
        <v>127.35</v>
      </c>
      <c r="J602" s="286">
        <v>41</v>
      </c>
      <c r="K602" s="304">
        <v>1819.73</v>
      </c>
    </row>
    <row r="603" spans="1:22" ht="14.25" x14ac:dyDescent="0.2">
      <c r="A603" s="301"/>
      <c r="B603" s="302"/>
      <c r="C603" s="302" t="s">
        <v>188</v>
      </c>
      <c r="D603" s="303" t="s">
        <v>187</v>
      </c>
      <c r="E603" s="286">
        <v>175</v>
      </c>
      <c r="F603" s="321"/>
      <c r="G603" s="305"/>
      <c r="H603" s="286"/>
      <c r="I603" s="304">
        <v>0.04</v>
      </c>
      <c r="J603" s="286">
        <v>157</v>
      </c>
      <c r="K603" s="304">
        <v>0.74</v>
      </c>
    </row>
    <row r="604" spans="1:22" ht="14.25" x14ac:dyDescent="0.2">
      <c r="A604" s="329"/>
      <c r="B604" s="330"/>
      <c r="C604" s="330" t="s">
        <v>192</v>
      </c>
      <c r="D604" s="331" t="s">
        <v>191</v>
      </c>
      <c r="E604" s="332">
        <v>7.2</v>
      </c>
      <c r="F604" s="333"/>
      <c r="G604" s="334" t="s">
        <v>195</v>
      </c>
      <c r="H604" s="332">
        <v>1</v>
      </c>
      <c r="I604" s="335">
        <v>14.4</v>
      </c>
      <c r="J604" s="332"/>
      <c r="K604" s="335"/>
    </row>
    <row r="605" spans="1:22" ht="15" x14ac:dyDescent="0.25">
      <c r="A605" s="336"/>
      <c r="B605" s="336"/>
      <c r="C605" s="337" t="s">
        <v>183</v>
      </c>
      <c r="D605" s="336"/>
      <c r="E605" s="336"/>
      <c r="F605" s="336"/>
      <c r="G605" s="336"/>
      <c r="H605" s="461">
        <v>559.34</v>
      </c>
      <c r="I605" s="461"/>
      <c r="J605" s="461">
        <v>9813.2099999999991</v>
      </c>
      <c r="K605" s="461"/>
      <c r="O605" s="163">
        <f>I597+I598+I600+I601+I602+I603</f>
        <v>559.34</v>
      </c>
      <c r="P605" s="163">
        <f>K597+K598+K600+K601+K602+K603</f>
        <v>9813.2099999999991</v>
      </c>
    </row>
    <row r="607" spans="1:22" ht="128.25" x14ac:dyDescent="0.2">
      <c r="A607" s="338" t="s">
        <v>1844</v>
      </c>
      <c r="B607" s="339" t="s">
        <v>3421</v>
      </c>
      <c r="C607" s="339" t="s">
        <v>1259</v>
      </c>
      <c r="D607" s="340" t="s">
        <v>1661</v>
      </c>
      <c r="E607" s="341">
        <v>2</v>
      </c>
      <c r="F607" s="342">
        <v>3733.17</v>
      </c>
      <c r="G607" s="343" t="s">
        <v>195</v>
      </c>
      <c r="H607" s="341">
        <v>1</v>
      </c>
      <c r="I607" s="344">
        <v>7466.34</v>
      </c>
      <c r="J607" s="341">
        <v>7.12</v>
      </c>
      <c r="K607" s="344">
        <v>53160.34</v>
      </c>
      <c r="Q607" s="160">
        <f>[10]Source!X333</f>
        <v>0</v>
      </c>
      <c r="R607" s="160">
        <f>[10]Source!X334</f>
        <v>0</v>
      </c>
      <c r="S607" s="160">
        <f>[10]Source!Y333</f>
        <v>0</v>
      </c>
      <c r="T607" s="160">
        <f>[10]Source!Y334</f>
        <v>0</v>
      </c>
      <c r="U607" s="160">
        <f>ROUND((175/100)*ROUND([10]Source!R333, 2), 2)</f>
        <v>0</v>
      </c>
      <c r="V607" s="160">
        <f>ROUND((157/100)*ROUND([10]Source!R334, 2), 2)</f>
        <v>0</v>
      </c>
    </row>
    <row r="608" spans="1:22" ht="15" x14ac:dyDescent="0.25">
      <c r="A608" s="345"/>
      <c r="B608" s="345"/>
      <c r="C608" s="346" t="s">
        <v>183</v>
      </c>
      <c r="D608" s="345"/>
      <c r="E608" s="345"/>
      <c r="F608" s="345"/>
      <c r="G608" s="345"/>
      <c r="H608" s="462">
        <v>7466.34</v>
      </c>
      <c r="I608" s="462"/>
      <c r="J608" s="462">
        <v>53160.34</v>
      </c>
      <c r="K608" s="462"/>
      <c r="O608" s="163">
        <f>I607</f>
        <v>7466.34</v>
      </c>
      <c r="P608" s="163">
        <f>K607</f>
        <v>53160.34</v>
      </c>
    </row>
    <row r="610" spans="1:22" ht="128.25" x14ac:dyDescent="0.2">
      <c r="A610" s="301" t="s">
        <v>1846</v>
      </c>
      <c r="B610" s="302" t="s">
        <v>3422</v>
      </c>
      <c r="C610" s="302" t="s">
        <v>1258</v>
      </c>
      <c r="D610" s="303" t="s">
        <v>1903</v>
      </c>
      <c r="E610" s="286">
        <v>8</v>
      </c>
      <c r="F610" s="321"/>
      <c r="G610" s="305"/>
      <c r="H610" s="286"/>
      <c r="I610" s="304"/>
      <c r="J610" s="286"/>
      <c r="K610" s="304"/>
      <c r="Q610" s="160">
        <f>[10]Source!X335</f>
        <v>251.35</v>
      </c>
      <c r="R610" s="160">
        <f>[10]Source!X336</f>
        <v>3964.12</v>
      </c>
      <c r="S610" s="160">
        <f>[10]Source!Y335</f>
        <v>147.72</v>
      </c>
      <c r="T610" s="160">
        <f>[10]Source!Y336</f>
        <v>2110.77</v>
      </c>
      <c r="U610" s="160">
        <f>ROUND((175/100)*ROUND([10]Source!R335, 2), 2)</f>
        <v>6.16</v>
      </c>
      <c r="V610" s="160">
        <f>ROUND((157/100)*ROUND([10]Source!R336, 2), 2)</f>
        <v>129.04</v>
      </c>
    </row>
    <row r="611" spans="1:22" ht="14.25" x14ac:dyDescent="0.2">
      <c r="A611" s="301"/>
      <c r="B611" s="302"/>
      <c r="C611" s="302" t="s">
        <v>197</v>
      </c>
      <c r="D611" s="303"/>
      <c r="E611" s="286"/>
      <c r="F611" s="321">
        <v>27.56</v>
      </c>
      <c r="G611" s="305" t="s">
        <v>195</v>
      </c>
      <c r="H611" s="286">
        <v>1</v>
      </c>
      <c r="I611" s="304">
        <v>220.48</v>
      </c>
      <c r="J611" s="286">
        <v>23.35</v>
      </c>
      <c r="K611" s="304">
        <v>5148.21</v>
      </c>
    </row>
    <row r="612" spans="1:22" ht="14.25" x14ac:dyDescent="0.2">
      <c r="A612" s="301"/>
      <c r="B612" s="302"/>
      <c r="C612" s="302" t="s">
        <v>184</v>
      </c>
      <c r="D612" s="303"/>
      <c r="E612" s="286"/>
      <c r="F612" s="321">
        <v>5.48</v>
      </c>
      <c r="G612" s="305" t="s">
        <v>195</v>
      </c>
      <c r="H612" s="286">
        <v>1</v>
      </c>
      <c r="I612" s="304">
        <v>43.84</v>
      </c>
      <c r="J612" s="286">
        <v>6.8</v>
      </c>
      <c r="K612" s="304">
        <v>298.11</v>
      </c>
    </row>
    <row r="613" spans="1:22" ht="14.25" x14ac:dyDescent="0.2">
      <c r="A613" s="301"/>
      <c r="B613" s="302"/>
      <c r="C613" s="302" t="s">
        <v>189</v>
      </c>
      <c r="D613" s="303"/>
      <c r="E613" s="286"/>
      <c r="F613" s="321">
        <v>0.44</v>
      </c>
      <c r="G613" s="305" t="s">
        <v>195</v>
      </c>
      <c r="H613" s="286">
        <v>1</v>
      </c>
      <c r="I613" s="306">
        <v>3.52</v>
      </c>
      <c r="J613" s="286">
        <v>23.35</v>
      </c>
      <c r="K613" s="306">
        <v>82.19</v>
      </c>
    </row>
    <row r="614" spans="1:22" ht="14.25" x14ac:dyDescent="0.2">
      <c r="A614" s="301"/>
      <c r="B614" s="302"/>
      <c r="C614" s="302" t="s">
        <v>205</v>
      </c>
      <c r="D614" s="303"/>
      <c r="E614" s="286"/>
      <c r="F614" s="321">
        <v>30.17</v>
      </c>
      <c r="G614" s="305" t="s">
        <v>195</v>
      </c>
      <c r="H614" s="286">
        <v>1</v>
      </c>
      <c r="I614" s="304">
        <v>241.36</v>
      </c>
      <c r="J614" s="286">
        <v>5.42</v>
      </c>
      <c r="K614" s="304">
        <v>1308.17</v>
      </c>
    </row>
    <row r="615" spans="1:22" ht="14.25" x14ac:dyDescent="0.2">
      <c r="A615" s="301"/>
      <c r="B615" s="302"/>
      <c r="C615" s="302" t="s">
        <v>194</v>
      </c>
      <c r="D615" s="303" t="s">
        <v>187</v>
      </c>
      <c r="E615" s="286">
        <v>114</v>
      </c>
      <c r="F615" s="321"/>
      <c r="G615" s="305"/>
      <c r="H615" s="286"/>
      <c r="I615" s="304">
        <v>251.35</v>
      </c>
      <c r="J615" s="286">
        <v>77</v>
      </c>
      <c r="K615" s="304">
        <v>3964.12</v>
      </c>
    </row>
    <row r="616" spans="1:22" ht="14.25" x14ac:dyDescent="0.2">
      <c r="A616" s="301"/>
      <c r="B616" s="302"/>
      <c r="C616" s="302" t="s">
        <v>193</v>
      </c>
      <c r="D616" s="303" t="s">
        <v>187</v>
      </c>
      <c r="E616" s="286">
        <v>67</v>
      </c>
      <c r="F616" s="321"/>
      <c r="G616" s="305"/>
      <c r="H616" s="286"/>
      <c r="I616" s="304">
        <v>147.72</v>
      </c>
      <c r="J616" s="286">
        <v>41</v>
      </c>
      <c r="K616" s="304">
        <v>2110.77</v>
      </c>
    </row>
    <row r="617" spans="1:22" ht="14.25" x14ac:dyDescent="0.2">
      <c r="A617" s="301"/>
      <c r="B617" s="302"/>
      <c r="C617" s="302" t="s">
        <v>188</v>
      </c>
      <c r="D617" s="303" t="s">
        <v>187</v>
      </c>
      <c r="E617" s="286">
        <v>175</v>
      </c>
      <c r="F617" s="321"/>
      <c r="G617" s="305"/>
      <c r="H617" s="286"/>
      <c r="I617" s="304">
        <v>6.16</v>
      </c>
      <c r="J617" s="286">
        <v>157</v>
      </c>
      <c r="K617" s="304">
        <v>129.04</v>
      </c>
    </row>
    <row r="618" spans="1:22" ht="14.25" x14ac:dyDescent="0.2">
      <c r="A618" s="329"/>
      <c r="B618" s="330"/>
      <c r="C618" s="330" t="s">
        <v>192</v>
      </c>
      <c r="D618" s="331" t="s">
        <v>191</v>
      </c>
      <c r="E618" s="332">
        <v>2.12</v>
      </c>
      <c r="F618" s="333"/>
      <c r="G618" s="334" t="s">
        <v>195</v>
      </c>
      <c r="H618" s="332">
        <v>1</v>
      </c>
      <c r="I618" s="335">
        <v>16.96</v>
      </c>
      <c r="J618" s="332"/>
      <c r="K618" s="335"/>
    </row>
    <row r="619" spans="1:22" ht="15" x14ac:dyDescent="0.25">
      <c r="A619" s="336"/>
      <c r="B619" s="336"/>
      <c r="C619" s="337" t="s">
        <v>183</v>
      </c>
      <c r="D619" s="336"/>
      <c r="E619" s="336"/>
      <c r="F619" s="336"/>
      <c r="G619" s="336"/>
      <c r="H619" s="461">
        <v>910.91</v>
      </c>
      <c r="I619" s="461"/>
      <c r="J619" s="461">
        <v>12958.42</v>
      </c>
      <c r="K619" s="461"/>
      <c r="O619" s="163">
        <f>I611+I612+I614+I615+I616+I617</f>
        <v>910.91</v>
      </c>
      <c r="P619" s="163">
        <f>K611+K612+K614+K615+K616+K617</f>
        <v>12958.42</v>
      </c>
    </row>
    <row r="621" spans="1:22" ht="128.25" x14ac:dyDescent="0.2">
      <c r="A621" s="338" t="s">
        <v>1849</v>
      </c>
      <c r="B621" s="339" t="s">
        <v>3423</v>
      </c>
      <c r="C621" s="339" t="s">
        <v>1257</v>
      </c>
      <c r="D621" s="340" t="s">
        <v>1661</v>
      </c>
      <c r="E621" s="341">
        <v>8</v>
      </c>
      <c r="F621" s="342">
        <v>512.4</v>
      </c>
      <c r="G621" s="343" t="s">
        <v>195</v>
      </c>
      <c r="H621" s="341">
        <v>1</v>
      </c>
      <c r="I621" s="344">
        <v>4099.2</v>
      </c>
      <c r="J621" s="341">
        <v>7.12</v>
      </c>
      <c r="K621" s="344">
        <v>29186.3</v>
      </c>
      <c r="Q621" s="160">
        <f>[10]Source!X337</f>
        <v>0</v>
      </c>
      <c r="R621" s="160">
        <f>[10]Source!X338</f>
        <v>0</v>
      </c>
      <c r="S621" s="160">
        <f>[10]Source!Y337</f>
        <v>0</v>
      </c>
      <c r="T621" s="160">
        <f>[10]Source!Y338</f>
        <v>0</v>
      </c>
      <c r="U621" s="160">
        <f>ROUND((175/100)*ROUND([10]Source!R337, 2), 2)</f>
        <v>0</v>
      </c>
      <c r="V621" s="160">
        <f>ROUND((157/100)*ROUND([10]Source!R338, 2), 2)</f>
        <v>0</v>
      </c>
    </row>
    <row r="622" spans="1:22" ht="15" x14ac:dyDescent="0.25">
      <c r="A622" s="345"/>
      <c r="B622" s="345"/>
      <c r="C622" s="346" t="s">
        <v>183</v>
      </c>
      <c r="D622" s="345"/>
      <c r="E622" s="345"/>
      <c r="F622" s="345"/>
      <c r="G622" s="345"/>
      <c r="H622" s="462">
        <v>4099.2</v>
      </c>
      <c r="I622" s="462"/>
      <c r="J622" s="462">
        <v>29186.3</v>
      </c>
      <c r="K622" s="462"/>
      <c r="O622" s="163">
        <f>I621</f>
        <v>4099.2</v>
      </c>
      <c r="P622" s="163">
        <f>K621</f>
        <v>29186.3</v>
      </c>
    </row>
    <row r="624" spans="1:22" ht="85.5" x14ac:dyDescent="0.2">
      <c r="A624" s="301" t="s">
        <v>1854</v>
      </c>
      <c r="B624" s="302" t="s">
        <v>3424</v>
      </c>
      <c r="C624" s="302" t="s">
        <v>1256</v>
      </c>
      <c r="D624" s="303" t="s">
        <v>1686</v>
      </c>
      <c r="E624" s="286">
        <v>0.4</v>
      </c>
      <c r="F624" s="321"/>
      <c r="G624" s="305"/>
      <c r="H624" s="286"/>
      <c r="I624" s="304"/>
      <c r="J624" s="286"/>
      <c r="K624" s="304"/>
      <c r="Q624" s="160">
        <f>[10]Source!X339</f>
        <v>195.66</v>
      </c>
      <c r="R624" s="160">
        <f>[10]Source!X340</f>
        <v>3085.82</v>
      </c>
      <c r="S624" s="160">
        <f>[10]Source!Y339</f>
        <v>114.99</v>
      </c>
      <c r="T624" s="160">
        <f>[10]Source!Y340</f>
        <v>1643.1</v>
      </c>
      <c r="U624" s="160">
        <f>ROUND((175/100)*ROUND([10]Source!R339, 2), 2)</f>
        <v>0.28000000000000003</v>
      </c>
      <c r="V624" s="160">
        <f>ROUND((157/100)*ROUND([10]Source!R340, 2), 2)</f>
        <v>5.87</v>
      </c>
    </row>
    <row r="625" spans="1:22" x14ac:dyDescent="0.2">
      <c r="C625" s="316" t="s">
        <v>2622</v>
      </c>
    </row>
    <row r="626" spans="1:22" ht="14.25" x14ac:dyDescent="0.2">
      <c r="A626" s="301"/>
      <c r="B626" s="302"/>
      <c r="C626" s="302" t="s">
        <v>197</v>
      </c>
      <c r="D626" s="303"/>
      <c r="E626" s="286"/>
      <c r="F626" s="321">
        <v>429.08</v>
      </c>
      <c r="G626" s="305" t="s">
        <v>195</v>
      </c>
      <c r="H626" s="286">
        <v>1</v>
      </c>
      <c r="I626" s="304">
        <v>171.63</v>
      </c>
      <c r="J626" s="286">
        <v>23.35</v>
      </c>
      <c r="K626" s="304">
        <v>4007.56</v>
      </c>
    </row>
    <row r="627" spans="1:22" ht="14.25" x14ac:dyDescent="0.2">
      <c r="A627" s="301"/>
      <c r="B627" s="302"/>
      <c r="C627" s="302" t="s">
        <v>184</v>
      </c>
      <c r="D627" s="303"/>
      <c r="E627" s="286"/>
      <c r="F627" s="321">
        <v>4.01</v>
      </c>
      <c r="G627" s="305" t="s">
        <v>195</v>
      </c>
      <c r="H627" s="286">
        <v>1</v>
      </c>
      <c r="I627" s="304">
        <v>1.6</v>
      </c>
      <c r="J627" s="286">
        <v>7.14</v>
      </c>
      <c r="K627" s="304">
        <v>11.42</v>
      </c>
    </row>
    <row r="628" spans="1:22" ht="14.25" x14ac:dyDescent="0.2">
      <c r="A628" s="301"/>
      <c r="B628" s="302"/>
      <c r="C628" s="302" t="s">
        <v>189</v>
      </c>
      <c r="D628" s="303"/>
      <c r="E628" s="286"/>
      <c r="F628" s="321">
        <v>0.4</v>
      </c>
      <c r="G628" s="305" t="s">
        <v>195</v>
      </c>
      <c r="H628" s="286">
        <v>1</v>
      </c>
      <c r="I628" s="306">
        <v>0.16</v>
      </c>
      <c r="J628" s="286">
        <v>23.35</v>
      </c>
      <c r="K628" s="306">
        <v>3.74</v>
      </c>
    </row>
    <row r="629" spans="1:22" ht="14.25" x14ac:dyDescent="0.2">
      <c r="A629" s="301"/>
      <c r="B629" s="302"/>
      <c r="C629" s="302" t="s">
        <v>205</v>
      </c>
      <c r="D629" s="303"/>
      <c r="E629" s="286"/>
      <c r="F629" s="321">
        <v>81.2</v>
      </c>
      <c r="G629" s="305" t="s">
        <v>195</v>
      </c>
      <c r="H629" s="286">
        <v>1</v>
      </c>
      <c r="I629" s="304">
        <v>32.479999999999997</v>
      </c>
      <c r="J629" s="286">
        <v>5.42</v>
      </c>
      <c r="K629" s="304">
        <v>176.04</v>
      </c>
    </row>
    <row r="630" spans="1:22" ht="14.25" x14ac:dyDescent="0.2">
      <c r="A630" s="301"/>
      <c r="B630" s="302"/>
      <c r="C630" s="302" t="s">
        <v>194</v>
      </c>
      <c r="D630" s="303" t="s">
        <v>187</v>
      </c>
      <c r="E630" s="286">
        <v>114</v>
      </c>
      <c r="F630" s="321"/>
      <c r="G630" s="305"/>
      <c r="H630" s="286"/>
      <c r="I630" s="304">
        <v>195.66</v>
      </c>
      <c r="J630" s="286">
        <v>77</v>
      </c>
      <c r="K630" s="304">
        <v>3085.82</v>
      </c>
    </row>
    <row r="631" spans="1:22" ht="14.25" x14ac:dyDescent="0.2">
      <c r="A631" s="301"/>
      <c r="B631" s="302"/>
      <c r="C631" s="302" t="s">
        <v>193</v>
      </c>
      <c r="D631" s="303" t="s">
        <v>187</v>
      </c>
      <c r="E631" s="286">
        <v>67</v>
      </c>
      <c r="F631" s="321"/>
      <c r="G631" s="305"/>
      <c r="H631" s="286"/>
      <c r="I631" s="304">
        <v>114.99</v>
      </c>
      <c r="J631" s="286">
        <v>41</v>
      </c>
      <c r="K631" s="304">
        <v>1643.1</v>
      </c>
    </row>
    <row r="632" spans="1:22" ht="14.25" x14ac:dyDescent="0.2">
      <c r="A632" s="301"/>
      <c r="B632" s="302"/>
      <c r="C632" s="302" t="s">
        <v>188</v>
      </c>
      <c r="D632" s="303" t="s">
        <v>187</v>
      </c>
      <c r="E632" s="286">
        <v>175</v>
      </c>
      <c r="F632" s="321"/>
      <c r="G632" s="305"/>
      <c r="H632" s="286"/>
      <c r="I632" s="304">
        <v>0.28000000000000003</v>
      </c>
      <c r="J632" s="286">
        <v>157</v>
      </c>
      <c r="K632" s="304">
        <v>5.87</v>
      </c>
    </row>
    <row r="633" spans="1:22" ht="14.25" x14ac:dyDescent="0.2">
      <c r="A633" s="329"/>
      <c r="B633" s="330"/>
      <c r="C633" s="330" t="s">
        <v>192</v>
      </c>
      <c r="D633" s="331" t="s">
        <v>191</v>
      </c>
      <c r="E633" s="332">
        <v>34</v>
      </c>
      <c r="F633" s="333"/>
      <c r="G633" s="334" t="s">
        <v>195</v>
      </c>
      <c r="H633" s="332">
        <v>1</v>
      </c>
      <c r="I633" s="335">
        <v>13.6</v>
      </c>
      <c r="J633" s="332"/>
      <c r="K633" s="335"/>
    </row>
    <row r="634" spans="1:22" ht="15" x14ac:dyDescent="0.25">
      <c r="A634" s="336"/>
      <c r="B634" s="336"/>
      <c r="C634" s="337" t="s">
        <v>183</v>
      </c>
      <c r="D634" s="336"/>
      <c r="E634" s="336"/>
      <c r="F634" s="336"/>
      <c r="G634" s="336"/>
      <c r="H634" s="461">
        <v>516.64</v>
      </c>
      <c r="I634" s="461"/>
      <c r="J634" s="461">
        <v>8929.81</v>
      </c>
      <c r="K634" s="461"/>
      <c r="O634" s="163">
        <f>I626+I627+I629+I630+I631+I632</f>
        <v>516.64</v>
      </c>
      <c r="P634" s="163">
        <f>K626+K627+K629+K630+K631+K632</f>
        <v>8929.81</v>
      </c>
    </row>
    <row r="636" spans="1:22" ht="42.75" x14ac:dyDescent="0.2">
      <c r="A636" s="329" t="s">
        <v>1859</v>
      </c>
      <c r="B636" s="330" t="s">
        <v>3425</v>
      </c>
      <c r="C636" s="330" t="s">
        <v>1255</v>
      </c>
      <c r="D636" s="331" t="s">
        <v>1552</v>
      </c>
      <c r="E636" s="332">
        <v>40</v>
      </c>
      <c r="F636" s="333">
        <v>47.17</v>
      </c>
      <c r="G636" s="334" t="s">
        <v>195</v>
      </c>
      <c r="H636" s="332">
        <v>1</v>
      </c>
      <c r="I636" s="335">
        <v>1886.8</v>
      </c>
      <c r="J636" s="332">
        <v>6.32</v>
      </c>
      <c r="K636" s="335">
        <v>11924.58</v>
      </c>
      <c r="Q636" s="160">
        <f>[10]Source!X341</f>
        <v>0</v>
      </c>
      <c r="R636" s="160">
        <f>[10]Source!X342</f>
        <v>0</v>
      </c>
      <c r="S636" s="160">
        <f>[10]Source!Y341</f>
        <v>0</v>
      </c>
      <c r="T636" s="160">
        <f>[10]Source!Y342</f>
        <v>0</v>
      </c>
      <c r="U636" s="160">
        <f>ROUND((175/100)*ROUND([10]Source!R341, 2), 2)</f>
        <v>0</v>
      </c>
      <c r="V636" s="160">
        <f>ROUND((157/100)*ROUND([10]Source!R342, 2), 2)</f>
        <v>0</v>
      </c>
    </row>
    <row r="637" spans="1:22" ht="15" x14ac:dyDescent="0.25">
      <c r="A637" s="336"/>
      <c r="B637" s="336"/>
      <c r="C637" s="337" t="s">
        <v>183</v>
      </c>
      <c r="D637" s="336"/>
      <c r="E637" s="336"/>
      <c r="F637" s="336"/>
      <c r="G637" s="336"/>
      <c r="H637" s="461">
        <v>1886.8</v>
      </c>
      <c r="I637" s="461"/>
      <c r="J637" s="461">
        <v>11924.58</v>
      </c>
      <c r="K637" s="461"/>
      <c r="O637" s="163">
        <f>I636</f>
        <v>1886.8</v>
      </c>
      <c r="P637" s="163">
        <f>K636</f>
        <v>11924.58</v>
      </c>
    </row>
    <row r="639" spans="1:22" ht="71.25" x14ac:dyDescent="0.2">
      <c r="A639" s="301" t="s">
        <v>1861</v>
      </c>
      <c r="B639" s="302" t="s">
        <v>3354</v>
      </c>
      <c r="C639" s="302" t="s">
        <v>1111</v>
      </c>
      <c r="D639" s="303" t="s">
        <v>1686</v>
      </c>
      <c r="E639" s="286">
        <v>0.4</v>
      </c>
      <c r="F639" s="321"/>
      <c r="G639" s="305"/>
      <c r="H639" s="286"/>
      <c r="I639" s="304"/>
      <c r="J639" s="286"/>
      <c r="K639" s="304"/>
      <c r="Q639" s="160">
        <f>[10]Source!X343</f>
        <v>34.75</v>
      </c>
      <c r="R639" s="160">
        <f>[10]Source!X344</f>
        <v>548.02</v>
      </c>
      <c r="S639" s="160">
        <f>[10]Source!Y343</f>
        <v>20.420000000000002</v>
      </c>
      <c r="T639" s="160">
        <f>[10]Source!Y344</f>
        <v>291.8</v>
      </c>
      <c r="U639" s="160">
        <f>ROUND((175/100)*ROUND([10]Source!R343, 2), 2)</f>
        <v>0.28000000000000003</v>
      </c>
      <c r="V639" s="160">
        <f>ROUND((157/100)*ROUND([10]Source!R344, 2), 2)</f>
        <v>5.87</v>
      </c>
    </row>
    <row r="640" spans="1:22" x14ac:dyDescent="0.2">
      <c r="C640" s="316" t="s">
        <v>2622</v>
      </c>
    </row>
    <row r="641" spans="1:22" ht="14.25" x14ac:dyDescent="0.2">
      <c r="A641" s="301"/>
      <c r="B641" s="302"/>
      <c r="C641" s="302" t="s">
        <v>197</v>
      </c>
      <c r="D641" s="303"/>
      <c r="E641" s="286"/>
      <c r="F641" s="321">
        <v>76.2</v>
      </c>
      <c r="G641" s="305" t="s">
        <v>195</v>
      </c>
      <c r="H641" s="286">
        <v>1</v>
      </c>
      <c r="I641" s="304">
        <v>30.48</v>
      </c>
      <c r="J641" s="286">
        <v>23.35</v>
      </c>
      <c r="K641" s="304">
        <v>711.71</v>
      </c>
    </row>
    <row r="642" spans="1:22" ht="14.25" x14ac:dyDescent="0.2">
      <c r="A642" s="301"/>
      <c r="B642" s="302"/>
      <c r="C642" s="302" t="s">
        <v>184</v>
      </c>
      <c r="D642" s="303"/>
      <c r="E642" s="286"/>
      <c r="F642" s="321">
        <v>1.69</v>
      </c>
      <c r="G642" s="305" t="s">
        <v>195</v>
      </c>
      <c r="H642" s="286">
        <v>1</v>
      </c>
      <c r="I642" s="304">
        <v>0.68</v>
      </c>
      <c r="J642" s="286">
        <v>9.5</v>
      </c>
      <c r="K642" s="304">
        <v>6.46</v>
      </c>
    </row>
    <row r="643" spans="1:22" ht="14.25" x14ac:dyDescent="0.2">
      <c r="A643" s="301"/>
      <c r="B643" s="302"/>
      <c r="C643" s="302" t="s">
        <v>189</v>
      </c>
      <c r="D643" s="303"/>
      <c r="E643" s="286"/>
      <c r="F643" s="321">
        <v>0.39</v>
      </c>
      <c r="G643" s="305" t="s">
        <v>195</v>
      </c>
      <c r="H643" s="286">
        <v>1</v>
      </c>
      <c r="I643" s="306">
        <v>0.16</v>
      </c>
      <c r="J643" s="286">
        <v>23.35</v>
      </c>
      <c r="K643" s="306">
        <v>3.74</v>
      </c>
    </row>
    <row r="644" spans="1:22" ht="14.25" x14ac:dyDescent="0.2">
      <c r="A644" s="301"/>
      <c r="B644" s="302"/>
      <c r="C644" s="302" t="s">
        <v>205</v>
      </c>
      <c r="D644" s="303"/>
      <c r="E644" s="286"/>
      <c r="F644" s="321">
        <v>9.94</v>
      </c>
      <c r="G644" s="305" t="s">
        <v>195</v>
      </c>
      <c r="H644" s="286">
        <v>1</v>
      </c>
      <c r="I644" s="304">
        <v>3.98</v>
      </c>
      <c r="J644" s="286">
        <v>5.42</v>
      </c>
      <c r="K644" s="304">
        <v>21.57</v>
      </c>
    </row>
    <row r="645" spans="1:22" ht="14.25" x14ac:dyDescent="0.2">
      <c r="A645" s="301"/>
      <c r="B645" s="302"/>
      <c r="C645" s="302" t="s">
        <v>194</v>
      </c>
      <c r="D645" s="303" t="s">
        <v>187</v>
      </c>
      <c r="E645" s="286">
        <v>114</v>
      </c>
      <c r="F645" s="321"/>
      <c r="G645" s="305"/>
      <c r="H645" s="286"/>
      <c r="I645" s="304">
        <v>34.75</v>
      </c>
      <c r="J645" s="286">
        <v>77</v>
      </c>
      <c r="K645" s="304">
        <v>548.02</v>
      </c>
    </row>
    <row r="646" spans="1:22" ht="14.25" x14ac:dyDescent="0.2">
      <c r="A646" s="301"/>
      <c r="B646" s="302"/>
      <c r="C646" s="302" t="s">
        <v>193</v>
      </c>
      <c r="D646" s="303" t="s">
        <v>187</v>
      </c>
      <c r="E646" s="286">
        <v>67</v>
      </c>
      <c r="F646" s="321"/>
      <c r="G646" s="305"/>
      <c r="H646" s="286"/>
      <c r="I646" s="304">
        <v>20.420000000000002</v>
      </c>
      <c r="J646" s="286">
        <v>41</v>
      </c>
      <c r="K646" s="304">
        <v>291.8</v>
      </c>
    </row>
    <row r="647" spans="1:22" ht="14.25" x14ac:dyDescent="0.2">
      <c r="A647" s="301"/>
      <c r="B647" s="302"/>
      <c r="C647" s="302" t="s">
        <v>188</v>
      </c>
      <c r="D647" s="303" t="s">
        <v>187</v>
      </c>
      <c r="E647" s="286">
        <v>175</v>
      </c>
      <c r="F647" s="321"/>
      <c r="G647" s="305"/>
      <c r="H647" s="286"/>
      <c r="I647" s="304">
        <v>0.28000000000000003</v>
      </c>
      <c r="J647" s="286">
        <v>157</v>
      </c>
      <c r="K647" s="304">
        <v>5.87</v>
      </c>
    </row>
    <row r="648" spans="1:22" ht="14.25" x14ac:dyDescent="0.2">
      <c r="A648" s="329"/>
      <c r="B648" s="330"/>
      <c r="C648" s="330" t="s">
        <v>192</v>
      </c>
      <c r="D648" s="331" t="s">
        <v>191</v>
      </c>
      <c r="E648" s="332">
        <v>6.18</v>
      </c>
      <c r="F648" s="333"/>
      <c r="G648" s="334" t="s">
        <v>195</v>
      </c>
      <c r="H648" s="332">
        <v>1</v>
      </c>
      <c r="I648" s="335">
        <v>2.4700000000000002</v>
      </c>
      <c r="J648" s="332"/>
      <c r="K648" s="335"/>
    </row>
    <row r="649" spans="1:22" ht="15" x14ac:dyDescent="0.25">
      <c r="A649" s="336"/>
      <c r="B649" s="336"/>
      <c r="C649" s="337" t="s">
        <v>183</v>
      </c>
      <c r="D649" s="336"/>
      <c r="E649" s="336"/>
      <c r="F649" s="336"/>
      <c r="G649" s="336"/>
      <c r="H649" s="461">
        <v>90.59</v>
      </c>
      <c r="I649" s="461"/>
      <c r="J649" s="461">
        <v>1585.43</v>
      </c>
      <c r="K649" s="461"/>
      <c r="O649" s="163">
        <f>I641+I642+I644+I645+I646+I647</f>
        <v>90.59</v>
      </c>
      <c r="P649" s="163">
        <f>K641+K642+K644+K645+K646+K647</f>
        <v>1585.43</v>
      </c>
    </row>
    <row r="651" spans="1:22" ht="114" x14ac:dyDescent="0.2">
      <c r="A651" s="301" t="s">
        <v>1863</v>
      </c>
      <c r="B651" s="302" t="s">
        <v>3426</v>
      </c>
      <c r="C651" s="302" t="s">
        <v>1254</v>
      </c>
      <c r="D651" s="303" t="s">
        <v>3367</v>
      </c>
      <c r="E651" s="286">
        <v>4.0800000000000003E-2</v>
      </c>
      <c r="F651" s="321">
        <v>8699.83</v>
      </c>
      <c r="G651" s="305" t="s">
        <v>195</v>
      </c>
      <c r="H651" s="286">
        <v>1</v>
      </c>
      <c r="I651" s="304">
        <v>354.95</v>
      </c>
      <c r="J651" s="286">
        <v>13.19</v>
      </c>
      <c r="K651" s="304">
        <v>4681.79</v>
      </c>
      <c r="Q651" s="160">
        <f>[10]Source!X345</f>
        <v>0</v>
      </c>
      <c r="R651" s="160">
        <f>[10]Source!X346</f>
        <v>0</v>
      </c>
      <c r="S651" s="160">
        <f>[10]Source!Y345</f>
        <v>0</v>
      </c>
      <c r="T651" s="160">
        <f>[10]Source!Y346</f>
        <v>0</v>
      </c>
      <c r="U651" s="160">
        <f>ROUND((175/100)*ROUND([10]Source!R345, 2), 2)</f>
        <v>0</v>
      </c>
      <c r="V651" s="160">
        <f>ROUND((157/100)*ROUND([10]Source!R346, 2), 2)</f>
        <v>0</v>
      </c>
    </row>
    <row r="652" spans="1:22" x14ac:dyDescent="0.2">
      <c r="A652" s="358"/>
      <c r="B652" s="358"/>
      <c r="C652" s="359" t="s">
        <v>3427</v>
      </c>
      <c r="D652" s="358"/>
      <c r="E652" s="358"/>
      <c r="F652" s="358"/>
      <c r="G652" s="358"/>
      <c r="H652" s="358"/>
      <c r="I652" s="358"/>
      <c r="J652" s="358"/>
      <c r="K652" s="358"/>
    </row>
    <row r="653" spans="1:22" ht="15" x14ac:dyDescent="0.25">
      <c r="A653" s="336"/>
      <c r="B653" s="336"/>
      <c r="C653" s="337" t="s">
        <v>183</v>
      </c>
      <c r="D653" s="336"/>
      <c r="E653" s="336"/>
      <c r="F653" s="336"/>
      <c r="G653" s="336"/>
      <c r="H653" s="461">
        <v>354.95</v>
      </c>
      <c r="I653" s="461"/>
      <c r="J653" s="461">
        <v>4681.79</v>
      </c>
      <c r="K653" s="461"/>
      <c r="O653" s="163">
        <f>I651</f>
        <v>354.95</v>
      </c>
      <c r="P653" s="163">
        <f>K651</f>
        <v>4681.79</v>
      </c>
    </row>
    <row r="656" spans="1:22" ht="15" x14ac:dyDescent="0.25">
      <c r="A656" s="447" t="s">
        <v>3428</v>
      </c>
      <c r="B656" s="447"/>
      <c r="C656" s="447"/>
      <c r="D656" s="447"/>
      <c r="E656" s="447"/>
      <c r="F656" s="447"/>
      <c r="G656" s="447"/>
      <c r="H656" s="445">
        <v>991261.84</v>
      </c>
      <c r="I656" s="446"/>
      <c r="J656" s="445">
        <v>4395378.33</v>
      </c>
      <c r="K656" s="446"/>
    </row>
    <row r="657" spans="1:22" hidden="1" x14ac:dyDescent="0.2">
      <c r="A657" s="281" t="s">
        <v>182</v>
      </c>
      <c r="I657" s="281">
        <v>0</v>
      </c>
      <c r="J657" s="281">
        <v>0</v>
      </c>
    </row>
    <row r="658" spans="1:22" hidden="1" x14ac:dyDescent="0.2">
      <c r="A658" s="281" t="s">
        <v>181</v>
      </c>
      <c r="I658" s="281">
        <v>0</v>
      </c>
      <c r="J658" s="281">
        <v>0</v>
      </c>
    </row>
    <row r="660" spans="1:22" ht="16.5" x14ac:dyDescent="0.25">
      <c r="A660" s="448" t="s">
        <v>2918</v>
      </c>
      <c r="B660" s="448"/>
      <c r="C660" s="448"/>
      <c r="D660" s="448"/>
      <c r="E660" s="448"/>
      <c r="F660" s="448"/>
      <c r="G660" s="448"/>
      <c r="H660" s="448"/>
      <c r="I660" s="448"/>
      <c r="J660" s="448"/>
      <c r="K660" s="448"/>
    </row>
    <row r="661" spans="1:22" ht="99.75" x14ac:dyDescent="0.2">
      <c r="A661" s="301" t="s">
        <v>1867</v>
      </c>
      <c r="B661" s="302" t="s">
        <v>3429</v>
      </c>
      <c r="C661" s="302" t="s">
        <v>1253</v>
      </c>
      <c r="D661" s="303" t="s">
        <v>3430</v>
      </c>
      <c r="E661" s="286">
        <v>178</v>
      </c>
      <c r="F661" s="321"/>
      <c r="G661" s="305"/>
      <c r="H661" s="286"/>
      <c r="I661" s="304"/>
      <c r="J661" s="286"/>
      <c r="K661" s="304"/>
      <c r="Q661" s="160">
        <f>[10]Source!X382</f>
        <v>608.76</v>
      </c>
      <c r="R661" s="160">
        <f>[10]Source!X383</f>
        <v>12887.86</v>
      </c>
      <c r="S661" s="160">
        <f>[10]Source!Y382</f>
        <v>568.17999999999995</v>
      </c>
      <c r="T661" s="160">
        <f>[10]Source!Y383</f>
        <v>7770.62</v>
      </c>
      <c r="U661" s="160">
        <f>ROUND((175/100)*ROUND([10]Source!R382, 2), 2)</f>
        <v>0</v>
      </c>
      <c r="V661" s="160">
        <f>ROUND((157/100)*ROUND([10]Source!R383, 2), 2)</f>
        <v>0</v>
      </c>
    </row>
    <row r="662" spans="1:22" ht="14.25" x14ac:dyDescent="0.2">
      <c r="A662" s="301"/>
      <c r="B662" s="302"/>
      <c r="C662" s="302" t="s">
        <v>197</v>
      </c>
      <c r="D662" s="303"/>
      <c r="E662" s="286"/>
      <c r="F662" s="321">
        <v>5.7</v>
      </c>
      <c r="G662" s="305" t="s">
        <v>2922</v>
      </c>
      <c r="H662" s="286">
        <v>1</v>
      </c>
      <c r="I662" s="304">
        <v>811.68</v>
      </c>
      <c r="J662" s="286">
        <v>23.35</v>
      </c>
      <c r="K662" s="304">
        <v>18952.73</v>
      </c>
    </row>
    <row r="663" spans="1:22" ht="14.25" x14ac:dyDescent="0.2">
      <c r="A663" s="301"/>
      <c r="B663" s="302"/>
      <c r="C663" s="302" t="s">
        <v>194</v>
      </c>
      <c r="D663" s="303" t="s">
        <v>187</v>
      </c>
      <c r="E663" s="286">
        <v>75</v>
      </c>
      <c r="F663" s="321"/>
      <c r="G663" s="305"/>
      <c r="H663" s="286"/>
      <c r="I663" s="304">
        <v>608.76</v>
      </c>
      <c r="J663" s="286">
        <v>68</v>
      </c>
      <c r="K663" s="304">
        <v>12887.86</v>
      </c>
    </row>
    <row r="664" spans="1:22" ht="14.25" x14ac:dyDescent="0.2">
      <c r="A664" s="301"/>
      <c r="B664" s="302"/>
      <c r="C664" s="302" t="s">
        <v>193</v>
      </c>
      <c r="D664" s="303" t="s">
        <v>187</v>
      </c>
      <c r="E664" s="286">
        <v>70</v>
      </c>
      <c r="F664" s="321"/>
      <c r="G664" s="305"/>
      <c r="H664" s="286"/>
      <c r="I664" s="304">
        <v>568.17999999999995</v>
      </c>
      <c r="J664" s="286">
        <v>41</v>
      </c>
      <c r="K664" s="304">
        <v>7770.62</v>
      </c>
    </row>
    <row r="665" spans="1:22" ht="14.25" x14ac:dyDescent="0.2">
      <c r="A665" s="329"/>
      <c r="B665" s="330"/>
      <c r="C665" s="330" t="s">
        <v>192</v>
      </c>
      <c r="D665" s="331" t="s">
        <v>191</v>
      </c>
      <c r="E665" s="332">
        <v>0.36</v>
      </c>
      <c r="F665" s="333"/>
      <c r="G665" s="334" t="s">
        <v>2922</v>
      </c>
      <c r="H665" s="332">
        <v>1</v>
      </c>
      <c r="I665" s="335">
        <v>51.26</v>
      </c>
      <c r="J665" s="332"/>
      <c r="K665" s="335"/>
    </row>
    <row r="666" spans="1:22" ht="15" x14ac:dyDescent="0.25">
      <c r="A666" s="336"/>
      <c r="B666" s="336"/>
      <c r="C666" s="337" t="s">
        <v>183</v>
      </c>
      <c r="D666" s="336"/>
      <c r="E666" s="336"/>
      <c r="F666" s="336"/>
      <c r="G666" s="336"/>
      <c r="H666" s="461">
        <v>1988.62</v>
      </c>
      <c r="I666" s="461"/>
      <c r="J666" s="461">
        <v>39611.21</v>
      </c>
      <c r="K666" s="461"/>
      <c r="O666" s="163">
        <f>I662+I663+I664</f>
        <v>1988.62</v>
      </c>
      <c r="P666" s="163">
        <f>K662+K663+K664</f>
        <v>39611.21</v>
      </c>
    </row>
    <row r="668" spans="1:22" ht="42.75" x14ac:dyDescent="0.2">
      <c r="A668" s="301" t="s">
        <v>1870</v>
      </c>
      <c r="B668" s="302" t="s">
        <v>3431</v>
      </c>
      <c r="C668" s="302" t="s">
        <v>1252</v>
      </c>
      <c r="D668" s="303" t="s">
        <v>3432</v>
      </c>
      <c r="E668" s="286">
        <v>178</v>
      </c>
      <c r="F668" s="321"/>
      <c r="G668" s="305"/>
      <c r="H668" s="286"/>
      <c r="I668" s="304"/>
      <c r="J668" s="286"/>
      <c r="K668" s="304"/>
      <c r="Q668" s="160">
        <f>[10]Source!X384</f>
        <v>1690.64</v>
      </c>
      <c r="R668" s="160">
        <f>[10]Source!X385</f>
        <v>35792.03</v>
      </c>
      <c r="S668" s="160">
        <f>[10]Source!Y384</f>
        <v>1577.93</v>
      </c>
      <c r="T668" s="160">
        <f>[10]Source!Y385</f>
        <v>21580.49</v>
      </c>
      <c r="U668" s="160">
        <f>ROUND((175/100)*ROUND([10]Source!R384, 2), 2)</f>
        <v>0</v>
      </c>
      <c r="V668" s="160">
        <f>ROUND((157/100)*ROUND([10]Source!R385, 2), 2)</f>
        <v>0</v>
      </c>
    </row>
    <row r="669" spans="1:22" ht="14.25" x14ac:dyDescent="0.2">
      <c r="A669" s="301"/>
      <c r="B669" s="302"/>
      <c r="C669" s="302" t="s">
        <v>197</v>
      </c>
      <c r="D669" s="303"/>
      <c r="E669" s="286"/>
      <c r="F669" s="321">
        <v>15.83</v>
      </c>
      <c r="G669" s="305" t="s">
        <v>2922</v>
      </c>
      <c r="H669" s="286">
        <v>1</v>
      </c>
      <c r="I669" s="304">
        <v>2254.19</v>
      </c>
      <c r="J669" s="286">
        <v>23.35</v>
      </c>
      <c r="K669" s="304">
        <v>52635.34</v>
      </c>
    </row>
    <row r="670" spans="1:22" ht="14.25" x14ac:dyDescent="0.2">
      <c r="A670" s="301"/>
      <c r="B670" s="302"/>
      <c r="C670" s="302" t="s">
        <v>194</v>
      </c>
      <c r="D670" s="303" t="s">
        <v>187</v>
      </c>
      <c r="E670" s="286">
        <v>75</v>
      </c>
      <c r="F670" s="321"/>
      <c r="G670" s="305"/>
      <c r="H670" s="286"/>
      <c r="I670" s="304">
        <v>1690.64</v>
      </c>
      <c r="J670" s="286">
        <v>68</v>
      </c>
      <c r="K670" s="304">
        <v>35792.03</v>
      </c>
    </row>
    <row r="671" spans="1:22" ht="14.25" x14ac:dyDescent="0.2">
      <c r="A671" s="301"/>
      <c r="B671" s="302"/>
      <c r="C671" s="302" t="s">
        <v>193</v>
      </c>
      <c r="D671" s="303" t="s">
        <v>187</v>
      </c>
      <c r="E671" s="286">
        <v>70</v>
      </c>
      <c r="F671" s="321"/>
      <c r="G671" s="305"/>
      <c r="H671" s="286"/>
      <c r="I671" s="304">
        <v>1577.93</v>
      </c>
      <c r="J671" s="286">
        <v>41</v>
      </c>
      <c r="K671" s="304">
        <v>21580.49</v>
      </c>
    </row>
    <row r="672" spans="1:22" ht="14.25" x14ac:dyDescent="0.2">
      <c r="A672" s="329"/>
      <c r="B672" s="330"/>
      <c r="C672" s="330" t="s">
        <v>192</v>
      </c>
      <c r="D672" s="331" t="s">
        <v>191</v>
      </c>
      <c r="E672" s="332">
        <v>1</v>
      </c>
      <c r="F672" s="333"/>
      <c r="G672" s="334" t="s">
        <v>2922</v>
      </c>
      <c r="H672" s="332">
        <v>1</v>
      </c>
      <c r="I672" s="335">
        <v>142.4</v>
      </c>
      <c r="J672" s="332"/>
      <c r="K672" s="335"/>
    </row>
    <row r="673" spans="1:22" ht="15" x14ac:dyDescent="0.25">
      <c r="A673" s="336"/>
      <c r="B673" s="336"/>
      <c r="C673" s="337" t="s">
        <v>183</v>
      </c>
      <c r="D673" s="336"/>
      <c r="E673" s="336"/>
      <c r="F673" s="336"/>
      <c r="G673" s="336"/>
      <c r="H673" s="461">
        <v>5522.76</v>
      </c>
      <c r="I673" s="461"/>
      <c r="J673" s="461">
        <v>110007.86</v>
      </c>
      <c r="K673" s="461"/>
      <c r="O673" s="163">
        <f>I669+I670+I671</f>
        <v>5522.76</v>
      </c>
      <c r="P673" s="163">
        <f>K669+K670+K671</f>
        <v>110007.86</v>
      </c>
    </row>
    <row r="675" spans="1:22" ht="42.75" x14ac:dyDescent="0.2">
      <c r="A675" s="301" t="s">
        <v>1877</v>
      </c>
      <c r="B675" s="302" t="s">
        <v>3433</v>
      </c>
      <c r="C675" s="302" t="s">
        <v>1251</v>
      </c>
      <c r="D675" s="303" t="s">
        <v>3434</v>
      </c>
      <c r="E675" s="286">
        <v>190</v>
      </c>
      <c r="F675" s="321"/>
      <c r="G675" s="305"/>
      <c r="H675" s="286"/>
      <c r="I675" s="304"/>
      <c r="J675" s="286"/>
      <c r="K675" s="304"/>
      <c r="Q675" s="160">
        <f>[10]Source!X386</f>
        <v>270.18</v>
      </c>
      <c r="R675" s="160">
        <f>[10]Source!X387</f>
        <v>5719.89</v>
      </c>
      <c r="S675" s="160">
        <f>[10]Source!Y386</f>
        <v>252.17</v>
      </c>
      <c r="T675" s="160">
        <f>[10]Source!Y387</f>
        <v>3448.76</v>
      </c>
      <c r="U675" s="160">
        <f>ROUND((175/100)*ROUND([10]Source!R386, 2), 2)</f>
        <v>0</v>
      </c>
      <c r="V675" s="160">
        <f>ROUND((157/100)*ROUND([10]Source!R387, 2), 2)</f>
        <v>0</v>
      </c>
    </row>
    <row r="676" spans="1:22" x14ac:dyDescent="0.2">
      <c r="C676" s="316" t="s">
        <v>3435</v>
      </c>
    </row>
    <row r="677" spans="1:22" ht="14.25" x14ac:dyDescent="0.2">
      <c r="A677" s="301"/>
      <c r="B677" s="302"/>
      <c r="C677" s="302" t="s">
        <v>197</v>
      </c>
      <c r="D677" s="303"/>
      <c r="E677" s="286"/>
      <c r="F677" s="321">
        <v>2.37</v>
      </c>
      <c r="G677" s="305" t="s">
        <v>2922</v>
      </c>
      <c r="H677" s="286">
        <v>1</v>
      </c>
      <c r="I677" s="304">
        <v>360.24</v>
      </c>
      <c r="J677" s="286">
        <v>23.35</v>
      </c>
      <c r="K677" s="304">
        <v>8411.6</v>
      </c>
    </row>
    <row r="678" spans="1:22" ht="14.25" x14ac:dyDescent="0.2">
      <c r="A678" s="301"/>
      <c r="B678" s="302"/>
      <c r="C678" s="302" t="s">
        <v>194</v>
      </c>
      <c r="D678" s="303" t="s">
        <v>187</v>
      </c>
      <c r="E678" s="286">
        <v>75</v>
      </c>
      <c r="F678" s="321"/>
      <c r="G678" s="305"/>
      <c r="H678" s="286"/>
      <c r="I678" s="304">
        <v>270.18</v>
      </c>
      <c r="J678" s="286">
        <v>68</v>
      </c>
      <c r="K678" s="304">
        <v>5719.89</v>
      </c>
    </row>
    <row r="679" spans="1:22" ht="14.25" x14ac:dyDescent="0.2">
      <c r="A679" s="301"/>
      <c r="B679" s="302"/>
      <c r="C679" s="302" t="s">
        <v>193</v>
      </c>
      <c r="D679" s="303" t="s">
        <v>187</v>
      </c>
      <c r="E679" s="286">
        <v>70</v>
      </c>
      <c r="F679" s="321"/>
      <c r="G679" s="305"/>
      <c r="H679" s="286"/>
      <c r="I679" s="304">
        <v>252.17</v>
      </c>
      <c r="J679" s="286">
        <v>41</v>
      </c>
      <c r="K679" s="304">
        <v>3448.76</v>
      </c>
    </row>
    <row r="680" spans="1:22" ht="14.25" x14ac:dyDescent="0.2">
      <c r="A680" s="329"/>
      <c r="B680" s="330"/>
      <c r="C680" s="330" t="s">
        <v>192</v>
      </c>
      <c r="D680" s="331" t="s">
        <v>191</v>
      </c>
      <c r="E680" s="332">
        <v>0.15</v>
      </c>
      <c r="F680" s="333"/>
      <c r="G680" s="334" t="s">
        <v>2922</v>
      </c>
      <c r="H680" s="332">
        <v>1</v>
      </c>
      <c r="I680" s="335">
        <v>22.8</v>
      </c>
      <c r="J680" s="332"/>
      <c r="K680" s="335"/>
    </row>
    <row r="681" spans="1:22" ht="15" x14ac:dyDescent="0.25">
      <c r="A681" s="336"/>
      <c r="B681" s="336"/>
      <c r="C681" s="337" t="s">
        <v>183</v>
      </c>
      <c r="D681" s="336"/>
      <c r="E681" s="336"/>
      <c r="F681" s="336"/>
      <c r="G681" s="336"/>
      <c r="H681" s="461">
        <v>882.59</v>
      </c>
      <c r="I681" s="461"/>
      <c r="J681" s="461">
        <v>17580.25</v>
      </c>
      <c r="K681" s="461"/>
      <c r="O681" s="163">
        <f>I677+I678+I679</f>
        <v>882.59</v>
      </c>
      <c r="P681" s="163">
        <f>K677+K678+K679</f>
        <v>17580.25</v>
      </c>
    </row>
    <row r="683" spans="1:22" ht="28.5" x14ac:dyDescent="0.2">
      <c r="A683" s="301" t="s">
        <v>1889</v>
      </c>
      <c r="B683" s="302" t="s">
        <v>3436</v>
      </c>
      <c r="C683" s="302" t="s">
        <v>1250</v>
      </c>
      <c r="D683" s="303" t="s">
        <v>3430</v>
      </c>
      <c r="E683" s="286">
        <v>1</v>
      </c>
      <c r="F683" s="321"/>
      <c r="G683" s="305"/>
      <c r="H683" s="286"/>
      <c r="I683" s="304"/>
      <c r="J683" s="286"/>
      <c r="K683" s="304"/>
      <c r="Q683" s="160">
        <f>[10]Source!X388</f>
        <v>132.94999999999999</v>
      </c>
      <c r="R683" s="160">
        <f>[10]Source!X389</f>
        <v>2814.53</v>
      </c>
      <c r="S683" s="160">
        <f>[10]Source!Y388</f>
        <v>124.08</v>
      </c>
      <c r="T683" s="160">
        <f>[10]Source!Y389</f>
        <v>1697</v>
      </c>
      <c r="U683" s="160">
        <f>ROUND((175/100)*ROUND([10]Source!R388, 2), 2)</f>
        <v>0</v>
      </c>
      <c r="V683" s="160">
        <f>ROUND((157/100)*ROUND([10]Source!R389, 2), 2)</f>
        <v>0</v>
      </c>
    </row>
    <row r="684" spans="1:22" ht="14.25" x14ac:dyDescent="0.2">
      <c r="A684" s="301"/>
      <c r="B684" s="302"/>
      <c r="C684" s="302" t="s">
        <v>197</v>
      </c>
      <c r="D684" s="303"/>
      <c r="E684" s="286"/>
      <c r="F684" s="321">
        <v>221.58</v>
      </c>
      <c r="G684" s="305" t="s">
        <v>2922</v>
      </c>
      <c r="H684" s="286">
        <v>1</v>
      </c>
      <c r="I684" s="304">
        <v>177.26</v>
      </c>
      <c r="J684" s="286">
        <v>23.35</v>
      </c>
      <c r="K684" s="304">
        <v>4139.0200000000004</v>
      </c>
    </row>
    <row r="685" spans="1:22" ht="14.25" x14ac:dyDescent="0.2">
      <c r="A685" s="301"/>
      <c r="B685" s="302"/>
      <c r="C685" s="302" t="s">
        <v>194</v>
      </c>
      <c r="D685" s="303" t="s">
        <v>187</v>
      </c>
      <c r="E685" s="286">
        <v>75</v>
      </c>
      <c r="F685" s="321"/>
      <c r="G685" s="305"/>
      <c r="H685" s="286"/>
      <c r="I685" s="304">
        <v>132.94999999999999</v>
      </c>
      <c r="J685" s="286">
        <v>68</v>
      </c>
      <c r="K685" s="304">
        <v>2814.53</v>
      </c>
    </row>
    <row r="686" spans="1:22" ht="14.25" x14ac:dyDescent="0.2">
      <c r="A686" s="301"/>
      <c r="B686" s="302"/>
      <c r="C686" s="302" t="s">
        <v>193</v>
      </c>
      <c r="D686" s="303" t="s">
        <v>187</v>
      </c>
      <c r="E686" s="286">
        <v>70</v>
      </c>
      <c r="F686" s="321"/>
      <c r="G686" s="305"/>
      <c r="H686" s="286"/>
      <c r="I686" s="304">
        <v>124.08</v>
      </c>
      <c r="J686" s="286">
        <v>41</v>
      </c>
      <c r="K686" s="304">
        <v>1697</v>
      </c>
    </row>
    <row r="687" spans="1:22" ht="14.25" x14ac:dyDescent="0.2">
      <c r="A687" s="329"/>
      <c r="B687" s="330"/>
      <c r="C687" s="330" t="s">
        <v>192</v>
      </c>
      <c r="D687" s="331" t="s">
        <v>191</v>
      </c>
      <c r="E687" s="332">
        <v>14</v>
      </c>
      <c r="F687" s="333"/>
      <c r="G687" s="334" t="s">
        <v>2922</v>
      </c>
      <c r="H687" s="332">
        <v>1</v>
      </c>
      <c r="I687" s="335">
        <v>11.2</v>
      </c>
      <c r="J687" s="332"/>
      <c r="K687" s="335"/>
    </row>
    <row r="688" spans="1:22" ht="15" x14ac:dyDescent="0.25">
      <c r="A688" s="336"/>
      <c r="B688" s="336"/>
      <c r="C688" s="337" t="s">
        <v>183</v>
      </c>
      <c r="D688" s="336"/>
      <c r="E688" s="336"/>
      <c r="F688" s="336"/>
      <c r="G688" s="336"/>
      <c r="H688" s="461">
        <v>434.29</v>
      </c>
      <c r="I688" s="461"/>
      <c r="J688" s="461">
        <v>8650.5499999999993</v>
      </c>
      <c r="K688" s="461"/>
      <c r="O688" s="163">
        <f>I684+I685+I686</f>
        <v>434.29</v>
      </c>
      <c r="P688" s="163">
        <f>K684+K685+K686</f>
        <v>8650.5499999999993</v>
      </c>
    </row>
    <row r="691" spans="1:11" ht="15" x14ac:dyDescent="0.25">
      <c r="A691" s="447" t="s">
        <v>2929</v>
      </c>
      <c r="B691" s="447"/>
      <c r="C691" s="447"/>
      <c r="D691" s="447"/>
      <c r="E691" s="447"/>
      <c r="F691" s="447"/>
      <c r="G691" s="447"/>
      <c r="H691" s="445">
        <v>8828.26</v>
      </c>
      <c r="I691" s="446"/>
      <c r="J691" s="445">
        <v>175849.87</v>
      </c>
      <c r="K691" s="446"/>
    </row>
    <row r="692" spans="1:11" hidden="1" x14ac:dyDescent="0.2">
      <c r="A692" s="281" t="s">
        <v>182</v>
      </c>
      <c r="I692" s="281">
        <v>0</v>
      </c>
      <c r="J692" s="281">
        <v>0</v>
      </c>
    </row>
    <row r="693" spans="1:11" hidden="1" x14ac:dyDescent="0.2">
      <c r="A693" s="281" t="s">
        <v>181</v>
      </c>
      <c r="I693" s="281">
        <v>0</v>
      </c>
      <c r="J693" s="281">
        <v>0</v>
      </c>
    </row>
    <row r="695" spans="1:11" ht="15" x14ac:dyDescent="0.25">
      <c r="A695" s="447" t="s">
        <v>3437</v>
      </c>
      <c r="B695" s="447"/>
      <c r="C695" s="447"/>
      <c r="D695" s="447"/>
      <c r="E695" s="447"/>
      <c r="F695" s="447"/>
      <c r="G695" s="447"/>
      <c r="H695" s="445">
        <v>1751894.91</v>
      </c>
      <c r="I695" s="446"/>
      <c r="J695" s="445">
        <v>8523746</v>
      </c>
      <c r="K695" s="446"/>
    </row>
    <row r="696" spans="1:11" hidden="1" x14ac:dyDescent="0.2">
      <c r="A696" s="281" t="s">
        <v>182</v>
      </c>
      <c r="I696" s="281">
        <v>0</v>
      </c>
      <c r="J696" s="281">
        <v>0</v>
      </c>
    </row>
    <row r="697" spans="1:11" hidden="1" x14ac:dyDescent="0.2">
      <c r="A697" s="281" t="s">
        <v>181</v>
      </c>
      <c r="I697" s="281">
        <v>0</v>
      </c>
      <c r="J697" s="281">
        <v>0</v>
      </c>
    </row>
    <row r="698" spans="1:11" ht="14.25" x14ac:dyDescent="0.2">
      <c r="C698" s="442" t="s">
        <v>1920</v>
      </c>
      <c r="D698" s="442"/>
      <c r="E698" s="442"/>
      <c r="F698" s="442"/>
      <c r="G698" s="442"/>
      <c r="H698" s="443">
        <v>1702284.29</v>
      </c>
      <c r="I698" s="443"/>
      <c r="J698" s="443">
        <v>7749268.0899999999</v>
      </c>
      <c r="K698" s="443"/>
    </row>
    <row r="699" spans="1:11" ht="14.25" x14ac:dyDescent="0.2">
      <c r="C699" s="442" t="s">
        <v>1933</v>
      </c>
      <c r="D699" s="442"/>
      <c r="E699" s="442"/>
      <c r="F699" s="442"/>
      <c r="G699" s="442"/>
      <c r="H699" s="443">
        <v>1669569.81</v>
      </c>
      <c r="I699" s="443"/>
      <c r="J699" s="443">
        <v>7067556.3399999999</v>
      </c>
      <c r="K699" s="443"/>
    </row>
    <row r="700" spans="1:11" ht="14.25" x14ac:dyDescent="0.2">
      <c r="C700" s="442" t="s">
        <v>1934</v>
      </c>
      <c r="D700" s="442"/>
      <c r="E700" s="442"/>
      <c r="F700" s="442"/>
      <c r="G700" s="442"/>
      <c r="H700" s="443">
        <v>823106.98</v>
      </c>
      <c r="I700" s="443"/>
      <c r="J700" s="443">
        <v>3374484.98</v>
      </c>
      <c r="K700" s="443"/>
    </row>
    <row r="701" spans="1:11" ht="14.25" x14ac:dyDescent="0.2">
      <c r="C701" s="442" t="s">
        <v>1935</v>
      </c>
      <c r="D701" s="442"/>
      <c r="E701" s="442"/>
      <c r="F701" s="442"/>
      <c r="G701" s="442"/>
      <c r="H701" s="443">
        <v>846462.83</v>
      </c>
      <c r="I701" s="443"/>
      <c r="J701" s="443">
        <v>3693071.36</v>
      </c>
      <c r="K701" s="443"/>
    </row>
    <row r="702" spans="1:11" ht="14.25" x14ac:dyDescent="0.2">
      <c r="C702" s="442" t="s">
        <v>1938</v>
      </c>
      <c r="D702" s="442"/>
      <c r="E702" s="442"/>
      <c r="F702" s="442"/>
      <c r="G702" s="442"/>
      <c r="H702" s="443">
        <v>27440.81</v>
      </c>
      <c r="I702" s="443"/>
      <c r="J702" s="443">
        <v>640742.93999999994</v>
      </c>
      <c r="K702" s="443"/>
    </row>
    <row r="703" spans="1:11" ht="14.25" x14ac:dyDescent="0.2">
      <c r="C703" s="442" t="s">
        <v>1939</v>
      </c>
      <c r="D703" s="442"/>
      <c r="E703" s="442"/>
      <c r="F703" s="442"/>
      <c r="G703" s="442"/>
      <c r="H703" s="443">
        <v>5428.54</v>
      </c>
      <c r="I703" s="443"/>
      <c r="J703" s="443">
        <v>28069.5</v>
      </c>
      <c r="K703" s="443"/>
    </row>
    <row r="704" spans="1:11" ht="14.25" x14ac:dyDescent="0.2">
      <c r="C704" s="442" t="s">
        <v>1940</v>
      </c>
      <c r="D704" s="442"/>
      <c r="E704" s="442"/>
      <c r="F704" s="442"/>
      <c r="G704" s="442"/>
      <c r="H704" s="443">
        <v>891175.28</v>
      </c>
      <c r="I704" s="443"/>
      <c r="J704" s="443">
        <v>4626755.2699999996</v>
      </c>
      <c r="K704" s="443"/>
    </row>
    <row r="705" spans="1:11" ht="14.25" x14ac:dyDescent="0.2">
      <c r="C705" s="442" t="s">
        <v>1941</v>
      </c>
      <c r="D705" s="442"/>
      <c r="E705" s="442"/>
      <c r="F705" s="442"/>
      <c r="G705" s="442"/>
      <c r="H705" s="443">
        <v>8828.26</v>
      </c>
      <c r="I705" s="443"/>
      <c r="J705" s="443">
        <v>175849.87</v>
      </c>
      <c r="K705" s="443"/>
    </row>
    <row r="706" spans="1:11" ht="14.25" x14ac:dyDescent="0.2">
      <c r="C706" s="442" t="s">
        <v>1942</v>
      </c>
      <c r="D706" s="442"/>
      <c r="E706" s="442"/>
      <c r="F706" s="442"/>
      <c r="G706" s="442"/>
      <c r="H706" s="443">
        <v>29877.24</v>
      </c>
      <c r="I706" s="443"/>
      <c r="J706" s="443">
        <v>485799.59</v>
      </c>
      <c r="K706" s="443"/>
    </row>
    <row r="707" spans="1:11" ht="14.25" x14ac:dyDescent="0.2">
      <c r="C707" s="442" t="s">
        <v>1943</v>
      </c>
      <c r="D707" s="442"/>
      <c r="E707" s="442"/>
      <c r="F707" s="442"/>
      <c r="G707" s="442"/>
      <c r="H707" s="443">
        <v>18493.43</v>
      </c>
      <c r="I707" s="443"/>
      <c r="J707" s="443">
        <v>262704.61</v>
      </c>
      <c r="K707" s="443"/>
    </row>
    <row r="708" spans="1:11" ht="14.25" x14ac:dyDescent="0.2">
      <c r="C708" s="442" t="s">
        <v>1944</v>
      </c>
      <c r="D708" s="442"/>
      <c r="E708" s="442"/>
      <c r="F708" s="442"/>
      <c r="G708" s="442"/>
      <c r="H708" s="443">
        <v>1751894.91</v>
      </c>
      <c r="I708" s="443"/>
      <c r="J708" s="443">
        <v>8523746</v>
      </c>
      <c r="K708" s="443"/>
    </row>
    <row r="711" spans="1:11" ht="14.25" x14ac:dyDescent="0.2">
      <c r="A711" s="440" t="s">
        <v>180</v>
      </c>
      <c r="B711" s="440"/>
      <c r="C711" s="347" t="s">
        <v>107</v>
      </c>
      <c r="D711" s="347"/>
      <c r="E711" s="347"/>
      <c r="F711" s="347"/>
      <c r="G711" s="347"/>
      <c r="H711" s="287" t="s">
        <v>107</v>
      </c>
      <c r="I711" s="287"/>
      <c r="J711" s="287"/>
      <c r="K711" s="287"/>
    </row>
    <row r="712" spans="1:11" ht="14.25" x14ac:dyDescent="0.2">
      <c r="A712" s="287"/>
      <c r="B712" s="287"/>
      <c r="C712" s="460" t="s">
        <v>72</v>
      </c>
      <c r="D712" s="460"/>
      <c r="E712" s="460"/>
      <c r="F712" s="460"/>
      <c r="G712" s="460"/>
      <c r="H712" s="287"/>
      <c r="I712" s="287"/>
      <c r="J712" s="287"/>
      <c r="K712" s="287"/>
    </row>
    <row r="713" spans="1:11" ht="14.25" x14ac:dyDescent="0.2">
      <c r="A713" s="287"/>
      <c r="B713" s="287"/>
      <c r="C713" s="287"/>
      <c r="D713" s="287"/>
      <c r="E713" s="287"/>
      <c r="F713" s="287"/>
      <c r="G713" s="287"/>
      <c r="H713" s="287"/>
      <c r="I713" s="287"/>
      <c r="J713" s="287"/>
      <c r="K713" s="287"/>
    </row>
    <row r="714" spans="1:11" ht="14.25" x14ac:dyDescent="0.2">
      <c r="A714" s="440" t="s">
        <v>179</v>
      </c>
      <c r="B714" s="440"/>
      <c r="C714" s="347" t="s">
        <v>107</v>
      </c>
      <c r="D714" s="347"/>
      <c r="E714" s="347"/>
      <c r="F714" s="347"/>
      <c r="G714" s="347"/>
      <c r="H714" s="287" t="s">
        <v>107</v>
      </c>
      <c r="I714" s="287"/>
      <c r="J714" s="287"/>
      <c r="K714" s="287"/>
    </row>
    <row r="715" spans="1:11" ht="14.25" x14ac:dyDescent="0.2">
      <c r="A715" s="287"/>
      <c r="B715" s="287"/>
      <c r="C715" s="460" t="s">
        <v>72</v>
      </c>
      <c r="D715" s="460"/>
      <c r="E715" s="460"/>
      <c r="F715" s="460"/>
      <c r="G715" s="460"/>
      <c r="H715" s="287"/>
      <c r="I715" s="287"/>
      <c r="J715" s="287"/>
      <c r="K715" s="287"/>
    </row>
  </sheetData>
  <mergeCells count="233"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36:K36"/>
    <mergeCell ref="J49:K49"/>
    <mergeCell ref="H49:I49"/>
    <mergeCell ref="J62:K62"/>
    <mergeCell ref="H62:I62"/>
    <mergeCell ref="J74:K74"/>
    <mergeCell ref="H74:I74"/>
    <mergeCell ref="J77:K77"/>
    <mergeCell ref="H77:I77"/>
    <mergeCell ref="A77:G77"/>
    <mergeCell ref="A81:K81"/>
    <mergeCell ref="J94:K94"/>
    <mergeCell ref="H94:I94"/>
    <mergeCell ref="J107:K107"/>
    <mergeCell ref="H107:I107"/>
    <mergeCell ref="J121:K121"/>
    <mergeCell ref="H121:I121"/>
    <mergeCell ref="J125:K125"/>
    <mergeCell ref="H125:I125"/>
    <mergeCell ref="J129:K129"/>
    <mergeCell ref="H129:I129"/>
    <mergeCell ref="J132:K132"/>
    <mergeCell ref="H132:I132"/>
    <mergeCell ref="J146:K146"/>
    <mergeCell ref="H146:I146"/>
    <mergeCell ref="J159:K159"/>
    <mergeCell ref="H159:I159"/>
    <mergeCell ref="J172:K172"/>
    <mergeCell ref="H172:I172"/>
    <mergeCell ref="J185:K185"/>
    <mergeCell ref="H185:I185"/>
    <mergeCell ref="J198:K198"/>
    <mergeCell ref="H198:I198"/>
    <mergeCell ref="J211:K211"/>
    <mergeCell ref="H211:I211"/>
    <mergeCell ref="J225:K225"/>
    <mergeCell ref="H225:I225"/>
    <mergeCell ref="J239:K239"/>
    <mergeCell ref="H239:I239"/>
    <mergeCell ref="J242:K242"/>
    <mergeCell ref="H242:I242"/>
    <mergeCell ref="A242:G242"/>
    <mergeCell ref="A246:K246"/>
    <mergeCell ref="J258:K258"/>
    <mergeCell ref="H258:I258"/>
    <mergeCell ref="J271:K271"/>
    <mergeCell ref="H271:I271"/>
    <mergeCell ref="J285:K285"/>
    <mergeCell ref="H285:I285"/>
    <mergeCell ref="J297:K297"/>
    <mergeCell ref="H297:I297"/>
    <mergeCell ref="J309:K309"/>
    <mergeCell ref="H309:I309"/>
    <mergeCell ref="J321:K321"/>
    <mergeCell ref="H321:I321"/>
    <mergeCell ref="J333:K333"/>
    <mergeCell ref="H333:I333"/>
    <mergeCell ref="J345:K345"/>
    <mergeCell ref="H345:I345"/>
    <mergeCell ref="J357:K357"/>
    <mergeCell ref="H357:I357"/>
    <mergeCell ref="J369:K369"/>
    <mergeCell ref="H369:I369"/>
    <mergeCell ref="J381:K381"/>
    <mergeCell ref="H381:I381"/>
    <mergeCell ref="J393:K393"/>
    <mergeCell ref="H393:I393"/>
    <mergeCell ref="J397:K397"/>
    <mergeCell ref="H397:I397"/>
    <mergeCell ref="J401:K401"/>
    <mergeCell ref="H401:I401"/>
    <mergeCell ref="J405:K405"/>
    <mergeCell ref="H405:I405"/>
    <mergeCell ref="J409:K409"/>
    <mergeCell ref="H409:I409"/>
    <mergeCell ref="J413:K413"/>
    <mergeCell ref="H413:I413"/>
    <mergeCell ref="J417:K417"/>
    <mergeCell ref="H417:I417"/>
    <mergeCell ref="J421:K421"/>
    <mergeCell ref="H421:I421"/>
    <mergeCell ref="J425:K425"/>
    <mergeCell ref="H425:I425"/>
    <mergeCell ref="J429:K429"/>
    <mergeCell ref="H429:I429"/>
    <mergeCell ref="J433:K433"/>
    <mergeCell ref="H433:I433"/>
    <mergeCell ref="J436:K436"/>
    <mergeCell ref="H436:I436"/>
    <mergeCell ref="J440:K440"/>
    <mergeCell ref="H440:I440"/>
    <mergeCell ref="J444:K444"/>
    <mergeCell ref="H444:I444"/>
    <mergeCell ref="J447:K447"/>
    <mergeCell ref="H447:I447"/>
    <mergeCell ref="A447:G447"/>
    <mergeCell ref="A451:K451"/>
    <mergeCell ref="J461:K461"/>
    <mergeCell ref="H461:I461"/>
    <mergeCell ref="J464:K464"/>
    <mergeCell ref="H464:I464"/>
    <mergeCell ref="J467:K467"/>
    <mergeCell ref="H467:I467"/>
    <mergeCell ref="J478:K478"/>
    <mergeCell ref="H478:I478"/>
    <mergeCell ref="J489:K489"/>
    <mergeCell ref="H489:I489"/>
    <mergeCell ref="J500:K500"/>
    <mergeCell ref="H500:I500"/>
    <mergeCell ref="J504:K504"/>
    <mergeCell ref="H504:I504"/>
    <mergeCell ref="J508:K508"/>
    <mergeCell ref="H508:I508"/>
    <mergeCell ref="J511:K511"/>
    <mergeCell ref="H511:I511"/>
    <mergeCell ref="J514:K514"/>
    <mergeCell ref="H514:I514"/>
    <mergeCell ref="J518:K518"/>
    <mergeCell ref="H518:I518"/>
    <mergeCell ref="J522:K522"/>
    <mergeCell ref="H522:I522"/>
    <mergeCell ref="J533:K533"/>
    <mergeCell ref="H533:I533"/>
    <mergeCell ref="J546:K546"/>
    <mergeCell ref="H546:I546"/>
    <mergeCell ref="J559:K559"/>
    <mergeCell ref="H559:I559"/>
    <mergeCell ref="J570:K570"/>
    <mergeCell ref="H570:I570"/>
    <mergeCell ref="J573:K573"/>
    <mergeCell ref="H573:I573"/>
    <mergeCell ref="J576:K576"/>
    <mergeCell ref="H576:I576"/>
    <mergeCell ref="J579:K579"/>
    <mergeCell ref="H579:I579"/>
    <mergeCell ref="J590:K590"/>
    <mergeCell ref="H590:I590"/>
    <mergeCell ref="J594:K594"/>
    <mergeCell ref="H594:I594"/>
    <mergeCell ref="J605:K605"/>
    <mergeCell ref="H605:I605"/>
    <mergeCell ref="J608:K608"/>
    <mergeCell ref="H608:I608"/>
    <mergeCell ref="J619:K619"/>
    <mergeCell ref="H619:I619"/>
    <mergeCell ref="J622:K622"/>
    <mergeCell ref="H622:I622"/>
    <mergeCell ref="J634:K634"/>
    <mergeCell ref="H634:I634"/>
    <mergeCell ref="J637:K637"/>
    <mergeCell ref="H637:I637"/>
    <mergeCell ref="J649:K649"/>
    <mergeCell ref="H649:I649"/>
    <mergeCell ref="J653:K653"/>
    <mergeCell ref="H653:I653"/>
    <mergeCell ref="J656:K656"/>
    <mergeCell ref="H656:I656"/>
    <mergeCell ref="A656:G656"/>
    <mergeCell ref="A660:K660"/>
    <mergeCell ref="J666:K666"/>
    <mergeCell ref="H666:I666"/>
    <mergeCell ref="J673:K673"/>
    <mergeCell ref="H673:I673"/>
    <mergeCell ref="J681:K681"/>
    <mergeCell ref="H681:I681"/>
    <mergeCell ref="J688:K688"/>
    <mergeCell ref="H688:I688"/>
    <mergeCell ref="J691:K691"/>
    <mergeCell ref="H691:I691"/>
    <mergeCell ref="A691:G691"/>
    <mergeCell ref="J695:K695"/>
    <mergeCell ref="H695:I695"/>
    <mergeCell ref="A695:G695"/>
    <mergeCell ref="C698:G698"/>
    <mergeCell ref="H698:I698"/>
    <mergeCell ref="J698:K698"/>
    <mergeCell ref="C699:G699"/>
    <mergeCell ref="H699:I699"/>
    <mergeCell ref="J699:K699"/>
    <mergeCell ref="C700:G700"/>
    <mergeCell ref="H700:I700"/>
    <mergeCell ref="J700:K700"/>
    <mergeCell ref="C701:G701"/>
    <mergeCell ref="H701:I701"/>
    <mergeCell ref="J701:K701"/>
    <mergeCell ref="C705:G705"/>
    <mergeCell ref="H705:I705"/>
    <mergeCell ref="J705:K705"/>
    <mergeCell ref="C706:G706"/>
    <mergeCell ref="H706:I706"/>
    <mergeCell ref="J706:K706"/>
    <mergeCell ref="C702:G702"/>
    <mergeCell ref="H702:I702"/>
    <mergeCell ref="J702:K702"/>
    <mergeCell ref="C703:G703"/>
    <mergeCell ref="H703:I703"/>
    <mergeCell ref="J703:K703"/>
    <mergeCell ref="C704:G704"/>
    <mergeCell ref="H704:I704"/>
    <mergeCell ref="J704:K704"/>
    <mergeCell ref="A711:B711"/>
    <mergeCell ref="C712:G712"/>
    <mergeCell ref="A714:B714"/>
    <mergeCell ref="C715:G715"/>
    <mergeCell ref="C707:G707"/>
    <mergeCell ref="H707:I707"/>
    <mergeCell ref="J707:K707"/>
    <mergeCell ref="C708:G708"/>
    <mergeCell ref="H708:I708"/>
    <mergeCell ref="J708:K708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L380"/>
  <sheetViews>
    <sheetView zoomScaleNormal="100" workbookViewId="0">
      <selection sqref="A1:AL1048576"/>
    </sheetView>
  </sheetViews>
  <sheetFormatPr defaultColWidth="9.140625" defaultRowHeight="12.75" x14ac:dyDescent="0.2"/>
  <cols>
    <col min="1" max="1" width="5.7109375" style="281" customWidth="1"/>
    <col min="2" max="2" width="11.7109375" style="281" customWidth="1"/>
    <col min="3" max="3" width="40.7109375" style="281" customWidth="1"/>
    <col min="4" max="6" width="11.7109375" style="281" customWidth="1"/>
    <col min="7" max="7" width="12.7109375" style="281" customWidth="1"/>
    <col min="8" max="8" width="10.7109375" style="281" customWidth="1"/>
    <col min="9" max="11" width="12.7109375" style="281" customWidth="1"/>
    <col min="12" max="14" width="9.140625" style="281"/>
    <col min="15" max="30" width="0" style="281" hidden="1" customWidth="1"/>
    <col min="31" max="31" width="150.7109375" style="281" hidden="1" customWidth="1"/>
    <col min="32" max="32" width="104.7109375" style="281" hidden="1" customWidth="1"/>
    <col min="33" max="36" width="0" style="281" hidden="1" customWidth="1"/>
    <col min="37" max="38" width="9.140625" style="281"/>
    <col min="39" max="16384" width="9.140625" style="160"/>
  </cols>
  <sheetData>
    <row r="1" spans="1:31" x14ac:dyDescent="0.2">
      <c r="A1" s="285" t="s">
        <v>1523</v>
      </c>
    </row>
    <row r="2" spans="1:31" ht="14.25" x14ac:dyDescent="0.2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7" t="s">
        <v>381</v>
      </c>
    </row>
    <row r="3" spans="1:31" ht="16.5" x14ac:dyDescent="0.25">
      <c r="A3" s="288"/>
      <c r="B3" s="458" t="s">
        <v>380</v>
      </c>
      <c r="C3" s="458"/>
      <c r="D3" s="458"/>
      <c r="E3" s="458"/>
      <c r="F3" s="287"/>
      <c r="G3" s="458" t="s">
        <v>0</v>
      </c>
      <c r="H3" s="458"/>
      <c r="I3" s="458"/>
      <c r="J3" s="458"/>
      <c r="K3" s="458"/>
    </row>
    <row r="4" spans="1:31" ht="14.25" x14ac:dyDescent="0.2">
      <c r="A4" s="287"/>
      <c r="B4" s="450"/>
      <c r="C4" s="450"/>
      <c r="D4" s="450"/>
      <c r="E4" s="450"/>
      <c r="F4" s="287"/>
      <c r="G4" s="450"/>
      <c r="H4" s="450"/>
      <c r="I4" s="450"/>
      <c r="J4" s="450"/>
      <c r="K4" s="450"/>
    </row>
    <row r="5" spans="1:31" ht="14.25" x14ac:dyDescent="0.2">
      <c r="A5" s="289"/>
      <c r="B5" s="289"/>
      <c r="C5" s="290"/>
      <c r="D5" s="290"/>
      <c r="E5" s="290"/>
      <c r="F5" s="287"/>
      <c r="G5" s="188"/>
      <c r="H5" s="290"/>
      <c r="I5" s="290"/>
      <c r="J5" s="290"/>
      <c r="K5" s="188"/>
    </row>
    <row r="6" spans="1:31" ht="14.25" x14ac:dyDescent="0.2">
      <c r="A6" s="188"/>
      <c r="B6" s="450" t="s">
        <v>1524</v>
      </c>
      <c r="C6" s="450"/>
      <c r="D6" s="450"/>
      <c r="E6" s="450"/>
      <c r="F6" s="287"/>
      <c r="G6" s="450" t="s">
        <v>1524</v>
      </c>
      <c r="H6" s="450"/>
      <c r="I6" s="450"/>
      <c r="J6" s="450"/>
      <c r="K6" s="450"/>
    </row>
    <row r="7" spans="1:31" ht="14.25" x14ac:dyDescent="0.2">
      <c r="A7" s="291"/>
      <c r="B7" s="459" t="s">
        <v>379</v>
      </c>
      <c r="C7" s="459"/>
      <c r="D7" s="459"/>
      <c r="E7" s="459"/>
      <c r="F7" s="287"/>
      <c r="G7" s="459" t="s">
        <v>379</v>
      </c>
      <c r="H7" s="459"/>
      <c r="I7" s="459"/>
      <c r="J7" s="459"/>
      <c r="K7" s="459"/>
    </row>
    <row r="9" spans="1:31" ht="14.25" x14ac:dyDescent="0.2">
      <c r="A9" s="287"/>
      <c r="B9" s="287"/>
      <c r="C9" s="287"/>
      <c r="D9" s="287"/>
      <c r="E9" s="287"/>
      <c r="F9" s="287"/>
      <c r="G9" s="287"/>
      <c r="H9" s="287"/>
      <c r="I9" s="287"/>
      <c r="J9" s="287"/>
      <c r="K9" s="287"/>
    </row>
    <row r="10" spans="1:31" ht="47.25" x14ac:dyDescent="0.25">
      <c r="A10" s="464" t="s">
        <v>3850</v>
      </c>
      <c r="B10" s="464"/>
      <c r="C10" s="464"/>
      <c r="D10" s="464"/>
      <c r="E10" s="464"/>
      <c r="F10" s="464"/>
      <c r="G10" s="464"/>
      <c r="H10" s="464"/>
      <c r="I10" s="464"/>
      <c r="J10" s="464"/>
      <c r="K10" s="464"/>
      <c r="AE10" s="319" t="str">
        <f>IF([11]Source!G12&lt;&gt;"Новый объект", [11]Source!G12,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60" t="s">
        <v>75</v>
      </c>
      <c r="B11" s="460"/>
      <c r="C11" s="460"/>
      <c r="D11" s="460"/>
      <c r="E11" s="460"/>
      <c r="F11" s="460"/>
      <c r="G11" s="460"/>
      <c r="H11" s="460"/>
      <c r="I11" s="460"/>
      <c r="J11" s="460"/>
      <c r="K11" s="460"/>
    </row>
    <row r="12" spans="1:31" ht="14.25" x14ac:dyDescent="0.2">
      <c r="A12" s="287"/>
      <c r="B12" s="287"/>
      <c r="C12" s="287"/>
      <c r="D12" s="287"/>
      <c r="E12" s="287"/>
      <c r="F12" s="287"/>
      <c r="G12" s="287"/>
      <c r="H12" s="287"/>
      <c r="I12" s="287"/>
      <c r="J12" s="287"/>
      <c r="K12" s="287"/>
    </row>
    <row r="13" spans="1:31" ht="15.75" x14ac:dyDescent="0.25">
      <c r="A13" s="464" t="s">
        <v>3890</v>
      </c>
      <c r="B13" s="465"/>
      <c r="C13" s="465"/>
      <c r="D13" s="465"/>
      <c r="E13" s="465"/>
      <c r="F13" s="465"/>
      <c r="G13" s="465"/>
      <c r="H13" s="465"/>
      <c r="I13" s="465"/>
      <c r="J13" s="465"/>
      <c r="K13" s="465"/>
    </row>
    <row r="14" spans="1:31" ht="14.25" x14ac:dyDescent="0.2">
      <c r="A14" s="287"/>
      <c r="B14" s="287"/>
      <c r="C14" s="287"/>
      <c r="D14" s="287"/>
      <c r="E14" s="287"/>
      <c r="F14" s="287"/>
      <c r="G14" s="287"/>
      <c r="H14" s="287"/>
      <c r="I14" s="287"/>
      <c r="J14" s="287"/>
      <c r="K14" s="287"/>
    </row>
    <row r="15" spans="1:31" ht="18" x14ac:dyDescent="0.25">
      <c r="A15" s="466" t="s">
        <v>3438</v>
      </c>
      <c r="B15" s="466"/>
      <c r="C15" s="466"/>
      <c r="D15" s="466"/>
      <c r="E15" s="466"/>
      <c r="F15" s="466"/>
      <c r="G15" s="466"/>
      <c r="H15" s="466"/>
      <c r="I15" s="466"/>
      <c r="J15" s="466"/>
      <c r="K15" s="466"/>
    </row>
    <row r="16" spans="1:31" x14ac:dyDescent="0.2">
      <c r="A16" s="455" t="s">
        <v>378</v>
      </c>
      <c r="B16" s="456"/>
      <c r="C16" s="456"/>
      <c r="D16" s="456"/>
      <c r="E16" s="456"/>
      <c r="F16" s="456"/>
      <c r="G16" s="456"/>
      <c r="H16" s="456"/>
      <c r="I16" s="456"/>
      <c r="J16" s="456"/>
      <c r="K16" s="456"/>
    </row>
    <row r="17" spans="1:31" ht="14.25" x14ac:dyDescent="0.2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</row>
    <row r="18" spans="1:31" ht="14.25" x14ac:dyDescent="0.2">
      <c r="A18" s="463" t="s">
        <v>3852</v>
      </c>
      <c r="B18" s="463"/>
      <c r="C18" s="463"/>
      <c r="D18" s="463"/>
      <c r="E18" s="463"/>
      <c r="F18" s="463"/>
      <c r="G18" s="463"/>
      <c r="H18" s="463"/>
      <c r="I18" s="463"/>
      <c r="J18" s="463"/>
      <c r="K18" s="463"/>
    </row>
    <row r="19" spans="1:31" ht="14.25" x14ac:dyDescent="0.2">
      <c r="A19" s="293"/>
      <c r="B19" s="293"/>
      <c r="C19" s="293"/>
      <c r="D19" s="293"/>
      <c r="E19" s="293"/>
      <c r="F19" s="293"/>
      <c r="G19" s="293"/>
      <c r="H19" s="293"/>
      <c r="I19" s="293"/>
      <c r="J19" s="293"/>
      <c r="K19" s="293"/>
    </row>
    <row r="20" spans="1:31" ht="28.5" x14ac:dyDescent="0.2">
      <c r="A20" s="287"/>
      <c r="B20" s="287"/>
      <c r="C20" s="287"/>
      <c r="D20" s="287"/>
      <c r="E20" s="287"/>
      <c r="F20" s="287"/>
      <c r="G20" s="287"/>
      <c r="H20" s="287"/>
      <c r="I20" s="294" t="s">
        <v>377</v>
      </c>
      <c r="J20" s="294" t="s">
        <v>376</v>
      </c>
      <c r="K20" s="287"/>
    </row>
    <row r="21" spans="1:31" ht="15" x14ac:dyDescent="0.25">
      <c r="A21" s="287"/>
      <c r="B21" s="287"/>
      <c r="C21" s="287"/>
      <c r="D21" s="287"/>
      <c r="E21" s="287"/>
      <c r="F21" s="457" t="s">
        <v>375</v>
      </c>
      <c r="G21" s="457"/>
      <c r="H21" s="457"/>
      <c r="I21" s="295">
        <v>850.28</v>
      </c>
      <c r="J21" s="295">
        <v>3987.85</v>
      </c>
      <c r="K21" s="296" t="s">
        <v>366</v>
      </c>
    </row>
    <row r="22" spans="1:31" ht="14.25" x14ac:dyDescent="0.2">
      <c r="A22" s="287"/>
      <c r="B22" s="287"/>
      <c r="C22" s="287"/>
      <c r="D22" s="287"/>
      <c r="E22" s="287"/>
      <c r="F22" s="450" t="s">
        <v>374</v>
      </c>
      <c r="G22" s="450"/>
      <c r="H22" s="450"/>
      <c r="I22" s="297">
        <v>0</v>
      </c>
      <c r="J22" s="297">
        <v>0</v>
      </c>
      <c r="K22" s="287" t="s">
        <v>366</v>
      </c>
    </row>
    <row r="23" spans="1:31" ht="14.25" x14ac:dyDescent="0.2">
      <c r="A23" s="287"/>
      <c r="B23" s="287"/>
      <c r="C23" s="287"/>
      <c r="D23" s="287"/>
      <c r="E23" s="287"/>
      <c r="F23" s="450" t="s">
        <v>373</v>
      </c>
      <c r="G23" s="450"/>
      <c r="H23" s="450"/>
      <c r="I23" s="297">
        <v>244.18</v>
      </c>
      <c r="J23" s="297">
        <v>1320.97</v>
      </c>
      <c r="K23" s="287" t="s">
        <v>366</v>
      </c>
    </row>
    <row r="24" spans="1:31" ht="14.25" x14ac:dyDescent="0.2">
      <c r="A24" s="287"/>
      <c r="B24" s="287"/>
      <c r="C24" s="287"/>
      <c r="D24" s="287"/>
      <c r="E24" s="287"/>
      <c r="F24" s="450" t="s">
        <v>106</v>
      </c>
      <c r="G24" s="450"/>
      <c r="H24" s="450"/>
      <c r="I24" s="297">
        <v>606.1</v>
      </c>
      <c r="J24" s="297">
        <v>2666.88</v>
      </c>
      <c r="K24" s="287" t="s">
        <v>366</v>
      </c>
    </row>
    <row r="25" spans="1:31" ht="14.25" x14ac:dyDescent="0.2">
      <c r="A25" s="287"/>
      <c r="B25" s="287"/>
      <c r="C25" s="287"/>
      <c r="D25" s="287"/>
      <c r="E25" s="287"/>
      <c r="F25" s="450" t="s">
        <v>372</v>
      </c>
      <c r="G25" s="450"/>
      <c r="H25" s="450"/>
      <c r="I25" s="297">
        <v>0</v>
      </c>
      <c r="J25" s="297">
        <v>0</v>
      </c>
      <c r="K25" s="287" t="s">
        <v>366</v>
      </c>
    </row>
    <row r="26" spans="1:31" ht="14.25" x14ac:dyDescent="0.2">
      <c r="A26" s="287"/>
      <c r="B26" s="287"/>
      <c r="C26" s="287"/>
      <c r="D26" s="287"/>
      <c r="E26" s="287"/>
      <c r="F26" s="450" t="s">
        <v>371</v>
      </c>
      <c r="G26" s="450"/>
      <c r="H26" s="450"/>
      <c r="I26" s="297">
        <v>9.69</v>
      </c>
      <c r="J26" s="297">
        <v>226.3</v>
      </c>
      <c r="K26" s="287" t="s">
        <v>366</v>
      </c>
    </row>
    <row r="27" spans="1:31" ht="14.25" x14ac:dyDescent="0.2">
      <c r="A27" s="287"/>
      <c r="B27" s="287"/>
      <c r="C27" s="287"/>
      <c r="D27" s="287"/>
      <c r="E27" s="287"/>
      <c r="F27" s="450" t="s">
        <v>370</v>
      </c>
      <c r="G27" s="450"/>
      <c r="H27" s="450"/>
      <c r="I27" s="297">
        <v>743.08</v>
      </c>
      <c r="J27" s="297"/>
      <c r="K27" s="287" t="s">
        <v>369</v>
      </c>
    </row>
    <row r="28" spans="1:31" ht="14.25" hidden="1" x14ac:dyDescent="0.2">
      <c r="A28" s="287"/>
      <c r="B28" s="287"/>
      <c r="C28" s="287"/>
      <c r="D28" s="287"/>
      <c r="E28" s="287"/>
      <c r="F28" s="188" t="s">
        <v>368</v>
      </c>
      <c r="G28" s="188"/>
      <c r="H28" s="188"/>
      <c r="I28" s="297"/>
      <c r="J28" s="297"/>
      <c r="K28" s="287"/>
    </row>
    <row r="29" spans="1:31" ht="14.25" hidden="1" x14ac:dyDescent="0.2">
      <c r="A29" s="287"/>
      <c r="B29" s="287"/>
      <c r="C29" s="287"/>
      <c r="D29" s="287"/>
      <c r="E29" s="287"/>
      <c r="F29" s="419" t="s">
        <v>367</v>
      </c>
      <c r="G29" s="420"/>
      <c r="H29" s="420"/>
      <c r="I29" s="297">
        <v>0</v>
      </c>
      <c r="J29" s="297">
        <v>0</v>
      </c>
      <c r="K29" s="287" t="s">
        <v>366</v>
      </c>
    </row>
    <row r="30" spans="1:31" ht="14.25" x14ac:dyDescent="0.2">
      <c r="A30" s="287"/>
      <c r="B30" s="287"/>
      <c r="C30" s="287"/>
      <c r="D30" s="287"/>
      <c r="E30" s="287"/>
      <c r="F30" s="188"/>
      <c r="G30" s="188"/>
      <c r="H30" s="188"/>
      <c r="I30" s="297"/>
      <c r="J30" s="297"/>
      <c r="K30" s="287"/>
    </row>
    <row r="31" spans="1:31" ht="14.25" x14ac:dyDescent="0.2">
      <c r="A31" s="287" t="s">
        <v>365</v>
      </c>
      <c r="B31" s="287"/>
      <c r="C31" s="287"/>
      <c r="D31" s="287"/>
      <c r="E31" s="287"/>
      <c r="F31" s="188"/>
      <c r="G31" s="188"/>
      <c r="H31" s="188"/>
      <c r="I31" s="297"/>
      <c r="J31" s="297"/>
      <c r="K31" s="287"/>
    </row>
    <row r="32" spans="1:31" ht="28.5" x14ac:dyDescent="0.2">
      <c r="A32" s="463" t="s">
        <v>364</v>
      </c>
      <c r="B32" s="463"/>
      <c r="C32" s="463"/>
      <c r="D32" s="463"/>
      <c r="E32" s="463"/>
      <c r="F32" s="463"/>
      <c r="G32" s="463"/>
      <c r="H32" s="463"/>
      <c r="I32" s="463"/>
      <c r="J32" s="463"/>
      <c r="K32" s="463"/>
      <c r="AE32" s="320" t="s">
        <v>364</v>
      </c>
    </row>
    <row r="33" spans="1:22" ht="85.5" x14ac:dyDescent="0.2">
      <c r="A33" s="299" t="s">
        <v>81</v>
      </c>
      <c r="B33" s="299" t="s">
        <v>363</v>
      </c>
      <c r="C33" s="299" t="s">
        <v>83</v>
      </c>
      <c r="D33" s="299" t="s">
        <v>362</v>
      </c>
      <c r="E33" s="299" t="s">
        <v>361</v>
      </c>
      <c r="F33" s="299" t="s">
        <v>360</v>
      </c>
      <c r="G33" s="300" t="s">
        <v>359</v>
      </c>
      <c r="H33" s="300" t="s">
        <v>358</v>
      </c>
      <c r="I33" s="299" t="s">
        <v>357</v>
      </c>
      <c r="J33" s="299" t="s">
        <v>356</v>
      </c>
      <c r="K33" s="299" t="s">
        <v>355</v>
      </c>
    </row>
    <row r="34" spans="1:22" ht="14.25" x14ac:dyDescent="0.2">
      <c r="A34" s="299">
        <v>1</v>
      </c>
      <c r="B34" s="299">
        <v>2</v>
      </c>
      <c r="C34" s="299">
        <v>3</v>
      </c>
      <c r="D34" s="299">
        <v>4</v>
      </c>
      <c r="E34" s="299">
        <v>5</v>
      </c>
      <c r="F34" s="299">
        <v>6</v>
      </c>
      <c r="G34" s="299">
        <v>7</v>
      </c>
      <c r="H34" s="299">
        <v>8</v>
      </c>
      <c r="I34" s="299">
        <v>9</v>
      </c>
      <c r="J34" s="299">
        <v>10</v>
      </c>
      <c r="K34" s="299">
        <v>11</v>
      </c>
    </row>
    <row r="36" spans="1:22" ht="16.5" x14ac:dyDescent="0.25">
      <c r="A36" s="448" t="s">
        <v>3439</v>
      </c>
      <c r="B36" s="448"/>
      <c r="C36" s="448"/>
      <c r="D36" s="448"/>
      <c r="E36" s="448"/>
      <c r="F36" s="448"/>
      <c r="G36" s="448"/>
      <c r="H36" s="448"/>
      <c r="I36" s="448"/>
      <c r="J36" s="448"/>
      <c r="K36" s="448"/>
    </row>
    <row r="37" spans="1:22" ht="28.5" x14ac:dyDescent="0.2">
      <c r="A37" s="301" t="s">
        <v>719</v>
      </c>
      <c r="B37" s="302" t="s">
        <v>3440</v>
      </c>
      <c r="C37" s="302" t="s">
        <v>1152</v>
      </c>
      <c r="D37" s="303" t="s">
        <v>1903</v>
      </c>
      <c r="E37" s="286">
        <v>2</v>
      </c>
      <c r="F37" s="321"/>
      <c r="G37" s="305"/>
      <c r="H37" s="286"/>
      <c r="I37" s="304"/>
      <c r="J37" s="286"/>
      <c r="K37" s="304"/>
      <c r="Q37" s="281">
        <f>[11]Source!X28</f>
        <v>209.03</v>
      </c>
      <c r="R37" s="281">
        <f>[11]Source!X29</f>
        <v>3296.72</v>
      </c>
      <c r="S37" s="281">
        <f>[11]Source!Y28</f>
        <v>122.85</v>
      </c>
      <c r="T37" s="281">
        <f>[11]Source!Y29</f>
        <v>1755.4</v>
      </c>
      <c r="U37" s="281">
        <f>ROUND((175/100)*ROUND([11]Source!R28, 2), 2)</f>
        <v>22.65</v>
      </c>
      <c r="V37" s="281">
        <f>ROUND((157/100)*ROUND([11]Source!R29, 2), 2)</f>
        <v>474.38</v>
      </c>
    </row>
    <row r="38" spans="1:22" ht="14.25" x14ac:dyDescent="0.2">
      <c r="A38" s="301"/>
      <c r="B38" s="302"/>
      <c r="C38" s="302" t="s">
        <v>197</v>
      </c>
      <c r="D38" s="303"/>
      <c r="E38" s="286"/>
      <c r="F38" s="321">
        <v>91.68</v>
      </c>
      <c r="G38" s="305" t="s">
        <v>195</v>
      </c>
      <c r="H38" s="286">
        <v>1</v>
      </c>
      <c r="I38" s="304">
        <v>183.36</v>
      </c>
      <c r="J38" s="286">
        <v>23.35</v>
      </c>
      <c r="K38" s="304">
        <v>4281.46</v>
      </c>
    </row>
    <row r="39" spans="1:22" ht="14.25" x14ac:dyDescent="0.2">
      <c r="A39" s="301"/>
      <c r="B39" s="302"/>
      <c r="C39" s="302" t="s">
        <v>184</v>
      </c>
      <c r="D39" s="303"/>
      <c r="E39" s="286"/>
      <c r="F39" s="321">
        <v>25.79</v>
      </c>
      <c r="G39" s="305" t="s">
        <v>195</v>
      </c>
      <c r="H39" s="286">
        <v>1</v>
      </c>
      <c r="I39" s="304">
        <v>51.58</v>
      </c>
      <c r="J39" s="286">
        <v>9.8699999999999992</v>
      </c>
      <c r="K39" s="304">
        <v>509.09</v>
      </c>
    </row>
    <row r="40" spans="1:22" ht="14.25" x14ac:dyDescent="0.2">
      <c r="A40" s="301"/>
      <c r="B40" s="302"/>
      <c r="C40" s="302" t="s">
        <v>189</v>
      </c>
      <c r="D40" s="303"/>
      <c r="E40" s="286"/>
      <c r="F40" s="321">
        <v>6.47</v>
      </c>
      <c r="G40" s="305" t="s">
        <v>195</v>
      </c>
      <c r="H40" s="286">
        <v>1</v>
      </c>
      <c r="I40" s="306">
        <v>12.94</v>
      </c>
      <c r="J40" s="286">
        <v>23.35</v>
      </c>
      <c r="K40" s="306">
        <v>302.14999999999998</v>
      </c>
    </row>
    <row r="41" spans="1:22" ht="14.25" x14ac:dyDescent="0.2">
      <c r="A41" s="301"/>
      <c r="B41" s="302"/>
      <c r="C41" s="302" t="s">
        <v>205</v>
      </c>
      <c r="D41" s="303"/>
      <c r="E41" s="286"/>
      <c r="F41" s="321">
        <v>5.74</v>
      </c>
      <c r="G41" s="305" t="s">
        <v>195</v>
      </c>
      <c r="H41" s="286">
        <v>1</v>
      </c>
      <c r="I41" s="304">
        <v>11.48</v>
      </c>
      <c r="J41" s="286">
        <v>5.42</v>
      </c>
      <c r="K41" s="304">
        <v>62.22</v>
      </c>
    </row>
    <row r="42" spans="1:22" ht="39.75" x14ac:dyDescent="0.2">
      <c r="A42" s="301" t="s">
        <v>1531</v>
      </c>
      <c r="B42" s="302" t="s">
        <v>3441</v>
      </c>
      <c r="C42" s="302" t="s">
        <v>1381</v>
      </c>
      <c r="D42" s="303" t="s">
        <v>1661</v>
      </c>
      <c r="E42" s="286">
        <v>37</v>
      </c>
      <c r="F42" s="321">
        <v>95.67</v>
      </c>
      <c r="G42" s="315" t="s">
        <v>195</v>
      </c>
      <c r="H42" s="286">
        <v>1</v>
      </c>
      <c r="I42" s="304">
        <v>3539.79</v>
      </c>
      <c r="J42" s="286">
        <v>5.42</v>
      </c>
      <c r="K42" s="304">
        <v>19185.66</v>
      </c>
      <c r="Q42" s="281">
        <f>[11]Source!X30</f>
        <v>0</v>
      </c>
      <c r="R42" s="281">
        <f>[11]Source!X31</f>
        <v>0</v>
      </c>
      <c r="S42" s="281">
        <f>[11]Source!Y30</f>
        <v>0</v>
      </c>
      <c r="T42" s="281">
        <f>[11]Source!Y31</f>
        <v>0</v>
      </c>
      <c r="U42" s="281">
        <f>ROUND((175/100)*ROUND([11]Source!R30, 2), 2)</f>
        <v>0</v>
      </c>
      <c r="V42" s="281">
        <f>ROUND((157/100)*ROUND([11]Source!R31, 2), 2)</f>
        <v>0</v>
      </c>
    </row>
    <row r="43" spans="1:22" ht="54" x14ac:dyDescent="0.2">
      <c r="A43" s="301" t="s">
        <v>3138</v>
      </c>
      <c r="B43" s="302" t="s">
        <v>3441</v>
      </c>
      <c r="C43" s="302" t="s">
        <v>1380</v>
      </c>
      <c r="D43" s="303" t="s">
        <v>1661</v>
      </c>
      <c r="E43" s="286">
        <v>37</v>
      </c>
      <c r="F43" s="321">
        <v>61.16</v>
      </c>
      <c r="G43" s="315" t="s">
        <v>195</v>
      </c>
      <c r="H43" s="286">
        <v>1</v>
      </c>
      <c r="I43" s="304">
        <v>2262.92</v>
      </c>
      <c r="J43" s="286">
        <v>5.42</v>
      </c>
      <c r="K43" s="304">
        <v>12265.03</v>
      </c>
      <c r="Q43" s="281">
        <f>[11]Source!X32</f>
        <v>0</v>
      </c>
      <c r="R43" s="281">
        <f>[11]Source!X33</f>
        <v>0</v>
      </c>
      <c r="S43" s="281">
        <f>[11]Source!Y32</f>
        <v>0</v>
      </c>
      <c r="T43" s="281">
        <f>[11]Source!Y33</f>
        <v>0</v>
      </c>
      <c r="U43" s="281">
        <f>ROUND((175/100)*ROUND([11]Source!R32, 2), 2)</f>
        <v>0</v>
      </c>
      <c r="V43" s="281">
        <f>ROUND((157/100)*ROUND([11]Source!R33, 2), 2)</f>
        <v>0</v>
      </c>
    </row>
    <row r="44" spans="1:22" ht="54" x14ac:dyDescent="0.2">
      <c r="A44" s="301" t="s">
        <v>3140</v>
      </c>
      <c r="B44" s="302" t="s">
        <v>3441</v>
      </c>
      <c r="C44" s="302" t="s">
        <v>1379</v>
      </c>
      <c r="D44" s="303" t="s">
        <v>1661</v>
      </c>
      <c r="E44" s="286">
        <v>2</v>
      </c>
      <c r="F44" s="321">
        <v>141.93</v>
      </c>
      <c r="G44" s="315" t="s">
        <v>195</v>
      </c>
      <c r="H44" s="286">
        <v>1</v>
      </c>
      <c r="I44" s="304">
        <v>283.86</v>
      </c>
      <c r="J44" s="286">
        <v>5.42</v>
      </c>
      <c r="K44" s="304">
        <v>1538.52</v>
      </c>
      <c r="Q44" s="281">
        <f>[11]Source!X34</f>
        <v>0</v>
      </c>
      <c r="R44" s="281">
        <f>[11]Source!X35</f>
        <v>0</v>
      </c>
      <c r="S44" s="281">
        <f>[11]Source!Y34</f>
        <v>0</v>
      </c>
      <c r="T44" s="281">
        <f>[11]Source!Y35</f>
        <v>0</v>
      </c>
      <c r="U44" s="281">
        <f>ROUND((175/100)*ROUND([11]Source!R34, 2), 2)</f>
        <v>0</v>
      </c>
      <c r="V44" s="281">
        <f>ROUND((157/100)*ROUND([11]Source!R35, 2), 2)</f>
        <v>0</v>
      </c>
    </row>
    <row r="45" spans="1:22" ht="54" x14ac:dyDescent="0.2">
      <c r="A45" s="301" t="s">
        <v>3142</v>
      </c>
      <c r="B45" s="302" t="s">
        <v>3441</v>
      </c>
      <c r="C45" s="302" t="s">
        <v>1378</v>
      </c>
      <c r="D45" s="303" t="s">
        <v>1661</v>
      </c>
      <c r="E45" s="286">
        <v>2</v>
      </c>
      <c r="F45" s="321">
        <v>68.84</v>
      </c>
      <c r="G45" s="315" t="s">
        <v>195</v>
      </c>
      <c r="H45" s="286">
        <v>1</v>
      </c>
      <c r="I45" s="304">
        <v>137.68</v>
      </c>
      <c r="J45" s="286">
        <v>5.42</v>
      </c>
      <c r="K45" s="304">
        <v>746.23</v>
      </c>
      <c r="Q45" s="281">
        <f>[11]Source!X36</f>
        <v>0</v>
      </c>
      <c r="R45" s="281">
        <f>[11]Source!X37</f>
        <v>0</v>
      </c>
      <c r="S45" s="281">
        <f>[11]Source!Y36</f>
        <v>0</v>
      </c>
      <c r="T45" s="281">
        <f>[11]Source!Y37</f>
        <v>0</v>
      </c>
      <c r="U45" s="281">
        <f>ROUND((175/100)*ROUND([11]Source!R36, 2), 2)</f>
        <v>0</v>
      </c>
      <c r="V45" s="281">
        <f>ROUND((157/100)*ROUND([11]Source!R37, 2), 2)</f>
        <v>0</v>
      </c>
    </row>
    <row r="46" spans="1:22" ht="39.75" x14ac:dyDescent="0.2">
      <c r="A46" s="301" t="s">
        <v>3144</v>
      </c>
      <c r="B46" s="302" t="s">
        <v>3441</v>
      </c>
      <c r="C46" s="302" t="s">
        <v>1377</v>
      </c>
      <c r="D46" s="303" t="s">
        <v>1661</v>
      </c>
      <c r="E46" s="286">
        <v>5</v>
      </c>
      <c r="F46" s="321">
        <v>347.99</v>
      </c>
      <c r="G46" s="315" t="s">
        <v>195</v>
      </c>
      <c r="H46" s="286">
        <v>1</v>
      </c>
      <c r="I46" s="304">
        <v>1739.95</v>
      </c>
      <c r="J46" s="286">
        <v>5.42</v>
      </c>
      <c r="K46" s="304">
        <v>9430.5300000000007</v>
      </c>
      <c r="Q46" s="281">
        <f>[11]Source!X38</f>
        <v>0</v>
      </c>
      <c r="R46" s="281">
        <f>[11]Source!X39</f>
        <v>0</v>
      </c>
      <c r="S46" s="281">
        <f>[11]Source!Y38</f>
        <v>0</v>
      </c>
      <c r="T46" s="281">
        <f>[11]Source!Y39</f>
        <v>0</v>
      </c>
      <c r="U46" s="281">
        <f>ROUND((175/100)*ROUND([11]Source!R38, 2), 2)</f>
        <v>0</v>
      </c>
      <c r="V46" s="281">
        <f>ROUND((157/100)*ROUND([11]Source!R39, 2), 2)</f>
        <v>0</v>
      </c>
    </row>
    <row r="47" spans="1:22" ht="54" x14ac:dyDescent="0.2">
      <c r="A47" s="301" t="s">
        <v>3146</v>
      </c>
      <c r="B47" s="302" t="s">
        <v>3441</v>
      </c>
      <c r="C47" s="302" t="s">
        <v>1376</v>
      </c>
      <c r="D47" s="303" t="s">
        <v>1661</v>
      </c>
      <c r="E47" s="286">
        <v>10</v>
      </c>
      <c r="F47" s="321">
        <v>136.38</v>
      </c>
      <c r="G47" s="315" t="s">
        <v>195</v>
      </c>
      <c r="H47" s="286">
        <v>1</v>
      </c>
      <c r="I47" s="304">
        <v>1363.8</v>
      </c>
      <c r="J47" s="286">
        <v>5.42</v>
      </c>
      <c r="K47" s="304">
        <v>7391.8</v>
      </c>
      <c r="Q47" s="281">
        <f>[11]Source!X40</f>
        <v>0</v>
      </c>
      <c r="R47" s="281">
        <f>[11]Source!X41</f>
        <v>0</v>
      </c>
      <c r="S47" s="281">
        <f>[11]Source!Y40</f>
        <v>0</v>
      </c>
      <c r="T47" s="281">
        <f>[11]Source!Y41</f>
        <v>0</v>
      </c>
      <c r="U47" s="281">
        <f>ROUND((175/100)*ROUND([11]Source!R40, 2), 2)</f>
        <v>0</v>
      </c>
      <c r="V47" s="281">
        <f>ROUND((157/100)*ROUND([11]Source!R41, 2), 2)</f>
        <v>0</v>
      </c>
    </row>
    <row r="48" spans="1:22" ht="14.25" x14ac:dyDescent="0.2">
      <c r="A48" s="301"/>
      <c r="B48" s="302"/>
      <c r="C48" s="302" t="s">
        <v>194</v>
      </c>
      <c r="D48" s="303" t="s">
        <v>187</v>
      </c>
      <c r="E48" s="286">
        <v>114</v>
      </c>
      <c r="F48" s="321"/>
      <c r="G48" s="305"/>
      <c r="H48" s="286"/>
      <c r="I48" s="304">
        <v>209.03</v>
      </c>
      <c r="J48" s="286">
        <v>77</v>
      </c>
      <c r="K48" s="304">
        <v>3296.72</v>
      </c>
    </row>
    <row r="49" spans="1:22" ht="14.25" x14ac:dyDescent="0.2">
      <c r="A49" s="301"/>
      <c r="B49" s="302"/>
      <c r="C49" s="302" t="s">
        <v>193</v>
      </c>
      <c r="D49" s="303" t="s">
        <v>187</v>
      </c>
      <c r="E49" s="286">
        <v>67</v>
      </c>
      <c r="F49" s="321"/>
      <c r="G49" s="305"/>
      <c r="H49" s="286"/>
      <c r="I49" s="304">
        <v>122.85</v>
      </c>
      <c r="J49" s="286">
        <v>41</v>
      </c>
      <c r="K49" s="304">
        <v>1755.4</v>
      </c>
    </row>
    <row r="50" spans="1:22" ht="14.25" x14ac:dyDescent="0.2">
      <c r="A50" s="301"/>
      <c r="B50" s="302"/>
      <c r="C50" s="302" t="s">
        <v>188</v>
      </c>
      <c r="D50" s="303" t="s">
        <v>187</v>
      </c>
      <c r="E50" s="286">
        <v>175</v>
      </c>
      <c r="F50" s="321"/>
      <c r="G50" s="305"/>
      <c r="H50" s="286"/>
      <c r="I50" s="304">
        <v>22.65</v>
      </c>
      <c r="J50" s="286">
        <v>157</v>
      </c>
      <c r="K50" s="304">
        <v>474.38</v>
      </c>
    </row>
    <row r="51" spans="1:22" ht="14.25" x14ac:dyDescent="0.2">
      <c r="A51" s="329"/>
      <c r="B51" s="330"/>
      <c r="C51" s="330" t="s">
        <v>192</v>
      </c>
      <c r="D51" s="331" t="s">
        <v>191</v>
      </c>
      <c r="E51" s="332">
        <v>8.1999999999999993</v>
      </c>
      <c r="F51" s="333"/>
      <c r="G51" s="334" t="s">
        <v>195</v>
      </c>
      <c r="H51" s="332">
        <v>1</v>
      </c>
      <c r="I51" s="335">
        <v>16.399999999999999</v>
      </c>
      <c r="J51" s="332"/>
      <c r="K51" s="335"/>
    </row>
    <row r="52" spans="1:22" ht="15" x14ac:dyDescent="0.25">
      <c r="A52" s="336"/>
      <c r="B52" s="336"/>
      <c r="C52" s="337" t="s">
        <v>183</v>
      </c>
      <c r="D52" s="336"/>
      <c r="E52" s="336"/>
      <c r="F52" s="336"/>
      <c r="G52" s="336"/>
      <c r="H52" s="461">
        <v>9928.9500000000007</v>
      </c>
      <c r="I52" s="461"/>
      <c r="J52" s="461">
        <v>60937.04</v>
      </c>
      <c r="K52" s="461"/>
      <c r="O52" s="284">
        <f>I38+I39+I41+I48+I49+I50+SUM(I42:I47)</f>
        <v>9928.9500000000007</v>
      </c>
      <c r="P52" s="284">
        <f>K38+K39+K41+K48+K49+K50+SUM(K42:K47)</f>
        <v>60937.04</v>
      </c>
    </row>
    <row r="54" spans="1:22" ht="57" x14ac:dyDescent="0.2">
      <c r="A54" s="301" t="s">
        <v>104</v>
      </c>
      <c r="B54" s="302" t="s">
        <v>3442</v>
      </c>
      <c r="C54" s="302" t="s">
        <v>1141</v>
      </c>
      <c r="D54" s="303" t="s">
        <v>1903</v>
      </c>
      <c r="E54" s="286">
        <v>2</v>
      </c>
      <c r="F54" s="321"/>
      <c r="G54" s="305"/>
      <c r="H54" s="286"/>
      <c r="I54" s="304"/>
      <c r="J54" s="286"/>
      <c r="K54" s="304"/>
      <c r="Q54" s="281">
        <f>[11]Source!X56</f>
        <v>53.53</v>
      </c>
      <c r="R54" s="281">
        <f>[11]Source!X57</f>
        <v>844.32</v>
      </c>
      <c r="S54" s="281">
        <f>[11]Source!Y56</f>
        <v>31.46</v>
      </c>
      <c r="T54" s="281">
        <f>[11]Source!Y57</f>
        <v>449.57</v>
      </c>
      <c r="U54" s="281">
        <f>ROUND((175/100)*ROUND([11]Source!R56, 2), 2)</f>
        <v>4.7300000000000004</v>
      </c>
      <c r="V54" s="281">
        <f>ROUND((157/100)*ROUND([11]Source!R57, 2), 2)</f>
        <v>98.99</v>
      </c>
    </row>
    <row r="55" spans="1:22" ht="14.25" x14ac:dyDescent="0.2">
      <c r="A55" s="301"/>
      <c r="B55" s="302"/>
      <c r="C55" s="302" t="s">
        <v>197</v>
      </c>
      <c r="D55" s="303"/>
      <c r="E55" s="286"/>
      <c r="F55" s="321">
        <v>23.48</v>
      </c>
      <c r="G55" s="305" t="s">
        <v>195</v>
      </c>
      <c r="H55" s="286">
        <v>1</v>
      </c>
      <c r="I55" s="304">
        <v>46.96</v>
      </c>
      <c r="J55" s="286">
        <v>23.35</v>
      </c>
      <c r="K55" s="304">
        <v>1096.52</v>
      </c>
    </row>
    <row r="56" spans="1:22" ht="14.25" x14ac:dyDescent="0.2">
      <c r="A56" s="301"/>
      <c r="B56" s="302"/>
      <c r="C56" s="302" t="s">
        <v>184</v>
      </c>
      <c r="D56" s="303"/>
      <c r="E56" s="286"/>
      <c r="F56" s="321">
        <v>5.84</v>
      </c>
      <c r="G56" s="305" t="s">
        <v>195</v>
      </c>
      <c r="H56" s="286">
        <v>1</v>
      </c>
      <c r="I56" s="304">
        <v>11.68</v>
      </c>
      <c r="J56" s="286">
        <v>9.51</v>
      </c>
      <c r="K56" s="304">
        <v>111.08</v>
      </c>
    </row>
    <row r="57" spans="1:22" ht="14.25" x14ac:dyDescent="0.2">
      <c r="A57" s="301"/>
      <c r="B57" s="302"/>
      <c r="C57" s="302" t="s">
        <v>189</v>
      </c>
      <c r="D57" s="303"/>
      <c r="E57" s="286"/>
      <c r="F57" s="321">
        <v>1.35</v>
      </c>
      <c r="G57" s="305" t="s">
        <v>195</v>
      </c>
      <c r="H57" s="286">
        <v>1</v>
      </c>
      <c r="I57" s="306">
        <v>2.7</v>
      </c>
      <c r="J57" s="286">
        <v>23.35</v>
      </c>
      <c r="K57" s="306">
        <v>63.05</v>
      </c>
    </row>
    <row r="58" spans="1:22" ht="14.25" x14ac:dyDescent="0.2">
      <c r="A58" s="301"/>
      <c r="B58" s="302"/>
      <c r="C58" s="302" t="s">
        <v>205</v>
      </c>
      <c r="D58" s="303"/>
      <c r="E58" s="286"/>
      <c r="F58" s="321">
        <v>0.14000000000000001</v>
      </c>
      <c r="G58" s="305" t="s">
        <v>195</v>
      </c>
      <c r="H58" s="286">
        <v>1</v>
      </c>
      <c r="I58" s="304">
        <v>0.28000000000000003</v>
      </c>
      <c r="J58" s="286">
        <v>5.43</v>
      </c>
      <c r="K58" s="304">
        <v>1.52</v>
      </c>
    </row>
    <row r="59" spans="1:22" ht="54" x14ac:dyDescent="0.2">
      <c r="A59" s="301" t="s">
        <v>1542</v>
      </c>
      <c r="B59" s="302" t="s">
        <v>3441</v>
      </c>
      <c r="C59" s="302" t="s">
        <v>1375</v>
      </c>
      <c r="D59" s="303" t="s">
        <v>1661</v>
      </c>
      <c r="E59" s="286">
        <v>2</v>
      </c>
      <c r="F59" s="321">
        <v>1426.65</v>
      </c>
      <c r="G59" s="315" t="s">
        <v>195</v>
      </c>
      <c r="H59" s="286">
        <v>1</v>
      </c>
      <c r="I59" s="304">
        <v>2853.3</v>
      </c>
      <c r="J59" s="286">
        <v>5.42</v>
      </c>
      <c r="K59" s="304">
        <v>15464.89</v>
      </c>
      <c r="Q59" s="281">
        <f>[11]Source!X58</f>
        <v>0</v>
      </c>
      <c r="R59" s="281">
        <f>[11]Source!X59</f>
        <v>0</v>
      </c>
      <c r="S59" s="281">
        <f>[11]Source!Y58</f>
        <v>0</v>
      </c>
      <c r="T59" s="281">
        <f>[11]Source!Y59</f>
        <v>0</v>
      </c>
      <c r="U59" s="281">
        <f>ROUND((175/100)*ROUND([11]Source!R58, 2), 2)</f>
        <v>0</v>
      </c>
      <c r="V59" s="281">
        <f>ROUND((157/100)*ROUND([11]Source!R59, 2), 2)</f>
        <v>0</v>
      </c>
    </row>
    <row r="60" spans="1:22" ht="14.25" x14ac:dyDescent="0.2">
      <c r="A60" s="301"/>
      <c r="B60" s="302"/>
      <c r="C60" s="302" t="s">
        <v>194</v>
      </c>
      <c r="D60" s="303" t="s">
        <v>187</v>
      </c>
      <c r="E60" s="286">
        <v>114</v>
      </c>
      <c r="F60" s="321"/>
      <c r="G60" s="305"/>
      <c r="H60" s="286"/>
      <c r="I60" s="304">
        <v>53.53</v>
      </c>
      <c r="J60" s="286">
        <v>77</v>
      </c>
      <c r="K60" s="304">
        <v>844.32</v>
      </c>
    </row>
    <row r="61" spans="1:22" ht="14.25" x14ac:dyDescent="0.2">
      <c r="A61" s="301"/>
      <c r="B61" s="302"/>
      <c r="C61" s="302" t="s">
        <v>193</v>
      </c>
      <c r="D61" s="303" t="s">
        <v>187</v>
      </c>
      <c r="E61" s="286">
        <v>67</v>
      </c>
      <c r="F61" s="321"/>
      <c r="G61" s="305"/>
      <c r="H61" s="286"/>
      <c r="I61" s="304">
        <v>31.46</v>
      </c>
      <c r="J61" s="286">
        <v>41</v>
      </c>
      <c r="K61" s="304">
        <v>449.57</v>
      </c>
    </row>
    <row r="62" spans="1:22" ht="14.25" x14ac:dyDescent="0.2">
      <c r="A62" s="301"/>
      <c r="B62" s="302"/>
      <c r="C62" s="302" t="s">
        <v>188</v>
      </c>
      <c r="D62" s="303" t="s">
        <v>187</v>
      </c>
      <c r="E62" s="286">
        <v>175</v>
      </c>
      <c r="F62" s="321"/>
      <c r="G62" s="305"/>
      <c r="H62" s="286"/>
      <c r="I62" s="304">
        <v>4.7300000000000004</v>
      </c>
      <c r="J62" s="286">
        <v>157</v>
      </c>
      <c r="K62" s="304">
        <v>98.99</v>
      </c>
    </row>
    <row r="63" spans="1:22" ht="14.25" x14ac:dyDescent="0.2">
      <c r="A63" s="329"/>
      <c r="B63" s="330"/>
      <c r="C63" s="330" t="s">
        <v>192</v>
      </c>
      <c r="D63" s="331" t="s">
        <v>191</v>
      </c>
      <c r="E63" s="332">
        <v>2.1</v>
      </c>
      <c r="F63" s="333"/>
      <c r="G63" s="334" t="s">
        <v>195</v>
      </c>
      <c r="H63" s="332">
        <v>1</v>
      </c>
      <c r="I63" s="335">
        <v>4.2</v>
      </c>
      <c r="J63" s="332"/>
      <c r="K63" s="335"/>
    </row>
    <row r="64" spans="1:22" ht="15" x14ac:dyDescent="0.25">
      <c r="A64" s="336"/>
      <c r="B64" s="336"/>
      <c r="C64" s="337" t="s">
        <v>183</v>
      </c>
      <c r="D64" s="336"/>
      <c r="E64" s="336"/>
      <c r="F64" s="336"/>
      <c r="G64" s="336"/>
      <c r="H64" s="461">
        <v>3001.94</v>
      </c>
      <c r="I64" s="461"/>
      <c r="J64" s="461">
        <v>18066.89</v>
      </c>
      <c r="K64" s="461"/>
      <c r="O64" s="284">
        <f>I55+I56+I58+I60+I61+I62+SUM(I59:I59)</f>
        <v>3001.94</v>
      </c>
      <c r="P64" s="284">
        <f>K55+K56+K58+K60+K61+K62+SUM(K59:K59)</f>
        <v>18066.89</v>
      </c>
    </row>
    <row r="66" spans="1:22" ht="57" x14ac:dyDescent="0.2">
      <c r="A66" s="301" t="s">
        <v>1546</v>
      </c>
      <c r="B66" s="302" t="s">
        <v>3442</v>
      </c>
      <c r="C66" s="302" t="s">
        <v>1141</v>
      </c>
      <c r="D66" s="303" t="s">
        <v>1903</v>
      </c>
      <c r="E66" s="286">
        <v>37</v>
      </c>
      <c r="F66" s="321"/>
      <c r="G66" s="305"/>
      <c r="H66" s="286"/>
      <c r="I66" s="304"/>
      <c r="J66" s="286"/>
      <c r="K66" s="304"/>
      <c r="Q66" s="281">
        <f>[11]Source!X60</f>
        <v>990.39</v>
      </c>
      <c r="R66" s="281">
        <f>[11]Source!X61</f>
        <v>15619.87</v>
      </c>
      <c r="S66" s="281">
        <f>[11]Source!Y60</f>
        <v>582.07000000000005</v>
      </c>
      <c r="T66" s="281">
        <f>[11]Source!Y61</f>
        <v>8317.08</v>
      </c>
      <c r="U66" s="281">
        <f>ROUND((175/100)*ROUND([11]Source!R60, 2), 2)</f>
        <v>87.41</v>
      </c>
      <c r="V66" s="281">
        <f>ROUND((157/100)*ROUND([11]Source!R61, 2), 2)</f>
        <v>1831.14</v>
      </c>
    </row>
    <row r="67" spans="1:22" x14ac:dyDescent="0.2">
      <c r="C67" s="316" t="s">
        <v>3443</v>
      </c>
    </row>
    <row r="68" spans="1:22" ht="14.25" x14ac:dyDescent="0.2">
      <c r="A68" s="301"/>
      <c r="B68" s="302"/>
      <c r="C68" s="302" t="s">
        <v>197</v>
      </c>
      <c r="D68" s="303"/>
      <c r="E68" s="286"/>
      <c r="F68" s="321">
        <v>23.48</v>
      </c>
      <c r="G68" s="305" t="s">
        <v>195</v>
      </c>
      <c r="H68" s="286">
        <v>1</v>
      </c>
      <c r="I68" s="304">
        <v>868.76</v>
      </c>
      <c r="J68" s="286">
        <v>23.35</v>
      </c>
      <c r="K68" s="304">
        <v>20285.55</v>
      </c>
    </row>
    <row r="69" spans="1:22" ht="14.25" x14ac:dyDescent="0.2">
      <c r="A69" s="301"/>
      <c r="B69" s="302"/>
      <c r="C69" s="302" t="s">
        <v>184</v>
      </c>
      <c r="D69" s="303"/>
      <c r="E69" s="286"/>
      <c r="F69" s="321">
        <v>5.84</v>
      </c>
      <c r="G69" s="305" t="s">
        <v>195</v>
      </c>
      <c r="H69" s="286">
        <v>1</v>
      </c>
      <c r="I69" s="304">
        <v>216.08</v>
      </c>
      <c r="J69" s="286">
        <v>9.51</v>
      </c>
      <c r="K69" s="304">
        <v>2054.92</v>
      </c>
    </row>
    <row r="70" spans="1:22" ht="14.25" x14ac:dyDescent="0.2">
      <c r="A70" s="301"/>
      <c r="B70" s="302"/>
      <c r="C70" s="302" t="s">
        <v>189</v>
      </c>
      <c r="D70" s="303"/>
      <c r="E70" s="286"/>
      <c r="F70" s="321">
        <v>1.35</v>
      </c>
      <c r="G70" s="305" t="s">
        <v>195</v>
      </c>
      <c r="H70" s="286">
        <v>1</v>
      </c>
      <c r="I70" s="306">
        <v>49.95</v>
      </c>
      <c r="J70" s="286">
        <v>23.35</v>
      </c>
      <c r="K70" s="306">
        <v>1166.33</v>
      </c>
    </row>
    <row r="71" spans="1:22" ht="14.25" x14ac:dyDescent="0.2">
      <c r="A71" s="301"/>
      <c r="B71" s="302"/>
      <c r="C71" s="302" t="s">
        <v>205</v>
      </c>
      <c r="D71" s="303"/>
      <c r="E71" s="286"/>
      <c r="F71" s="321">
        <v>0.14000000000000001</v>
      </c>
      <c r="G71" s="305" t="s">
        <v>195</v>
      </c>
      <c r="H71" s="286">
        <v>1</v>
      </c>
      <c r="I71" s="304">
        <v>5.18</v>
      </c>
      <c r="J71" s="286">
        <v>5.43</v>
      </c>
      <c r="K71" s="304">
        <v>28.13</v>
      </c>
    </row>
    <row r="72" spans="1:22" ht="39.75" x14ac:dyDescent="0.2">
      <c r="A72" s="301" t="s">
        <v>1550</v>
      </c>
      <c r="B72" s="302" t="s">
        <v>3441</v>
      </c>
      <c r="C72" s="302" t="s">
        <v>1374</v>
      </c>
      <c r="D72" s="303" t="s">
        <v>1661</v>
      </c>
      <c r="E72" s="286">
        <v>36</v>
      </c>
      <c r="F72" s="321">
        <v>360.46</v>
      </c>
      <c r="G72" s="315" t="s">
        <v>195</v>
      </c>
      <c r="H72" s="286">
        <v>1</v>
      </c>
      <c r="I72" s="304">
        <v>12976.56</v>
      </c>
      <c r="J72" s="286">
        <v>5.42</v>
      </c>
      <c r="K72" s="304">
        <v>70332.960000000006</v>
      </c>
      <c r="Q72" s="281">
        <f>[11]Source!X62</f>
        <v>0</v>
      </c>
      <c r="R72" s="281">
        <f>[11]Source!X63</f>
        <v>0</v>
      </c>
      <c r="S72" s="281">
        <f>[11]Source!Y62</f>
        <v>0</v>
      </c>
      <c r="T72" s="281">
        <f>[11]Source!Y63</f>
        <v>0</v>
      </c>
      <c r="U72" s="281">
        <f>ROUND((175/100)*ROUND([11]Source!R62, 2), 2)</f>
        <v>0</v>
      </c>
      <c r="V72" s="281">
        <f>ROUND((157/100)*ROUND([11]Source!R63, 2), 2)</f>
        <v>0</v>
      </c>
    </row>
    <row r="73" spans="1:22" ht="14.25" x14ac:dyDescent="0.2">
      <c r="A73" s="301"/>
      <c r="B73" s="302"/>
      <c r="C73" s="302" t="s">
        <v>194</v>
      </c>
      <c r="D73" s="303" t="s">
        <v>187</v>
      </c>
      <c r="E73" s="286">
        <v>114</v>
      </c>
      <c r="F73" s="321"/>
      <c r="G73" s="305"/>
      <c r="H73" s="286"/>
      <c r="I73" s="304">
        <v>990.39</v>
      </c>
      <c r="J73" s="286">
        <v>77</v>
      </c>
      <c r="K73" s="304">
        <v>15619.87</v>
      </c>
    </row>
    <row r="74" spans="1:22" ht="14.25" x14ac:dyDescent="0.2">
      <c r="A74" s="301"/>
      <c r="B74" s="302"/>
      <c r="C74" s="302" t="s">
        <v>193</v>
      </c>
      <c r="D74" s="303" t="s">
        <v>187</v>
      </c>
      <c r="E74" s="286">
        <v>67</v>
      </c>
      <c r="F74" s="321"/>
      <c r="G74" s="305"/>
      <c r="H74" s="286"/>
      <c r="I74" s="304">
        <v>582.07000000000005</v>
      </c>
      <c r="J74" s="286">
        <v>41</v>
      </c>
      <c r="K74" s="304">
        <v>8317.08</v>
      </c>
    </row>
    <row r="75" spans="1:22" ht="14.25" x14ac:dyDescent="0.2">
      <c r="A75" s="301"/>
      <c r="B75" s="302"/>
      <c r="C75" s="302" t="s">
        <v>188</v>
      </c>
      <c r="D75" s="303" t="s">
        <v>187</v>
      </c>
      <c r="E75" s="286">
        <v>175</v>
      </c>
      <c r="F75" s="321"/>
      <c r="G75" s="305"/>
      <c r="H75" s="286"/>
      <c r="I75" s="304">
        <v>87.41</v>
      </c>
      <c r="J75" s="286">
        <v>157</v>
      </c>
      <c r="K75" s="304">
        <v>1831.14</v>
      </c>
    </row>
    <row r="76" spans="1:22" ht="14.25" x14ac:dyDescent="0.2">
      <c r="A76" s="329"/>
      <c r="B76" s="330"/>
      <c r="C76" s="330" t="s">
        <v>192</v>
      </c>
      <c r="D76" s="331" t="s">
        <v>191</v>
      </c>
      <c r="E76" s="332">
        <v>2.1</v>
      </c>
      <c r="F76" s="333"/>
      <c r="G76" s="334" t="s">
        <v>195</v>
      </c>
      <c r="H76" s="332">
        <v>1</v>
      </c>
      <c r="I76" s="335">
        <v>77.7</v>
      </c>
      <c r="J76" s="332"/>
      <c r="K76" s="335"/>
    </row>
    <row r="77" spans="1:22" ht="15" x14ac:dyDescent="0.25">
      <c r="A77" s="336"/>
      <c r="B77" s="336"/>
      <c r="C77" s="337" t="s">
        <v>183</v>
      </c>
      <c r="D77" s="336"/>
      <c r="E77" s="336"/>
      <c r="F77" s="336"/>
      <c r="G77" s="336"/>
      <c r="H77" s="461">
        <v>15726.45</v>
      </c>
      <c r="I77" s="461"/>
      <c r="J77" s="461">
        <v>118469.65</v>
      </c>
      <c r="K77" s="461"/>
      <c r="O77" s="284">
        <f>I68+I69+I71+I73+I74+I75+SUM(I72:I72)</f>
        <v>15726.45</v>
      </c>
      <c r="P77" s="284">
        <f>K68+K69+K71+K73+K74+K75+SUM(K72:K72)</f>
        <v>118469.65</v>
      </c>
    </row>
    <row r="79" spans="1:22" ht="28.5" x14ac:dyDescent="0.2">
      <c r="A79" s="301" t="s">
        <v>105</v>
      </c>
      <c r="B79" s="302" t="s">
        <v>3408</v>
      </c>
      <c r="C79" s="302" t="s">
        <v>1129</v>
      </c>
      <c r="D79" s="303" t="s">
        <v>1903</v>
      </c>
      <c r="E79" s="286">
        <v>10</v>
      </c>
      <c r="F79" s="321"/>
      <c r="G79" s="305"/>
      <c r="H79" s="286"/>
      <c r="I79" s="304"/>
      <c r="J79" s="286"/>
      <c r="K79" s="304"/>
      <c r="Q79" s="281">
        <f>[11]Source!X64</f>
        <v>215.92</v>
      </c>
      <c r="R79" s="281">
        <f>[11]Source!X65</f>
        <v>3405.32</v>
      </c>
      <c r="S79" s="281">
        <f>[11]Source!Y64</f>
        <v>126.9</v>
      </c>
      <c r="T79" s="281">
        <f>[11]Source!Y65</f>
        <v>1813.22</v>
      </c>
      <c r="U79" s="281">
        <f>ROUND((175/100)*ROUND([11]Source!R64, 2), 2)</f>
        <v>0</v>
      </c>
      <c r="V79" s="281">
        <f>ROUND((157/100)*ROUND([11]Source!R65, 2), 2)</f>
        <v>0</v>
      </c>
    </row>
    <row r="80" spans="1:22" ht="14.25" x14ac:dyDescent="0.2">
      <c r="A80" s="301"/>
      <c r="B80" s="302"/>
      <c r="C80" s="302" t="s">
        <v>197</v>
      </c>
      <c r="D80" s="303"/>
      <c r="E80" s="286"/>
      <c r="F80" s="321">
        <v>18.940000000000001</v>
      </c>
      <c r="G80" s="305" t="s">
        <v>195</v>
      </c>
      <c r="H80" s="286">
        <v>1</v>
      </c>
      <c r="I80" s="304">
        <v>189.4</v>
      </c>
      <c r="J80" s="286">
        <v>23.35</v>
      </c>
      <c r="K80" s="304">
        <v>4422.49</v>
      </c>
    </row>
    <row r="81" spans="1:22" ht="14.25" x14ac:dyDescent="0.2">
      <c r="A81" s="301"/>
      <c r="B81" s="302"/>
      <c r="C81" s="302" t="s">
        <v>184</v>
      </c>
      <c r="D81" s="303"/>
      <c r="E81" s="286"/>
      <c r="F81" s="321">
        <v>0.05</v>
      </c>
      <c r="G81" s="305" t="s">
        <v>195</v>
      </c>
      <c r="H81" s="286">
        <v>1</v>
      </c>
      <c r="I81" s="304">
        <v>0.5</v>
      </c>
      <c r="J81" s="286">
        <v>5.4</v>
      </c>
      <c r="K81" s="304">
        <v>2.7</v>
      </c>
    </row>
    <row r="82" spans="1:22" ht="14.25" x14ac:dyDescent="0.2">
      <c r="A82" s="301"/>
      <c r="B82" s="302"/>
      <c r="C82" s="302" t="s">
        <v>205</v>
      </c>
      <c r="D82" s="303"/>
      <c r="E82" s="286"/>
      <c r="F82" s="321">
        <v>1.5</v>
      </c>
      <c r="G82" s="305" t="s">
        <v>195</v>
      </c>
      <c r="H82" s="286">
        <v>1</v>
      </c>
      <c r="I82" s="304">
        <v>15</v>
      </c>
      <c r="J82" s="286">
        <v>5.42</v>
      </c>
      <c r="K82" s="304">
        <v>81.3</v>
      </c>
    </row>
    <row r="83" spans="1:22" ht="68.25" x14ac:dyDescent="0.2">
      <c r="A83" s="322" t="s">
        <v>1558</v>
      </c>
      <c r="B83" s="323" t="s">
        <v>3441</v>
      </c>
      <c r="C83" s="323" t="s">
        <v>1373</v>
      </c>
      <c r="D83" s="324" t="s">
        <v>1661</v>
      </c>
      <c r="E83" s="325">
        <v>2</v>
      </c>
      <c r="F83" s="326">
        <v>21967.14</v>
      </c>
      <c r="G83" s="327" t="s">
        <v>195</v>
      </c>
      <c r="H83" s="325">
        <v>1</v>
      </c>
      <c r="I83" s="328">
        <v>43934.28</v>
      </c>
      <c r="J83" s="325">
        <v>4.4000000000000004</v>
      </c>
      <c r="K83" s="328">
        <v>193310.83</v>
      </c>
      <c r="Q83" s="281">
        <f>[11]Source!X66</f>
        <v>0</v>
      </c>
      <c r="R83" s="281">
        <f>[11]Source!X67</f>
        <v>0</v>
      </c>
      <c r="S83" s="281">
        <f>[11]Source!Y66</f>
        <v>0</v>
      </c>
      <c r="T83" s="281">
        <f>[11]Source!Y67</f>
        <v>0</v>
      </c>
      <c r="U83" s="281">
        <f>ROUND((175/100)*ROUND([11]Source!R66, 2), 2)</f>
        <v>0</v>
      </c>
      <c r="V83" s="281">
        <f>ROUND((157/100)*ROUND([11]Source!R67, 2), 2)</f>
        <v>0</v>
      </c>
    </row>
    <row r="84" spans="1:22" ht="54" x14ac:dyDescent="0.2">
      <c r="A84" s="322" t="s">
        <v>3444</v>
      </c>
      <c r="B84" s="323" t="s">
        <v>3441</v>
      </c>
      <c r="C84" s="323" t="s">
        <v>1372</v>
      </c>
      <c r="D84" s="324" t="s">
        <v>1661</v>
      </c>
      <c r="E84" s="325">
        <v>8</v>
      </c>
      <c r="F84" s="326">
        <v>5511.88</v>
      </c>
      <c r="G84" s="327" t="s">
        <v>195</v>
      </c>
      <c r="H84" s="325">
        <v>1</v>
      </c>
      <c r="I84" s="328">
        <v>44095.040000000001</v>
      </c>
      <c r="J84" s="325">
        <v>4.4000000000000004</v>
      </c>
      <c r="K84" s="328">
        <v>194018.18</v>
      </c>
      <c r="Q84" s="281">
        <f>[11]Source!X68</f>
        <v>0</v>
      </c>
      <c r="R84" s="281">
        <f>[11]Source!X69</f>
        <v>0</v>
      </c>
      <c r="S84" s="281">
        <f>[11]Source!Y68</f>
        <v>0</v>
      </c>
      <c r="T84" s="281">
        <f>[11]Source!Y69</f>
        <v>0</v>
      </c>
      <c r="U84" s="281">
        <f>ROUND((175/100)*ROUND([11]Source!R68, 2), 2)</f>
        <v>0</v>
      </c>
      <c r="V84" s="281">
        <f>ROUND((157/100)*ROUND([11]Source!R69, 2), 2)</f>
        <v>0</v>
      </c>
    </row>
    <row r="85" spans="1:22" ht="68.25" x14ac:dyDescent="0.2">
      <c r="A85" s="322" t="s">
        <v>3445</v>
      </c>
      <c r="B85" s="323" t="s">
        <v>3441</v>
      </c>
      <c r="C85" s="323" t="s">
        <v>1371</v>
      </c>
      <c r="D85" s="324" t="s">
        <v>1661</v>
      </c>
      <c r="E85" s="325">
        <v>10</v>
      </c>
      <c r="F85" s="326">
        <v>612.98</v>
      </c>
      <c r="G85" s="327" t="s">
        <v>195</v>
      </c>
      <c r="H85" s="325">
        <v>1</v>
      </c>
      <c r="I85" s="328">
        <v>6129.8</v>
      </c>
      <c r="J85" s="325">
        <v>4.4000000000000004</v>
      </c>
      <c r="K85" s="328">
        <v>26971.119999999999</v>
      </c>
      <c r="Q85" s="281">
        <f>[11]Source!X70</f>
        <v>0</v>
      </c>
      <c r="R85" s="281">
        <f>[11]Source!X71</f>
        <v>0</v>
      </c>
      <c r="S85" s="281">
        <f>[11]Source!Y70</f>
        <v>0</v>
      </c>
      <c r="T85" s="281">
        <f>[11]Source!Y71</f>
        <v>0</v>
      </c>
      <c r="U85" s="281">
        <f>ROUND((175/100)*ROUND([11]Source!R70, 2), 2)</f>
        <v>0</v>
      </c>
      <c r="V85" s="281">
        <f>ROUND((157/100)*ROUND([11]Source!R71, 2), 2)</f>
        <v>0</v>
      </c>
    </row>
    <row r="86" spans="1:22" ht="68.25" x14ac:dyDescent="0.2">
      <c r="A86" s="322" t="s">
        <v>3446</v>
      </c>
      <c r="B86" s="323" t="s">
        <v>3441</v>
      </c>
      <c r="C86" s="323" t="s">
        <v>1370</v>
      </c>
      <c r="D86" s="324" t="s">
        <v>1661</v>
      </c>
      <c r="E86" s="325">
        <v>2</v>
      </c>
      <c r="F86" s="326">
        <v>3403.26</v>
      </c>
      <c r="G86" s="327" t="s">
        <v>195</v>
      </c>
      <c r="H86" s="325">
        <v>1</v>
      </c>
      <c r="I86" s="328">
        <v>6806.52</v>
      </c>
      <c r="J86" s="325">
        <v>4.4000000000000004</v>
      </c>
      <c r="K86" s="328">
        <v>29948.69</v>
      </c>
      <c r="Q86" s="281">
        <f>[11]Source!X72</f>
        <v>0</v>
      </c>
      <c r="R86" s="281">
        <f>[11]Source!X73</f>
        <v>0</v>
      </c>
      <c r="S86" s="281">
        <f>[11]Source!Y72</f>
        <v>0</v>
      </c>
      <c r="T86" s="281">
        <f>[11]Source!Y73</f>
        <v>0</v>
      </c>
      <c r="U86" s="281">
        <f>ROUND((175/100)*ROUND([11]Source!R72, 2), 2)</f>
        <v>0</v>
      </c>
      <c r="V86" s="281">
        <f>ROUND((157/100)*ROUND([11]Source!R73, 2), 2)</f>
        <v>0</v>
      </c>
    </row>
    <row r="87" spans="1:22" ht="14.25" x14ac:dyDescent="0.2">
      <c r="A87" s="301"/>
      <c r="B87" s="302"/>
      <c r="C87" s="302" t="s">
        <v>194</v>
      </c>
      <c r="D87" s="303" t="s">
        <v>187</v>
      </c>
      <c r="E87" s="286">
        <v>114</v>
      </c>
      <c r="F87" s="321"/>
      <c r="G87" s="305"/>
      <c r="H87" s="286"/>
      <c r="I87" s="304">
        <v>215.92</v>
      </c>
      <c r="J87" s="286">
        <v>77</v>
      </c>
      <c r="K87" s="304">
        <v>3405.32</v>
      </c>
    </row>
    <row r="88" spans="1:22" ht="14.25" x14ac:dyDescent="0.2">
      <c r="A88" s="301"/>
      <c r="B88" s="302"/>
      <c r="C88" s="302" t="s">
        <v>193</v>
      </c>
      <c r="D88" s="303" t="s">
        <v>187</v>
      </c>
      <c r="E88" s="286">
        <v>67</v>
      </c>
      <c r="F88" s="321"/>
      <c r="G88" s="305"/>
      <c r="H88" s="286"/>
      <c r="I88" s="304">
        <v>126.9</v>
      </c>
      <c r="J88" s="286">
        <v>41</v>
      </c>
      <c r="K88" s="304">
        <v>1813.22</v>
      </c>
    </row>
    <row r="89" spans="1:22" ht="14.25" x14ac:dyDescent="0.2">
      <c r="A89" s="329"/>
      <c r="B89" s="330"/>
      <c r="C89" s="330" t="s">
        <v>192</v>
      </c>
      <c r="D89" s="331" t="s">
        <v>191</v>
      </c>
      <c r="E89" s="332">
        <v>1.36</v>
      </c>
      <c r="F89" s="333"/>
      <c r="G89" s="334" t="s">
        <v>195</v>
      </c>
      <c r="H89" s="332">
        <v>1</v>
      </c>
      <c r="I89" s="335">
        <v>13.6</v>
      </c>
      <c r="J89" s="332"/>
      <c r="K89" s="335"/>
    </row>
    <row r="90" spans="1:22" ht="15" x14ac:dyDescent="0.25">
      <c r="A90" s="336"/>
      <c r="B90" s="336"/>
      <c r="C90" s="337" t="s">
        <v>183</v>
      </c>
      <c r="D90" s="336"/>
      <c r="E90" s="336"/>
      <c r="F90" s="336"/>
      <c r="G90" s="336"/>
      <c r="H90" s="461">
        <v>101513.36</v>
      </c>
      <c r="I90" s="461"/>
      <c r="J90" s="461">
        <v>453973.85</v>
      </c>
      <c r="K90" s="461"/>
      <c r="O90" s="284">
        <f>I80+I81+I82+I87+I88+SUM(I83:I86)</f>
        <v>101513.36</v>
      </c>
      <c r="P90" s="284">
        <f>K80+K81+K82+K87+K88+SUM(K83:K86)</f>
        <v>453973.85</v>
      </c>
    </row>
    <row r="92" spans="1:22" ht="68.25" x14ac:dyDescent="0.2">
      <c r="A92" s="338" t="s">
        <v>1560</v>
      </c>
      <c r="B92" s="339" t="s">
        <v>3441</v>
      </c>
      <c r="C92" s="339" t="s">
        <v>1369</v>
      </c>
      <c r="D92" s="340" t="s">
        <v>1661</v>
      </c>
      <c r="E92" s="341">
        <v>1</v>
      </c>
      <c r="F92" s="342">
        <v>6166.51</v>
      </c>
      <c r="G92" s="343" t="s">
        <v>195</v>
      </c>
      <c r="H92" s="341">
        <v>1</v>
      </c>
      <c r="I92" s="344">
        <v>6166.51</v>
      </c>
      <c r="J92" s="341">
        <v>4.4000000000000004</v>
      </c>
      <c r="K92" s="344">
        <v>27132.639999999999</v>
      </c>
      <c r="Q92" s="281">
        <f>[11]Source!X74</f>
        <v>0</v>
      </c>
      <c r="R92" s="281">
        <f>[11]Source!X75</f>
        <v>0</v>
      </c>
      <c r="S92" s="281">
        <f>[11]Source!Y74</f>
        <v>0</v>
      </c>
      <c r="T92" s="281">
        <f>[11]Source!Y75</f>
        <v>0</v>
      </c>
      <c r="U92" s="281">
        <f>ROUND((175/100)*ROUND([11]Source!R74, 2), 2)</f>
        <v>0</v>
      </c>
      <c r="V92" s="281">
        <f>ROUND((157/100)*ROUND([11]Source!R75, 2), 2)</f>
        <v>0</v>
      </c>
    </row>
    <row r="93" spans="1:22" ht="15" x14ac:dyDescent="0.25">
      <c r="A93" s="345"/>
      <c r="B93" s="345"/>
      <c r="C93" s="346" t="s">
        <v>183</v>
      </c>
      <c r="D93" s="345"/>
      <c r="E93" s="345"/>
      <c r="F93" s="345"/>
      <c r="G93" s="345"/>
      <c r="H93" s="462">
        <v>6166.51</v>
      </c>
      <c r="I93" s="462"/>
      <c r="J93" s="462">
        <v>27132.639999999999</v>
      </c>
      <c r="K93" s="462"/>
      <c r="O93" s="284">
        <f>I92</f>
        <v>6166.51</v>
      </c>
      <c r="P93" s="284">
        <f>K92</f>
        <v>27132.639999999999</v>
      </c>
    </row>
    <row r="96" spans="1:22" ht="16.5" x14ac:dyDescent="0.25">
      <c r="A96" s="448" t="s">
        <v>3447</v>
      </c>
      <c r="B96" s="448"/>
      <c r="C96" s="448"/>
      <c r="D96" s="448"/>
      <c r="E96" s="448"/>
      <c r="F96" s="448"/>
      <c r="G96" s="448"/>
      <c r="H96" s="448"/>
      <c r="I96" s="448"/>
      <c r="J96" s="448"/>
      <c r="K96" s="448"/>
    </row>
    <row r="97" spans="1:22" ht="54" x14ac:dyDescent="0.2">
      <c r="A97" s="338" t="s">
        <v>1572</v>
      </c>
      <c r="B97" s="339" t="s">
        <v>3448</v>
      </c>
      <c r="C97" s="339" t="s">
        <v>1368</v>
      </c>
      <c r="D97" s="340" t="s">
        <v>1661</v>
      </c>
      <c r="E97" s="341">
        <v>2</v>
      </c>
      <c r="F97" s="342">
        <v>9215.61</v>
      </c>
      <c r="G97" s="343" t="s">
        <v>195</v>
      </c>
      <c r="H97" s="341">
        <v>1</v>
      </c>
      <c r="I97" s="344">
        <v>18431.22</v>
      </c>
      <c r="J97" s="341">
        <v>4.4000000000000004</v>
      </c>
      <c r="K97" s="344">
        <v>81097.37</v>
      </c>
      <c r="Q97" s="281">
        <f>[11]Source!X85</f>
        <v>0</v>
      </c>
      <c r="R97" s="281">
        <f>[11]Source!X86</f>
        <v>0</v>
      </c>
      <c r="S97" s="281">
        <f>[11]Source!Y85</f>
        <v>0</v>
      </c>
      <c r="T97" s="281">
        <f>[11]Source!Y86</f>
        <v>0</v>
      </c>
      <c r="U97" s="281">
        <f>ROUND((175/100)*ROUND([11]Source!R85, 2), 2)</f>
        <v>0</v>
      </c>
      <c r="V97" s="281">
        <f>ROUND((157/100)*ROUND([11]Source!R86, 2), 2)</f>
        <v>0</v>
      </c>
    </row>
    <row r="98" spans="1:22" ht="15" x14ac:dyDescent="0.25">
      <c r="A98" s="345"/>
      <c r="B98" s="345"/>
      <c r="C98" s="346" t="s">
        <v>183</v>
      </c>
      <c r="D98" s="345"/>
      <c r="E98" s="345"/>
      <c r="F98" s="345"/>
      <c r="G98" s="345"/>
      <c r="H98" s="462">
        <v>18431.22</v>
      </c>
      <c r="I98" s="462"/>
      <c r="J98" s="462">
        <v>81097.37</v>
      </c>
      <c r="K98" s="462"/>
      <c r="O98" s="284">
        <f>I97</f>
        <v>18431.22</v>
      </c>
      <c r="P98" s="284">
        <f>K97</f>
        <v>81097.37</v>
      </c>
    </row>
    <row r="100" spans="1:22" ht="54" x14ac:dyDescent="0.2">
      <c r="A100" s="338" t="s">
        <v>1578</v>
      </c>
      <c r="B100" s="339" t="s">
        <v>3448</v>
      </c>
      <c r="C100" s="339" t="s">
        <v>1367</v>
      </c>
      <c r="D100" s="340" t="s">
        <v>1661</v>
      </c>
      <c r="E100" s="341">
        <v>2</v>
      </c>
      <c r="F100" s="342">
        <v>44637.3</v>
      </c>
      <c r="G100" s="343" t="s">
        <v>195</v>
      </c>
      <c r="H100" s="341">
        <v>1</v>
      </c>
      <c r="I100" s="344">
        <v>89274.6</v>
      </c>
      <c r="J100" s="341">
        <v>4.4000000000000004</v>
      </c>
      <c r="K100" s="344">
        <v>392808.24</v>
      </c>
      <c r="Q100" s="281">
        <f>[11]Source!X87</f>
        <v>0</v>
      </c>
      <c r="R100" s="281">
        <f>[11]Source!X88</f>
        <v>0</v>
      </c>
      <c r="S100" s="281">
        <f>[11]Source!Y87</f>
        <v>0</v>
      </c>
      <c r="T100" s="281">
        <f>[11]Source!Y88</f>
        <v>0</v>
      </c>
      <c r="U100" s="281">
        <f>ROUND((175/100)*ROUND([11]Source!R87, 2), 2)</f>
        <v>0</v>
      </c>
      <c r="V100" s="281">
        <f>ROUND((157/100)*ROUND([11]Source!R88, 2), 2)</f>
        <v>0</v>
      </c>
    </row>
    <row r="101" spans="1:22" ht="15" x14ac:dyDescent="0.25">
      <c r="A101" s="345"/>
      <c r="B101" s="345"/>
      <c r="C101" s="346" t="s">
        <v>183</v>
      </c>
      <c r="D101" s="345"/>
      <c r="E101" s="345"/>
      <c r="F101" s="345"/>
      <c r="G101" s="345"/>
      <c r="H101" s="462">
        <v>89274.6</v>
      </c>
      <c r="I101" s="462"/>
      <c r="J101" s="462">
        <v>392808.24</v>
      </c>
      <c r="K101" s="462"/>
      <c r="O101" s="284">
        <f>I100</f>
        <v>89274.6</v>
      </c>
      <c r="P101" s="284">
        <f>K100</f>
        <v>392808.24</v>
      </c>
    </row>
    <row r="103" spans="1:22" ht="68.25" x14ac:dyDescent="0.2">
      <c r="A103" s="338" t="s">
        <v>1587</v>
      </c>
      <c r="B103" s="339" t="s">
        <v>3448</v>
      </c>
      <c r="C103" s="339" t="s">
        <v>1366</v>
      </c>
      <c r="D103" s="340" t="s">
        <v>1661</v>
      </c>
      <c r="E103" s="341">
        <v>36</v>
      </c>
      <c r="F103" s="342">
        <v>9455.4699999999993</v>
      </c>
      <c r="G103" s="343" t="s">
        <v>195</v>
      </c>
      <c r="H103" s="341">
        <v>1</v>
      </c>
      <c r="I103" s="344">
        <v>340396.92</v>
      </c>
      <c r="J103" s="341">
        <v>4.4000000000000004</v>
      </c>
      <c r="K103" s="344">
        <v>1497746.45</v>
      </c>
      <c r="Q103" s="281">
        <f>[11]Source!X89</f>
        <v>0</v>
      </c>
      <c r="R103" s="281">
        <f>[11]Source!X90</f>
        <v>0</v>
      </c>
      <c r="S103" s="281">
        <f>[11]Source!Y89</f>
        <v>0</v>
      </c>
      <c r="T103" s="281">
        <f>[11]Source!Y90</f>
        <v>0</v>
      </c>
      <c r="U103" s="281">
        <f>ROUND((175/100)*ROUND([11]Source!R89, 2), 2)</f>
        <v>0</v>
      </c>
      <c r="V103" s="281">
        <f>ROUND((157/100)*ROUND([11]Source!R90, 2), 2)</f>
        <v>0</v>
      </c>
    </row>
    <row r="104" spans="1:22" ht="15" x14ac:dyDescent="0.25">
      <c r="A104" s="345"/>
      <c r="B104" s="345"/>
      <c r="C104" s="346" t="s">
        <v>183</v>
      </c>
      <c r="D104" s="345"/>
      <c r="E104" s="345"/>
      <c r="F104" s="345"/>
      <c r="G104" s="345"/>
      <c r="H104" s="462">
        <v>340396.92</v>
      </c>
      <c r="I104" s="462"/>
      <c r="J104" s="462">
        <v>1497746.45</v>
      </c>
      <c r="K104" s="462"/>
      <c r="O104" s="284">
        <f>I103</f>
        <v>340396.92</v>
      </c>
      <c r="P104" s="284">
        <f>K103</f>
        <v>1497746.45</v>
      </c>
    </row>
    <row r="106" spans="1:22" ht="39.75" x14ac:dyDescent="0.2">
      <c r="A106" s="329" t="s">
        <v>1589</v>
      </c>
      <c r="B106" s="330" t="s">
        <v>3448</v>
      </c>
      <c r="C106" s="330" t="s">
        <v>1365</v>
      </c>
      <c r="D106" s="331" t="s">
        <v>1661</v>
      </c>
      <c r="E106" s="332">
        <v>1</v>
      </c>
      <c r="F106" s="333">
        <v>10036.9</v>
      </c>
      <c r="G106" s="334" t="s">
        <v>195</v>
      </c>
      <c r="H106" s="332">
        <v>1</v>
      </c>
      <c r="I106" s="335">
        <v>10036.9</v>
      </c>
      <c r="J106" s="332">
        <v>5.42</v>
      </c>
      <c r="K106" s="335">
        <v>54400</v>
      </c>
      <c r="Q106" s="281">
        <f>[11]Source!X91</f>
        <v>0</v>
      </c>
      <c r="R106" s="281">
        <f>[11]Source!X92</f>
        <v>0</v>
      </c>
      <c r="S106" s="281">
        <f>[11]Source!Y91</f>
        <v>0</v>
      </c>
      <c r="T106" s="281">
        <f>[11]Source!Y92</f>
        <v>0</v>
      </c>
      <c r="U106" s="281">
        <f>ROUND((175/100)*ROUND([11]Source!R91, 2), 2)</f>
        <v>0</v>
      </c>
      <c r="V106" s="281">
        <f>ROUND((157/100)*ROUND([11]Source!R92, 2), 2)</f>
        <v>0</v>
      </c>
    </row>
    <row r="107" spans="1:22" ht="15" x14ac:dyDescent="0.25">
      <c r="A107" s="336"/>
      <c r="B107" s="336"/>
      <c r="C107" s="337" t="s">
        <v>183</v>
      </c>
      <c r="D107" s="336"/>
      <c r="E107" s="336"/>
      <c r="F107" s="336"/>
      <c r="G107" s="336"/>
      <c r="H107" s="461">
        <v>10036.9</v>
      </c>
      <c r="I107" s="461"/>
      <c r="J107" s="461">
        <v>54400</v>
      </c>
      <c r="K107" s="461"/>
      <c r="O107" s="284">
        <f>I106</f>
        <v>10036.9</v>
      </c>
      <c r="P107" s="284">
        <f>K106</f>
        <v>54400</v>
      </c>
    </row>
    <row r="109" spans="1:22" ht="54" x14ac:dyDescent="0.2">
      <c r="A109" s="338" t="s">
        <v>1599</v>
      </c>
      <c r="B109" s="339" t="s">
        <v>3448</v>
      </c>
      <c r="C109" s="339" t="s">
        <v>1364</v>
      </c>
      <c r="D109" s="340" t="s">
        <v>1661</v>
      </c>
      <c r="E109" s="341">
        <v>1</v>
      </c>
      <c r="F109" s="342">
        <v>6593.72</v>
      </c>
      <c r="G109" s="343" t="s">
        <v>195</v>
      </c>
      <c r="H109" s="341">
        <v>1</v>
      </c>
      <c r="I109" s="344">
        <v>6593.72</v>
      </c>
      <c r="J109" s="341">
        <v>4.4000000000000004</v>
      </c>
      <c r="K109" s="344">
        <v>29012.37</v>
      </c>
      <c r="Q109" s="281">
        <f>[11]Source!X93</f>
        <v>0</v>
      </c>
      <c r="R109" s="281">
        <f>[11]Source!X94</f>
        <v>0</v>
      </c>
      <c r="S109" s="281">
        <f>[11]Source!Y93</f>
        <v>0</v>
      </c>
      <c r="T109" s="281">
        <f>[11]Source!Y94</f>
        <v>0</v>
      </c>
      <c r="U109" s="281">
        <f>ROUND((175/100)*ROUND([11]Source!R93, 2), 2)</f>
        <v>0</v>
      </c>
      <c r="V109" s="281">
        <f>ROUND((157/100)*ROUND([11]Source!R94, 2), 2)</f>
        <v>0</v>
      </c>
    </row>
    <row r="110" spans="1:22" ht="15" x14ac:dyDescent="0.25">
      <c r="A110" s="345"/>
      <c r="B110" s="345"/>
      <c r="C110" s="346" t="s">
        <v>183</v>
      </c>
      <c r="D110" s="345"/>
      <c r="E110" s="345"/>
      <c r="F110" s="345"/>
      <c r="G110" s="345"/>
      <c r="H110" s="462">
        <v>6593.72</v>
      </c>
      <c r="I110" s="462"/>
      <c r="J110" s="462">
        <v>29012.37</v>
      </c>
      <c r="K110" s="462"/>
      <c r="O110" s="284">
        <f>I109</f>
        <v>6593.72</v>
      </c>
      <c r="P110" s="284">
        <f>K109</f>
        <v>29012.37</v>
      </c>
    </row>
    <row r="112" spans="1:22" ht="54" x14ac:dyDescent="0.2">
      <c r="A112" s="338" t="s">
        <v>1602</v>
      </c>
      <c r="B112" s="339" t="s">
        <v>3448</v>
      </c>
      <c r="C112" s="339" t="s">
        <v>1363</v>
      </c>
      <c r="D112" s="340" t="s">
        <v>1661</v>
      </c>
      <c r="E112" s="341">
        <v>1</v>
      </c>
      <c r="F112" s="342">
        <v>7932.21</v>
      </c>
      <c r="G112" s="343" t="s">
        <v>195</v>
      </c>
      <c r="H112" s="341">
        <v>1</v>
      </c>
      <c r="I112" s="344">
        <v>7932.21</v>
      </c>
      <c r="J112" s="341">
        <v>4.4000000000000004</v>
      </c>
      <c r="K112" s="344">
        <v>34901.72</v>
      </c>
      <c r="Q112" s="281">
        <f>[11]Source!X95</f>
        <v>0</v>
      </c>
      <c r="R112" s="281">
        <f>[11]Source!X96</f>
        <v>0</v>
      </c>
      <c r="S112" s="281">
        <f>[11]Source!Y95</f>
        <v>0</v>
      </c>
      <c r="T112" s="281">
        <f>[11]Source!Y96</f>
        <v>0</v>
      </c>
      <c r="U112" s="281">
        <f>ROUND((175/100)*ROUND([11]Source!R95, 2), 2)</f>
        <v>0</v>
      </c>
      <c r="V112" s="281">
        <f>ROUND((157/100)*ROUND([11]Source!R96, 2), 2)</f>
        <v>0</v>
      </c>
    </row>
    <row r="113" spans="1:22" ht="15" x14ac:dyDescent="0.25">
      <c r="A113" s="345"/>
      <c r="B113" s="345"/>
      <c r="C113" s="346" t="s">
        <v>183</v>
      </c>
      <c r="D113" s="345"/>
      <c r="E113" s="345"/>
      <c r="F113" s="345"/>
      <c r="G113" s="345"/>
      <c r="H113" s="462">
        <v>7932.21</v>
      </c>
      <c r="I113" s="462"/>
      <c r="J113" s="462">
        <v>34901.72</v>
      </c>
      <c r="K113" s="462"/>
      <c r="O113" s="284">
        <f>I112</f>
        <v>7932.21</v>
      </c>
      <c r="P113" s="284">
        <f>K112</f>
        <v>34901.72</v>
      </c>
    </row>
    <row r="116" spans="1:22" ht="15" x14ac:dyDescent="0.25">
      <c r="A116" s="447" t="s">
        <v>3449</v>
      </c>
      <c r="B116" s="447"/>
      <c r="C116" s="447"/>
      <c r="D116" s="447"/>
      <c r="E116" s="447"/>
      <c r="F116" s="447"/>
      <c r="G116" s="447"/>
      <c r="H116" s="445">
        <v>472665.57</v>
      </c>
      <c r="I116" s="446"/>
      <c r="J116" s="445">
        <v>2089966.15</v>
      </c>
      <c r="K116" s="446"/>
    </row>
    <row r="117" spans="1:22" hidden="1" x14ac:dyDescent="0.2">
      <c r="A117" s="281" t="s">
        <v>182</v>
      </c>
      <c r="I117" s="281">
        <v>0</v>
      </c>
      <c r="J117" s="281">
        <v>0</v>
      </c>
    </row>
    <row r="118" spans="1:22" hidden="1" x14ac:dyDescent="0.2">
      <c r="A118" s="281" t="s">
        <v>181</v>
      </c>
      <c r="I118" s="281">
        <v>0</v>
      </c>
      <c r="J118" s="281">
        <v>0</v>
      </c>
    </row>
    <row r="120" spans="1:22" ht="15" x14ac:dyDescent="0.25">
      <c r="A120" s="447" t="s">
        <v>3450</v>
      </c>
      <c r="B120" s="447"/>
      <c r="C120" s="447"/>
      <c r="D120" s="447"/>
      <c r="E120" s="447"/>
      <c r="F120" s="447"/>
      <c r="G120" s="447"/>
      <c r="H120" s="445">
        <v>609002.78</v>
      </c>
      <c r="I120" s="446"/>
      <c r="J120" s="445">
        <v>2768546.22</v>
      </c>
      <c r="K120" s="446"/>
    </row>
    <row r="121" spans="1:22" hidden="1" x14ac:dyDescent="0.2">
      <c r="A121" s="281" t="s">
        <v>182</v>
      </c>
      <c r="I121" s="281">
        <v>0</v>
      </c>
      <c r="J121" s="281">
        <v>0</v>
      </c>
    </row>
    <row r="122" spans="1:22" hidden="1" x14ac:dyDescent="0.2">
      <c r="A122" s="281" t="s">
        <v>181</v>
      </c>
      <c r="I122" s="281">
        <v>0</v>
      </c>
      <c r="J122" s="281">
        <v>0</v>
      </c>
    </row>
    <row r="124" spans="1:22" ht="16.5" x14ac:dyDescent="0.25">
      <c r="A124" s="448" t="s">
        <v>3451</v>
      </c>
      <c r="B124" s="448"/>
      <c r="C124" s="448"/>
      <c r="D124" s="448"/>
      <c r="E124" s="448"/>
      <c r="F124" s="448"/>
      <c r="G124" s="448"/>
      <c r="H124" s="448"/>
      <c r="I124" s="448"/>
      <c r="J124" s="448"/>
      <c r="K124" s="448"/>
    </row>
    <row r="125" spans="1:22" ht="68.25" x14ac:dyDescent="0.2">
      <c r="A125" s="338" t="s">
        <v>1607</v>
      </c>
      <c r="B125" s="339" t="s">
        <v>3448</v>
      </c>
      <c r="C125" s="339" t="s">
        <v>1362</v>
      </c>
      <c r="D125" s="340" t="s">
        <v>1661</v>
      </c>
      <c r="E125" s="341">
        <v>14</v>
      </c>
      <c r="F125" s="342">
        <v>2076.62</v>
      </c>
      <c r="G125" s="343" t="s">
        <v>195</v>
      </c>
      <c r="H125" s="341">
        <v>1</v>
      </c>
      <c r="I125" s="344">
        <v>29072.68</v>
      </c>
      <c r="J125" s="341">
        <v>4.4000000000000004</v>
      </c>
      <c r="K125" s="344">
        <v>127919.79</v>
      </c>
      <c r="Q125" s="281">
        <f>[11]Source!X162</f>
        <v>0</v>
      </c>
      <c r="R125" s="281">
        <f>[11]Source!X163</f>
        <v>0</v>
      </c>
      <c r="S125" s="281">
        <f>[11]Source!Y162</f>
        <v>0</v>
      </c>
      <c r="T125" s="281">
        <f>[11]Source!Y163</f>
        <v>0</v>
      </c>
      <c r="U125" s="281">
        <f>ROUND((175/100)*ROUND([11]Source!R162, 2), 2)</f>
        <v>0</v>
      </c>
      <c r="V125" s="281">
        <f>ROUND((157/100)*ROUND([11]Source!R163, 2), 2)</f>
        <v>0</v>
      </c>
    </row>
    <row r="126" spans="1:22" ht="15" x14ac:dyDescent="0.25">
      <c r="A126" s="345"/>
      <c r="B126" s="345"/>
      <c r="C126" s="346" t="s">
        <v>183</v>
      </c>
      <c r="D126" s="345"/>
      <c r="E126" s="345"/>
      <c r="F126" s="345"/>
      <c r="G126" s="345"/>
      <c r="H126" s="462">
        <v>29072.68</v>
      </c>
      <c r="I126" s="462"/>
      <c r="J126" s="462">
        <v>127919.79</v>
      </c>
      <c r="K126" s="462"/>
      <c r="O126" s="284">
        <f>I125</f>
        <v>29072.68</v>
      </c>
      <c r="P126" s="284">
        <f>K125</f>
        <v>127919.79</v>
      </c>
    </row>
    <row r="128" spans="1:22" ht="68.25" x14ac:dyDescent="0.2">
      <c r="A128" s="338" t="s">
        <v>1609</v>
      </c>
      <c r="B128" s="339" t="s">
        <v>3448</v>
      </c>
      <c r="C128" s="339" t="s">
        <v>1361</v>
      </c>
      <c r="D128" s="340" t="s">
        <v>1661</v>
      </c>
      <c r="E128" s="341">
        <v>1</v>
      </c>
      <c r="F128" s="342">
        <v>3295.08</v>
      </c>
      <c r="G128" s="343" t="s">
        <v>195</v>
      </c>
      <c r="H128" s="341">
        <v>1</v>
      </c>
      <c r="I128" s="344">
        <v>3295.08</v>
      </c>
      <c r="J128" s="341">
        <v>4.4000000000000004</v>
      </c>
      <c r="K128" s="344">
        <v>14498.35</v>
      </c>
      <c r="Q128" s="281">
        <f>[11]Source!X164</f>
        <v>0</v>
      </c>
      <c r="R128" s="281">
        <f>[11]Source!X165</f>
        <v>0</v>
      </c>
      <c r="S128" s="281">
        <f>[11]Source!Y164</f>
        <v>0</v>
      </c>
      <c r="T128" s="281">
        <f>[11]Source!Y165</f>
        <v>0</v>
      </c>
      <c r="U128" s="281">
        <f>ROUND((175/100)*ROUND([11]Source!R164, 2), 2)</f>
        <v>0</v>
      </c>
      <c r="V128" s="281">
        <f>ROUND((157/100)*ROUND([11]Source!R165, 2), 2)</f>
        <v>0</v>
      </c>
    </row>
    <row r="129" spans="1:22" ht="15" x14ac:dyDescent="0.25">
      <c r="A129" s="345"/>
      <c r="B129" s="345"/>
      <c r="C129" s="346" t="s">
        <v>183</v>
      </c>
      <c r="D129" s="345"/>
      <c r="E129" s="345"/>
      <c r="F129" s="345"/>
      <c r="G129" s="345"/>
      <c r="H129" s="462">
        <v>3295.08</v>
      </c>
      <c r="I129" s="462"/>
      <c r="J129" s="462">
        <v>14498.35</v>
      </c>
      <c r="K129" s="462"/>
      <c r="O129" s="284">
        <f>I128</f>
        <v>3295.08</v>
      </c>
      <c r="P129" s="284">
        <f>K128</f>
        <v>14498.35</v>
      </c>
    </row>
    <row r="132" spans="1:22" ht="15" x14ac:dyDescent="0.25">
      <c r="A132" s="447" t="s">
        <v>3452</v>
      </c>
      <c r="B132" s="447"/>
      <c r="C132" s="447"/>
      <c r="D132" s="447"/>
      <c r="E132" s="447"/>
      <c r="F132" s="447"/>
      <c r="G132" s="447"/>
      <c r="H132" s="445">
        <v>32367.759999999998</v>
      </c>
      <c r="I132" s="446"/>
      <c r="J132" s="445">
        <v>142418.14000000001</v>
      </c>
      <c r="K132" s="446"/>
    </row>
    <row r="133" spans="1:22" hidden="1" x14ac:dyDescent="0.2">
      <c r="A133" s="281" t="s">
        <v>182</v>
      </c>
      <c r="I133" s="281">
        <v>0</v>
      </c>
      <c r="J133" s="281">
        <v>0</v>
      </c>
    </row>
    <row r="134" spans="1:22" hidden="1" x14ac:dyDescent="0.2">
      <c r="A134" s="281" t="s">
        <v>181</v>
      </c>
      <c r="I134" s="281">
        <v>0</v>
      </c>
      <c r="J134" s="281">
        <v>0</v>
      </c>
    </row>
    <row r="136" spans="1:22" ht="16.5" x14ac:dyDescent="0.25">
      <c r="A136" s="448" t="s">
        <v>3453</v>
      </c>
      <c r="B136" s="448"/>
      <c r="C136" s="448"/>
      <c r="D136" s="448"/>
      <c r="E136" s="448"/>
      <c r="F136" s="448"/>
      <c r="G136" s="448"/>
      <c r="H136" s="448"/>
      <c r="I136" s="448"/>
      <c r="J136" s="448"/>
      <c r="K136" s="448"/>
    </row>
    <row r="137" spans="1:22" ht="71.25" x14ac:dyDescent="0.2">
      <c r="A137" s="301" t="s">
        <v>1617</v>
      </c>
      <c r="B137" s="302" t="s">
        <v>3347</v>
      </c>
      <c r="C137" s="302" t="s">
        <v>1171</v>
      </c>
      <c r="D137" s="303" t="s">
        <v>1686</v>
      </c>
      <c r="E137" s="286">
        <v>10</v>
      </c>
      <c r="F137" s="321"/>
      <c r="G137" s="305"/>
      <c r="H137" s="286"/>
      <c r="I137" s="304"/>
      <c r="J137" s="286"/>
      <c r="K137" s="304"/>
      <c r="Q137" s="281">
        <f>[11]Source!X201</f>
        <v>2191.7600000000002</v>
      </c>
      <c r="R137" s="281">
        <f>[11]Source!X202</f>
        <v>34567.39</v>
      </c>
      <c r="S137" s="281">
        <f>[11]Source!Y201</f>
        <v>1288.1400000000001</v>
      </c>
      <c r="T137" s="281">
        <f>[11]Source!Y202</f>
        <v>18406.009999999998</v>
      </c>
      <c r="U137" s="281">
        <f>ROUND((175/100)*ROUND([11]Source!R201, 2), 2)</f>
        <v>99.93</v>
      </c>
      <c r="V137" s="281">
        <f>ROUND((157/100)*ROUND([11]Source!R202, 2), 2)</f>
        <v>2093.27</v>
      </c>
    </row>
    <row r="138" spans="1:22" x14ac:dyDescent="0.2">
      <c r="C138" s="316" t="s">
        <v>3454</v>
      </c>
    </row>
    <row r="139" spans="1:22" ht="14.25" x14ac:dyDescent="0.2">
      <c r="A139" s="301"/>
      <c r="B139" s="302"/>
      <c r="C139" s="302" t="s">
        <v>197</v>
      </c>
      <c r="D139" s="303"/>
      <c r="E139" s="286"/>
      <c r="F139" s="321">
        <v>192.26</v>
      </c>
      <c r="G139" s="305" t="s">
        <v>195</v>
      </c>
      <c r="H139" s="286">
        <v>1</v>
      </c>
      <c r="I139" s="304">
        <v>1922.6</v>
      </c>
      <c r="J139" s="286">
        <v>23.35</v>
      </c>
      <c r="K139" s="304">
        <v>44892.71</v>
      </c>
    </row>
    <row r="140" spans="1:22" ht="14.25" x14ac:dyDescent="0.2">
      <c r="A140" s="301"/>
      <c r="B140" s="302"/>
      <c r="C140" s="302" t="s">
        <v>184</v>
      </c>
      <c r="D140" s="303"/>
      <c r="E140" s="286"/>
      <c r="F140" s="321">
        <v>32.869999999999997</v>
      </c>
      <c r="G140" s="305" t="s">
        <v>195</v>
      </c>
      <c r="H140" s="286">
        <v>1</v>
      </c>
      <c r="I140" s="304">
        <v>328.7</v>
      </c>
      <c r="J140" s="286">
        <v>8.48</v>
      </c>
      <c r="K140" s="304">
        <v>2787.38</v>
      </c>
    </row>
    <row r="141" spans="1:22" ht="14.25" x14ac:dyDescent="0.2">
      <c r="A141" s="301"/>
      <c r="B141" s="302"/>
      <c r="C141" s="302" t="s">
        <v>189</v>
      </c>
      <c r="D141" s="303"/>
      <c r="E141" s="286"/>
      <c r="F141" s="321">
        <v>5.71</v>
      </c>
      <c r="G141" s="305" t="s">
        <v>195</v>
      </c>
      <c r="H141" s="286">
        <v>1</v>
      </c>
      <c r="I141" s="306">
        <v>57.1</v>
      </c>
      <c r="J141" s="286">
        <v>23.35</v>
      </c>
      <c r="K141" s="306">
        <v>1333.29</v>
      </c>
    </row>
    <row r="142" spans="1:22" ht="14.25" x14ac:dyDescent="0.2">
      <c r="A142" s="301"/>
      <c r="B142" s="302"/>
      <c r="C142" s="302" t="s">
        <v>205</v>
      </c>
      <c r="D142" s="303"/>
      <c r="E142" s="286"/>
      <c r="F142" s="321">
        <v>314.29000000000002</v>
      </c>
      <c r="G142" s="305" t="s">
        <v>195</v>
      </c>
      <c r="H142" s="286">
        <v>1</v>
      </c>
      <c r="I142" s="304">
        <v>3142.9</v>
      </c>
      <c r="J142" s="286">
        <v>5.42</v>
      </c>
      <c r="K142" s="304">
        <v>17034.52</v>
      </c>
    </row>
    <row r="143" spans="1:22" ht="57" x14ac:dyDescent="0.2">
      <c r="A143" s="301" t="s">
        <v>1619</v>
      </c>
      <c r="B143" s="302" t="s">
        <v>3349</v>
      </c>
      <c r="C143" s="302" t="s">
        <v>1232</v>
      </c>
      <c r="D143" s="303" t="s">
        <v>1552</v>
      </c>
      <c r="E143" s="286">
        <v>1020</v>
      </c>
      <c r="F143" s="321">
        <v>3.45</v>
      </c>
      <c r="G143" s="315" t="s">
        <v>195</v>
      </c>
      <c r="H143" s="286">
        <v>1</v>
      </c>
      <c r="I143" s="304">
        <v>3519</v>
      </c>
      <c r="J143" s="286">
        <v>6.37</v>
      </c>
      <c r="K143" s="304">
        <v>22416.03</v>
      </c>
      <c r="Q143" s="281">
        <f>[11]Source!X203</f>
        <v>0</v>
      </c>
      <c r="R143" s="281">
        <f>[11]Source!X204</f>
        <v>0</v>
      </c>
      <c r="S143" s="281">
        <f>[11]Source!Y203</f>
        <v>0</v>
      </c>
      <c r="T143" s="281">
        <f>[11]Source!Y204</f>
        <v>0</v>
      </c>
      <c r="U143" s="281">
        <f>ROUND((175/100)*ROUND([11]Source!R203, 2), 2)</f>
        <v>0</v>
      </c>
      <c r="V143" s="281">
        <f>ROUND((157/100)*ROUND([11]Source!R204, 2), 2)</f>
        <v>0</v>
      </c>
    </row>
    <row r="144" spans="1:22" ht="42.75" x14ac:dyDescent="0.2">
      <c r="A144" s="301" t="s">
        <v>1620</v>
      </c>
      <c r="B144" s="302" t="s">
        <v>3350</v>
      </c>
      <c r="C144" s="302" t="s">
        <v>1169</v>
      </c>
      <c r="D144" s="303" t="s">
        <v>1536</v>
      </c>
      <c r="E144" s="286">
        <v>25</v>
      </c>
      <c r="F144" s="321">
        <v>146.88999999999999</v>
      </c>
      <c r="G144" s="315" t="s">
        <v>195</v>
      </c>
      <c r="H144" s="286">
        <v>1</v>
      </c>
      <c r="I144" s="304">
        <v>3672.25</v>
      </c>
      <c r="J144" s="286">
        <v>1.19</v>
      </c>
      <c r="K144" s="304">
        <v>4369.9799999999996</v>
      </c>
      <c r="Q144" s="281">
        <f>[11]Source!X205</f>
        <v>0</v>
      </c>
      <c r="R144" s="281">
        <f>[11]Source!X206</f>
        <v>0</v>
      </c>
      <c r="S144" s="281">
        <f>[11]Source!Y205</f>
        <v>0</v>
      </c>
      <c r="T144" s="281">
        <f>[11]Source!Y206</f>
        <v>0</v>
      </c>
      <c r="U144" s="281">
        <f>ROUND((175/100)*ROUND([11]Source!R205, 2), 2)</f>
        <v>0</v>
      </c>
      <c r="V144" s="281">
        <f>ROUND((157/100)*ROUND([11]Source!R206, 2), 2)</f>
        <v>0</v>
      </c>
    </row>
    <row r="145" spans="1:22" ht="14.25" x14ac:dyDescent="0.2">
      <c r="A145" s="301"/>
      <c r="B145" s="302"/>
      <c r="C145" s="302" t="s">
        <v>194</v>
      </c>
      <c r="D145" s="303" t="s">
        <v>187</v>
      </c>
      <c r="E145" s="286">
        <v>114</v>
      </c>
      <c r="F145" s="321"/>
      <c r="G145" s="305"/>
      <c r="H145" s="286"/>
      <c r="I145" s="304">
        <v>2191.7600000000002</v>
      </c>
      <c r="J145" s="286">
        <v>77</v>
      </c>
      <c r="K145" s="304">
        <v>34567.39</v>
      </c>
    </row>
    <row r="146" spans="1:22" ht="14.25" x14ac:dyDescent="0.2">
      <c r="A146" s="301"/>
      <c r="B146" s="302"/>
      <c r="C146" s="302" t="s">
        <v>193</v>
      </c>
      <c r="D146" s="303" t="s">
        <v>187</v>
      </c>
      <c r="E146" s="286">
        <v>67</v>
      </c>
      <c r="F146" s="321"/>
      <c r="G146" s="305"/>
      <c r="H146" s="286"/>
      <c r="I146" s="304">
        <v>1288.1400000000001</v>
      </c>
      <c r="J146" s="286">
        <v>41</v>
      </c>
      <c r="K146" s="304">
        <v>18406.009999999998</v>
      </c>
    </row>
    <row r="147" spans="1:22" ht="14.25" x14ac:dyDescent="0.2">
      <c r="A147" s="301"/>
      <c r="B147" s="302"/>
      <c r="C147" s="302" t="s">
        <v>188</v>
      </c>
      <c r="D147" s="303" t="s">
        <v>187</v>
      </c>
      <c r="E147" s="286">
        <v>175</v>
      </c>
      <c r="F147" s="321"/>
      <c r="G147" s="305"/>
      <c r="H147" s="286"/>
      <c r="I147" s="304">
        <v>99.93</v>
      </c>
      <c r="J147" s="286">
        <v>157</v>
      </c>
      <c r="K147" s="304">
        <v>2093.27</v>
      </c>
    </row>
    <row r="148" spans="1:22" ht="14.25" x14ac:dyDescent="0.2">
      <c r="A148" s="329"/>
      <c r="B148" s="330"/>
      <c r="C148" s="330" t="s">
        <v>192</v>
      </c>
      <c r="D148" s="331" t="s">
        <v>191</v>
      </c>
      <c r="E148" s="332">
        <v>15</v>
      </c>
      <c r="F148" s="333"/>
      <c r="G148" s="334" t="s">
        <v>195</v>
      </c>
      <c r="H148" s="332">
        <v>1</v>
      </c>
      <c r="I148" s="335">
        <v>150</v>
      </c>
      <c r="J148" s="332"/>
      <c r="K148" s="335"/>
    </row>
    <row r="149" spans="1:22" ht="15" x14ac:dyDescent="0.25">
      <c r="A149" s="336"/>
      <c r="B149" s="336"/>
      <c r="C149" s="337" t="s">
        <v>183</v>
      </c>
      <c r="D149" s="336"/>
      <c r="E149" s="336"/>
      <c r="F149" s="336"/>
      <c r="G149" s="336"/>
      <c r="H149" s="461">
        <v>16165.28</v>
      </c>
      <c r="I149" s="461"/>
      <c r="J149" s="461">
        <v>146567.29</v>
      </c>
      <c r="K149" s="461"/>
      <c r="O149" s="284">
        <f>I139+I140+I142+I145+I146+I147+SUM(I143:I144)</f>
        <v>16165.28</v>
      </c>
      <c r="P149" s="284">
        <f>K139+K140+K142+K145+K146+K147+SUM(K143:K144)</f>
        <v>146567.29</v>
      </c>
    </row>
    <row r="151" spans="1:22" ht="71.25" x14ac:dyDescent="0.2">
      <c r="A151" s="301" t="s">
        <v>1622</v>
      </c>
      <c r="B151" s="302" t="s">
        <v>3455</v>
      </c>
      <c r="C151" s="302" t="s">
        <v>1165</v>
      </c>
      <c r="D151" s="303" t="s">
        <v>1686</v>
      </c>
      <c r="E151" s="286">
        <v>10</v>
      </c>
      <c r="F151" s="321"/>
      <c r="G151" s="305"/>
      <c r="H151" s="286"/>
      <c r="I151" s="304"/>
      <c r="J151" s="286"/>
      <c r="K151" s="304"/>
      <c r="Q151" s="281">
        <f>[11]Source!X207</f>
        <v>723.9</v>
      </c>
      <c r="R151" s="281">
        <f>[11]Source!X208</f>
        <v>11416.98</v>
      </c>
      <c r="S151" s="281">
        <f>[11]Source!Y207</f>
        <v>425.45</v>
      </c>
      <c r="T151" s="281">
        <f>[11]Source!Y208</f>
        <v>6079.17</v>
      </c>
      <c r="U151" s="281">
        <f>ROUND((175/100)*ROUND([11]Source!R207, 2), 2)</f>
        <v>3.5</v>
      </c>
      <c r="V151" s="281">
        <f>ROUND((157/100)*ROUND([11]Source!R208, 2), 2)</f>
        <v>73.319999999999993</v>
      </c>
    </row>
    <row r="152" spans="1:22" x14ac:dyDescent="0.2">
      <c r="C152" s="316" t="s">
        <v>3454</v>
      </c>
    </row>
    <row r="153" spans="1:22" ht="14.25" x14ac:dyDescent="0.2">
      <c r="A153" s="301"/>
      <c r="B153" s="302"/>
      <c r="C153" s="302" t="s">
        <v>197</v>
      </c>
      <c r="D153" s="303"/>
      <c r="E153" s="286"/>
      <c r="F153" s="321">
        <v>63.5</v>
      </c>
      <c r="G153" s="305" t="s">
        <v>195</v>
      </c>
      <c r="H153" s="286">
        <v>1</v>
      </c>
      <c r="I153" s="304">
        <v>635</v>
      </c>
      <c r="J153" s="286">
        <v>23.35</v>
      </c>
      <c r="K153" s="304">
        <v>14827.25</v>
      </c>
    </row>
    <row r="154" spans="1:22" ht="14.25" x14ac:dyDescent="0.2">
      <c r="A154" s="301"/>
      <c r="B154" s="302"/>
      <c r="C154" s="302" t="s">
        <v>184</v>
      </c>
      <c r="D154" s="303"/>
      <c r="E154" s="286"/>
      <c r="F154" s="321">
        <v>0.85</v>
      </c>
      <c r="G154" s="305" t="s">
        <v>195</v>
      </c>
      <c r="H154" s="286">
        <v>1</v>
      </c>
      <c r="I154" s="304">
        <v>8.5</v>
      </c>
      <c r="J154" s="286">
        <v>9.59</v>
      </c>
      <c r="K154" s="304">
        <v>81.52</v>
      </c>
    </row>
    <row r="155" spans="1:22" ht="14.25" x14ac:dyDescent="0.2">
      <c r="A155" s="301"/>
      <c r="B155" s="302"/>
      <c r="C155" s="302" t="s">
        <v>189</v>
      </c>
      <c r="D155" s="303"/>
      <c r="E155" s="286"/>
      <c r="F155" s="321">
        <v>0.2</v>
      </c>
      <c r="G155" s="305" t="s">
        <v>195</v>
      </c>
      <c r="H155" s="286">
        <v>1</v>
      </c>
      <c r="I155" s="306">
        <v>2</v>
      </c>
      <c r="J155" s="286">
        <v>23.35</v>
      </c>
      <c r="K155" s="306">
        <v>46.7</v>
      </c>
    </row>
    <row r="156" spans="1:22" ht="14.25" x14ac:dyDescent="0.2">
      <c r="A156" s="301"/>
      <c r="B156" s="302"/>
      <c r="C156" s="302" t="s">
        <v>205</v>
      </c>
      <c r="D156" s="303"/>
      <c r="E156" s="286"/>
      <c r="F156" s="321">
        <v>6.37</v>
      </c>
      <c r="G156" s="305" t="s">
        <v>195</v>
      </c>
      <c r="H156" s="286">
        <v>1</v>
      </c>
      <c r="I156" s="304">
        <v>63.7</v>
      </c>
      <c r="J156" s="286">
        <v>5.42</v>
      </c>
      <c r="K156" s="304">
        <v>345.25</v>
      </c>
    </row>
    <row r="157" spans="1:22" ht="85.5" x14ac:dyDescent="0.2">
      <c r="A157" s="301" t="s">
        <v>1623</v>
      </c>
      <c r="B157" s="302" t="s">
        <v>3456</v>
      </c>
      <c r="C157" s="302" t="s">
        <v>1110</v>
      </c>
      <c r="D157" s="303" t="s">
        <v>3367</v>
      </c>
      <c r="E157" s="286">
        <v>1.02</v>
      </c>
      <c r="F157" s="321">
        <v>4941.13</v>
      </c>
      <c r="G157" s="315" t="s">
        <v>195</v>
      </c>
      <c r="H157" s="286">
        <v>1</v>
      </c>
      <c r="I157" s="304">
        <v>5039.95</v>
      </c>
      <c r="J157" s="286">
        <v>5.58</v>
      </c>
      <c r="K157" s="304">
        <v>28122.92</v>
      </c>
      <c r="Q157" s="281">
        <f>[11]Source!X209</f>
        <v>0</v>
      </c>
      <c r="R157" s="281">
        <f>[11]Source!X210</f>
        <v>0</v>
      </c>
      <c r="S157" s="281">
        <f>[11]Source!Y209</f>
        <v>0</v>
      </c>
      <c r="T157" s="281">
        <f>[11]Source!Y210</f>
        <v>0</v>
      </c>
      <c r="U157" s="281">
        <f>ROUND((175/100)*ROUND([11]Source!R209, 2), 2)</f>
        <v>0</v>
      </c>
      <c r="V157" s="281">
        <f>ROUND((157/100)*ROUND([11]Source!R210, 2), 2)</f>
        <v>0</v>
      </c>
    </row>
    <row r="158" spans="1:22" ht="14.25" x14ac:dyDescent="0.2">
      <c r="A158" s="301"/>
      <c r="B158" s="302"/>
      <c r="C158" s="302" t="s">
        <v>194</v>
      </c>
      <c r="D158" s="303" t="s">
        <v>187</v>
      </c>
      <c r="E158" s="286">
        <v>114</v>
      </c>
      <c r="F158" s="321"/>
      <c r="G158" s="305"/>
      <c r="H158" s="286"/>
      <c r="I158" s="304">
        <v>723.9</v>
      </c>
      <c r="J158" s="286">
        <v>77</v>
      </c>
      <c r="K158" s="304">
        <v>11416.98</v>
      </c>
    </row>
    <row r="159" spans="1:22" ht="14.25" x14ac:dyDescent="0.2">
      <c r="A159" s="301"/>
      <c r="B159" s="302"/>
      <c r="C159" s="302" t="s">
        <v>193</v>
      </c>
      <c r="D159" s="303" t="s">
        <v>187</v>
      </c>
      <c r="E159" s="286">
        <v>67</v>
      </c>
      <c r="F159" s="321"/>
      <c r="G159" s="305"/>
      <c r="H159" s="286"/>
      <c r="I159" s="304">
        <v>425.45</v>
      </c>
      <c r="J159" s="286">
        <v>41</v>
      </c>
      <c r="K159" s="304">
        <v>6079.17</v>
      </c>
    </row>
    <row r="160" spans="1:22" ht="14.25" x14ac:dyDescent="0.2">
      <c r="A160" s="301"/>
      <c r="B160" s="302"/>
      <c r="C160" s="302" t="s">
        <v>188</v>
      </c>
      <c r="D160" s="303" t="s">
        <v>187</v>
      </c>
      <c r="E160" s="286">
        <v>175</v>
      </c>
      <c r="F160" s="321"/>
      <c r="G160" s="305"/>
      <c r="H160" s="286"/>
      <c r="I160" s="304">
        <v>3.5</v>
      </c>
      <c r="J160" s="286">
        <v>157</v>
      </c>
      <c r="K160" s="304">
        <v>73.319999999999993</v>
      </c>
    </row>
    <row r="161" spans="1:22" ht="14.25" x14ac:dyDescent="0.2">
      <c r="A161" s="329"/>
      <c r="B161" s="330"/>
      <c r="C161" s="330" t="s">
        <v>192</v>
      </c>
      <c r="D161" s="331" t="s">
        <v>191</v>
      </c>
      <c r="E161" s="332">
        <v>5.15</v>
      </c>
      <c r="F161" s="333"/>
      <c r="G161" s="334" t="s">
        <v>195</v>
      </c>
      <c r="H161" s="332">
        <v>1</v>
      </c>
      <c r="I161" s="335">
        <v>51.5</v>
      </c>
      <c r="J161" s="332"/>
      <c r="K161" s="335"/>
    </row>
    <row r="162" spans="1:22" ht="15" x14ac:dyDescent="0.25">
      <c r="A162" s="336"/>
      <c r="B162" s="336"/>
      <c r="C162" s="337" t="s">
        <v>183</v>
      </c>
      <c r="D162" s="336"/>
      <c r="E162" s="336"/>
      <c r="F162" s="336"/>
      <c r="G162" s="336"/>
      <c r="H162" s="461">
        <v>6900</v>
      </c>
      <c r="I162" s="461"/>
      <c r="J162" s="461">
        <v>60946.41</v>
      </c>
      <c r="K162" s="461"/>
      <c r="O162" s="284">
        <f>I153+I154+I156+I158+I159+I160+SUM(I157:I157)</f>
        <v>6900</v>
      </c>
      <c r="P162" s="284">
        <f>K153+K154+K156+K158+K159+K160+SUM(K157:K157)</f>
        <v>60946.41</v>
      </c>
    </row>
    <row r="164" spans="1:22" ht="85.5" x14ac:dyDescent="0.2">
      <c r="A164" s="301" t="s">
        <v>1625</v>
      </c>
      <c r="B164" s="302" t="s">
        <v>3355</v>
      </c>
      <c r="C164" s="302" t="s">
        <v>1228</v>
      </c>
      <c r="D164" s="303" t="s">
        <v>1686</v>
      </c>
      <c r="E164" s="286">
        <v>32</v>
      </c>
      <c r="F164" s="321"/>
      <c r="G164" s="305"/>
      <c r="H164" s="286"/>
      <c r="I164" s="304"/>
      <c r="J164" s="286"/>
      <c r="K164" s="304"/>
      <c r="Q164" s="281">
        <f>[11]Source!X211</f>
        <v>944.47</v>
      </c>
      <c r="R164" s="281">
        <f>[11]Source!X212</f>
        <v>14895.66</v>
      </c>
      <c r="S164" s="281">
        <f>[11]Source!Y211</f>
        <v>555.08000000000004</v>
      </c>
      <c r="T164" s="281">
        <f>[11]Source!Y212</f>
        <v>7931.45</v>
      </c>
      <c r="U164" s="281">
        <f>ROUND((175/100)*ROUND([11]Source!R211, 2), 2)</f>
        <v>11.2</v>
      </c>
      <c r="V164" s="281">
        <f>ROUND((157/100)*ROUND([11]Source!R212, 2), 2)</f>
        <v>234.62</v>
      </c>
    </row>
    <row r="165" spans="1:22" x14ac:dyDescent="0.2">
      <c r="C165" s="316" t="s">
        <v>3457</v>
      </c>
    </row>
    <row r="166" spans="1:22" ht="14.25" x14ac:dyDescent="0.2">
      <c r="A166" s="301"/>
      <c r="B166" s="302"/>
      <c r="C166" s="302" t="s">
        <v>197</v>
      </c>
      <c r="D166" s="303"/>
      <c r="E166" s="286"/>
      <c r="F166" s="321">
        <v>25.89</v>
      </c>
      <c r="G166" s="305" t="s">
        <v>195</v>
      </c>
      <c r="H166" s="286">
        <v>1</v>
      </c>
      <c r="I166" s="304">
        <v>828.48</v>
      </c>
      <c r="J166" s="286">
        <v>23.35</v>
      </c>
      <c r="K166" s="304">
        <v>19345.009999999998</v>
      </c>
    </row>
    <row r="167" spans="1:22" ht="14.25" x14ac:dyDescent="0.2">
      <c r="A167" s="301"/>
      <c r="B167" s="302"/>
      <c r="C167" s="302" t="s">
        <v>184</v>
      </c>
      <c r="D167" s="303"/>
      <c r="E167" s="286"/>
      <c r="F167" s="321">
        <v>0.85</v>
      </c>
      <c r="G167" s="305" t="s">
        <v>195</v>
      </c>
      <c r="H167" s="286">
        <v>1</v>
      </c>
      <c r="I167" s="304">
        <v>27.2</v>
      </c>
      <c r="J167" s="286">
        <v>9.59</v>
      </c>
      <c r="K167" s="304">
        <v>260.85000000000002</v>
      </c>
    </row>
    <row r="168" spans="1:22" ht="14.25" x14ac:dyDescent="0.2">
      <c r="A168" s="301"/>
      <c r="B168" s="302"/>
      <c r="C168" s="302" t="s">
        <v>189</v>
      </c>
      <c r="D168" s="303"/>
      <c r="E168" s="286"/>
      <c r="F168" s="321">
        <v>0.2</v>
      </c>
      <c r="G168" s="305" t="s">
        <v>195</v>
      </c>
      <c r="H168" s="286">
        <v>1</v>
      </c>
      <c r="I168" s="306">
        <v>6.4</v>
      </c>
      <c r="J168" s="286">
        <v>23.35</v>
      </c>
      <c r="K168" s="306">
        <v>149.44</v>
      </c>
    </row>
    <row r="169" spans="1:22" ht="14.25" x14ac:dyDescent="0.2">
      <c r="A169" s="301"/>
      <c r="B169" s="302"/>
      <c r="C169" s="302" t="s">
        <v>205</v>
      </c>
      <c r="D169" s="303"/>
      <c r="E169" s="286"/>
      <c r="F169" s="321">
        <v>9.59</v>
      </c>
      <c r="G169" s="305" t="s">
        <v>195</v>
      </c>
      <c r="H169" s="286">
        <v>1</v>
      </c>
      <c r="I169" s="304">
        <v>306.88</v>
      </c>
      <c r="J169" s="286">
        <v>5.42</v>
      </c>
      <c r="K169" s="304">
        <v>1663.29</v>
      </c>
    </row>
    <row r="170" spans="1:22" ht="85.5" x14ac:dyDescent="0.2">
      <c r="A170" s="301" t="s">
        <v>1627</v>
      </c>
      <c r="B170" s="302" t="s">
        <v>3456</v>
      </c>
      <c r="C170" s="302" t="s">
        <v>1110</v>
      </c>
      <c r="D170" s="303" t="s">
        <v>3367</v>
      </c>
      <c r="E170" s="286">
        <v>3.2639999999999998</v>
      </c>
      <c r="F170" s="321">
        <v>4941.13</v>
      </c>
      <c r="G170" s="315" t="s">
        <v>195</v>
      </c>
      <c r="H170" s="286">
        <v>1</v>
      </c>
      <c r="I170" s="304">
        <v>16127.85</v>
      </c>
      <c r="J170" s="286">
        <v>5.58</v>
      </c>
      <c r="K170" s="304">
        <v>89993.4</v>
      </c>
      <c r="Q170" s="281">
        <f>[11]Source!X213</f>
        <v>0</v>
      </c>
      <c r="R170" s="281">
        <f>[11]Source!X214</f>
        <v>0</v>
      </c>
      <c r="S170" s="281">
        <f>[11]Source!Y213</f>
        <v>0</v>
      </c>
      <c r="T170" s="281">
        <f>[11]Source!Y214</f>
        <v>0</v>
      </c>
      <c r="U170" s="281">
        <f>ROUND((175/100)*ROUND([11]Source!R213, 2), 2)</f>
        <v>0</v>
      </c>
      <c r="V170" s="281">
        <f>ROUND((157/100)*ROUND([11]Source!R214, 2), 2)</f>
        <v>0</v>
      </c>
    </row>
    <row r="171" spans="1:22" ht="14.25" x14ac:dyDescent="0.2">
      <c r="A171" s="301"/>
      <c r="B171" s="302"/>
      <c r="C171" s="302" t="s">
        <v>194</v>
      </c>
      <c r="D171" s="303" t="s">
        <v>187</v>
      </c>
      <c r="E171" s="286">
        <v>114</v>
      </c>
      <c r="F171" s="321"/>
      <c r="G171" s="305"/>
      <c r="H171" s="286"/>
      <c r="I171" s="304">
        <v>944.47</v>
      </c>
      <c r="J171" s="286">
        <v>77</v>
      </c>
      <c r="K171" s="304">
        <v>14895.66</v>
      </c>
    </row>
    <row r="172" spans="1:22" ht="14.25" x14ac:dyDescent="0.2">
      <c r="A172" s="301"/>
      <c r="B172" s="302"/>
      <c r="C172" s="302" t="s">
        <v>193</v>
      </c>
      <c r="D172" s="303" t="s">
        <v>187</v>
      </c>
      <c r="E172" s="286">
        <v>67</v>
      </c>
      <c r="F172" s="321"/>
      <c r="G172" s="305"/>
      <c r="H172" s="286"/>
      <c r="I172" s="304">
        <v>555.08000000000004</v>
      </c>
      <c r="J172" s="286">
        <v>41</v>
      </c>
      <c r="K172" s="304">
        <v>7931.45</v>
      </c>
    </row>
    <row r="173" spans="1:22" ht="14.25" x14ac:dyDescent="0.2">
      <c r="A173" s="301"/>
      <c r="B173" s="302"/>
      <c r="C173" s="302" t="s">
        <v>188</v>
      </c>
      <c r="D173" s="303" t="s">
        <v>187</v>
      </c>
      <c r="E173" s="286">
        <v>175</v>
      </c>
      <c r="F173" s="321"/>
      <c r="G173" s="305"/>
      <c r="H173" s="286"/>
      <c r="I173" s="304">
        <v>11.2</v>
      </c>
      <c r="J173" s="286">
        <v>157</v>
      </c>
      <c r="K173" s="304">
        <v>234.62</v>
      </c>
    </row>
    <row r="174" spans="1:22" ht="14.25" x14ac:dyDescent="0.2">
      <c r="A174" s="329"/>
      <c r="B174" s="330"/>
      <c r="C174" s="330" t="s">
        <v>192</v>
      </c>
      <c r="D174" s="331" t="s">
        <v>191</v>
      </c>
      <c r="E174" s="332">
        <v>2.1</v>
      </c>
      <c r="F174" s="333"/>
      <c r="G174" s="334" t="s">
        <v>195</v>
      </c>
      <c r="H174" s="332">
        <v>1</v>
      </c>
      <c r="I174" s="335">
        <v>67.2</v>
      </c>
      <c r="J174" s="332"/>
      <c r="K174" s="335"/>
    </row>
    <row r="175" spans="1:22" ht="15" x14ac:dyDescent="0.25">
      <c r="A175" s="336"/>
      <c r="B175" s="336"/>
      <c r="C175" s="337" t="s">
        <v>183</v>
      </c>
      <c r="D175" s="336"/>
      <c r="E175" s="336"/>
      <c r="F175" s="336"/>
      <c r="G175" s="336"/>
      <c r="H175" s="461">
        <v>18801.16</v>
      </c>
      <c r="I175" s="461"/>
      <c r="J175" s="461">
        <v>134324.28</v>
      </c>
      <c r="K175" s="461"/>
      <c r="O175" s="284">
        <f>I166+I167+I169+I171+I172+I173+SUM(I170:I170)</f>
        <v>18801.16</v>
      </c>
      <c r="P175" s="284">
        <f>K166+K167+K169+K171+K172+K173+SUM(K170:K170)</f>
        <v>134324.28</v>
      </c>
    </row>
    <row r="177" spans="1:22" ht="28.5" x14ac:dyDescent="0.2">
      <c r="A177" s="301" t="s">
        <v>1629</v>
      </c>
      <c r="B177" s="302" t="s">
        <v>3458</v>
      </c>
      <c r="C177" s="302" t="s">
        <v>1360</v>
      </c>
      <c r="D177" s="303" t="s">
        <v>1536</v>
      </c>
      <c r="E177" s="286">
        <v>4.63</v>
      </c>
      <c r="F177" s="321"/>
      <c r="G177" s="305"/>
      <c r="H177" s="286"/>
      <c r="I177" s="304"/>
      <c r="J177" s="286"/>
      <c r="K177" s="304"/>
      <c r="Q177" s="281">
        <f>[11]Source!X215</f>
        <v>2554.59</v>
      </c>
      <c r="R177" s="281">
        <f>[11]Source!X216</f>
        <v>40289.72</v>
      </c>
      <c r="S177" s="281">
        <f>[11]Source!Y215</f>
        <v>1501.38</v>
      </c>
      <c r="T177" s="281">
        <f>[11]Source!Y216</f>
        <v>21452.97</v>
      </c>
      <c r="U177" s="281">
        <f>ROUND((175/100)*ROUND([11]Source!R215, 2), 2)</f>
        <v>9.56</v>
      </c>
      <c r="V177" s="281">
        <f>ROUND((157/100)*ROUND([11]Source!R216, 2), 2)</f>
        <v>200.16</v>
      </c>
    </row>
    <row r="178" spans="1:22" x14ac:dyDescent="0.2">
      <c r="C178" s="316" t="s">
        <v>3459</v>
      </c>
    </row>
    <row r="179" spans="1:22" ht="14.25" x14ac:dyDescent="0.2">
      <c r="A179" s="301"/>
      <c r="B179" s="302"/>
      <c r="C179" s="302" t="s">
        <v>197</v>
      </c>
      <c r="D179" s="303"/>
      <c r="E179" s="286"/>
      <c r="F179" s="321">
        <v>483.99</v>
      </c>
      <c r="G179" s="305" t="s">
        <v>195</v>
      </c>
      <c r="H179" s="286">
        <v>1</v>
      </c>
      <c r="I179" s="304">
        <v>2240.87</v>
      </c>
      <c r="J179" s="286">
        <v>23.35</v>
      </c>
      <c r="K179" s="304">
        <v>52324.31</v>
      </c>
    </row>
    <row r="180" spans="1:22" ht="14.25" x14ac:dyDescent="0.2">
      <c r="A180" s="301"/>
      <c r="B180" s="302"/>
      <c r="C180" s="302" t="s">
        <v>184</v>
      </c>
      <c r="D180" s="303"/>
      <c r="E180" s="286"/>
      <c r="F180" s="321">
        <v>15.74</v>
      </c>
      <c r="G180" s="305" t="s">
        <v>195</v>
      </c>
      <c r="H180" s="286">
        <v>1</v>
      </c>
      <c r="I180" s="304">
        <v>72.88</v>
      </c>
      <c r="J180" s="286">
        <v>6.7</v>
      </c>
      <c r="K180" s="304">
        <v>488.3</v>
      </c>
    </row>
    <row r="181" spans="1:22" ht="14.25" x14ac:dyDescent="0.2">
      <c r="A181" s="301"/>
      <c r="B181" s="302"/>
      <c r="C181" s="302" t="s">
        <v>189</v>
      </c>
      <c r="D181" s="303"/>
      <c r="E181" s="286"/>
      <c r="F181" s="321">
        <v>1.18</v>
      </c>
      <c r="G181" s="305" t="s">
        <v>195</v>
      </c>
      <c r="H181" s="286">
        <v>1</v>
      </c>
      <c r="I181" s="306">
        <v>5.46</v>
      </c>
      <c r="J181" s="286">
        <v>23.35</v>
      </c>
      <c r="K181" s="306">
        <v>127.49</v>
      </c>
    </row>
    <row r="182" spans="1:22" ht="14.25" x14ac:dyDescent="0.2">
      <c r="A182" s="301"/>
      <c r="B182" s="302"/>
      <c r="C182" s="302" t="s">
        <v>205</v>
      </c>
      <c r="D182" s="303"/>
      <c r="E182" s="286"/>
      <c r="F182" s="321">
        <v>26.88</v>
      </c>
      <c r="G182" s="305" t="s">
        <v>195</v>
      </c>
      <c r="H182" s="286">
        <v>1</v>
      </c>
      <c r="I182" s="304">
        <v>124.45</v>
      </c>
      <c r="J182" s="286">
        <v>5.42</v>
      </c>
      <c r="K182" s="304">
        <v>674.52</v>
      </c>
    </row>
    <row r="183" spans="1:22" ht="71.25" x14ac:dyDescent="0.2">
      <c r="A183" s="301" t="s">
        <v>1630</v>
      </c>
      <c r="B183" s="302" t="s">
        <v>3460</v>
      </c>
      <c r="C183" s="302" t="s">
        <v>1359</v>
      </c>
      <c r="D183" s="303" t="s">
        <v>1661</v>
      </c>
      <c r="E183" s="286">
        <v>463</v>
      </c>
      <c r="F183" s="321">
        <v>156.25</v>
      </c>
      <c r="G183" s="315" t="s">
        <v>195</v>
      </c>
      <c r="H183" s="286">
        <v>1</v>
      </c>
      <c r="I183" s="304">
        <v>72343.75</v>
      </c>
      <c r="J183" s="286">
        <v>1.61</v>
      </c>
      <c r="K183" s="304">
        <v>116473.44</v>
      </c>
      <c r="Q183" s="281">
        <f>[11]Source!X217</f>
        <v>0</v>
      </c>
      <c r="R183" s="281">
        <f>[11]Source!X218</f>
        <v>0</v>
      </c>
      <c r="S183" s="281">
        <f>[11]Source!Y217</f>
        <v>0</v>
      </c>
      <c r="T183" s="281">
        <f>[11]Source!Y218</f>
        <v>0</v>
      </c>
      <c r="U183" s="281">
        <f>ROUND((175/100)*ROUND([11]Source!R217, 2), 2)</f>
        <v>0</v>
      </c>
      <c r="V183" s="281">
        <f>ROUND((157/100)*ROUND([11]Source!R218, 2), 2)</f>
        <v>0</v>
      </c>
    </row>
    <row r="184" spans="1:22" ht="28.5" x14ac:dyDescent="0.2">
      <c r="A184" s="301" t="s">
        <v>1631</v>
      </c>
      <c r="B184" s="302" t="s">
        <v>3461</v>
      </c>
      <c r="C184" s="302" t="s">
        <v>1358</v>
      </c>
      <c r="D184" s="303" t="s">
        <v>1661</v>
      </c>
      <c r="E184" s="286">
        <v>270</v>
      </c>
      <c r="F184" s="321">
        <v>10.4</v>
      </c>
      <c r="G184" s="315" t="s">
        <v>195</v>
      </c>
      <c r="H184" s="286">
        <v>1</v>
      </c>
      <c r="I184" s="304">
        <v>2808</v>
      </c>
      <c r="J184" s="286">
        <v>8.0500000000000007</v>
      </c>
      <c r="K184" s="304">
        <v>22604.400000000001</v>
      </c>
      <c r="Q184" s="281">
        <f>[11]Source!X219</f>
        <v>0</v>
      </c>
      <c r="R184" s="281">
        <f>[11]Source!X220</f>
        <v>0</v>
      </c>
      <c r="S184" s="281">
        <f>[11]Source!Y219</f>
        <v>0</v>
      </c>
      <c r="T184" s="281">
        <f>[11]Source!Y220</f>
        <v>0</v>
      </c>
      <c r="U184" s="281">
        <f>ROUND((175/100)*ROUND([11]Source!R219, 2), 2)</f>
        <v>0</v>
      </c>
      <c r="V184" s="281">
        <f>ROUND((157/100)*ROUND([11]Source!R220, 2), 2)</f>
        <v>0</v>
      </c>
    </row>
    <row r="185" spans="1:22" ht="57" x14ac:dyDescent="0.2">
      <c r="A185" s="301" t="s">
        <v>1632</v>
      </c>
      <c r="B185" s="302" t="s">
        <v>3462</v>
      </c>
      <c r="C185" s="302" t="s">
        <v>1357</v>
      </c>
      <c r="D185" s="303" t="s">
        <v>1661</v>
      </c>
      <c r="E185" s="286">
        <v>463</v>
      </c>
      <c r="F185" s="321">
        <v>1.06</v>
      </c>
      <c r="G185" s="315" t="s">
        <v>195</v>
      </c>
      <c r="H185" s="286">
        <v>1</v>
      </c>
      <c r="I185" s="304">
        <v>490.78</v>
      </c>
      <c r="J185" s="286">
        <v>3.32</v>
      </c>
      <c r="K185" s="304">
        <v>1629.39</v>
      </c>
      <c r="Q185" s="281">
        <f>[11]Source!X221</f>
        <v>0</v>
      </c>
      <c r="R185" s="281">
        <f>[11]Source!X222</f>
        <v>0</v>
      </c>
      <c r="S185" s="281">
        <f>[11]Source!Y221</f>
        <v>0</v>
      </c>
      <c r="T185" s="281">
        <f>[11]Source!Y222</f>
        <v>0</v>
      </c>
      <c r="U185" s="281">
        <f>ROUND((175/100)*ROUND([11]Source!R221, 2), 2)</f>
        <v>0</v>
      </c>
      <c r="V185" s="281">
        <f>ROUND((157/100)*ROUND([11]Source!R222, 2), 2)</f>
        <v>0</v>
      </c>
    </row>
    <row r="186" spans="1:22" ht="14.25" x14ac:dyDescent="0.2">
      <c r="A186" s="301"/>
      <c r="B186" s="302"/>
      <c r="C186" s="302" t="s">
        <v>194</v>
      </c>
      <c r="D186" s="303" t="s">
        <v>187</v>
      </c>
      <c r="E186" s="286">
        <v>114</v>
      </c>
      <c r="F186" s="321"/>
      <c r="G186" s="305"/>
      <c r="H186" s="286"/>
      <c r="I186" s="304">
        <v>2554.59</v>
      </c>
      <c r="J186" s="286">
        <v>77</v>
      </c>
      <c r="K186" s="304">
        <v>40289.72</v>
      </c>
    </row>
    <row r="187" spans="1:22" ht="14.25" x14ac:dyDescent="0.2">
      <c r="A187" s="301"/>
      <c r="B187" s="302"/>
      <c r="C187" s="302" t="s">
        <v>193</v>
      </c>
      <c r="D187" s="303" t="s">
        <v>187</v>
      </c>
      <c r="E187" s="286">
        <v>67</v>
      </c>
      <c r="F187" s="321"/>
      <c r="G187" s="305"/>
      <c r="H187" s="286"/>
      <c r="I187" s="304">
        <v>1501.38</v>
      </c>
      <c r="J187" s="286">
        <v>41</v>
      </c>
      <c r="K187" s="304">
        <v>21452.97</v>
      </c>
    </row>
    <row r="188" spans="1:22" ht="14.25" x14ac:dyDescent="0.2">
      <c r="A188" s="301"/>
      <c r="B188" s="302"/>
      <c r="C188" s="302" t="s">
        <v>188</v>
      </c>
      <c r="D188" s="303" t="s">
        <v>187</v>
      </c>
      <c r="E188" s="286">
        <v>175</v>
      </c>
      <c r="F188" s="321"/>
      <c r="G188" s="305"/>
      <c r="H188" s="286"/>
      <c r="I188" s="304">
        <v>9.56</v>
      </c>
      <c r="J188" s="286">
        <v>157</v>
      </c>
      <c r="K188" s="304">
        <v>200.16</v>
      </c>
    </row>
    <row r="189" spans="1:22" ht="14.25" x14ac:dyDescent="0.2">
      <c r="A189" s="329"/>
      <c r="B189" s="330"/>
      <c r="C189" s="330" t="s">
        <v>192</v>
      </c>
      <c r="D189" s="331" t="s">
        <v>191</v>
      </c>
      <c r="E189" s="332">
        <v>37.229999999999997</v>
      </c>
      <c r="F189" s="333"/>
      <c r="G189" s="334" t="s">
        <v>195</v>
      </c>
      <c r="H189" s="332">
        <v>1</v>
      </c>
      <c r="I189" s="335">
        <v>172.37</v>
      </c>
      <c r="J189" s="332"/>
      <c r="K189" s="335"/>
    </row>
    <row r="190" spans="1:22" ht="15" x14ac:dyDescent="0.25">
      <c r="A190" s="336"/>
      <c r="B190" s="336"/>
      <c r="C190" s="337" t="s">
        <v>183</v>
      </c>
      <c r="D190" s="336"/>
      <c r="E190" s="336"/>
      <c r="F190" s="336"/>
      <c r="G190" s="336"/>
      <c r="H190" s="461">
        <v>82146.259999999995</v>
      </c>
      <c r="I190" s="461"/>
      <c r="J190" s="461">
        <v>256137.21</v>
      </c>
      <c r="K190" s="461"/>
      <c r="O190" s="284">
        <f>I179+I180+I182+I186+I187+I188+SUM(I183:I185)</f>
        <v>82146.259999999995</v>
      </c>
      <c r="P190" s="284">
        <f>K179+K180+K182+K186+K187+K188+SUM(K183:K185)</f>
        <v>256137.21</v>
      </c>
    </row>
    <row r="192" spans="1:22" ht="42.75" x14ac:dyDescent="0.2">
      <c r="A192" s="301" t="s">
        <v>1633</v>
      </c>
      <c r="B192" s="302" t="s">
        <v>3344</v>
      </c>
      <c r="C192" s="302" t="s">
        <v>1305</v>
      </c>
      <c r="D192" s="303" t="s">
        <v>1785</v>
      </c>
      <c r="E192" s="286">
        <v>0.2</v>
      </c>
      <c r="F192" s="321"/>
      <c r="G192" s="305"/>
      <c r="H192" s="286"/>
      <c r="I192" s="304"/>
      <c r="J192" s="286"/>
      <c r="K192" s="304"/>
      <c r="Q192" s="281">
        <f>[11]Source!X223</f>
        <v>165.02</v>
      </c>
      <c r="R192" s="281">
        <f>[11]Source!X224</f>
        <v>2602.5300000000002</v>
      </c>
      <c r="S192" s="281">
        <f>[11]Source!Y223</f>
        <v>96.98</v>
      </c>
      <c r="T192" s="281">
        <f>[11]Source!Y224</f>
        <v>1385.76</v>
      </c>
      <c r="U192" s="281">
        <f>ROUND((175/100)*ROUND([11]Source!R223, 2), 2)</f>
        <v>20.440000000000001</v>
      </c>
      <c r="V192" s="281">
        <f>ROUND((157/100)*ROUND([11]Source!R224, 2), 2)</f>
        <v>428.19</v>
      </c>
    </row>
    <row r="193" spans="1:22" x14ac:dyDescent="0.2">
      <c r="C193" s="316" t="s">
        <v>3463</v>
      </c>
    </row>
    <row r="194" spans="1:22" ht="14.25" x14ac:dyDescent="0.2">
      <c r="A194" s="301"/>
      <c r="B194" s="302"/>
      <c r="C194" s="302" t="s">
        <v>197</v>
      </c>
      <c r="D194" s="303"/>
      <c r="E194" s="286"/>
      <c r="F194" s="321">
        <v>723.77</v>
      </c>
      <c r="G194" s="305" t="s">
        <v>195</v>
      </c>
      <c r="H194" s="286">
        <v>1</v>
      </c>
      <c r="I194" s="304">
        <v>144.75</v>
      </c>
      <c r="J194" s="286">
        <v>23.35</v>
      </c>
      <c r="K194" s="304">
        <v>3379.91</v>
      </c>
    </row>
    <row r="195" spans="1:22" ht="14.25" x14ac:dyDescent="0.2">
      <c r="A195" s="301"/>
      <c r="B195" s="302"/>
      <c r="C195" s="302" t="s">
        <v>184</v>
      </c>
      <c r="D195" s="303"/>
      <c r="E195" s="286"/>
      <c r="F195" s="321">
        <v>611.48</v>
      </c>
      <c r="G195" s="305" t="s">
        <v>195</v>
      </c>
      <c r="H195" s="286">
        <v>1</v>
      </c>
      <c r="I195" s="304">
        <v>122.3</v>
      </c>
      <c r="J195" s="286">
        <v>7.07</v>
      </c>
      <c r="K195" s="304">
        <v>864.66</v>
      </c>
    </row>
    <row r="196" spans="1:22" ht="14.25" x14ac:dyDescent="0.2">
      <c r="A196" s="301"/>
      <c r="B196" s="302"/>
      <c r="C196" s="302" t="s">
        <v>189</v>
      </c>
      <c r="D196" s="303"/>
      <c r="E196" s="286"/>
      <c r="F196" s="321">
        <v>58.4</v>
      </c>
      <c r="G196" s="305" t="s">
        <v>195</v>
      </c>
      <c r="H196" s="286">
        <v>1</v>
      </c>
      <c r="I196" s="306">
        <v>11.68</v>
      </c>
      <c r="J196" s="286">
        <v>23.35</v>
      </c>
      <c r="K196" s="306">
        <v>272.73</v>
      </c>
    </row>
    <row r="197" spans="1:22" ht="14.25" x14ac:dyDescent="0.2">
      <c r="A197" s="301"/>
      <c r="B197" s="302"/>
      <c r="C197" s="302" t="s">
        <v>205</v>
      </c>
      <c r="D197" s="303"/>
      <c r="E197" s="286"/>
      <c r="F197" s="321">
        <v>97.3</v>
      </c>
      <c r="G197" s="305" t="s">
        <v>195</v>
      </c>
      <c r="H197" s="286">
        <v>1</v>
      </c>
      <c r="I197" s="304">
        <v>19.46</v>
      </c>
      <c r="J197" s="286">
        <v>5.42</v>
      </c>
      <c r="K197" s="304">
        <v>105.47</v>
      </c>
    </row>
    <row r="198" spans="1:22" ht="42.75" x14ac:dyDescent="0.2">
      <c r="A198" s="301" t="s">
        <v>1634</v>
      </c>
      <c r="B198" s="302" t="s">
        <v>3346</v>
      </c>
      <c r="C198" s="302" t="s">
        <v>1304</v>
      </c>
      <c r="D198" s="303" t="s">
        <v>1552</v>
      </c>
      <c r="E198" s="286">
        <v>200</v>
      </c>
      <c r="F198" s="321">
        <v>84.56</v>
      </c>
      <c r="G198" s="315" t="s">
        <v>195</v>
      </c>
      <c r="H198" s="286">
        <v>1</v>
      </c>
      <c r="I198" s="304">
        <v>16912</v>
      </c>
      <c r="J198" s="286">
        <v>1.8</v>
      </c>
      <c r="K198" s="304">
        <v>30441.599999999999</v>
      </c>
      <c r="Q198" s="281">
        <f>[11]Source!X225</f>
        <v>0</v>
      </c>
      <c r="R198" s="281">
        <f>[11]Source!X226</f>
        <v>0</v>
      </c>
      <c r="S198" s="281">
        <f>[11]Source!Y225</f>
        <v>0</v>
      </c>
      <c r="T198" s="281">
        <f>[11]Source!Y226</f>
        <v>0</v>
      </c>
      <c r="U198" s="281">
        <f>ROUND((175/100)*ROUND([11]Source!R225, 2), 2)</f>
        <v>0</v>
      </c>
      <c r="V198" s="281">
        <f>ROUND((157/100)*ROUND([11]Source!R226, 2), 2)</f>
        <v>0</v>
      </c>
    </row>
    <row r="199" spans="1:22" ht="142.5" x14ac:dyDescent="0.2">
      <c r="A199" s="301" t="s">
        <v>3196</v>
      </c>
      <c r="B199" s="302" t="s">
        <v>3464</v>
      </c>
      <c r="C199" s="302" t="s">
        <v>1356</v>
      </c>
      <c r="D199" s="303" t="s">
        <v>1661</v>
      </c>
      <c r="E199" s="286">
        <v>70</v>
      </c>
      <c r="F199" s="321">
        <v>30.93</v>
      </c>
      <c r="G199" s="315" t="s">
        <v>195</v>
      </c>
      <c r="H199" s="286">
        <v>1</v>
      </c>
      <c r="I199" s="304">
        <v>2165.1</v>
      </c>
      <c r="J199" s="286">
        <v>5.41</v>
      </c>
      <c r="K199" s="304">
        <v>11713.19</v>
      </c>
      <c r="Q199" s="281">
        <f>[11]Source!X227</f>
        <v>0</v>
      </c>
      <c r="R199" s="281">
        <f>[11]Source!X228</f>
        <v>0</v>
      </c>
      <c r="S199" s="281">
        <f>[11]Source!Y227</f>
        <v>0</v>
      </c>
      <c r="T199" s="281">
        <f>[11]Source!Y228</f>
        <v>0</v>
      </c>
      <c r="U199" s="281">
        <f>ROUND((175/100)*ROUND([11]Source!R227, 2), 2)</f>
        <v>0</v>
      </c>
      <c r="V199" s="281">
        <f>ROUND((157/100)*ROUND([11]Source!R228, 2), 2)</f>
        <v>0</v>
      </c>
    </row>
    <row r="200" spans="1:22" ht="28.5" x14ac:dyDescent="0.2">
      <c r="A200" s="301" t="s">
        <v>3197</v>
      </c>
      <c r="B200" s="302" t="s">
        <v>3465</v>
      </c>
      <c r="C200" s="302" t="s">
        <v>1355</v>
      </c>
      <c r="D200" s="303" t="s">
        <v>2396</v>
      </c>
      <c r="E200" s="286">
        <v>0.2</v>
      </c>
      <c r="F200" s="321">
        <v>14950.29</v>
      </c>
      <c r="G200" s="315" t="s">
        <v>195</v>
      </c>
      <c r="H200" s="286">
        <v>1</v>
      </c>
      <c r="I200" s="304">
        <v>2990.06</v>
      </c>
      <c r="J200" s="286">
        <v>2.48</v>
      </c>
      <c r="K200" s="304">
        <v>7415.35</v>
      </c>
      <c r="Q200" s="281">
        <f>[11]Source!X229</f>
        <v>0</v>
      </c>
      <c r="R200" s="281">
        <f>[11]Source!X230</f>
        <v>0</v>
      </c>
      <c r="S200" s="281">
        <f>[11]Source!Y229</f>
        <v>0</v>
      </c>
      <c r="T200" s="281">
        <f>[11]Source!Y230</f>
        <v>0</v>
      </c>
      <c r="U200" s="281">
        <f>ROUND((175/100)*ROUND([11]Source!R229, 2), 2)</f>
        <v>0</v>
      </c>
      <c r="V200" s="281">
        <f>ROUND((157/100)*ROUND([11]Source!R230, 2), 2)</f>
        <v>0</v>
      </c>
    </row>
    <row r="201" spans="1:22" ht="14.25" x14ac:dyDescent="0.2">
      <c r="A201" s="301"/>
      <c r="B201" s="302"/>
      <c r="C201" s="302" t="s">
        <v>194</v>
      </c>
      <c r="D201" s="303" t="s">
        <v>187</v>
      </c>
      <c r="E201" s="286">
        <v>114</v>
      </c>
      <c r="F201" s="321"/>
      <c r="G201" s="305"/>
      <c r="H201" s="286"/>
      <c r="I201" s="304">
        <v>165.02</v>
      </c>
      <c r="J201" s="286">
        <v>77</v>
      </c>
      <c r="K201" s="304">
        <v>2602.5300000000002</v>
      </c>
    </row>
    <row r="202" spans="1:22" ht="14.25" x14ac:dyDescent="0.2">
      <c r="A202" s="301"/>
      <c r="B202" s="302"/>
      <c r="C202" s="302" t="s">
        <v>193</v>
      </c>
      <c r="D202" s="303" t="s">
        <v>187</v>
      </c>
      <c r="E202" s="286">
        <v>67</v>
      </c>
      <c r="F202" s="321"/>
      <c r="G202" s="305"/>
      <c r="H202" s="286"/>
      <c r="I202" s="304">
        <v>96.98</v>
      </c>
      <c r="J202" s="286">
        <v>41</v>
      </c>
      <c r="K202" s="304">
        <v>1385.76</v>
      </c>
    </row>
    <row r="203" spans="1:22" ht="14.25" x14ac:dyDescent="0.2">
      <c r="A203" s="301"/>
      <c r="B203" s="302"/>
      <c r="C203" s="302" t="s">
        <v>188</v>
      </c>
      <c r="D203" s="303" t="s">
        <v>187</v>
      </c>
      <c r="E203" s="286">
        <v>175</v>
      </c>
      <c r="F203" s="321"/>
      <c r="G203" s="305"/>
      <c r="H203" s="286"/>
      <c r="I203" s="304">
        <v>20.440000000000001</v>
      </c>
      <c r="J203" s="286">
        <v>157</v>
      </c>
      <c r="K203" s="304">
        <v>428.19</v>
      </c>
    </row>
    <row r="204" spans="1:22" ht="14.25" x14ac:dyDescent="0.2">
      <c r="A204" s="329"/>
      <c r="B204" s="330"/>
      <c r="C204" s="330" t="s">
        <v>192</v>
      </c>
      <c r="D204" s="331" t="s">
        <v>191</v>
      </c>
      <c r="E204" s="332">
        <v>58.7</v>
      </c>
      <c r="F204" s="333"/>
      <c r="G204" s="334" t="s">
        <v>195</v>
      </c>
      <c r="H204" s="332">
        <v>1</v>
      </c>
      <c r="I204" s="335">
        <v>11.74</v>
      </c>
      <c r="J204" s="332"/>
      <c r="K204" s="335"/>
    </row>
    <row r="205" spans="1:22" ht="15" x14ac:dyDescent="0.25">
      <c r="A205" s="336"/>
      <c r="B205" s="336"/>
      <c r="C205" s="337" t="s">
        <v>183</v>
      </c>
      <c r="D205" s="336"/>
      <c r="E205" s="336"/>
      <c r="F205" s="336"/>
      <c r="G205" s="336"/>
      <c r="H205" s="461">
        <v>22636.11</v>
      </c>
      <c r="I205" s="461"/>
      <c r="J205" s="461">
        <v>58336.66</v>
      </c>
      <c r="K205" s="461"/>
      <c r="O205" s="284">
        <f>I194+I195+I197+I201+I202+I203+SUM(I198:I200)</f>
        <v>22636.11</v>
      </c>
      <c r="P205" s="284">
        <f>K194+K195+K197+K201+K202+K203+SUM(K198:K200)</f>
        <v>58336.66</v>
      </c>
    </row>
    <row r="208" spans="1:22" ht="15" x14ac:dyDescent="0.25">
      <c r="A208" s="447" t="s">
        <v>3466</v>
      </c>
      <c r="B208" s="447"/>
      <c r="C208" s="447"/>
      <c r="D208" s="447"/>
      <c r="E208" s="447"/>
      <c r="F208" s="447"/>
      <c r="G208" s="447"/>
      <c r="H208" s="445">
        <v>146648.81</v>
      </c>
      <c r="I208" s="446"/>
      <c r="J208" s="445">
        <v>656311.85</v>
      </c>
      <c r="K208" s="446"/>
    </row>
    <row r="209" spans="1:22" hidden="1" x14ac:dyDescent="0.2">
      <c r="A209" s="281" t="s">
        <v>182</v>
      </c>
      <c r="I209" s="281">
        <v>0</v>
      </c>
      <c r="J209" s="281">
        <v>0</v>
      </c>
    </row>
    <row r="210" spans="1:22" hidden="1" x14ac:dyDescent="0.2">
      <c r="A210" s="281" t="s">
        <v>181</v>
      </c>
      <c r="I210" s="281">
        <v>0</v>
      </c>
      <c r="J210" s="281">
        <v>0</v>
      </c>
    </row>
    <row r="212" spans="1:22" ht="16.5" x14ac:dyDescent="0.25">
      <c r="A212" s="448" t="s">
        <v>3467</v>
      </c>
      <c r="B212" s="448"/>
      <c r="C212" s="448"/>
      <c r="D212" s="448"/>
      <c r="E212" s="448"/>
      <c r="F212" s="448"/>
      <c r="G212" s="448"/>
      <c r="H212" s="448"/>
      <c r="I212" s="448"/>
      <c r="J212" s="448"/>
      <c r="K212" s="448"/>
    </row>
    <row r="213" spans="1:22" ht="28.5" x14ac:dyDescent="0.2">
      <c r="A213" s="301" t="s">
        <v>1635</v>
      </c>
      <c r="B213" s="302" t="s">
        <v>3408</v>
      </c>
      <c r="C213" s="302" t="s">
        <v>1129</v>
      </c>
      <c r="D213" s="303" t="s">
        <v>1903</v>
      </c>
      <c r="E213" s="286">
        <v>1</v>
      </c>
      <c r="F213" s="321"/>
      <c r="G213" s="305"/>
      <c r="H213" s="286"/>
      <c r="I213" s="304"/>
      <c r="J213" s="286"/>
      <c r="K213" s="304"/>
      <c r="Q213" s="281">
        <f>[11]Source!X268</f>
        <v>21.59</v>
      </c>
      <c r="R213" s="281">
        <f>[11]Source!X269</f>
        <v>340.53</v>
      </c>
      <c r="S213" s="281">
        <f>[11]Source!Y268</f>
        <v>12.69</v>
      </c>
      <c r="T213" s="281">
        <f>[11]Source!Y269</f>
        <v>181.32</v>
      </c>
      <c r="U213" s="281">
        <f>ROUND((175/100)*ROUND([11]Source!R268, 2), 2)</f>
        <v>0</v>
      </c>
      <c r="V213" s="281">
        <f>ROUND((157/100)*ROUND([11]Source!R269, 2), 2)</f>
        <v>0</v>
      </c>
    </row>
    <row r="214" spans="1:22" ht="14.25" x14ac:dyDescent="0.2">
      <c r="A214" s="301"/>
      <c r="B214" s="302"/>
      <c r="C214" s="302" t="s">
        <v>197</v>
      </c>
      <c r="D214" s="303"/>
      <c r="E214" s="286"/>
      <c r="F214" s="321">
        <v>18.940000000000001</v>
      </c>
      <c r="G214" s="305" t="s">
        <v>195</v>
      </c>
      <c r="H214" s="286">
        <v>1</v>
      </c>
      <c r="I214" s="304">
        <v>18.940000000000001</v>
      </c>
      <c r="J214" s="286">
        <v>23.35</v>
      </c>
      <c r="K214" s="304">
        <v>442.25</v>
      </c>
    </row>
    <row r="215" spans="1:22" ht="14.25" x14ac:dyDescent="0.2">
      <c r="A215" s="301"/>
      <c r="B215" s="302"/>
      <c r="C215" s="302" t="s">
        <v>184</v>
      </c>
      <c r="D215" s="303"/>
      <c r="E215" s="286"/>
      <c r="F215" s="321">
        <v>0.05</v>
      </c>
      <c r="G215" s="305" t="s">
        <v>195</v>
      </c>
      <c r="H215" s="286">
        <v>1</v>
      </c>
      <c r="I215" s="304">
        <v>0.05</v>
      </c>
      <c r="J215" s="286">
        <v>5.4</v>
      </c>
      <c r="K215" s="304">
        <v>0.27</v>
      </c>
    </row>
    <row r="216" spans="1:22" ht="14.25" x14ac:dyDescent="0.2">
      <c r="A216" s="301"/>
      <c r="B216" s="302"/>
      <c r="C216" s="302" t="s">
        <v>205</v>
      </c>
      <c r="D216" s="303"/>
      <c r="E216" s="286"/>
      <c r="F216" s="321">
        <v>1.5</v>
      </c>
      <c r="G216" s="305" t="s">
        <v>195</v>
      </c>
      <c r="H216" s="286">
        <v>1</v>
      </c>
      <c r="I216" s="304">
        <v>1.5</v>
      </c>
      <c r="J216" s="286">
        <v>5.42</v>
      </c>
      <c r="K216" s="304">
        <v>8.1300000000000008</v>
      </c>
    </row>
    <row r="217" spans="1:22" ht="68.25" x14ac:dyDescent="0.2">
      <c r="A217" s="322" t="s">
        <v>1638</v>
      </c>
      <c r="B217" s="323" t="s">
        <v>3441</v>
      </c>
      <c r="C217" s="323" t="s">
        <v>1354</v>
      </c>
      <c r="D217" s="324" t="s">
        <v>1661</v>
      </c>
      <c r="E217" s="325">
        <v>1</v>
      </c>
      <c r="F217" s="326">
        <v>465.9</v>
      </c>
      <c r="G217" s="327" t="s">
        <v>195</v>
      </c>
      <c r="H217" s="325">
        <v>1</v>
      </c>
      <c r="I217" s="328">
        <v>465.9</v>
      </c>
      <c r="J217" s="325">
        <v>4.4000000000000004</v>
      </c>
      <c r="K217" s="328">
        <v>2049.96</v>
      </c>
      <c r="Q217" s="281">
        <f>[11]Source!X270</f>
        <v>0</v>
      </c>
      <c r="R217" s="281">
        <f>[11]Source!X271</f>
        <v>0</v>
      </c>
      <c r="S217" s="281">
        <f>[11]Source!Y270</f>
        <v>0</v>
      </c>
      <c r="T217" s="281">
        <f>[11]Source!Y271</f>
        <v>0</v>
      </c>
      <c r="U217" s="281">
        <f>ROUND((175/100)*ROUND([11]Source!R270, 2), 2)</f>
        <v>0</v>
      </c>
      <c r="V217" s="281">
        <f>ROUND((157/100)*ROUND([11]Source!R271, 2), 2)</f>
        <v>0</v>
      </c>
    </row>
    <row r="218" spans="1:22" ht="14.25" x14ac:dyDescent="0.2">
      <c r="A218" s="301"/>
      <c r="B218" s="302"/>
      <c r="C218" s="302" t="s">
        <v>194</v>
      </c>
      <c r="D218" s="303" t="s">
        <v>187</v>
      </c>
      <c r="E218" s="286">
        <v>114</v>
      </c>
      <c r="F218" s="321"/>
      <c r="G218" s="305"/>
      <c r="H218" s="286"/>
      <c r="I218" s="304">
        <v>21.59</v>
      </c>
      <c r="J218" s="286">
        <v>77</v>
      </c>
      <c r="K218" s="304">
        <v>340.53</v>
      </c>
    </row>
    <row r="219" spans="1:22" ht="14.25" x14ac:dyDescent="0.2">
      <c r="A219" s="301"/>
      <c r="B219" s="302"/>
      <c r="C219" s="302" t="s">
        <v>193</v>
      </c>
      <c r="D219" s="303" t="s">
        <v>187</v>
      </c>
      <c r="E219" s="286">
        <v>67</v>
      </c>
      <c r="F219" s="321"/>
      <c r="G219" s="305"/>
      <c r="H219" s="286"/>
      <c r="I219" s="304">
        <v>12.69</v>
      </c>
      <c r="J219" s="286">
        <v>41</v>
      </c>
      <c r="K219" s="304">
        <v>181.32</v>
      </c>
    </row>
    <row r="220" spans="1:22" ht="14.25" x14ac:dyDescent="0.2">
      <c r="A220" s="329"/>
      <c r="B220" s="330"/>
      <c r="C220" s="330" t="s">
        <v>192</v>
      </c>
      <c r="D220" s="331" t="s">
        <v>191</v>
      </c>
      <c r="E220" s="332">
        <v>1.36</v>
      </c>
      <c r="F220" s="333"/>
      <c r="G220" s="334" t="s">
        <v>195</v>
      </c>
      <c r="H220" s="332">
        <v>1</v>
      </c>
      <c r="I220" s="335">
        <v>1.36</v>
      </c>
      <c r="J220" s="332"/>
      <c r="K220" s="335"/>
    </row>
    <row r="221" spans="1:22" ht="15" x14ac:dyDescent="0.25">
      <c r="A221" s="336"/>
      <c r="B221" s="336"/>
      <c r="C221" s="337" t="s">
        <v>183</v>
      </c>
      <c r="D221" s="336"/>
      <c r="E221" s="336"/>
      <c r="F221" s="336"/>
      <c r="G221" s="336"/>
      <c r="H221" s="461">
        <v>520.66999999999996</v>
      </c>
      <c r="I221" s="461"/>
      <c r="J221" s="461">
        <v>3022.46</v>
      </c>
      <c r="K221" s="461"/>
      <c r="O221" s="284">
        <f>I214+I215+I216+I218+I219+SUM(I217:I217)</f>
        <v>520.66999999999996</v>
      </c>
      <c r="P221" s="284">
        <f>K214+K215+K216+K218+K219+SUM(K217:K217)</f>
        <v>3022.46</v>
      </c>
    </row>
    <row r="223" spans="1:22" ht="42.75" x14ac:dyDescent="0.2">
      <c r="A223" s="338" t="s">
        <v>1652</v>
      </c>
      <c r="B223" s="339" t="s">
        <v>3468</v>
      </c>
      <c r="C223" s="339" t="s">
        <v>1353</v>
      </c>
      <c r="D223" s="340" t="s">
        <v>1661</v>
      </c>
      <c r="E223" s="341">
        <v>1</v>
      </c>
      <c r="F223" s="342">
        <v>89.39</v>
      </c>
      <c r="G223" s="343" t="s">
        <v>195</v>
      </c>
      <c r="H223" s="341">
        <v>1</v>
      </c>
      <c r="I223" s="344">
        <v>89.39</v>
      </c>
      <c r="J223" s="341">
        <v>4.96</v>
      </c>
      <c r="K223" s="344">
        <v>443.37</v>
      </c>
      <c r="Q223" s="281">
        <f>[11]Source!X274</f>
        <v>0</v>
      </c>
      <c r="R223" s="281">
        <f>[11]Source!X275</f>
        <v>0</v>
      </c>
      <c r="S223" s="281">
        <f>[11]Source!Y274</f>
        <v>0</v>
      </c>
      <c r="T223" s="281">
        <f>[11]Source!Y275</f>
        <v>0</v>
      </c>
      <c r="U223" s="281">
        <f>ROUND((175/100)*ROUND([11]Source!R274, 2), 2)</f>
        <v>0</v>
      </c>
      <c r="V223" s="281">
        <f>ROUND((157/100)*ROUND([11]Source!R275, 2), 2)</f>
        <v>0</v>
      </c>
    </row>
    <row r="224" spans="1:22" ht="15" x14ac:dyDescent="0.25">
      <c r="A224" s="345"/>
      <c r="B224" s="345"/>
      <c r="C224" s="346" t="s">
        <v>183</v>
      </c>
      <c r="D224" s="345"/>
      <c r="E224" s="345"/>
      <c r="F224" s="345"/>
      <c r="G224" s="345"/>
      <c r="H224" s="462">
        <v>89.39</v>
      </c>
      <c r="I224" s="462"/>
      <c r="J224" s="462">
        <v>443.37</v>
      </c>
      <c r="K224" s="462"/>
      <c r="O224" s="284">
        <f>I223</f>
        <v>89.39</v>
      </c>
      <c r="P224" s="284">
        <f>K223</f>
        <v>443.37</v>
      </c>
    </row>
    <row r="226" spans="1:22" ht="28.5" x14ac:dyDescent="0.2">
      <c r="A226" s="301" t="s">
        <v>1665</v>
      </c>
      <c r="B226" s="302" t="s">
        <v>3469</v>
      </c>
      <c r="C226" s="302" t="s">
        <v>1352</v>
      </c>
      <c r="D226" s="303" t="s">
        <v>1903</v>
      </c>
      <c r="E226" s="286">
        <v>1</v>
      </c>
      <c r="F226" s="321"/>
      <c r="G226" s="305"/>
      <c r="H226" s="286"/>
      <c r="I226" s="304"/>
      <c r="J226" s="286"/>
      <c r="K226" s="304"/>
      <c r="Q226" s="281">
        <f>[11]Source!X276</f>
        <v>76.319999999999993</v>
      </c>
      <c r="R226" s="281">
        <f>[11]Source!X277</f>
        <v>1203.73</v>
      </c>
      <c r="S226" s="281">
        <f>[11]Source!Y276</f>
        <v>44.86</v>
      </c>
      <c r="T226" s="281">
        <f>[11]Source!Y277</f>
        <v>640.94000000000005</v>
      </c>
      <c r="U226" s="281">
        <f>ROUND((175/100)*ROUND([11]Source!R276, 2), 2)</f>
        <v>0</v>
      </c>
      <c r="V226" s="281">
        <f>ROUND((157/100)*ROUND([11]Source!R277, 2), 2)</f>
        <v>0</v>
      </c>
    </row>
    <row r="227" spans="1:22" ht="14.25" x14ac:dyDescent="0.2">
      <c r="A227" s="301"/>
      <c r="B227" s="302"/>
      <c r="C227" s="302" t="s">
        <v>197</v>
      </c>
      <c r="D227" s="303"/>
      <c r="E227" s="286"/>
      <c r="F227" s="321">
        <v>66.95</v>
      </c>
      <c r="G227" s="305" t="s">
        <v>195</v>
      </c>
      <c r="H227" s="286">
        <v>1</v>
      </c>
      <c r="I227" s="304">
        <v>66.95</v>
      </c>
      <c r="J227" s="286">
        <v>23.35</v>
      </c>
      <c r="K227" s="304">
        <v>1563.28</v>
      </c>
    </row>
    <row r="228" spans="1:22" ht="14.25" x14ac:dyDescent="0.2">
      <c r="A228" s="301"/>
      <c r="B228" s="302"/>
      <c r="C228" s="302" t="s">
        <v>205</v>
      </c>
      <c r="D228" s="303"/>
      <c r="E228" s="286"/>
      <c r="F228" s="321">
        <v>3.4</v>
      </c>
      <c r="G228" s="305" t="s">
        <v>195</v>
      </c>
      <c r="H228" s="286">
        <v>1</v>
      </c>
      <c r="I228" s="304">
        <v>3.4</v>
      </c>
      <c r="J228" s="286">
        <v>5.42</v>
      </c>
      <c r="K228" s="304">
        <v>18.43</v>
      </c>
    </row>
    <row r="229" spans="1:22" ht="68.25" x14ac:dyDescent="0.2">
      <c r="A229" s="322" t="s">
        <v>1667</v>
      </c>
      <c r="B229" s="323" t="s">
        <v>3441</v>
      </c>
      <c r="C229" s="323" t="s">
        <v>1351</v>
      </c>
      <c r="D229" s="324" t="s">
        <v>1661</v>
      </c>
      <c r="E229" s="325">
        <v>1</v>
      </c>
      <c r="F229" s="326">
        <v>1512.02</v>
      </c>
      <c r="G229" s="327" t="s">
        <v>195</v>
      </c>
      <c r="H229" s="325">
        <v>1</v>
      </c>
      <c r="I229" s="328">
        <v>1512.02</v>
      </c>
      <c r="J229" s="325">
        <v>4.4000000000000004</v>
      </c>
      <c r="K229" s="328">
        <v>6652.89</v>
      </c>
      <c r="Q229" s="281">
        <f>[11]Source!X278</f>
        <v>0</v>
      </c>
      <c r="R229" s="281">
        <f>[11]Source!X279</f>
        <v>0</v>
      </c>
      <c r="S229" s="281">
        <f>[11]Source!Y278</f>
        <v>0</v>
      </c>
      <c r="T229" s="281">
        <f>[11]Source!Y279</f>
        <v>0</v>
      </c>
      <c r="U229" s="281">
        <f>ROUND((175/100)*ROUND([11]Source!R278, 2), 2)</f>
        <v>0</v>
      </c>
      <c r="V229" s="281">
        <f>ROUND((157/100)*ROUND([11]Source!R279, 2), 2)</f>
        <v>0</v>
      </c>
    </row>
    <row r="230" spans="1:22" ht="14.25" x14ac:dyDescent="0.2">
      <c r="A230" s="301"/>
      <c r="B230" s="302"/>
      <c r="C230" s="302" t="s">
        <v>194</v>
      </c>
      <c r="D230" s="303" t="s">
        <v>187</v>
      </c>
      <c r="E230" s="286">
        <v>114</v>
      </c>
      <c r="F230" s="321"/>
      <c r="G230" s="305"/>
      <c r="H230" s="286"/>
      <c r="I230" s="304">
        <v>76.319999999999993</v>
      </c>
      <c r="J230" s="286">
        <v>77</v>
      </c>
      <c r="K230" s="304">
        <v>1203.73</v>
      </c>
    </row>
    <row r="231" spans="1:22" ht="14.25" x14ac:dyDescent="0.2">
      <c r="A231" s="301"/>
      <c r="B231" s="302"/>
      <c r="C231" s="302" t="s">
        <v>193</v>
      </c>
      <c r="D231" s="303" t="s">
        <v>187</v>
      </c>
      <c r="E231" s="286">
        <v>67</v>
      </c>
      <c r="F231" s="321"/>
      <c r="G231" s="305"/>
      <c r="H231" s="286"/>
      <c r="I231" s="304">
        <v>44.86</v>
      </c>
      <c r="J231" s="286">
        <v>41</v>
      </c>
      <c r="K231" s="304">
        <v>640.94000000000005</v>
      </c>
    </row>
    <row r="232" spans="1:22" ht="14.25" x14ac:dyDescent="0.2">
      <c r="A232" s="329"/>
      <c r="B232" s="330"/>
      <c r="C232" s="330" t="s">
        <v>192</v>
      </c>
      <c r="D232" s="331" t="s">
        <v>191</v>
      </c>
      <c r="E232" s="332">
        <v>5</v>
      </c>
      <c r="F232" s="333"/>
      <c r="G232" s="334" t="s">
        <v>195</v>
      </c>
      <c r="H232" s="332">
        <v>1</v>
      </c>
      <c r="I232" s="335">
        <v>5</v>
      </c>
      <c r="J232" s="332"/>
      <c r="K232" s="335"/>
    </row>
    <row r="233" spans="1:22" ht="15" x14ac:dyDescent="0.25">
      <c r="A233" s="336"/>
      <c r="B233" s="336"/>
      <c r="C233" s="337" t="s">
        <v>183</v>
      </c>
      <c r="D233" s="336"/>
      <c r="E233" s="336"/>
      <c r="F233" s="336"/>
      <c r="G233" s="336"/>
      <c r="H233" s="461">
        <v>1703.55</v>
      </c>
      <c r="I233" s="461"/>
      <c r="J233" s="461">
        <v>10079.27</v>
      </c>
      <c r="K233" s="461"/>
      <c r="O233" s="284">
        <f>I227+I228+I230+I231+SUM(I229:I229)</f>
        <v>1703.55</v>
      </c>
      <c r="P233" s="284">
        <f>K227+K228+K230+K231+SUM(K229:K229)</f>
        <v>10079.27</v>
      </c>
    </row>
    <row r="235" spans="1:22" ht="28.5" x14ac:dyDescent="0.2">
      <c r="A235" s="301" t="s">
        <v>1672</v>
      </c>
      <c r="B235" s="302" t="s">
        <v>3470</v>
      </c>
      <c r="C235" s="302" t="s">
        <v>1122</v>
      </c>
      <c r="D235" s="303" t="s">
        <v>1890</v>
      </c>
      <c r="E235" s="286">
        <v>0.1</v>
      </c>
      <c r="F235" s="321"/>
      <c r="G235" s="305"/>
      <c r="H235" s="286"/>
      <c r="I235" s="304"/>
      <c r="J235" s="286"/>
      <c r="K235" s="304"/>
      <c r="Q235" s="281">
        <f>[11]Source!X280</f>
        <v>25.94</v>
      </c>
      <c r="R235" s="281">
        <f>[11]Source!X281</f>
        <v>409.03</v>
      </c>
      <c r="S235" s="281">
        <f>[11]Source!Y280</f>
        <v>15.24</v>
      </c>
      <c r="T235" s="281">
        <f>[11]Source!Y281</f>
        <v>217.8</v>
      </c>
      <c r="U235" s="281">
        <f>ROUND((175/100)*ROUND([11]Source!R280, 2), 2)</f>
        <v>0.21</v>
      </c>
      <c r="V235" s="281">
        <f>ROUND((157/100)*ROUND([11]Source!R281, 2), 2)</f>
        <v>4.4000000000000004</v>
      </c>
    </row>
    <row r="236" spans="1:22" x14ac:dyDescent="0.2">
      <c r="C236" s="316" t="s">
        <v>1891</v>
      </c>
    </row>
    <row r="237" spans="1:22" ht="14.25" x14ac:dyDescent="0.2">
      <c r="A237" s="301"/>
      <c r="B237" s="302"/>
      <c r="C237" s="302" t="s">
        <v>197</v>
      </c>
      <c r="D237" s="303"/>
      <c r="E237" s="286"/>
      <c r="F237" s="321">
        <v>227.49</v>
      </c>
      <c r="G237" s="305" t="s">
        <v>195</v>
      </c>
      <c r="H237" s="286">
        <v>1</v>
      </c>
      <c r="I237" s="304">
        <v>22.75</v>
      </c>
      <c r="J237" s="286">
        <v>23.35</v>
      </c>
      <c r="K237" s="304">
        <v>531.21</v>
      </c>
    </row>
    <row r="238" spans="1:22" ht="14.25" x14ac:dyDescent="0.2">
      <c r="A238" s="301"/>
      <c r="B238" s="302"/>
      <c r="C238" s="302" t="s">
        <v>184</v>
      </c>
      <c r="D238" s="303"/>
      <c r="E238" s="286"/>
      <c r="F238" s="321">
        <v>6.98</v>
      </c>
      <c r="G238" s="305" t="s">
        <v>195</v>
      </c>
      <c r="H238" s="286">
        <v>1</v>
      </c>
      <c r="I238" s="304">
        <v>0.7</v>
      </c>
      <c r="J238" s="286">
        <v>8.39</v>
      </c>
      <c r="K238" s="304">
        <v>5.87</v>
      </c>
    </row>
    <row r="239" spans="1:22" ht="14.25" x14ac:dyDescent="0.2">
      <c r="A239" s="301"/>
      <c r="B239" s="302"/>
      <c r="C239" s="302" t="s">
        <v>189</v>
      </c>
      <c r="D239" s="303"/>
      <c r="E239" s="286"/>
      <c r="F239" s="321">
        <v>1.18</v>
      </c>
      <c r="G239" s="305" t="s">
        <v>195</v>
      </c>
      <c r="H239" s="286">
        <v>1</v>
      </c>
      <c r="I239" s="306">
        <v>0.12</v>
      </c>
      <c r="J239" s="286">
        <v>23.35</v>
      </c>
      <c r="K239" s="306">
        <v>2.8</v>
      </c>
    </row>
    <row r="240" spans="1:22" ht="14.25" x14ac:dyDescent="0.2">
      <c r="A240" s="301"/>
      <c r="B240" s="302"/>
      <c r="C240" s="302" t="s">
        <v>205</v>
      </c>
      <c r="D240" s="303"/>
      <c r="E240" s="286"/>
      <c r="F240" s="321">
        <v>2.4700000000000002</v>
      </c>
      <c r="G240" s="305" t="s">
        <v>195</v>
      </c>
      <c r="H240" s="286">
        <v>1</v>
      </c>
      <c r="I240" s="304">
        <v>0.25</v>
      </c>
      <c r="J240" s="286">
        <v>5.42</v>
      </c>
      <c r="K240" s="304">
        <v>1.36</v>
      </c>
    </row>
    <row r="241" spans="1:22" ht="68.25" x14ac:dyDescent="0.2">
      <c r="A241" s="322" t="s">
        <v>1675</v>
      </c>
      <c r="B241" s="323" t="s">
        <v>3441</v>
      </c>
      <c r="C241" s="323" t="s">
        <v>1350</v>
      </c>
      <c r="D241" s="324" t="s">
        <v>1661</v>
      </c>
      <c r="E241" s="325">
        <v>1</v>
      </c>
      <c r="F241" s="326">
        <v>415.96</v>
      </c>
      <c r="G241" s="327" t="s">
        <v>195</v>
      </c>
      <c r="H241" s="325">
        <v>1</v>
      </c>
      <c r="I241" s="328">
        <v>415.96</v>
      </c>
      <c r="J241" s="325">
        <v>4.4000000000000004</v>
      </c>
      <c r="K241" s="328">
        <v>1830.22</v>
      </c>
      <c r="Q241" s="281">
        <f>[11]Source!X282</f>
        <v>0</v>
      </c>
      <c r="R241" s="281">
        <f>[11]Source!X283</f>
        <v>0</v>
      </c>
      <c r="S241" s="281">
        <f>[11]Source!Y282</f>
        <v>0</v>
      </c>
      <c r="T241" s="281">
        <f>[11]Source!Y283</f>
        <v>0</v>
      </c>
      <c r="U241" s="281">
        <f>ROUND((175/100)*ROUND([11]Source!R282, 2), 2)</f>
        <v>0</v>
      </c>
      <c r="V241" s="281">
        <f>ROUND((157/100)*ROUND([11]Source!R283, 2), 2)</f>
        <v>0</v>
      </c>
    </row>
    <row r="242" spans="1:22" ht="14.25" x14ac:dyDescent="0.2">
      <c r="A242" s="301"/>
      <c r="B242" s="302"/>
      <c r="C242" s="302" t="s">
        <v>194</v>
      </c>
      <c r="D242" s="303" t="s">
        <v>187</v>
      </c>
      <c r="E242" s="286">
        <v>114</v>
      </c>
      <c r="F242" s="321"/>
      <c r="G242" s="305"/>
      <c r="H242" s="286"/>
      <c r="I242" s="304">
        <v>25.94</v>
      </c>
      <c r="J242" s="286">
        <v>77</v>
      </c>
      <c r="K242" s="304">
        <v>409.03</v>
      </c>
    </row>
    <row r="243" spans="1:22" ht="14.25" x14ac:dyDescent="0.2">
      <c r="A243" s="301"/>
      <c r="B243" s="302"/>
      <c r="C243" s="302" t="s">
        <v>193</v>
      </c>
      <c r="D243" s="303" t="s">
        <v>187</v>
      </c>
      <c r="E243" s="286">
        <v>67</v>
      </c>
      <c r="F243" s="321"/>
      <c r="G243" s="305"/>
      <c r="H243" s="286"/>
      <c r="I243" s="304">
        <v>15.24</v>
      </c>
      <c r="J243" s="286">
        <v>41</v>
      </c>
      <c r="K243" s="304">
        <v>217.8</v>
      </c>
    </row>
    <row r="244" spans="1:22" ht="14.25" x14ac:dyDescent="0.2">
      <c r="A244" s="301"/>
      <c r="B244" s="302"/>
      <c r="C244" s="302" t="s">
        <v>188</v>
      </c>
      <c r="D244" s="303" t="s">
        <v>187</v>
      </c>
      <c r="E244" s="286">
        <v>175</v>
      </c>
      <c r="F244" s="321"/>
      <c r="G244" s="305"/>
      <c r="H244" s="286"/>
      <c r="I244" s="304">
        <v>0.21</v>
      </c>
      <c r="J244" s="286">
        <v>157</v>
      </c>
      <c r="K244" s="304">
        <v>4.4000000000000004</v>
      </c>
    </row>
    <row r="245" spans="1:22" ht="14.25" x14ac:dyDescent="0.2">
      <c r="A245" s="329"/>
      <c r="B245" s="330"/>
      <c r="C245" s="330" t="s">
        <v>192</v>
      </c>
      <c r="D245" s="331" t="s">
        <v>191</v>
      </c>
      <c r="E245" s="332">
        <v>14.64</v>
      </c>
      <c r="F245" s="333"/>
      <c r="G245" s="334" t="s">
        <v>195</v>
      </c>
      <c r="H245" s="332">
        <v>1</v>
      </c>
      <c r="I245" s="335">
        <v>1.46</v>
      </c>
      <c r="J245" s="332"/>
      <c r="K245" s="335"/>
    </row>
    <row r="246" spans="1:22" ht="15" x14ac:dyDescent="0.25">
      <c r="A246" s="336"/>
      <c r="B246" s="336"/>
      <c r="C246" s="337" t="s">
        <v>183</v>
      </c>
      <c r="D246" s="336"/>
      <c r="E246" s="336"/>
      <c r="F246" s="336"/>
      <c r="G246" s="336"/>
      <c r="H246" s="461">
        <v>481.05</v>
      </c>
      <c r="I246" s="461"/>
      <c r="J246" s="461">
        <v>2999.89</v>
      </c>
      <c r="K246" s="461"/>
      <c r="O246" s="284">
        <f>I237+I238+I240+I242+I243+I244+SUM(I241:I241)</f>
        <v>481.05</v>
      </c>
      <c r="P246" s="284">
        <f>K237+K238+K240+K242+K243+K244+SUM(K241:K241)</f>
        <v>2999.89</v>
      </c>
    </row>
    <row r="248" spans="1:22" ht="14.25" x14ac:dyDescent="0.2">
      <c r="A248" s="301" t="s">
        <v>1685</v>
      </c>
      <c r="B248" s="302" t="s">
        <v>3471</v>
      </c>
      <c r="C248" s="302" t="s">
        <v>718</v>
      </c>
      <c r="D248" s="303" t="s">
        <v>1903</v>
      </c>
      <c r="E248" s="286">
        <v>2</v>
      </c>
      <c r="F248" s="321"/>
      <c r="G248" s="305"/>
      <c r="H248" s="286"/>
      <c r="I248" s="304"/>
      <c r="J248" s="286"/>
      <c r="K248" s="304"/>
      <c r="Q248" s="281">
        <f>[11]Source!X284</f>
        <v>27.13</v>
      </c>
      <c r="R248" s="281">
        <f>[11]Source!X285</f>
        <v>427.91</v>
      </c>
      <c r="S248" s="281">
        <f>[11]Source!Y284</f>
        <v>15.95</v>
      </c>
      <c r="T248" s="281">
        <f>[11]Source!Y285</f>
        <v>227.85</v>
      </c>
      <c r="U248" s="281">
        <f>ROUND((175/100)*ROUND([11]Source!R284, 2), 2)</f>
        <v>0</v>
      </c>
      <c r="V248" s="281">
        <f>ROUND((157/100)*ROUND([11]Source!R285, 2), 2)</f>
        <v>0</v>
      </c>
    </row>
    <row r="249" spans="1:22" ht="14.25" x14ac:dyDescent="0.2">
      <c r="A249" s="301"/>
      <c r="B249" s="302"/>
      <c r="C249" s="302" t="s">
        <v>197</v>
      </c>
      <c r="D249" s="303"/>
      <c r="E249" s="286"/>
      <c r="F249" s="321">
        <v>11.9</v>
      </c>
      <c r="G249" s="305" t="s">
        <v>195</v>
      </c>
      <c r="H249" s="286">
        <v>1</v>
      </c>
      <c r="I249" s="304">
        <v>23.8</v>
      </c>
      <c r="J249" s="286">
        <v>23.35</v>
      </c>
      <c r="K249" s="304">
        <v>555.73</v>
      </c>
    </row>
    <row r="250" spans="1:22" ht="14.25" x14ac:dyDescent="0.2">
      <c r="A250" s="301"/>
      <c r="B250" s="302"/>
      <c r="C250" s="302" t="s">
        <v>205</v>
      </c>
      <c r="D250" s="303"/>
      <c r="E250" s="286"/>
      <c r="F250" s="321">
        <v>1.75</v>
      </c>
      <c r="G250" s="305" t="s">
        <v>195</v>
      </c>
      <c r="H250" s="286">
        <v>1</v>
      </c>
      <c r="I250" s="304">
        <v>3.5</v>
      </c>
      <c r="J250" s="286">
        <v>5.42</v>
      </c>
      <c r="K250" s="304">
        <v>18.97</v>
      </c>
    </row>
    <row r="251" spans="1:22" ht="68.25" x14ac:dyDescent="0.2">
      <c r="A251" s="301" t="s">
        <v>1688</v>
      </c>
      <c r="B251" s="302" t="s">
        <v>3441</v>
      </c>
      <c r="C251" s="302" t="s">
        <v>1349</v>
      </c>
      <c r="D251" s="303" t="s">
        <v>1661</v>
      </c>
      <c r="E251" s="286">
        <v>1</v>
      </c>
      <c r="F251" s="321">
        <v>215.94</v>
      </c>
      <c r="G251" s="315" t="s">
        <v>195</v>
      </c>
      <c r="H251" s="286">
        <v>1</v>
      </c>
      <c r="I251" s="304">
        <v>215.94</v>
      </c>
      <c r="J251" s="286">
        <v>5.42</v>
      </c>
      <c r="K251" s="304">
        <v>1170.3900000000001</v>
      </c>
      <c r="Q251" s="281">
        <f>[11]Source!X286</f>
        <v>0</v>
      </c>
      <c r="R251" s="281">
        <f>[11]Source!X287</f>
        <v>0</v>
      </c>
      <c r="S251" s="281">
        <f>[11]Source!Y286</f>
        <v>0</v>
      </c>
      <c r="T251" s="281">
        <f>[11]Source!Y287</f>
        <v>0</v>
      </c>
      <c r="U251" s="281">
        <f>ROUND((175/100)*ROUND([11]Source!R286, 2), 2)</f>
        <v>0</v>
      </c>
      <c r="V251" s="281">
        <f>ROUND((157/100)*ROUND([11]Source!R287, 2), 2)</f>
        <v>0</v>
      </c>
    </row>
    <row r="252" spans="1:22" ht="54" x14ac:dyDescent="0.2">
      <c r="A252" s="301" t="s">
        <v>1690</v>
      </c>
      <c r="B252" s="302" t="s">
        <v>3441</v>
      </c>
      <c r="C252" s="302" t="s">
        <v>1348</v>
      </c>
      <c r="D252" s="303" t="s">
        <v>1661</v>
      </c>
      <c r="E252" s="286">
        <v>1</v>
      </c>
      <c r="F252" s="321">
        <v>100.05</v>
      </c>
      <c r="G252" s="315" t="s">
        <v>195</v>
      </c>
      <c r="H252" s="286">
        <v>1</v>
      </c>
      <c r="I252" s="304">
        <v>100.05</v>
      </c>
      <c r="J252" s="286">
        <v>5.42</v>
      </c>
      <c r="K252" s="304">
        <v>542.27</v>
      </c>
      <c r="Q252" s="281">
        <f>[11]Source!X288</f>
        <v>0</v>
      </c>
      <c r="R252" s="281">
        <f>[11]Source!X289</f>
        <v>0</v>
      </c>
      <c r="S252" s="281">
        <f>[11]Source!Y288</f>
        <v>0</v>
      </c>
      <c r="T252" s="281">
        <f>[11]Source!Y289</f>
        <v>0</v>
      </c>
      <c r="U252" s="281">
        <f>ROUND((175/100)*ROUND([11]Source!R288, 2), 2)</f>
        <v>0</v>
      </c>
      <c r="V252" s="281">
        <f>ROUND((157/100)*ROUND([11]Source!R289, 2), 2)</f>
        <v>0</v>
      </c>
    </row>
    <row r="253" spans="1:22" ht="14.25" x14ac:dyDescent="0.2">
      <c r="A253" s="301"/>
      <c r="B253" s="302"/>
      <c r="C253" s="302" t="s">
        <v>194</v>
      </c>
      <c r="D253" s="303" t="s">
        <v>187</v>
      </c>
      <c r="E253" s="286">
        <v>114</v>
      </c>
      <c r="F253" s="321"/>
      <c r="G253" s="305"/>
      <c r="H253" s="286"/>
      <c r="I253" s="304">
        <v>27.13</v>
      </c>
      <c r="J253" s="286">
        <v>77</v>
      </c>
      <c r="K253" s="304">
        <v>427.91</v>
      </c>
    </row>
    <row r="254" spans="1:22" ht="14.25" x14ac:dyDescent="0.2">
      <c r="A254" s="301"/>
      <c r="B254" s="302"/>
      <c r="C254" s="302" t="s">
        <v>193</v>
      </c>
      <c r="D254" s="303" t="s">
        <v>187</v>
      </c>
      <c r="E254" s="286">
        <v>67</v>
      </c>
      <c r="F254" s="321"/>
      <c r="G254" s="305"/>
      <c r="H254" s="286"/>
      <c r="I254" s="304">
        <v>15.95</v>
      </c>
      <c r="J254" s="286">
        <v>41</v>
      </c>
      <c r="K254" s="304">
        <v>227.85</v>
      </c>
    </row>
    <row r="255" spans="1:22" ht="14.25" x14ac:dyDescent="0.2">
      <c r="A255" s="329"/>
      <c r="B255" s="330"/>
      <c r="C255" s="330" t="s">
        <v>192</v>
      </c>
      <c r="D255" s="331" t="s">
        <v>191</v>
      </c>
      <c r="E255" s="332">
        <v>1</v>
      </c>
      <c r="F255" s="333"/>
      <c r="G255" s="334" t="s">
        <v>195</v>
      </c>
      <c r="H255" s="332">
        <v>1</v>
      </c>
      <c r="I255" s="335">
        <v>2</v>
      </c>
      <c r="J255" s="332"/>
      <c r="K255" s="335"/>
    </row>
    <row r="256" spans="1:22" ht="15" x14ac:dyDescent="0.25">
      <c r="A256" s="336"/>
      <c r="B256" s="336"/>
      <c r="C256" s="337" t="s">
        <v>183</v>
      </c>
      <c r="D256" s="336"/>
      <c r="E256" s="336"/>
      <c r="F256" s="336"/>
      <c r="G256" s="336"/>
      <c r="H256" s="461">
        <v>386.37</v>
      </c>
      <c r="I256" s="461"/>
      <c r="J256" s="461">
        <v>2943.12</v>
      </c>
      <c r="K256" s="461"/>
      <c r="O256" s="284">
        <f>I249+I250+I253+I254+SUM(I251:I252)</f>
        <v>386.37</v>
      </c>
      <c r="P256" s="284">
        <f>K249+K250+K253+K254+SUM(K251:K252)</f>
        <v>2943.12</v>
      </c>
    </row>
    <row r="258" spans="1:22" ht="28.5" x14ac:dyDescent="0.2">
      <c r="A258" s="301" t="s">
        <v>1696</v>
      </c>
      <c r="B258" s="302" t="s">
        <v>3317</v>
      </c>
      <c r="C258" s="302" t="s">
        <v>1323</v>
      </c>
      <c r="D258" s="303" t="s">
        <v>1536</v>
      </c>
      <c r="E258" s="286">
        <v>0.01</v>
      </c>
      <c r="F258" s="321"/>
      <c r="G258" s="305"/>
      <c r="H258" s="286"/>
      <c r="I258" s="304"/>
      <c r="J258" s="286"/>
      <c r="K258" s="304"/>
      <c r="Q258" s="281">
        <f>[11]Source!X290</f>
        <v>12.55</v>
      </c>
      <c r="R258" s="281">
        <f>[11]Source!X291</f>
        <v>197.95</v>
      </c>
      <c r="S258" s="281">
        <f>[11]Source!Y290</f>
        <v>7.38</v>
      </c>
      <c r="T258" s="281">
        <f>[11]Source!Y291</f>
        <v>105.4</v>
      </c>
      <c r="U258" s="281">
        <f>ROUND((175/100)*ROUND([11]Source!R290, 2), 2)</f>
        <v>0.39</v>
      </c>
      <c r="V258" s="281">
        <f>ROUND((157/100)*ROUND([11]Source!R291, 2), 2)</f>
        <v>8.07</v>
      </c>
    </row>
    <row r="259" spans="1:22" x14ac:dyDescent="0.2">
      <c r="C259" s="316" t="s">
        <v>3472</v>
      </c>
    </row>
    <row r="260" spans="1:22" ht="14.25" x14ac:dyDescent="0.2">
      <c r="A260" s="301"/>
      <c r="B260" s="302"/>
      <c r="C260" s="302" t="s">
        <v>197</v>
      </c>
      <c r="D260" s="303"/>
      <c r="E260" s="286"/>
      <c r="F260" s="321">
        <v>1100.71</v>
      </c>
      <c r="G260" s="305" t="s">
        <v>195</v>
      </c>
      <c r="H260" s="286">
        <v>1</v>
      </c>
      <c r="I260" s="304">
        <v>11.01</v>
      </c>
      <c r="J260" s="286">
        <v>23.35</v>
      </c>
      <c r="K260" s="304">
        <v>257.08</v>
      </c>
    </row>
    <row r="261" spans="1:22" ht="14.25" x14ac:dyDescent="0.2">
      <c r="A261" s="301"/>
      <c r="B261" s="302"/>
      <c r="C261" s="302" t="s">
        <v>184</v>
      </c>
      <c r="D261" s="303"/>
      <c r="E261" s="286"/>
      <c r="F261" s="321">
        <v>139.31</v>
      </c>
      <c r="G261" s="305" t="s">
        <v>195</v>
      </c>
      <c r="H261" s="286">
        <v>1</v>
      </c>
      <c r="I261" s="304">
        <v>1.39</v>
      </c>
      <c r="J261" s="286">
        <v>8.25</v>
      </c>
      <c r="K261" s="304">
        <v>11.47</v>
      </c>
    </row>
    <row r="262" spans="1:22" ht="14.25" x14ac:dyDescent="0.2">
      <c r="A262" s="301"/>
      <c r="B262" s="302"/>
      <c r="C262" s="302" t="s">
        <v>189</v>
      </c>
      <c r="D262" s="303"/>
      <c r="E262" s="286"/>
      <c r="F262" s="321">
        <v>22.46</v>
      </c>
      <c r="G262" s="305" t="s">
        <v>195</v>
      </c>
      <c r="H262" s="286">
        <v>1</v>
      </c>
      <c r="I262" s="306">
        <v>0.22</v>
      </c>
      <c r="J262" s="286">
        <v>23.35</v>
      </c>
      <c r="K262" s="306">
        <v>5.14</v>
      </c>
    </row>
    <row r="263" spans="1:22" ht="14.25" x14ac:dyDescent="0.2">
      <c r="A263" s="301"/>
      <c r="B263" s="302"/>
      <c r="C263" s="302" t="s">
        <v>205</v>
      </c>
      <c r="D263" s="303"/>
      <c r="E263" s="286"/>
      <c r="F263" s="321">
        <v>116.9</v>
      </c>
      <c r="G263" s="305" t="s">
        <v>195</v>
      </c>
      <c r="H263" s="286">
        <v>1</v>
      </c>
      <c r="I263" s="304">
        <v>1.17</v>
      </c>
      <c r="J263" s="286">
        <v>5.42</v>
      </c>
      <c r="K263" s="304">
        <v>6.34</v>
      </c>
    </row>
    <row r="264" spans="1:22" ht="39.75" x14ac:dyDescent="0.2">
      <c r="A264" s="301" t="s">
        <v>1699</v>
      </c>
      <c r="B264" s="302" t="s">
        <v>3441</v>
      </c>
      <c r="C264" s="302" t="s">
        <v>1347</v>
      </c>
      <c r="D264" s="303" t="s">
        <v>1661</v>
      </c>
      <c r="E264" s="286">
        <v>1</v>
      </c>
      <c r="F264" s="321">
        <v>317.20999999999998</v>
      </c>
      <c r="G264" s="315" t="s">
        <v>195</v>
      </c>
      <c r="H264" s="286">
        <v>1</v>
      </c>
      <c r="I264" s="304">
        <v>317.20999999999998</v>
      </c>
      <c r="J264" s="286">
        <v>5.42</v>
      </c>
      <c r="K264" s="304">
        <v>1719.28</v>
      </c>
      <c r="Q264" s="281">
        <f>[11]Source!X292</f>
        <v>0</v>
      </c>
      <c r="R264" s="281">
        <f>[11]Source!X293</f>
        <v>0</v>
      </c>
      <c r="S264" s="281">
        <f>[11]Source!Y292</f>
        <v>0</v>
      </c>
      <c r="T264" s="281">
        <f>[11]Source!Y293</f>
        <v>0</v>
      </c>
      <c r="U264" s="281">
        <f>ROUND((175/100)*ROUND([11]Source!R292, 2), 2)</f>
        <v>0</v>
      </c>
      <c r="V264" s="281">
        <f>ROUND((157/100)*ROUND([11]Source!R293, 2), 2)</f>
        <v>0</v>
      </c>
    </row>
    <row r="265" spans="1:22" ht="14.25" x14ac:dyDescent="0.2">
      <c r="A265" s="301"/>
      <c r="B265" s="302"/>
      <c r="C265" s="302" t="s">
        <v>194</v>
      </c>
      <c r="D265" s="303" t="s">
        <v>187</v>
      </c>
      <c r="E265" s="286">
        <v>114</v>
      </c>
      <c r="F265" s="321"/>
      <c r="G265" s="305"/>
      <c r="H265" s="286"/>
      <c r="I265" s="304">
        <v>12.55</v>
      </c>
      <c r="J265" s="286">
        <v>77</v>
      </c>
      <c r="K265" s="304">
        <v>197.95</v>
      </c>
    </row>
    <row r="266" spans="1:22" ht="14.25" x14ac:dyDescent="0.2">
      <c r="A266" s="301"/>
      <c r="B266" s="302"/>
      <c r="C266" s="302" t="s">
        <v>193</v>
      </c>
      <c r="D266" s="303" t="s">
        <v>187</v>
      </c>
      <c r="E266" s="286">
        <v>67</v>
      </c>
      <c r="F266" s="321"/>
      <c r="G266" s="305"/>
      <c r="H266" s="286"/>
      <c r="I266" s="304">
        <v>7.38</v>
      </c>
      <c r="J266" s="286">
        <v>41</v>
      </c>
      <c r="K266" s="304">
        <v>105.4</v>
      </c>
    </row>
    <row r="267" spans="1:22" ht="14.25" x14ac:dyDescent="0.2">
      <c r="A267" s="301"/>
      <c r="B267" s="302"/>
      <c r="C267" s="302" t="s">
        <v>188</v>
      </c>
      <c r="D267" s="303" t="s">
        <v>187</v>
      </c>
      <c r="E267" s="286">
        <v>175</v>
      </c>
      <c r="F267" s="321"/>
      <c r="G267" s="305"/>
      <c r="H267" s="286"/>
      <c r="I267" s="304">
        <v>0.39</v>
      </c>
      <c r="J267" s="286">
        <v>157</v>
      </c>
      <c r="K267" s="304">
        <v>8.07</v>
      </c>
    </row>
    <row r="268" spans="1:22" ht="14.25" x14ac:dyDescent="0.2">
      <c r="A268" s="329"/>
      <c r="B268" s="330"/>
      <c r="C268" s="330" t="s">
        <v>192</v>
      </c>
      <c r="D268" s="331" t="s">
        <v>191</v>
      </c>
      <c r="E268" s="332">
        <v>84.67</v>
      </c>
      <c r="F268" s="333"/>
      <c r="G268" s="334" t="s">
        <v>195</v>
      </c>
      <c r="H268" s="332">
        <v>1</v>
      </c>
      <c r="I268" s="335">
        <v>0.85</v>
      </c>
      <c r="J268" s="332"/>
      <c r="K268" s="335"/>
    </row>
    <row r="269" spans="1:22" ht="15" x14ac:dyDescent="0.25">
      <c r="A269" s="336"/>
      <c r="B269" s="336"/>
      <c r="C269" s="337" t="s">
        <v>183</v>
      </c>
      <c r="D269" s="336"/>
      <c r="E269" s="336"/>
      <c r="F269" s="336"/>
      <c r="G269" s="336"/>
      <c r="H269" s="461">
        <v>351.1</v>
      </c>
      <c r="I269" s="461"/>
      <c r="J269" s="461">
        <v>2305.59</v>
      </c>
      <c r="K269" s="461"/>
      <c r="O269" s="284">
        <f>I260+I261+I263+I265+I266+I267+SUM(I264:I264)</f>
        <v>351.1</v>
      </c>
      <c r="P269" s="284">
        <f>K260+K261+K263+K265+K266+K267+SUM(K264:K264)</f>
        <v>2305.59</v>
      </c>
    </row>
    <row r="271" spans="1:22" ht="71.25" x14ac:dyDescent="0.2">
      <c r="A271" s="301" t="s">
        <v>1705</v>
      </c>
      <c r="B271" s="302" t="s">
        <v>3347</v>
      </c>
      <c r="C271" s="302" t="s">
        <v>1171</v>
      </c>
      <c r="D271" s="303" t="s">
        <v>1686</v>
      </c>
      <c r="E271" s="286">
        <v>0.5</v>
      </c>
      <c r="F271" s="321"/>
      <c r="G271" s="305"/>
      <c r="H271" s="286"/>
      <c r="I271" s="304"/>
      <c r="J271" s="286"/>
      <c r="K271" s="304"/>
      <c r="Q271" s="281">
        <f>[11]Source!X294</f>
        <v>109.59</v>
      </c>
      <c r="R271" s="281">
        <f>[11]Source!X295</f>
        <v>1728.37</v>
      </c>
      <c r="S271" s="281">
        <f>[11]Source!Y294</f>
        <v>64.41</v>
      </c>
      <c r="T271" s="281">
        <f>[11]Source!Y295</f>
        <v>920.3</v>
      </c>
      <c r="U271" s="281">
        <f>ROUND((175/100)*ROUND([11]Source!R294, 2), 2)</f>
        <v>5.01</v>
      </c>
      <c r="V271" s="281">
        <f>ROUND((157/100)*ROUND([11]Source!R295, 2), 2)</f>
        <v>104.84</v>
      </c>
    </row>
    <row r="272" spans="1:22" x14ac:dyDescent="0.2">
      <c r="C272" s="316" t="s">
        <v>3081</v>
      </c>
    </row>
    <row r="273" spans="1:22" ht="14.25" x14ac:dyDescent="0.2">
      <c r="A273" s="301"/>
      <c r="B273" s="302"/>
      <c r="C273" s="302" t="s">
        <v>197</v>
      </c>
      <c r="D273" s="303"/>
      <c r="E273" s="286"/>
      <c r="F273" s="321">
        <v>192.26</v>
      </c>
      <c r="G273" s="305" t="s">
        <v>195</v>
      </c>
      <c r="H273" s="286">
        <v>1</v>
      </c>
      <c r="I273" s="304">
        <v>96.13</v>
      </c>
      <c r="J273" s="286">
        <v>23.35</v>
      </c>
      <c r="K273" s="304">
        <v>2244.64</v>
      </c>
    </row>
    <row r="274" spans="1:22" ht="14.25" x14ac:dyDescent="0.2">
      <c r="A274" s="301"/>
      <c r="B274" s="302"/>
      <c r="C274" s="302" t="s">
        <v>184</v>
      </c>
      <c r="D274" s="303"/>
      <c r="E274" s="286"/>
      <c r="F274" s="321">
        <v>32.869999999999997</v>
      </c>
      <c r="G274" s="305" t="s">
        <v>195</v>
      </c>
      <c r="H274" s="286">
        <v>1</v>
      </c>
      <c r="I274" s="304">
        <v>16.440000000000001</v>
      </c>
      <c r="J274" s="286">
        <v>8.48</v>
      </c>
      <c r="K274" s="304">
        <v>139.41</v>
      </c>
    </row>
    <row r="275" spans="1:22" ht="14.25" x14ac:dyDescent="0.2">
      <c r="A275" s="301"/>
      <c r="B275" s="302"/>
      <c r="C275" s="302" t="s">
        <v>189</v>
      </c>
      <c r="D275" s="303"/>
      <c r="E275" s="286"/>
      <c r="F275" s="321">
        <v>5.71</v>
      </c>
      <c r="G275" s="305" t="s">
        <v>195</v>
      </c>
      <c r="H275" s="286">
        <v>1</v>
      </c>
      <c r="I275" s="306">
        <v>2.86</v>
      </c>
      <c r="J275" s="286">
        <v>23.35</v>
      </c>
      <c r="K275" s="306">
        <v>66.78</v>
      </c>
    </row>
    <row r="276" spans="1:22" ht="14.25" x14ac:dyDescent="0.2">
      <c r="A276" s="301"/>
      <c r="B276" s="302"/>
      <c r="C276" s="302" t="s">
        <v>205</v>
      </c>
      <c r="D276" s="303"/>
      <c r="E276" s="286"/>
      <c r="F276" s="321">
        <v>314.29000000000002</v>
      </c>
      <c r="G276" s="305" t="s">
        <v>195</v>
      </c>
      <c r="H276" s="286">
        <v>1</v>
      </c>
      <c r="I276" s="304">
        <v>157.15</v>
      </c>
      <c r="J276" s="286">
        <v>5.42</v>
      </c>
      <c r="K276" s="304">
        <v>851.75</v>
      </c>
    </row>
    <row r="277" spans="1:22" ht="57" x14ac:dyDescent="0.2">
      <c r="A277" s="301" t="s">
        <v>1707</v>
      </c>
      <c r="B277" s="302" t="s">
        <v>3349</v>
      </c>
      <c r="C277" s="302" t="s">
        <v>1232</v>
      </c>
      <c r="D277" s="303" t="s">
        <v>1552</v>
      </c>
      <c r="E277" s="286">
        <v>51</v>
      </c>
      <c r="F277" s="321">
        <v>3.45</v>
      </c>
      <c r="G277" s="315" t="s">
        <v>195</v>
      </c>
      <c r="H277" s="286">
        <v>1</v>
      </c>
      <c r="I277" s="304">
        <v>175.95</v>
      </c>
      <c r="J277" s="286">
        <v>6.37</v>
      </c>
      <c r="K277" s="304">
        <v>1120.8</v>
      </c>
      <c r="Q277" s="281">
        <f>[11]Source!X296</f>
        <v>0</v>
      </c>
      <c r="R277" s="281">
        <f>[11]Source!X297</f>
        <v>0</v>
      </c>
      <c r="S277" s="281">
        <f>[11]Source!Y296</f>
        <v>0</v>
      </c>
      <c r="T277" s="281">
        <f>[11]Source!Y297</f>
        <v>0</v>
      </c>
      <c r="U277" s="281">
        <f>ROUND((175/100)*ROUND([11]Source!R296, 2), 2)</f>
        <v>0</v>
      </c>
      <c r="V277" s="281">
        <f>ROUND((157/100)*ROUND([11]Source!R297, 2), 2)</f>
        <v>0</v>
      </c>
    </row>
    <row r="278" spans="1:22" ht="14.25" x14ac:dyDescent="0.2">
      <c r="A278" s="301"/>
      <c r="B278" s="302"/>
      <c r="C278" s="302" t="s">
        <v>194</v>
      </c>
      <c r="D278" s="303" t="s">
        <v>187</v>
      </c>
      <c r="E278" s="286">
        <v>114</v>
      </c>
      <c r="F278" s="321"/>
      <c r="G278" s="305"/>
      <c r="H278" s="286"/>
      <c r="I278" s="304">
        <v>109.59</v>
      </c>
      <c r="J278" s="286">
        <v>77</v>
      </c>
      <c r="K278" s="304">
        <v>1728.37</v>
      </c>
    </row>
    <row r="279" spans="1:22" ht="14.25" x14ac:dyDescent="0.2">
      <c r="A279" s="301"/>
      <c r="B279" s="302"/>
      <c r="C279" s="302" t="s">
        <v>193</v>
      </c>
      <c r="D279" s="303" t="s">
        <v>187</v>
      </c>
      <c r="E279" s="286">
        <v>67</v>
      </c>
      <c r="F279" s="321"/>
      <c r="G279" s="305"/>
      <c r="H279" s="286"/>
      <c r="I279" s="304">
        <v>64.41</v>
      </c>
      <c r="J279" s="286">
        <v>41</v>
      </c>
      <c r="K279" s="304">
        <v>920.3</v>
      </c>
    </row>
    <row r="280" spans="1:22" ht="14.25" x14ac:dyDescent="0.2">
      <c r="A280" s="301"/>
      <c r="B280" s="302"/>
      <c r="C280" s="302" t="s">
        <v>188</v>
      </c>
      <c r="D280" s="303" t="s">
        <v>187</v>
      </c>
      <c r="E280" s="286">
        <v>175</v>
      </c>
      <c r="F280" s="321"/>
      <c r="G280" s="305"/>
      <c r="H280" s="286"/>
      <c r="I280" s="304">
        <v>5.01</v>
      </c>
      <c r="J280" s="286">
        <v>157</v>
      </c>
      <c r="K280" s="304">
        <v>104.84</v>
      </c>
    </row>
    <row r="281" spans="1:22" ht="14.25" x14ac:dyDescent="0.2">
      <c r="A281" s="329"/>
      <c r="B281" s="330"/>
      <c r="C281" s="330" t="s">
        <v>192</v>
      </c>
      <c r="D281" s="331" t="s">
        <v>191</v>
      </c>
      <c r="E281" s="332">
        <v>15</v>
      </c>
      <c r="F281" s="333"/>
      <c r="G281" s="334" t="s">
        <v>195</v>
      </c>
      <c r="H281" s="332">
        <v>1</v>
      </c>
      <c r="I281" s="335">
        <v>7.5</v>
      </c>
      <c r="J281" s="332"/>
      <c r="K281" s="335"/>
    </row>
    <row r="282" spans="1:22" ht="15" x14ac:dyDescent="0.25">
      <c r="A282" s="336"/>
      <c r="B282" s="336"/>
      <c r="C282" s="337" t="s">
        <v>183</v>
      </c>
      <c r="D282" s="336"/>
      <c r="E282" s="336"/>
      <c r="F282" s="336"/>
      <c r="G282" s="336"/>
      <c r="H282" s="461">
        <v>624.67999999999995</v>
      </c>
      <c r="I282" s="461"/>
      <c r="J282" s="461">
        <v>7110.11</v>
      </c>
      <c r="K282" s="461"/>
      <c r="O282" s="284">
        <f>I273+I274+I276+I278+I279+I280+SUM(I277:I277)</f>
        <v>624.67999999999995</v>
      </c>
      <c r="P282" s="284">
        <f>K273+K274+K276+K278+K279+K280+SUM(K277:K277)</f>
        <v>7110.11</v>
      </c>
    </row>
    <row r="284" spans="1:22" ht="71.25" x14ac:dyDescent="0.2">
      <c r="A284" s="301" t="s">
        <v>1712</v>
      </c>
      <c r="B284" s="302" t="s">
        <v>3455</v>
      </c>
      <c r="C284" s="302" t="s">
        <v>1165</v>
      </c>
      <c r="D284" s="303" t="s">
        <v>1686</v>
      </c>
      <c r="E284" s="286">
        <v>0.5</v>
      </c>
      <c r="F284" s="321"/>
      <c r="G284" s="305"/>
      <c r="H284" s="286"/>
      <c r="I284" s="304"/>
      <c r="J284" s="286"/>
      <c r="K284" s="304"/>
      <c r="Q284" s="281">
        <f>[11]Source!X300</f>
        <v>36.200000000000003</v>
      </c>
      <c r="R284" s="281">
        <f>[11]Source!X301</f>
        <v>570.85</v>
      </c>
      <c r="S284" s="281">
        <f>[11]Source!Y300</f>
        <v>21.27</v>
      </c>
      <c r="T284" s="281">
        <f>[11]Source!Y301</f>
        <v>303.95999999999998</v>
      </c>
      <c r="U284" s="281">
        <f>ROUND((175/100)*ROUND([11]Source!R300, 2), 2)</f>
        <v>0.18</v>
      </c>
      <c r="V284" s="281">
        <f>ROUND((157/100)*ROUND([11]Source!R301, 2), 2)</f>
        <v>3.67</v>
      </c>
    </row>
    <row r="285" spans="1:22" x14ac:dyDescent="0.2">
      <c r="C285" s="316" t="s">
        <v>3081</v>
      </c>
    </row>
    <row r="286" spans="1:22" ht="14.25" x14ac:dyDescent="0.2">
      <c r="A286" s="301"/>
      <c r="B286" s="302"/>
      <c r="C286" s="302" t="s">
        <v>197</v>
      </c>
      <c r="D286" s="303"/>
      <c r="E286" s="286"/>
      <c r="F286" s="321">
        <v>63.5</v>
      </c>
      <c r="G286" s="305" t="s">
        <v>195</v>
      </c>
      <c r="H286" s="286">
        <v>1</v>
      </c>
      <c r="I286" s="304">
        <v>31.75</v>
      </c>
      <c r="J286" s="286">
        <v>23.35</v>
      </c>
      <c r="K286" s="304">
        <v>741.36</v>
      </c>
    </row>
    <row r="287" spans="1:22" ht="14.25" x14ac:dyDescent="0.2">
      <c r="A287" s="301"/>
      <c r="B287" s="302"/>
      <c r="C287" s="302" t="s">
        <v>184</v>
      </c>
      <c r="D287" s="303"/>
      <c r="E287" s="286"/>
      <c r="F287" s="321">
        <v>0.85</v>
      </c>
      <c r="G287" s="305" t="s">
        <v>195</v>
      </c>
      <c r="H287" s="286">
        <v>1</v>
      </c>
      <c r="I287" s="304">
        <v>0.43</v>
      </c>
      <c r="J287" s="286">
        <v>9.59</v>
      </c>
      <c r="K287" s="304">
        <v>4.12</v>
      </c>
    </row>
    <row r="288" spans="1:22" ht="14.25" x14ac:dyDescent="0.2">
      <c r="A288" s="301"/>
      <c r="B288" s="302"/>
      <c r="C288" s="302" t="s">
        <v>189</v>
      </c>
      <c r="D288" s="303"/>
      <c r="E288" s="286"/>
      <c r="F288" s="321">
        <v>0.2</v>
      </c>
      <c r="G288" s="305" t="s">
        <v>195</v>
      </c>
      <c r="H288" s="286">
        <v>1</v>
      </c>
      <c r="I288" s="306">
        <v>0.1</v>
      </c>
      <c r="J288" s="286">
        <v>23.35</v>
      </c>
      <c r="K288" s="306">
        <v>2.34</v>
      </c>
    </row>
    <row r="289" spans="1:22" ht="14.25" x14ac:dyDescent="0.2">
      <c r="A289" s="301"/>
      <c r="B289" s="302"/>
      <c r="C289" s="302" t="s">
        <v>205</v>
      </c>
      <c r="D289" s="303"/>
      <c r="E289" s="286"/>
      <c r="F289" s="321">
        <v>6.37</v>
      </c>
      <c r="G289" s="305" t="s">
        <v>195</v>
      </c>
      <c r="H289" s="286">
        <v>1</v>
      </c>
      <c r="I289" s="304">
        <v>3.19</v>
      </c>
      <c r="J289" s="286">
        <v>5.42</v>
      </c>
      <c r="K289" s="304">
        <v>17.29</v>
      </c>
    </row>
    <row r="290" spans="1:22" ht="114" x14ac:dyDescent="0.2">
      <c r="A290" s="301" t="s">
        <v>1715</v>
      </c>
      <c r="B290" s="302" t="s">
        <v>3473</v>
      </c>
      <c r="C290" s="302" t="s">
        <v>1346</v>
      </c>
      <c r="D290" s="303" t="s">
        <v>3367</v>
      </c>
      <c r="E290" s="286">
        <v>5.0999999999999997E-2</v>
      </c>
      <c r="F290" s="321">
        <v>2003.71</v>
      </c>
      <c r="G290" s="315" t="s">
        <v>195</v>
      </c>
      <c r="H290" s="286">
        <v>1</v>
      </c>
      <c r="I290" s="304">
        <v>102.19</v>
      </c>
      <c r="J290" s="286">
        <v>7.6</v>
      </c>
      <c r="K290" s="304">
        <v>776.64</v>
      </c>
      <c r="Q290" s="281">
        <f>[11]Source!X302</f>
        <v>0</v>
      </c>
      <c r="R290" s="281">
        <f>[11]Source!X303</f>
        <v>0</v>
      </c>
      <c r="S290" s="281">
        <f>[11]Source!Y302</f>
        <v>0</v>
      </c>
      <c r="T290" s="281">
        <f>[11]Source!Y303</f>
        <v>0</v>
      </c>
      <c r="U290" s="281">
        <f>ROUND((175/100)*ROUND([11]Source!R302, 2), 2)</f>
        <v>0</v>
      </c>
      <c r="V290" s="281">
        <f>ROUND((157/100)*ROUND([11]Source!R303, 2), 2)</f>
        <v>0</v>
      </c>
    </row>
    <row r="291" spans="1:22" ht="14.25" x14ac:dyDescent="0.2">
      <c r="A291" s="301"/>
      <c r="B291" s="302"/>
      <c r="C291" s="302" t="s">
        <v>194</v>
      </c>
      <c r="D291" s="303" t="s">
        <v>187</v>
      </c>
      <c r="E291" s="286">
        <v>114</v>
      </c>
      <c r="F291" s="321"/>
      <c r="G291" s="305"/>
      <c r="H291" s="286"/>
      <c r="I291" s="304">
        <v>36.200000000000003</v>
      </c>
      <c r="J291" s="286">
        <v>77</v>
      </c>
      <c r="K291" s="304">
        <v>570.85</v>
      </c>
    </row>
    <row r="292" spans="1:22" ht="14.25" x14ac:dyDescent="0.2">
      <c r="A292" s="301"/>
      <c r="B292" s="302"/>
      <c r="C292" s="302" t="s">
        <v>193</v>
      </c>
      <c r="D292" s="303" t="s">
        <v>187</v>
      </c>
      <c r="E292" s="286">
        <v>67</v>
      </c>
      <c r="F292" s="321"/>
      <c r="G292" s="305"/>
      <c r="H292" s="286"/>
      <c r="I292" s="304">
        <v>21.27</v>
      </c>
      <c r="J292" s="286">
        <v>41</v>
      </c>
      <c r="K292" s="304">
        <v>303.95999999999998</v>
      </c>
    </row>
    <row r="293" spans="1:22" ht="14.25" x14ac:dyDescent="0.2">
      <c r="A293" s="301"/>
      <c r="B293" s="302"/>
      <c r="C293" s="302" t="s">
        <v>188</v>
      </c>
      <c r="D293" s="303" t="s">
        <v>187</v>
      </c>
      <c r="E293" s="286">
        <v>175</v>
      </c>
      <c r="F293" s="321"/>
      <c r="G293" s="305"/>
      <c r="H293" s="286"/>
      <c r="I293" s="304">
        <v>0.18</v>
      </c>
      <c r="J293" s="286">
        <v>157</v>
      </c>
      <c r="K293" s="304">
        <v>3.67</v>
      </c>
    </row>
    <row r="294" spans="1:22" ht="14.25" x14ac:dyDescent="0.2">
      <c r="A294" s="329"/>
      <c r="B294" s="330"/>
      <c r="C294" s="330" t="s">
        <v>192</v>
      </c>
      <c r="D294" s="331" t="s">
        <v>191</v>
      </c>
      <c r="E294" s="332">
        <v>5.15</v>
      </c>
      <c r="F294" s="333"/>
      <c r="G294" s="334" t="s">
        <v>195</v>
      </c>
      <c r="H294" s="332">
        <v>1</v>
      </c>
      <c r="I294" s="335">
        <v>2.58</v>
      </c>
      <c r="J294" s="332"/>
      <c r="K294" s="335"/>
    </row>
    <row r="295" spans="1:22" ht="15" x14ac:dyDescent="0.25">
      <c r="A295" s="336"/>
      <c r="B295" s="336"/>
      <c r="C295" s="337" t="s">
        <v>183</v>
      </c>
      <c r="D295" s="336"/>
      <c r="E295" s="336"/>
      <c r="F295" s="336"/>
      <c r="G295" s="336"/>
      <c r="H295" s="461">
        <v>195.21</v>
      </c>
      <c r="I295" s="461"/>
      <c r="J295" s="461">
        <v>2417.89</v>
      </c>
      <c r="K295" s="461"/>
      <c r="O295" s="284">
        <f>I286+I287+I289+I291+I292+I293+SUM(I290:I290)</f>
        <v>195.21</v>
      </c>
      <c r="P295" s="284">
        <f>K286+K287+K289+K291+K292+K293+SUM(K290:K290)</f>
        <v>2417.89</v>
      </c>
    </row>
    <row r="297" spans="1:22" ht="28.5" x14ac:dyDescent="0.2">
      <c r="A297" s="301" t="s">
        <v>1719</v>
      </c>
      <c r="B297" s="302" t="s">
        <v>3470</v>
      </c>
      <c r="C297" s="302" t="s">
        <v>1122</v>
      </c>
      <c r="D297" s="303" t="s">
        <v>1890</v>
      </c>
      <c r="E297" s="286">
        <v>0.1</v>
      </c>
      <c r="F297" s="321"/>
      <c r="G297" s="305"/>
      <c r="H297" s="286"/>
      <c r="I297" s="304"/>
      <c r="J297" s="286"/>
      <c r="K297" s="304"/>
      <c r="Q297" s="281">
        <f>[11]Source!X304</f>
        <v>25.94</v>
      </c>
      <c r="R297" s="281">
        <f>[11]Source!X305</f>
        <v>409.03</v>
      </c>
      <c r="S297" s="281">
        <f>[11]Source!Y304</f>
        <v>15.24</v>
      </c>
      <c r="T297" s="281">
        <f>[11]Source!Y305</f>
        <v>217.8</v>
      </c>
      <c r="U297" s="281">
        <f>ROUND((175/100)*ROUND([11]Source!R304, 2), 2)</f>
        <v>0.21</v>
      </c>
      <c r="V297" s="281">
        <f>ROUND((157/100)*ROUND([11]Source!R305, 2), 2)</f>
        <v>4.4000000000000004</v>
      </c>
    </row>
    <row r="298" spans="1:22" x14ac:dyDescent="0.2">
      <c r="C298" s="316" t="s">
        <v>1891</v>
      </c>
    </row>
    <row r="299" spans="1:22" ht="14.25" x14ac:dyDescent="0.2">
      <c r="A299" s="301"/>
      <c r="B299" s="302"/>
      <c r="C299" s="302" t="s">
        <v>197</v>
      </c>
      <c r="D299" s="303"/>
      <c r="E299" s="286"/>
      <c r="F299" s="321">
        <v>227.49</v>
      </c>
      <c r="G299" s="305" t="s">
        <v>195</v>
      </c>
      <c r="H299" s="286">
        <v>1</v>
      </c>
      <c r="I299" s="304">
        <v>22.75</v>
      </c>
      <c r="J299" s="286">
        <v>23.35</v>
      </c>
      <c r="K299" s="304">
        <v>531.21</v>
      </c>
    </row>
    <row r="300" spans="1:22" ht="14.25" x14ac:dyDescent="0.2">
      <c r="A300" s="301"/>
      <c r="B300" s="302"/>
      <c r="C300" s="302" t="s">
        <v>184</v>
      </c>
      <c r="D300" s="303"/>
      <c r="E300" s="286"/>
      <c r="F300" s="321">
        <v>6.98</v>
      </c>
      <c r="G300" s="305" t="s">
        <v>195</v>
      </c>
      <c r="H300" s="286">
        <v>1</v>
      </c>
      <c r="I300" s="304">
        <v>0.7</v>
      </c>
      <c r="J300" s="286">
        <v>8.39</v>
      </c>
      <c r="K300" s="304">
        <v>5.87</v>
      </c>
    </row>
    <row r="301" spans="1:22" ht="14.25" x14ac:dyDescent="0.2">
      <c r="A301" s="301"/>
      <c r="B301" s="302"/>
      <c r="C301" s="302" t="s">
        <v>189</v>
      </c>
      <c r="D301" s="303"/>
      <c r="E301" s="286"/>
      <c r="F301" s="321">
        <v>1.18</v>
      </c>
      <c r="G301" s="305" t="s">
        <v>195</v>
      </c>
      <c r="H301" s="286">
        <v>1</v>
      </c>
      <c r="I301" s="306">
        <v>0.12</v>
      </c>
      <c r="J301" s="286">
        <v>23.35</v>
      </c>
      <c r="K301" s="306">
        <v>2.8</v>
      </c>
    </row>
    <row r="302" spans="1:22" ht="14.25" x14ac:dyDescent="0.2">
      <c r="A302" s="301"/>
      <c r="B302" s="302"/>
      <c r="C302" s="302" t="s">
        <v>205</v>
      </c>
      <c r="D302" s="303"/>
      <c r="E302" s="286"/>
      <c r="F302" s="321">
        <v>2.4700000000000002</v>
      </c>
      <c r="G302" s="305" t="s">
        <v>195</v>
      </c>
      <c r="H302" s="286">
        <v>1</v>
      </c>
      <c r="I302" s="304">
        <v>0.25</v>
      </c>
      <c r="J302" s="286">
        <v>5.42</v>
      </c>
      <c r="K302" s="304">
        <v>1.36</v>
      </c>
    </row>
    <row r="303" spans="1:22" ht="68.25" x14ac:dyDescent="0.2">
      <c r="A303" s="322" t="s">
        <v>1720</v>
      </c>
      <c r="B303" s="323" t="s">
        <v>3441</v>
      </c>
      <c r="C303" s="323" t="s">
        <v>1345</v>
      </c>
      <c r="D303" s="324" t="s">
        <v>1661</v>
      </c>
      <c r="E303" s="325">
        <v>1</v>
      </c>
      <c r="F303" s="326">
        <v>1485.16</v>
      </c>
      <c r="G303" s="327" t="s">
        <v>195</v>
      </c>
      <c r="H303" s="325">
        <v>1</v>
      </c>
      <c r="I303" s="328">
        <v>1485.16</v>
      </c>
      <c r="J303" s="325">
        <v>4.4000000000000004</v>
      </c>
      <c r="K303" s="328">
        <v>6534.7</v>
      </c>
      <c r="Q303" s="281">
        <f>[11]Source!X306</f>
        <v>0</v>
      </c>
      <c r="R303" s="281">
        <f>[11]Source!X307</f>
        <v>0</v>
      </c>
      <c r="S303" s="281">
        <f>[11]Source!Y306</f>
        <v>0</v>
      </c>
      <c r="T303" s="281">
        <f>[11]Source!Y307</f>
        <v>0</v>
      </c>
      <c r="U303" s="281">
        <f>ROUND((175/100)*ROUND([11]Source!R306, 2), 2)</f>
        <v>0</v>
      </c>
      <c r="V303" s="281">
        <f>ROUND((157/100)*ROUND([11]Source!R307, 2), 2)</f>
        <v>0</v>
      </c>
    </row>
    <row r="304" spans="1:22" ht="14.25" x14ac:dyDescent="0.2">
      <c r="A304" s="301"/>
      <c r="B304" s="302"/>
      <c r="C304" s="302" t="s">
        <v>194</v>
      </c>
      <c r="D304" s="303" t="s">
        <v>187</v>
      </c>
      <c r="E304" s="286">
        <v>114</v>
      </c>
      <c r="F304" s="321"/>
      <c r="G304" s="305"/>
      <c r="H304" s="286"/>
      <c r="I304" s="304">
        <v>25.94</v>
      </c>
      <c r="J304" s="286">
        <v>77</v>
      </c>
      <c r="K304" s="304">
        <v>409.03</v>
      </c>
    </row>
    <row r="305" spans="1:22" ht="14.25" x14ac:dyDescent="0.2">
      <c r="A305" s="301"/>
      <c r="B305" s="302"/>
      <c r="C305" s="302" t="s">
        <v>193</v>
      </c>
      <c r="D305" s="303" t="s">
        <v>187</v>
      </c>
      <c r="E305" s="286">
        <v>67</v>
      </c>
      <c r="F305" s="321"/>
      <c r="G305" s="305"/>
      <c r="H305" s="286"/>
      <c r="I305" s="304">
        <v>15.24</v>
      </c>
      <c r="J305" s="286">
        <v>41</v>
      </c>
      <c r="K305" s="304">
        <v>217.8</v>
      </c>
    </row>
    <row r="306" spans="1:22" ht="14.25" x14ac:dyDescent="0.2">
      <c r="A306" s="301"/>
      <c r="B306" s="302"/>
      <c r="C306" s="302" t="s">
        <v>188</v>
      </c>
      <c r="D306" s="303" t="s">
        <v>187</v>
      </c>
      <c r="E306" s="286">
        <v>175</v>
      </c>
      <c r="F306" s="321"/>
      <c r="G306" s="305"/>
      <c r="H306" s="286"/>
      <c r="I306" s="304">
        <v>0.21</v>
      </c>
      <c r="J306" s="286">
        <v>157</v>
      </c>
      <c r="K306" s="304">
        <v>4.4000000000000004</v>
      </c>
    </row>
    <row r="307" spans="1:22" ht="14.25" x14ac:dyDescent="0.2">
      <c r="A307" s="329"/>
      <c r="B307" s="330"/>
      <c r="C307" s="330" t="s">
        <v>192</v>
      </c>
      <c r="D307" s="331" t="s">
        <v>191</v>
      </c>
      <c r="E307" s="332">
        <v>14.64</v>
      </c>
      <c r="F307" s="333"/>
      <c r="G307" s="334" t="s">
        <v>195</v>
      </c>
      <c r="H307" s="332">
        <v>1</v>
      </c>
      <c r="I307" s="335">
        <v>1.46</v>
      </c>
      <c r="J307" s="332"/>
      <c r="K307" s="335"/>
    </row>
    <row r="308" spans="1:22" ht="15" x14ac:dyDescent="0.25">
      <c r="A308" s="336"/>
      <c r="B308" s="336"/>
      <c r="C308" s="337" t="s">
        <v>183</v>
      </c>
      <c r="D308" s="336"/>
      <c r="E308" s="336"/>
      <c r="F308" s="336"/>
      <c r="G308" s="336"/>
      <c r="H308" s="461">
        <v>1550.25</v>
      </c>
      <c r="I308" s="461"/>
      <c r="J308" s="461">
        <v>7704.37</v>
      </c>
      <c r="K308" s="461"/>
      <c r="O308" s="284">
        <f>I299+I300+I302+I304+I305+I306+SUM(I303:I303)</f>
        <v>1550.25</v>
      </c>
      <c r="P308" s="284">
        <f>K299+K300+K302+K304+K305+K306+SUM(K303:K303)</f>
        <v>7704.37</v>
      </c>
    </row>
    <row r="311" spans="1:22" ht="15" x14ac:dyDescent="0.25">
      <c r="A311" s="447" t="s">
        <v>3474</v>
      </c>
      <c r="B311" s="447"/>
      <c r="C311" s="447"/>
      <c r="D311" s="447"/>
      <c r="E311" s="447"/>
      <c r="F311" s="447"/>
      <c r="G311" s="447"/>
      <c r="H311" s="445">
        <v>5902.27</v>
      </c>
      <c r="I311" s="446"/>
      <c r="J311" s="445">
        <v>39026.07</v>
      </c>
      <c r="K311" s="446"/>
    </row>
    <row r="312" spans="1:22" hidden="1" x14ac:dyDescent="0.2">
      <c r="A312" s="281" t="s">
        <v>182</v>
      </c>
      <c r="I312" s="281">
        <v>0</v>
      </c>
      <c r="J312" s="281">
        <v>0</v>
      </c>
    </row>
    <row r="313" spans="1:22" hidden="1" x14ac:dyDescent="0.2">
      <c r="A313" s="281" t="s">
        <v>181</v>
      </c>
      <c r="I313" s="281">
        <v>0</v>
      </c>
      <c r="J313" s="281">
        <v>0</v>
      </c>
    </row>
    <row r="315" spans="1:22" ht="16.5" x14ac:dyDescent="0.25">
      <c r="A315" s="448" t="s">
        <v>3475</v>
      </c>
      <c r="B315" s="448"/>
      <c r="C315" s="448"/>
      <c r="D315" s="448"/>
      <c r="E315" s="448"/>
      <c r="F315" s="448"/>
      <c r="G315" s="448"/>
      <c r="H315" s="448"/>
      <c r="I315" s="448"/>
      <c r="J315" s="448"/>
      <c r="K315" s="448"/>
    </row>
    <row r="316" spans="1:22" ht="28.5" x14ac:dyDescent="0.2">
      <c r="A316" s="301" t="s">
        <v>1722</v>
      </c>
      <c r="B316" s="302" t="s">
        <v>3470</v>
      </c>
      <c r="C316" s="302" t="s">
        <v>1122</v>
      </c>
      <c r="D316" s="303" t="s">
        <v>1890</v>
      </c>
      <c r="E316" s="286">
        <v>4</v>
      </c>
      <c r="F316" s="321"/>
      <c r="G316" s="305"/>
      <c r="H316" s="286"/>
      <c r="I316" s="304"/>
      <c r="J316" s="286"/>
      <c r="K316" s="304"/>
      <c r="Q316" s="281">
        <f>[11]Source!X343</f>
        <v>1037.3499999999999</v>
      </c>
      <c r="R316" s="281">
        <f>[11]Source!X344</f>
        <v>16360.63</v>
      </c>
      <c r="S316" s="281">
        <f>[11]Source!Y343</f>
        <v>609.66999999999996</v>
      </c>
      <c r="T316" s="281">
        <f>[11]Source!Y344</f>
        <v>8711.5</v>
      </c>
      <c r="U316" s="281">
        <f>ROUND((175/100)*ROUND([11]Source!R343, 2), 2)</f>
        <v>8.26</v>
      </c>
      <c r="V316" s="281">
        <f>ROUND((157/100)*ROUND([11]Source!R344, 2), 2)</f>
        <v>173.03</v>
      </c>
    </row>
    <row r="317" spans="1:22" x14ac:dyDescent="0.2">
      <c r="C317" s="316" t="s">
        <v>3476</v>
      </c>
    </row>
    <row r="318" spans="1:22" ht="14.25" x14ac:dyDescent="0.2">
      <c r="A318" s="301"/>
      <c r="B318" s="302"/>
      <c r="C318" s="302" t="s">
        <v>197</v>
      </c>
      <c r="D318" s="303"/>
      <c r="E318" s="286"/>
      <c r="F318" s="321">
        <v>227.49</v>
      </c>
      <c r="G318" s="305" t="s">
        <v>195</v>
      </c>
      <c r="H318" s="286">
        <v>1</v>
      </c>
      <c r="I318" s="304">
        <v>909.96</v>
      </c>
      <c r="J318" s="286">
        <v>23.35</v>
      </c>
      <c r="K318" s="304">
        <v>21247.57</v>
      </c>
    </row>
    <row r="319" spans="1:22" ht="14.25" x14ac:dyDescent="0.2">
      <c r="A319" s="301"/>
      <c r="B319" s="302"/>
      <c r="C319" s="302" t="s">
        <v>184</v>
      </c>
      <c r="D319" s="303"/>
      <c r="E319" s="286"/>
      <c r="F319" s="321">
        <v>6.98</v>
      </c>
      <c r="G319" s="305" t="s">
        <v>195</v>
      </c>
      <c r="H319" s="286">
        <v>1</v>
      </c>
      <c r="I319" s="304">
        <v>27.92</v>
      </c>
      <c r="J319" s="286">
        <v>8.39</v>
      </c>
      <c r="K319" s="304">
        <v>234.25</v>
      </c>
    </row>
    <row r="320" spans="1:22" ht="14.25" x14ac:dyDescent="0.2">
      <c r="A320" s="301"/>
      <c r="B320" s="302"/>
      <c r="C320" s="302" t="s">
        <v>189</v>
      </c>
      <c r="D320" s="303"/>
      <c r="E320" s="286"/>
      <c r="F320" s="321">
        <v>1.18</v>
      </c>
      <c r="G320" s="305" t="s">
        <v>195</v>
      </c>
      <c r="H320" s="286">
        <v>1</v>
      </c>
      <c r="I320" s="306">
        <v>4.72</v>
      </c>
      <c r="J320" s="286">
        <v>23.35</v>
      </c>
      <c r="K320" s="306">
        <v>110.21</v>
      </c>
    </row>
    <row r="321" spans="1:22" ht="14.25" x14ac:dyDescent="0.2">
      <c r="A321" s="301"/>
      <c r="B321" s="302"/>
      <c r="C321" s="302" t="s">
        <v>205</v>
      </c>
      <c r="D321" s="303"/>
      <c r="E321" s="286"/>
      <c r="F321" s="321">
        <v>2.4700000000000002</v>
      </c>
      <c r="G321" s="305" t="s">
        <v>195</v>
      </c>
      <c r="H321" s="286">
        <v>1</v>
      </c>
      <c r="I321" s="304">
        <v>9.8800000000000008</v>
      </c>
      <c r="J321" s="286">
        <v>5.42</v>
      </c>
      <c r="K321" s="304">
        <v>53.55</v>
      </c>
    </row>
    <row r="322" spans="1:22" ht="96.75" x14ac:dyDescent="0.2">
      <c r="A322" s="301" t="s">
        <v>1724</v>
      </c>
      <c r="B322" s="302" t="s">
        <v>3441</v>
      </c>
      <c r="C322" s="302" t="s">
        <v>1344</v>
      </c>
      <c r="D322" s="303" t="s">
        <v>1661</v>
      </c>
      <c r="E322" s="286">
        <v>40</v>
      </c>
      <c r="F322" s="321">
        <v>1123.51</v>
      </c>
      <c r="G322" s="315" t="s">
        <v>195</v>
      </c>
      <c r="H322" s="286">
        <v>1</v>
      </c>
      <c r="I322" s="304">
        <v>44940.4</v>
      </c>
      <c r="J322" s="286">
        <v>5.42</v>
      </c>
      <c r="K322" s="304">
        <v>243576.97</v>
      </c>
      <c r="Q322" s="281">
        <f>[11]Source!X345</f>
        <v>0</v>
      </c>
      <c r="R322" s="281">
        <f>[11]Source!X346</f>
        <v>0</v>
      </c>
      <c r="S322" s="281">
        <f>[11]Source!Y345</f>
        <v>0</v>
      </c>
      <c r="T322" s="281">
        <f>[11]Source!Y346</f>
        <v>0</v>
      </c>
      <c r="U322" s="281">
        <f>ROUND((175/100)*ROUND([11]Source!R345, 2), 2)</f>
        <v>0</v>
      </c>
      <c r="V322" s="281">
        <f>ROUND((157/100)*ROUND([11]Source!R346, 2), 2)</f>
        <v>0</v>
      </c>
    </row>
    <row r="323" spans="1:22" ht="14.25" x14ac:dyDescent="0.2">
      <c r="A323" s="301"/>
      <c r="B323" s="302"/>
      <c r="C323" s="302" t="s">
        <v>194</v>
      </c>
      <c r="D323" s="303" t="s">
        <v>187</v>
      </c>
      <c r="E323" s="286">
        <v>114</v>
      </c>
      <c r="F323" s="321"/>
      <c r="G323" s="305"/>
      <c r="H323" s="286"/>
      <c r="I323" s="304">
        <v>1037.3499999999999</v>
      </c>
      <c r="J323" s="286">
        <v>77</v>
      </c>
      <c r="K323" s="304">
        <v>16360.63</v>
      </c>
    </row>
    <row r="324" spans="1:22" ht="14.25" x14ac:dyDescent="0.2">
      <c r="A324" s="301"/>
      <c r="B324" s="302"/>
      <c r="C324" s="302" t="s">
        <v>193</v>
      </c>
      <c r="D324" s="303" t="s">
        <v>187</v>
      </c>
      <c r="E324" s="286">
        <v>67</v>
      </c>
      <c r="F324" s="321"/>
      <c r="G324" s="305"/>
      <c r="H324" s="286"/>
      <c r="I324" s="304">
        <v>609.66999999999996</v>
      </c>
      <c r="J324" s="286">
        <v>41</v>
      </c>
      <c r="K324" s="304">
        <v>8711.5</v>
      </c>
    </row>
    <row r="325" spans="1:22" ht="14.25" x14ac:dyDescent="0.2">
      <c r="A325" s="301"/>
      <c r="B325" s="302"/>
      <c r="C325" s="302" t="s">
        <v>188</v>
      </c>
      <c r="D325" s="303" t="s">
        <v>187</v>
      </c>
      <c r="E325" s="286">
        <v>175</v>
      </c>
      <c r="F325" s="321"/>
      <c r="G325" s="305"/>
      <c r="H325" s="286"/>
      <c r="I325" s="304">
        <v>8.26</v>
      </c>
      <c r="J325" s="286">
        <v>157</v>
      </c>
      <c r="K325" s="304">
        <v>173.03</v>
      </c>
    </row>
    <row r="326" spans="1:22" ht="14.25" x14ac:dyDescent="0.2">
      <c r="A326" s="329"/>
      <c r="B326" s="330"/>
      <c r="C326" s="330" t="s">
        <v>192</v>
      </c>
      <c r="D326" s="331" t="s">
        <v>191</v>
      </c>
      <c r="E326" s="332">
        <v>14.64</v>
      </c>
      <c r="F326" s="333"/>
      <c r="G326" s="334" t="s">
        <v>195</v>
      </c>
      <c r="H326" s="332">
        <v>1</v>
      </c>
      <c r="I326" s="335">
        <v>58.56</v>
      </c>
      <c r="J326" s="332"/>
      <c r="K326" s="335"/>
    </row>
    <row r="327" spans="1:22" ht="15" x14ac:dyDescent="0.25">
      <c r="A327" s="336"/>
      <c r="B327" s="336"/>
      <c r="C327" s="337" t="s">
        <v>183</v>
      </c>
      <c r="D327" s="336"/>
      <c r="E327" s="336"/>
      <c r="F327" s="336"/>
      <c r="G327" s="336"/>
      <c r="H327" s="461">
        <v>47543.44</v>
      </c>
      <c r="I327" s="461"/>
      <c r="J327" s="461">
        <v>290357.5</v>
      </c>
      <c r="K327" s="461"/>
      <c r="O327" s="284">
        <f>I318+I319+I321+I323+I324+I325+SUM(I322:I322)</f>
        <v>47543.44</v>
      </c>
      <c r="P327" s="284">
        <f>K318+K319+K321+K323+K324+K325+SUM(K322:K322)</f>
        <v>290357.5</v>
      </c>
    </row>
    <row r="329" spans="1:22" ht="71.25" x14ac:dyDescent="0.2">
      <c r="A329" s="301" t="s">
        <v>1729</v>
      </c>
      <c r="B329" s="302" t="s">
        <v>3477</v>
      </c>
      <c r="C329" s="302" t="s">
        <v>1115</v>
      </c>
      <c r="D329" s="303" t="s">
        <v>1686</v>
      </c>
      <c r="E329" s="286">
        <v>5</v>
      </c>
      <c r="F329" s="321"/>
      <c r="G329" s="305"/>
      <c r="H329" s="286"/>
      <c r="I329" s="304"/>
      <c r="J329" s="286"/>
      <c r="K329" s="304"/>
      <c r="Q329" s="281">
        <f>[11]Source!X347</f>
        <v>1055.01</v>
      </c>
      <c r="R329" s="281">
        <f>[11]Source!X348</f>
        <v>16639.13</v>
      </c>
      <c r="S329" s="281">
        <f>[11]Source!Y347</f>
        <v>620.04999999999995</v>
      </c>
      <c r="T329" s="281">
        <f>[11]Source!Y348</f>
        <v>8859.7999999999993</v>
      </c>
      <c r="U329" s="281">
        <f>ROUND((175/100)*ROUND([11]Source!R347, 2), 2)</f>
        <v>47.78</v>
      </c>
      <c r="V329" s="281">
        <f>ROUND((157/100)*ROUND([11]Source!R348, 2), 2)</f>
        <v>1000.81</v>
      </c>
    </row>
    <row r="330" spans="1:22" x14ac:dyDescent="0.2">
      <c r="C330" s="316" t="s">
        <v>3478</v>
      </c>
    </row>
    <row r="331" spans="1:22" ht="14.25" x14ac:dyDescent="0.2">
      <c r="A331" s="301"/>
      <c r="B331" s="302"/>
      <c r="C331" s="302" t="s">
        <v>197</v>
      </c>
      <c r="D331" s="303"/>
      <c r="E331" s="286"/>
      <c r="F331" s="321">
        <v>185.09</v>
      </c>
      <c r="G331" s="305" t="s">
        <v>195</v>
      </c>
      <c r="H331" s="286">
        <v>1</v>
      </c>
      <c r="I331" s="304">
        <v>925.45</v>
      </c>
      <c r="J331" s="286">
        <v>23.35</v>
      </c>
      <c r="K331" s="304">
        <v>21609.26</v>
      </c>
    </row>
    <row r="332" spans="1:22" ht="14.25" x14ac:dyDescent="0.2">
      <c r="A332" s="301"/>
      <c r="B332" s="302"/>
      <c r="C332" s="302" t="s">
        <v>184</v>
      </c>
      <c r="D332" s="303"/>
      <c r="E332" s="286"/>
      <c r="F332" s="321">
        <v>32.74</v>
      </c>
      <c r="G332" s="305" t="s">
        <v>195</v>
      </c>
      <c r="H332" s="286">
        <v>1</v>
      </c>
      <c r="I332" s="304">
        <v>163.69999999999999</v>
      </c>
      <c r="J332" s="286">
        <v>8.35</v>
      </c>
      <c r="K332" s="304">
        <v>1366.9</v>
      </c>
    </row>
    <row r="333" spans="1:22" ht="14.25" x14ac:dyDescent="0.2">
      <c r="A333" s="301"/>
      <c r="B333" s="302"/>
      <c r="C333" s="302" t="s">
        <v>189</v>
      </c>
      <c r="D333" s="303"/>
      <c r="E333" s="286"/>
      <c r="F333" s="321">
        <v>5.46</v>
      </c>
      <c r="G333" s="305" t="s">
        <v>195</v>
      </c>
      <c r="H333" s="286">
        <v>1</v>
      </c>
      <c r="I333" s="306">
        <v>27.3</v>
      </c>
      <c r="J333" s="286">
        <v>23.35</v>
      </c>
      <c r="K333" s="306">
        <v>637.46</v>
      </c>
    </row>
    <row r="334" spans="1:22" ht="14.25" x14ac:dyDescent="0.2">
      <c r="A334" s="301"/>
      <c r="B334" s="302"/>
      <c r="C334" s="302" t="s">
        <v>205</v>
      </c>
      <c r="D334" s="303"/>
      <c r="E334" s="286"/>
      <c r="F334" s="321">
        <v>343.03</v>
      </c>
      <c r="G334" s="305" t="s">
        <v>195</v>
      </c>
      <c r="H334" s="286">
        <v>1</v>
      </c>
      <c r="I334" s="304">
        <v>1715.15</v>
      </c>
      <c r="J334" s="286">
        <v>5.42</v>
      </c>
      <c r="K334" s="304">
        <v>9296.11</v>
      </c>
    </row>
    <row r="335" spans="1:22" ht="57" x14ac:dyDescent="0.2">
      <c r="A335" s="301" t="s">
        <v>1730</v>
      </c>
      <c r="B335" s="302" t="s">
        <v>3479</v>
      </c>
      <c r="C335" s="302" t="s">
        <v>1114</v>
      </c>
      <c r="D335" s="303" t="s">
        <v>1552</v>
      </c>
      <c r="E335" s="286">
        <v>510</v>
      </c>
      <c r="F335" s="321">
        <v>2.67</v>
      </c>
      <c r="G335" s="315" t="s">
        <v>195</v>
      </c>
      <c r="H335" s="286">
        <v>1</v>
      </c>
      <c r="I335" s="304">
        <v>1361.7</v>
      </c>
      <c r="J335" s="286">
        <v>6.27</v>
      </c>
      <c r="K335" s="304">
        <v>8537.86</v>
      </c>
      <c r="Q335" s="281">
        <f>[11]Source!X349</f>
        <v>0</v>
      </c>
      <c r="R335" s="281">
        <f>[11]Source!X350</f>
        <v>0</v>
      </c>
      <c r="S335" s="281">
        <f>[11]Source!Y349</f>
        <v>0</v>
      </c>
      <c r="T335" s="281">
        <f>[11]Source!Y350</f>
        <v>0</v>
      </c>
      <c r="U335" s="281">
        <f>ROUND((175/100)*ROUND([11]Source!R349, 2), 2)</f>
        <v>0</v>
      </c>
      <c r="V335" s="281">
        <f>ROUND((157/100)*ROUND([11]Source!R350, 2), 2)</f>
        <v>0</v>
      </c>
    </row>
    <row r="336" spans="1:22" ht="14.25" x14ac:dyDescent="0.2">
      <c r="A336" s="301"/>
      <c r="B336" s="302"/>
      <c r="C336" s="302" t="s">
        <v>194</v>
      </c>
      <c r="D336" s="303" t="s">
        <v>187</v>
      </c>
      <c r="E336" s="286">
        <v>114</v>
      </c>
      <c r="F336" s="321"/>
      <c r="G336" s="305"/>
      <c r="H336" s="286"/>
      <c r="I336" s="304">
        <v>1055.01</v>
      </c>
      <c r="J336" s="286">
        <v>77</v>
      </c>
      <c r="K336" s="304">
        <v>16639.13</v>
      </c>
    </row>
    <row r="337" spans="1:22" ht="14.25" x14ac:dyDescent="0.2">
      <c r="A337" s="301"/>
      <c r="B337" s="302"/>
      <c r="C337" s="302" t="s">
        <v>193</v>
      </c>
      <c r="D337" s="303" t="s">
        <v>187</v>
      </c>
      <c r="E337" s="286">
        <v>67</v>
      </c>
      <c r="F337" s="321"/>
      <c r="G337" s="305"/>
      <c r="H337" s="286"/>
      <c r="I337" s="304">
        <v>620.04999999999995</v>
      </c>
      <c r="J337" s="286">
        <v>41</v>
      </c>
      <c r="K337" s="304">
        <v>8859.7999999999993</v>
      </c>
    </row>
    <row r="338" spans="1:22" ht="14.25" x14ac:dyDescent="0.2">
      <c r="A338" s="301"/>
      <c r="B338" s="302"/>
      <c r="C338" s="302" t="s">
        <v>188</v>
      </c>
      <c r="D338" s="303" t="s">
        <v>187</v>
      </c>
      <c r="E338" s="286">
        <v>175</v>
      </c>
      <c r="F338" s="321"/>
      <c r="G338" s="305"/>
      <c r="H338" s="286"/>
      <c r="I338" s="304">
        <v>47.78</v>
      </c>
      <c r="J338" s="286">
        <v>157</v>
      </c>
      <c r="K338" s="304">
        <v>1000.81</v>
      </c>
    </row>
    <row r="339" spans="1:22" ht="14.25" x14ac:dyDescent="0.2">
      <c r="A339" s="329"/>
      <c r="B339" s="330"/>
      <c r="C339" s="330" t="s">
        <v>192</v>
      </c>
      <c r="D339" s="331" t="s">
        <v>191</v>
      </c>
      <c r="E339" s="332">
        <v>14.37</v>
      </c>
      <c r="F339" s="333"/>
      <c r="G339" s="334" t="s">
        <v>195</v>
      </c>
      <c r="H339" s="332">
        <v>1</v>
      </c>
      <c r="I339" s="335">
        <v>71.849999999999994</v>
      </c>
      <c r="J339" s="332"/>
      <c r="K339" s="335"/>
    </row>
    <row r="340" spans="1:22" ht="15" x14ac:dyDescent="0.25">
      <c r="A340" s="336"/>
      <c r="B340" s="336"/>
      <c r="C340" s="337" t="s">
        <v>183</v>
      </c>
      <c r="D340" s="336"/>
      <c r="E340" s="336"/>
      <c r="F340" s="336"/>
      <c r="G340" s="336"/>
      <c r="H340" s="461">
        <v>5888.84</v>
      </c>
      <c r="I340" s="461"/>
      <c r="J340" s="461">
        <v>67309.87</v>
      </c>
      <c r="K340" s="461"/>
      <c r="O340" s="284">
        <f>I331+I332+I334+I336+I337+I338+SUM(I335:I335)</f>
        <v>5888.84</v>
      </c>
      <c r="P340" s="284">
        <f>K331+K332+K334+K336+K337+K338+SUM(K335:K335)</f>
        <v>67309.87</v>
      </c>
    </row>
    <row r="342" spans="1:22" ht="71.25" x14ac:dyDescent="0.2">
      <c r="A342" s="301" t="s">
        <v>1737</v>
      </c>
      <c r="B342" s="302" t="s">
        <v>3455</v>
      </c>
      <c r="C342" s="302" t="s">
        <v>1165</v>
      </c>
      <c r="D342" s="303" t="s">
        <v>1686</v>
      </c>
      <c r="E342" s="286">
        <v>5</v>
      </c>
      <c r="F342" s="321"/>
      <c r="G342" s="305"/>
      <c r="H342" s="286"/>
      <c r="I342" s="304"/>
      <c r="J342" s="286"/>
      <c r="K342" s="304"/>
      <c r="Q342" s="281">
        <f>[11]Source!X351</f>
        <v>361.95</v>
      </c>
      <c r="R342" s="281">
        <f>[11]Source!X352</f>
        <v>5708.5</v>
      </c>
      <c r="S342" s="281">
        <f>[11]Source!Y351</f>
        <v>212.73</v>
      </c>
      <c r="T342" s="281">
        <f>[11]Source!Y352</f>
        <v>3039.59</v>
      </c>
      <c r="U342" s="281">
        <f>ROUND((175/100)*ROUND([11]Source!R351, 2), 2)</f>
        <v>1.75</v>
      </c>
      <c r="V342" s="281">
        <f>ROUND((157/100)*ROUND([11]Source!R352, 2), 2)</f>
        <v>36.659999999999997</v>
      </c>
    </row>
    <row r="343" spans="1:22" x14ac:dyDescent="0.2">
      <c r="C343" s="316" t="s">
        <v>3478</v>
      </c>
    </row>
    <row r="344" spans="1:22" ht="14.25" x14ac:dyDescent="0.2">
      <c r="A344" s="301"/>
      <c r="B344" s="302"/>
      <c r="C344" s="302" t="s">
        <v>197</v>
      </c>
      <c r="D344" s="303"/>
      <c r="E344" s="286"/>
      <c r="F344" s="321">
        <v>63.5</v>
      </c>
      <c r="G344" s="305" t="s">
        <v>195</v>
      </c>
      <c r="H344" s="286">
        <v>1</v>
      </c>
      <c r="I344" s="304">
        <v>317.5</v>
      </c>
      <c r="J344" s="286">
        <v>23.35</v>
      </c>
      <c r="K344" s="304">
        <v>7413.63</v>
      </c>
    </row>
    <row r="345" spans="1:22" ht="14.25" x14ac:dyDescent="0.2">
      <c r="A345" s="301"/>
      <c r="B345" s="302"/>
      <c r="C345" s="302" t="s">
        <v>184</v>
      </c>
      <c r="D345" s="303"/>
      <c r="E345" s="286"/>
      <c r="F345" s="321">
        <v>0.85</v>
      </c>
      <c r="G345" s="305" t="s">
        <v>195</v>
      </c>
      <c r="H345" s="286">
        <v>1</v>
      </c>
      <c r="I345" s="304">
        <v>4.25</v>
      </c>
      <c r="J345" s="286">
        <v>9.59</v>
      </c>
      <c r="K345" s="304">
        <v>40.76</v>
      </c>
    </row>
    <row r="346" spans="1:22" ht="14.25" x14ac:dyDescent="0.2">
      <c r="A346" s="301"/>
      <c r="B346" s="302"/>
      <c r="C346" s="302" t="s">
        <v>189</v>
      </c>
      <c r="D346" s="303"/>
      <c r="E346" s="286"/>
      <c r="F346" s="321">
        <v>0.2</v>
      </c>
      <c r="G346" s="305" t="s">
        <v>195</v>
      </c>
      <c r="H346" s="286">
        <v>1</v>
      </c>
      <c r="I346" s="306">
        <v>1</v>
      </c>
      <c r="J346" s="286">
        <v>23.35</v>
      </c>
      <c r="K346" s="306">
        <v>23.35</v>
      </c>
    </row>
    <row r="347" spans="1:22" ht="14.25" x14ac:dyDescent="0.2">
      <c r="A347" s="301"/>
      <c r="B347" s="302"/>
      <c r="C347" s="302" t="s">
        <v>205</v>
      </c>
      <c r="D347" s="303"/>
      <c r="E347" s="286"/>
      <c r="F347" s="321">
        <v>6.37</v>
      </c>
      <c r="G347" s="305" t="s">
        <v>195</v>
      </c>
      <c r="H347" s="286">
        <v>1</v>
      </c>
      <c r="I347" s="304">
        <v>31.85</v>
      </c>
      <c r="J347" s="286">
        <v>5.42</v>
      </c>
      <c r="K347" s="304">
        <v>172.63</v>
      </c>
    </row>
    <row r="348" spans="1:22" ht="114" x14ac:dyDescent="0.2">
      <c r="A348" s="301" t="s">
        <v>2181</v>
      </c>
      <c r="B348" s="302" t="s">
        <v>3480</v>
      </c>
      <c r="C348" s="302" t="s">
        <v>1343</v>
      </c>
      <c r="D348" s="303" t="s">
        <v>3367</v>
      </c>
      <c r="E348" s="286">
        <v>0.51</v>
      </c>
      <c r="F348" s="321">
        <v>3905.57</v>
      </c>
      <c r="G348" s="315" t="s">
        <v>195</v>
      </c>
      <c r="H348" s="286">
        <v>1</v>
      </c>
      <c r="I348" s="304">
        <v>1991.84</v>
      </c>
      <c r="J348" s="286">
        <v>3.75</v>
      </c>
      <c r="K348" s="304">
        <v>7469.4</v>
      </c>
      <c r="Q348" s="281">
        <f>[11]Source!X353</f>
        <v>0</v>
      </c>
      <c r="R348" s="281">
        <f>[11]Source!X354</f>
        <v>0</v>
      </c>
      <c r="S348" s="281">
        <f>[11]Source!Y353</f>
        <v>0</v>
      </c>
      <c r="T348" s="281">
        <f>[11]Source!Y354</f>
        <v>0</v>
      </c>
      <c r="U348" s="281">
        <f>ROUND((175/100)*ROUND([11]Source!R353, 2), 2)</f>
        <v>0</v>
      </c>
      <c r="V348" s="281">
        <f>ROUND((157/100)*ROUND([11]Source!R354, 2), 2)</f>
        <v>0</v>
      </c>
    </row>
    <row r="349" spans="1:22" ht="14.25" x14ac:dyDescent="0.2">
      <c r="A349" s="301"/>
      <c r="B349" s="302"/>
      <c r="C349" s="302" t="s">
        <v>194</v>
      </c>
      <c r="D349" s="303" t="s">
        <v>187</v>
      </c>
      <c r="E349" s="286">
        <v>114</v>
      </c>
      <c r="F349" s="321"/>
      <c r="G349" s="305"/>
      <c r="H349" s="286"/>
      <c r="I349" s="304">
        <v>361.95</v>
      </c>
      <c r="J349" s="286">
        <v>77</v>
      </c>
      <c r="K349" s="304">
        <v>5708.5</v>
      </c>
    </row>
    <row r="350" spans="1:22" ht="14.25" x14ac:dyDescent="0.2">
      <c r="A350" s="301"/>
      <c r="B350" s="302"/>
      <c r="C350" s="302" t="s">
        <v>193</v>
      </c>
      <c r="D350" s="303" t="s">
        <v>187</v>
      </c>
      <c r="E350" s="286">
        <v>67</v>
      </c>
      <c r="F350" s="321"/>
      <c r="G350" s="305"/>
      <c r="H350" s="286"/>
      <c r="I350" s="304">
        <v>212.73</v>
      </c>
      <c r="J350" s="286">
        <v>41</v>
      </c>
      <c r="K350" s="304">
        <v>3039.59</v>
      </c>
    </row>
    <row r="351" spans="1:22" ht="14.25" x14ac:dyDescent="0.2">
      <c r="A351" s="301"/>
      <c r="B351" s="302"/>
      <c r="C351" s="302" t="s">
        <v>188</v>
      </c>
      <c r="D351" s="303" t="s">
        <v>187</v>
      </c>
      <c r="E351" s="286">
        <v>175</v>
      </c>
      <c r="F351" s="321"/>
      <c r="G351" s="305"/>
      <c r="H351" s="286"/>
      <c r="I351" s="304">
        <v>1.75</v>
      </c>
      <c r="J351" s="286">
        <v>157</v>
      </c>
      <c r="K351" s="304">
        <v>36.659999999999997</v>
      </c>
    </row>
    <row r="352" spans="1:22" ht="14.25" x14ac:dyDescent="0.2">
      <c r="A352" s="329"/>
      <c r="B352" s="330"/>
      <c r="C352" s="330" t="s">
        <v>192</v>
      </c>
      <c r="D352" s="331" t="s">
        <v>191</v>
      </c>
      <c r="E352" s="332">
        <v>5.15</v>
      </c>
      <c r="F352" s="333"/>
      <c r="G352" s="334" t="s">
        <v>195</v>
      </c>
      <c r="H352" s="332">
        <v>1</v>
      </c>
      <c r="I352" s="335">
        <v>25.75</v>
      </c>
      <c r="J352" s="332"/>
      <c r="K352" s="335"/>
    </row>
    <row r="353" spans="1:32" ht="15" x14ac:dyDescent="0.25">
      <c r="A353" s="336"/>
      <c r="B353" s="336"/>
      <c r="C353" s="337" t="s">
        <v>183</v>
      </c>
      <c r="D353" s="336"/>
      <c r="E353" s="336"/>
      <c r="F353" s="336"/>
      <c r="G353" s="336"/>
      <c r="H353" s="461">
        <v>2921.87</v>
      </c>
      <c r="I353" s="461"/>
      <c r="J353" s="461">
        <v>23881.17</v>
      </c>
      <c r="K353" s="461"/>
      <c r="O353" s="284">
        <f>I344+I345+I347+I349+I350+I351+SUM(I348:I348)</f>
        <v>2921.87</v>
      </c>
      <c r="P353" s="284">
        <f>K344+K345+K347+K349+K350+K351+SUM(K348:K348)</f>
        <v>23881.17</v>
      </c>
    </row>
    <row r="356" spans="1:32" ht="15" x14ac:dyDescent="0.25">
      <c r="A356" s="447" t="s">
        <v>3481</v>
      </c>
      <c r="B356" s="447"/>
      <c r="C356" s="447"/>
      <c r="D356" s="447"/>
      <c r="E356" s="447"/>
      <c r="F356" s="447"/>
      <c r="G356" s="447"/>
      <c r="H356" s="445">
        <v>56354.15</v>
      </c>
      <c r="I356" s="446"/>
      <c r="J356" s="445">
        <v>381548.54</v>
      </c>
      <c r="K356" s="446"/>
    </row>
    <row r="357" spans="1:32" hidden="1" x14ac:dyDescent="0.2">
      <c r="A357" s="281" t="s">
        <v>182</v>
      </c>
      <c r="I357" s="281">
        <v>0</v>
      </c>
      <c r="J357" s="281">
        <v>0</v>
      </c>
    </row>
    <row r="358" spans="1:32" hidden="1" x14ac:dyDescent="0.2">
      <c r="A358" s="281" t="s">
        <v>181</v>
      </c>
      <c r="I358" s="281">
        <v>0</v>
      </c>
      <c r="J358" s="281">
        <v>0</v>
      </c>
    </row>
    <row r="360" spans="1:32" ht="30" x14ac:dyDescent="0.25">
      <c r="A360" s="447" t="s">
        <v>3482</v>
      </c>
      <c r="B360" s="447"/>
      <c r="C360" s="447"/>
      <c r="D360" s="447"/>
      <c r="E360" s="447"/>
      <c r="F360" s="447"/>
      <c r="G360" s="447"/>
      <c r="H360" s="445">
        <v>850275.77</v>
      </c>
      <c r="I360" s="446"/>
      <c r="J360" s="445">
        <v>3987850.82</v>
      </c>
      <c r="K360" s="446"/>
      <c r="AF360" s="360" t="str">
        <f>CONCATENATE("Итого по локальной смете: ",IF([11]Source!G386&lt;&gt;"Новая локальная смета", [11]Source!G386, ""))</f>
        <v>Итого по локальной смете: СКС,ЛВС,ТФ Локальная вычислительная сеть.Структурированная кабельная сеть. Система Телефонизации.</v>
      </c>
    </row>
    <row r="361" spans="1:32" hidden="1" x14ac:dyDescent="0.2">
      <c r="A361" s="281" t="s">
        <v>182</v>
      </c>
      <c r="I361" s="281">
        <v>0</v>
      </c>
      <c r="J361" s="281">
        <v>0</v>
      </c>
    </row>
    <row r="362" spans="1:32" hidden="1" x14ac:dyDescent="0.2">
      <c r="A362" s="281" t="s">
        <v>181</v>
      </c>
      <c r="I362" s="281">
        <v>0</v>
      </c>
      <c r="J362" s="281">
        <v>0</v>
      </c>
    </row>
    <row r="363" spans="1:32" ht="14.25" x14ac:dyDescent="0.2">
      <c r="C363" s="442" t="s">
        <v>1920</v>
      </c>
      <c r="D363" s="442"/>
      <c r="E363" s="442"/>
      <c r="F363" s="442"/>
      <c r="G363" s="442"/>
      <c r="H363" s="443">
        <v>832744.58</v>
      </c>
      <c r="I363" s="443"/>
      <c r="J363" s="443">
        <v>3719129.81</v>
      </c>
      <c r="K363" s="443"/>
    </row>
    <row r="364" spans="1:32" ht="14.25" x14ac:dyDescent="0.2">
      <c r="C364" s="442" t="s">
        <v>1934</v>
      </c>
      <c r="D364" s="442"/>
      <c r="E364" s="442"/>
      <c r="F364" s="442"/>
      <c r="G364" s="442"/>
      <c r="H364" s="443">
        <v>216085.4</v>
      </c>
      <c r="I364" s="443"/>
      <c r="J364" s="443">
        <v>821291.07</v>
      </c>
      <c r="K364" s="443"/>
    </row>
    <row r="365" spans="1:32" ht="14.25" x14ac:dyDescent="0.2">
      <c r="C365" s="442" t="s">
        <v>1935</v>
      </c>
      <c r="D365" s="442"/>
      <c r="E365" s="442"/>
      <c r="F365" s="442"/>
      <c r="G365" s="442"/>
      <c r="H365" s="443">
        <v>606097.01</v>
      </c>
      <c r="I365" s="443"/>
      <c r="J365" s="443">
        <v>2666876.89</v>
      </c>
      <c r="K365" s="443"/>
    </row>
    <row r="366" spans="1:32" ht="14.25" x14ac:dyDescent="0.2">
      <c r="C366" s="442" t="s">
        <v>1938</v>
      </c>
      <c r="D366" s="442"/>
      <c r="E366" s="442"/>
      <c r="F366" s="442"/>
      <c r="G366" s="442"/>
      <c r="H366" s="443">
        <v>9507.17</v>
      </c>
      <c r="I366" s="443"/>
      <c r="J366" s="443">
        <v>221992.43</v>
      </c>
      <c r="K366" s="443"/>
    </row>
    <row r="367" spans="1:32" ht="14.25" x14ac:dyDescent="0.2">
      <c r="C367" s="442" t="s">
        <v>1939</v>
      </c>
      <c r="D367" s="442"/>
      <c r="E367" s="442"/>
      <c r="F367" s="442"/>
      <c r="G367" s="442"/>
      <c r="H367" s="443">
        <v>0</v>
      </c>
      <c r="I367" s="443"/>
      <c r="J367" s="443">
        <v>0</v>
      </c>
      <c r="K367" s="443"/>
    </row>
    <row r="368" spans="1:32" ht="14.25" x14ac:dyDescent="0.2">
      <c r="C368" s="442" t="s">
        <v>1940</v>
      </c>
      <c r="D368" s="442"/>
      <c r="E368" s="442"/>
      <c r="F368" s="442"/>
      <c r="G368" s="442"/>
      <c r="H368" s="443">
        <v>244178.76</v>
      </c>
      <c r="I368" s="443"/>
      <c r="J368" s="443">
        <v>1320973.93</v>
      </c>
      <c r="K368" s="443"/>
    </row>
    <row r="369" spans="1:11" ht="14.25" x14ac:dyDescent="0.2">
      <c r="C369" s="442" t="s">
        <v>1941</v>
      </c>
      <c r="D369" s="442"/>
      <c r="E369" s="442"/>
      <c r="F369" s="442"/>
      <c r="G369" s="442"/>
      <c r="H369" s="443">
        <v>0</v>
      </c>
      <c r="I369" s="443"/>
      <c r="J369" s="443">
        <v>0</v>
      </c>
      <c r="K369" s="443"/>
    </row>
    <row r="370" spans="1:11" ht="14.25" x14ac:dyDescent="0.2">
      <c r="C370" s="442" t="s">
        <v>367</v>
      </c>
      <c r="D370" s="442"/>
      <c r="E370" s="442"/>
      <c r="F370" s="442"/>
      <c r="G370" s="442"/>
      <c r="H370" s="443">
        <v>0</v>
      </c>
      <c r="I370" s="443"/>
      <c r="J370" s="443">
        <v>0</v>
      </c>
      <c r="K370" s="443"/>
    </row>
    <row r="371" spans="1:11" ht="14.25" x14ac:dyDescent="0.2">
      <c r="C371" s="442" t="s">
        <v>1942</v>
      </c>
      <c r="D371" s="442"/>
      <c r="E371" s="442"/>
      <c r="F371" s="442"/>
      <c r="G371" s="442"/>
      <c r="H371" s="443">
        <v>10838.18</v>
      </c>
      <c r="I371" s="443"/>
      <c r="J371" s="443">
        <v>170934.17</v>
      </c>
      <c r="K371" s="443"/>
    </row>
    <row r="372" spans="1:11" ht="14.25" x14ac:dyDescent="0.2">
      <c r="C372" s="442" t="s">
        <v>1943</v>
      </c>
      <c r="D372" s="442"/>
      <c r="E372" s="442"/>
      <c r="F372" s="442"/>
      <c r="G372" s="442"/>
      <c r="H372" s="443">
        <v>6369.8</v>
      </c>
      <c r="I372" s="443"/>
      <c r="J372" s="443">
        <v>91016.89</v>
      </c>
      <c r="K372" s="443"/>
    </row>
    <row r="373" spans="1:11" ht="14.25" x14ac:dyDescent="0.2">
      <c r="C373" s="442" t="s">
        <v>1944</v>
      </c>
      <c r="D373" s="442"/>
      <c r="E373" s="442"/>
      <c r="F373" s="442"/>
      <c r="G373" s="442"/>
      <c r="H373" s="443">
        <v>850275.77</v>
      </c>
      <c r="I373" s="443"/>
      <c r="J373" s="443">
        <v>3987850.82</v>
      </c>
      <c r="K373" s="443"/>
    </row>
    <row r="376" spans="1:11" ht="14.25" x14ac:dyDescent="0.2">
      <c r="A376" s="440" t="s">
        <v>180</v>
      </c>
      <c r="B376" s="440"/>
      <c r="C376" s="347" t="s">
        <v>107</v>
      </c>
      <c r="D376" s="347"/>
      <c r="E376" s="347"/>
      <c r="F376" s="347"/>
      <c r="G376" s="347"/>
      <c r="H376" s="287" t="s">
        <v>107</v>
      </c>
      <c r="I376" s="287"/>
      <c r="J376" s="287"/>
      <c r="K376" s="287"/>
    </row>
    <row r="377" spans="1:11" ht="14.25" x14ac:dyDescent="0.2">
      <c r="A377" s="287"/>
      <c r="B377" s="287"/>
      <c r="C377" s="460" t="s">
        <v>72</v>
      </c>
      <c r="D377" s="460"/>
      <c r="E377" s="460"/>
      <c r="F377" s="460"/>
      <c r="G377" s="460"/>
      <c r="H377" s="287"/>
      <c r="I377" s="287"/>
      <c r="J377" s="287"/>
      <c r="K377" s="287"/>
    </row>
    <row r="378" spans="1:11" ht="14.25" x14ac:dyDescent="0.2">
      <c r="A378" s="287"/>
      <c r="B378" s="287"/>
      <c r="C378" s="287"/>
      <c r="D378" s="287"/>
      <c r="E378" s="287"/>
      <c r="F378" s="287"/>
      <c r="G378" s="287"/>
      <c r="H378" s="287"/>
      <c r="I378" s="287"/>
      <c r="J378" s="287"/>
      <c r="K378" s="287"/>
    </row>
    <row r="379" spans="1:11" ht="14.25" x14ac:dyDescent="0.2">
      <c r="A379" s="440" t="s">
        <v>179</v>
      </c>
      <c r="B379" s="440"/>
      <c r="C379" s="347" t="s">
        <v>107</v>
      </c>
      <c r="D379" s="347"/>
      <c r="E379" s="347"/>
      <c r="F379" s="347"/>
      <c r="G379" s="347"/>
      <c r="H379" s="287" t="s">
        <v>107</v>
      </c>
      <c r="I379" s="287"/>
      <c r="J379" s="287"/>
      <c r="K379" s="287"/>
    </row>
    <row r="380" spans="1:11" ht="14.25" x14ac:dyDescent="0.2">
      <c r="A380" s="287"/>
      <c r="B380" s="287"/>
      <c r="C380" s="460" t="s">
        <v>72</v>
      </c>
      <c r="D380" s="460"/>
      <c r="E380" s="460"/>
      <c r="F380" s="460"/>
      <c r="G380" s="460"/>
      <c r="H380" s="287"/>
      <c r="I380" s="287"/>
      <c r="J380" s="287"/>
      <c r="K380" s="287"/>
    </row>
  </sheetData>
  <mergeCells count="147"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36:K36"/>
    <mergeCell ref="J52:K52"/>
    <mergeCell ref="H52:I52"/>
    <mergeCell ref="J64:K64"/>
    <mergeCell ref="H64:I64"/>
    <mergeCell ref="J77:K77"/>
    <mergeCell ref="H77:I77"/>
    <mergeCell ref="J90:K90"/>
    <mergeCell ref="H90:I90"/>
    <mergeCell ref="J93:K93"/>
    <mergeCell ref="H93:I93"/>
    <mergeCell ref="A96:K96"/>
    <mergeCell ref="J98:K98"/>
    <mergeCell ref="H98:I98"/>
    <mergeCell ref="J101:K101"/>
    <mergeCell ref="H101:I101"/>
    <mergeCell ref="J104:K104"/>
    <mergeCell ref="H104:I104"/>
    <mergeCell ref="J107:K107"/>
    <mergeCell ref="H107:I107"/>
    <mergeCell ref="J110:K110"/>
    <mergeCell ref="H110:I110"/>
    <mergeCell ref="J113:K113"/>
    <mergeCell ref="H113:I113"/>
    <mergeCell ref="J116:K116"/>
    <mergeCell ref="H116:I116"/>
    <mergeCell ref="A116:G116"/>
    <mergeCell ref="J120:K120"/>
    <mergeCell ref="H120:I120"/>
    <mergeCell ref="A120:G120"/>
    <mergeCell ref="A124:K124"/>
    <mergeCell ref="J126:K126"/>
    <mergeCell ref="H126:I126"/>
    <mergeCell ref="J129:K129"/>
    <mergeCell ref="H129:I129"/>
    <mergeCell ref="J132:K132"/>
    <mergeCell ref="H132:I132"/>
    <mergeCell ref="A132:G132"/>
    <mergeCell ref="A136:K136"/>
    <mergeCell ref="J149:K149"/>
    <mergeCell ref="H149:I149"/>
    <mergeCell ref="J162:K162"/>
    <mergeCell ref="H162:I162"/>
    <mergeCell ref="J175:K175"/>
    <mergeCell ref="H175:I175"/>
    <mergeCell ref="J190:K190"/>
    <mergeCell ref="H190:I190"/>
    <mergeCell ref="J205:K205"/>
    <mergeCell ref="H205:I205"/>
    <mergeCell ref="J208:K208"/>
    <mergeCell ref="H208:I208"/>
    <mergeCell ref="A208:G208"/>
    <mergeCell ref="A212:K212"/>
    <mergeCell ref="J221:K221"/>
    <mergeCell ref="H221:I221"/>
    <mergeCell ref="J224:K224"/>
    <mergeCell ref="H224:I224"/>
    <mergeCell ref="J233:K233"/>
    <mergeCell ref="H233:I233"/>
    <mergeCell ref="J246:K246"/>
    <mergeCell ref="H246:I246"/>
    <mergeCell ref="J256:K256"/>
    <mergeCell ref="H256:I256"/>
    <mergeCell ref="J269:K269"/>
    <mergeCell ref="H269:I269"/>
    <mergeCell ref="J282:K282"/>
    <mergeCell ref="H282:I282"/>
    <mergeCell ref="J295:K295"/>
    <mergeCell ref="H295:I295"/>
    <mergeCell ref="J308:K308"/>
    <mergeCell ref="H308:I308"/>
    <mergeCell ref="J311:K311"/>
    <mergeCell ref="H311:I311"/>
    <mergeCell ref="A311:G311"/>
    <mergeCell ref="A315:K315"/>
    <mergeCell ref="J327:K327"/>
    <mergeCell ref="H327:I327"/>
    <mergeCell ref="J340:K340"/>
    <mergeCell ref="H340:I340"/>
    <mergeCell ref="J353:K353"/>
    <mergeCell ref="H353:I353"/>
    <mergeCell ref="J356:K356"/>
    <mergeCell ref="H356:I356"/>
    <mergeCell ref="A356:G356"/>
    <mergeCell ref="J360:K360"/>
    <mergeCell ref="H360:I360"/>
    <mergeCell ref="A360:G360"/>
    <mergeCell ref="C363:G363"/>
    <mergeCell ref="H363:I363"/>
    <mergeCell ref="J363:K363"/>
    <mergeCell ref="C364:G364"/>
    <mergeCell ref="H364:I364"/>
    <mergeCell ref="J364:K364"/>
    <mergeCell ref="C365:G365"/>
    <mergeCell ref="H365:I365"/>
    <mergeCell ref="J365:K365"/>
    <mergeCell ref="C366:G366"/>
    <mergeCell ref="H366:I366"/>
    <mergeCell ref="J366:K366"/>
    <mergeCell ref="C367:G367"/>
    <mergeCell ref="H367:I367"/>
    <mergeCell ref="J367:K367"/>
    <mergeCell ref="C368:G368"/>
    <mergeCell ref="H368:I368"/>
    <mergeCell ref="J368:K368"/>
    <mergeCell ref="C369:G369"/>
    <mergeCell ref="H369:I369"/>
    <mergeCell ref="J369:K369"/>
    <mergeCell ref="C380:G380"/>
    <mergeCell ref="C373:G373"/>
    <mergeCell ref="H373:I373"/>
    <mergeCell ref="J373:K373"/>
    <mergeCell ref="A376:B376"/>
    <mergeCell ref="C377:G377"/>
    <mergeCell ref="A379:B379"/>
    <mergeCell ref="C370:G370"/>
    <mergeCell ref="H370:I370"/>
    <mergeCell ref="J370:K370"/>
    <mergeCell ref="C371:G371"/>
    <mergeCell ref="H371:I371"/>
    <mergeCell ref="J371:K371"/>
    <mergeCell ref="C372:G372"/>
    <mergeCell ref="H372:I372"/>
    <mergeCell ref="J372:K372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M270"/>
  <sheetViews>
    <sheetView zoomScaleNormal="100" workbookViewId="0">
      <selection activeCell="AP26" sqref="AP26"/>
    </sheetView>
  </sheetViews>
  <sheetFormatPr defaultColWidth="9.140625" defaultRowHeight="12.75" x14ac:dyDescent="0.2"/>
  <cols>
    <col min="1" max="1" width="5.7109375" style="281" customWidth="1"/>
    <col min="2" max="2" width="11.7109375" style="281" customWidth="1"/>
    <col min="3" max="3" width="40.7109375" style="281" customWidth="1"/>
    <col min="4" max="6" width="11.7109375" style="281" customWidth="1"/>
    <col min="7" max="7" width="12.7109375" style="281" customWidth="1"/>
    <col min="8" max="8" width="10.7109375" style="281" customWidth="1"/>
    <col min="9" max="11" width="12.7109375" style="281" customWidth="1"/>
    <col min="12" max="14" width="9.140625" style="281"/>
    <col min="15" max="30" width="0" style="281" hidden="1" customWidth="1"/>
    <col min="31" max="31" width="150.7109375" style="281" hidden="1" customWidth="1"/>
    <col min="32" max="36" width="0" style="281" hidden="1" customWidth="1"/>
    <col min="37" max="39" width="9.140625" style="281"/>
    <col min="40" max="16384" width="9.140625" style="160"/>
  </cols>
  <sheetData>
    <row r="1" spans="1:31" x14ac:dyDescent="0.2">
      <c r="A1" s="285" t="s">
        <v>1523</v>
      </c>
    </row>
    <row r="2" spans="1:31" ht="14.25" x14ac:dyDescent="0.2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7" t="s">
        <v>381</v>
      </c>
    </row>
    <row r="3" spans="1:31" ht="16.5" x14ac:dyDescent="0.25">
      <c r="A3" s="288"/>
      <c r="B3" s="458" t="s">
        <v>380</v>
      </c>
      <c r="C3" s="458"/>
      <c r="D3" s="458"/>
      <c r="E3" s="458"/>
      <c r="F3" s="287"/>
      <c r="G3" s="458" t="s">
        <v>0</v>
      </c>
      <c r="H3" s="458"/>
      <c r="I3" s="458"/>
      <c r="J3" s="458"/>
      <c r="K3" s="458"/>
    </row>
    <row r="4" spans="1:31" ht="14.25" x14ac:dyDescent="0.2">
      <c r="A4" s="287"/>
      <c r="B4" s="450"/>
      <c r="C4" s="450"/>
      <c r="D4" s="450"/>
      <c r="E4" s="450"/>
      <c r="F4" s="287"/>
      <c r="G4" s="450"/>
      <c r="H4" s="450"/>
      <c r="I4" s="450"/>
      <c r="J4" s="450"/>
      <c r="K4" s="450"/>
    </row>
    <row r="5" spans="1:31" ht="14.25" x14ac:dyDescent="0.2">
      <c r="A5" s="289"/>
      <c r="B5" s="289"/>
      <c r="C5" s="290"/>
      <c r="D5" s="290"/>
      <c r="E5" s="290"/>
      <c r="F5" s="287"/>
      <c r="G5" s="188"/>
      <c r="H5" s="290"/>
      <c r="I5" s="290"/>
      <c r="J5" s="290"/>
      <c r="K5" s="188"/>
    </row>
    <row r="6" spans="1:31" ht="14.25" x14ac:dyDescent="0.2">
      <c r="A6" s="188"/>
      <c r="B6" s="450" t="s">
        <v>1524</v>
      </c>
      <c r="C6" s="450"/>
      <c r="D6" s="450"/>
      <c r="E6" s="450"/>
      <c r="F6" s="287"/>
      <c r="G6" s="450" t="s">
        <v>1524</v>
      </c>
      <c r="H6" s="450"/>
      <c r="I6" s="450"/>
      <c r="J6" s="450"/>
      <c r="K6" s="450"/>
    </row>
    <row r="7" spans="1:31" ht="14.25" x14ac:dyDescent="0.2">
      <c r="A7" s="291"/>
      <c r="B7" s="459" t="s">
        <v>379</v>
      </c>
      <c r="C7" s="459"/>
      <c r="D7" s="459"/>
      <c r="E7" s="459"/>
      <c r="F7" s="287"/>
      <c r="G7" s="459" t="s">
        <v>379</v>
      </c>
      <c r="H7" s="459"/>
      <c r="I7" s="459"/>
      <c r="J7" s="459"/>
      <c r="K7" s="459"/>
    </row>
    <row r="9" spans="1:31" ht="14.25" x14ac:dyDescent="0.2">
      <c r="A9" s="287"/>
      <c r="B9" s="287"/>
      <c r="C9" s="287"/>
      <c r="D9" s="287"/>
      <c r="E9" s="287"/>
      <c r="F9" s="287"/>
      <c r="G9" s="287"/>
      <c r="H9" s="287"/>
      <c r="I9" s="287"/>
      <c r="J9" s="287"/>
      <c r="K9" s="287"/>
    </row>
    <row r="10" spans="1:31" ht="47.25" x14ac:dyDescent="0.25">
      <c r="A10" s="467" t="s">
        <v>3850</v>
      </c>
      <c r="B10" s="467"/>
      <c r="C10" s="467"/>
      <c r="D10" s="467"/>
      <c r="E10" s="467"/>
      <c r="F10" s="467"/>
      <c r="G10" s="467"/>
      <c r="H10" s="467"/>
      <c r="I10" s="467"/>
      <c r="J10" s="467"/>
      <c r="K10" s="467"/>
      <c r="AE10" s="292" t="str">
        <f>IF([12]Source!G12&lt;&gt;"Новый объект", [12]Source!G12,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68" t="s">
        <v>75</v>
      </c>
      <c r="B11" s="468"/>
      <c r="C11" s="468"/>
      <c r="D11" s="468"/>
      <c r="E11" s="468"/>
      <c r="F11" s="468"/>
      <c r="G11" s="468"/>
      <c r="H11" s="468"/>
      <c r="I11" s="468"/>
      <c r="J11" s="468"/>
      <c r="K11" s="468"/>
    </row>
    <row r="12" spans="1:31" ht="14.25" x14ac:dyDescent="0.2">
      <c r="A12" s="287"/>
      <c r="B12" s="287"/>
      <c r="C12" s="287"/>
      <c r="D12" s="287"/>
      <c r="E12" s="287"/>
      <c r="F12" s="287"/>
      <c r="G12" s="287"/>
      <c r="H12" s="287"/>
      <c r="I12" s="287"/>
      <c r="J12" s="287"/>
      <c r="K12" s="287"/>
    </row>
    <row r="13" spans="1:31" ht="15.75" x14ac:dyDescent="0.25">
      <c r="A13" s="467" t="s">
        <v>3891</v>
      </c>
      <c r="B13" s="469"/>
      <c r="C13" s="469"/>
      <c r="D13" s="469"/>
      <c r="E13" s="469"/>
      <c r="F13" s="469"/>
      <c r="G13" s="469"/>
      <c r="H13" s="469"/>
      <c r="I13" s="469"/>
      <c r="J13" s="469"/>
      <c r="K13" s="469"/>
    </row>
    <row r="14" spans="1:31" ht="14.25" x14ac:dyDescent="0.2">
      <c r="A14" s="287"/>
      <c r="B14" s="287"/>
      <c r="C14" s="287"/>
      <c r="D14" s="287"/>
      <c r="E14" s="287"/>
      <c r="F14" s="287"/>
      <c r="G14" s="287"/>
      <c r="H14" s="287"/>
      <c r="I14" s="287"/>
      <c r="J14" s="287"/>
      <c r="K14" s="287"/>
    </row>
    <row r="15" spans="1:31" ht="18" x14ac:dyDescent="0.25">
      <c r="A15" s="470" t="s">
        <v>172</v>
      </c>
      <c r="B15" s="470"/>
      <c r="C15" s="470"/>
      <c r="D15" s="470"/>
      <c r="E15" s="470"/>
      <c r="F15" s="470"/>
      <c r="G15" s="470"/>
      <c r="H15" s="470"/>
      <c r="I15" s="470"/>
      <c r="J15" s="470"/>
      <c r="K15" s="470"/>
    </row>
    <row r="16" spans="1:31" x14ac:dyDescent="0.2">
      <c r="A16" s="455" t="s">
        <v>378</v>
      </c>
      <c r="B16" s="456"/>
      <c r="C16" s="456"/>
      <c r="D16" s="456"/>
      <c r="E16" s="456"/>
      <c r="F16" s="456"/>
      <c r="G16" s="456"/>
      <c r="H16" s="456"/>
      <c r="I16" s="456"/>
      <c r="J16" s="456"/>
      <c r="K16" s="456"/>
    </row>
    <row r="17" spans="1:31" ht="14.25" x14ac:dyDescent="0.2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</row>
    <row r="18" spans="1:31" ht="14.25" x14ac:dyDescent="0.2">
      <c r="A18" s="471" t="s">
        <v>3853</v>
      </c>
      <c r="B18" s="471"/>
      <c r="C18" s="471"/>
      <c r="D18" s="471"/>
      <c r="E18" s="471"/>
      <c r="F18" s="471"/>
      <c r="G18" s="471"/>
      <c r="H18" s="471"/>
      <c r="I18" s="471"/>
      <c r="J18" s="471"/>
      <c r="K18" s="471"/>
    </row>
    <row r="19" spans="1:31" ht="14.25" x14ac:dyDescent="0.2">
      <c r="A19" s="293"/>
      <c r="B19" s="293"/>
      <c r="C19" s="293"/>
      <c r="D19" s="293"/>
      <c r="E19" s="293"/>
      <c r="F19" s="293"/>
      <c r="G19" s="293"/>
      <c r="H19" s="293"/>
      <c r="I19" s="293"/>
      <c r="J19" s="293"/>
      <c r="K19" s="293"/>
    </row>
    <row r="20" spans="1:31" ht="28.5" x14ac:dyDescent="0.2">
      <c r="A20" s="287"/>
      <c r="B20" s="287"/>
      <c r="C20" s="287"/>
      <c r="D20" s="287"/>
      <c r="E20" s="287"/>
      <c r="F20" s="287"/>
      <c r="G20" s="287"/>
      <c r="H20" s="287"/>
      <c r="I20" s="294" t="s">
        <v>377</v>
      </c>
      <c r="J20" s="294" t="s">
        <v>376</v>
      </c>
      <c r="K20" s="287"/>
    </row>
    <row r="21" spans="1:31" ht="15" x14ac:dyDescent="0.25">
      <c r="A21" s="287"/>
      <c r="B21" s="287"/>
      <c r="C21" s="287"/>
      <c r="D21" s="287"/>
      <c r="E21" s="287"/>
      <c r="F21" s="457" t="s">
        <v>375</v>
      </c>
      <c r="G21" s="457"/>
      <c r="H21" s="457"/>
      <c r="I21" s="295">
        <v>200.33</v>
      </c>
      <c r="J21" s="295">
        <v>994.13</v>
      </c>
      <c r="K21" s="296" t="s">
        <v>366</v>
      </c>
    </row>
    <row r="22" spans="1:31" ht="14.25" x14ac:dyDescent="0.2">
      <c r="A22" s="287"/>
      <c r="B22" s="287"/>
      <c r="C22" s="287"/>
      <c r="D22" s="287"/>
      <c r="E22" s="287"/>
      <c r="F22" s="450" t="s">
        <v>374</v>
      </c>
      <c r="G22" s="450"/>
      <c r="H22" s="450"/>
      <c r="I22" s="297">
        <v>0</v>
      </c>
      <c r="J22" s="297">
        <v>0</v>
      </c>
      <c r="K22" s="287" t="s">
        <v>366</v>
      </c>
    </row>
    <row r="23" spans="1:31" ht="14.25" x14ac:dyDescent="0.2">
      <c r="A23" s="287"/>
      <c r="B23" s="287"/>
      <c r="C23" s="287"/>
      <c r="D23" s="287"/>
      <c r="E23" s="287"/>
      <c r="F23" s="450" t="s">
        <v>373</v>
      </c>
      <c r="G23" s="450"/>
      <c r="H23" s="450"/>
      <c r="I23" s="297">
        <v>27.08</v>
      </c>
      <c r="J23" s="297">
        <v>231.83</v>
      </c>
      <c r="K23" s="287" t="s">
        <v>366</v>
      </c>
    </row>
    <row r="24" spans="1:31" ht="14.25" x14ac:dyDescent="0.2">
      <c r="A24" s="287"/>
      <c r="B24" s="287"/>
      <c r="C24" s="287"/>
      <c r="D24" s="287"/>
      <c r="E24" s="287"/>
      <c r="F24" s="450" t="s">
        <v>106</v>
      </c>
      <c r="G24" s="450"/>
      <c r="H24" s="450"/>
      <c r="I24" s="297">
        <v>173.25</v>
      </c>
      <c r="J24" s="297">
        <v>762.3</v>
      </c>
      <c r="K24" s="287" t="s">
        <v>366</v>
      </c>
    </row>
    <row r="25" spans="1:31" ht="14.25" x14ac:dyDescent="0.2">
      <c r="A25" s="287"/>
      <c r="B25" s="287"/>
      <c r="C25" s="287"/>
      <c r="D25" s="287"/>
      <c r="E25" s="287"/>
      <c r="F25" s="450" t="s">
        <v>372</v>
      </c>
      <c r="G25" s="450"/>
      <c r="H25" s="450"/>
      <c r="I25" s="297">
        <v>0</v>
      </c>
      <c r="J25" s="297">
        <v>0</v>
      </c>
      <c r="K25" s="287" t="s">
        <v>366</v>
      </c>
    </row>
    <row r="26" spans="1:31" ht="14.25" x14ac:dyDescent="0.2">
      <c r="A26" s="287"/>
      <c r="B26" s="287"/>
      <c r="C26" s="287"/>
      <c r="D26" s="287"/>
      <c r="E26" s="287"/>
      <c r="F26" s="450" t="s">
        <v>371</v>
      </c>
      <c r="G26" s="450"/>
      <c r="H26" s="450"/>
      <c r="I26" s="297">
        <v>2.72</v>
      </c>
      <c r="J26" s="297">
        <v>63.5</v>
      </c>
      <c r="K26" s="287" t="s">
        <v>366</v>
      </c>
    </row>
    <row r="27" spans="1:31" ht="14.25" x14ac:dyDescent="0.2">
      <c r="A27" s="287"/>
      <c r="B27" s="287"/>
      <c r="C27" s="287"/>
      <c r="D27" s="287"/>
      <c r="E27" s="287"/>
      <c r="F27" s="450" t="s">
        <v>370</v>
      </c>
      <c r="G27" s="450"/>
      <c r="H27" s="450"/>
      <c r="I27" s="297">
        <v>216.53</v>
      </c>
      <c r="J27" s="297"/>
      <c r="K27" s="287" t="s">
        <v>369</v>
      </c>
    </row>
    <row r="28" spans="1:31" ht="14.25" hidden="1" x14ac:dyDescent="0.2">
      <c r="A28" s="287"/>
      <c r="B28" s="287"/>
      <c r="C28" s="287"/>
      <c r="D28" s="287"/>
      <c r="E28" s="287"/>
      <c r="F28" s="188" t="s">
        <v>368</v>
      </c>
      <c r="G28" s="188"/>
      <c r="H28" s="188"/>
      <c r="I28" s="297"/>
      <c r="J28" s="297"/>
      <c r="K28" s="287"/>
    </row>
    <row r="29" spans="1:31" ht="14.25" hidden="1" x14ac:dyDescent="0.2">
      <c r="A29" s="287"/>
      <c r="B29" s="287"/>
      <c r="C29" s="287"/>
      <c r="D29" s="287"/>
      <c r="E29" s="287"/>
      <c r="F29" s="419" t="s">
        <v>367</v>
      </c>
      <c r="G29" s="420"/>
      <c r="H29" s="420"/>
      <c r="I29" s="297">
        <v>0</v>
      </c>
      <c r="J29" s="297">
        <v>0</v>
      </c>
      <c r="K29" s="287" t="s">
        <v>366</v>
      </c>
    </row>
    <row r="30" spans="1:31" ht="14.25" x14ac:dyDescent="0.2">
      <c r="A30" s="287"/>
      <c r="B30" s="287"/>
      <c r="C30" s="287"/>
      <c r="D30" s="287"/>
      <c r="E30" s="287"/>
      <c r="F30" s="188"/>
      <c r="G30" s="188"/>
      <c r="H30" s="188"/>
      <c r="I30" s="297"/>
      <c r="J30" s="297"/>
      <c r="K30" s="287"/>
    </row>
    <row r="31" spans="1:31" ht="14.25" x14ac:dyDescent="0.2">
      <c r="A31" s="287" t="s">
        <v>365</v>
      </c>
      <c r="B31" s="287"/>
      <c r="C31" s="287"/>
      <c r="D31" s="287"/>
      <c r="E31" s="287"/>
      <c r="F31" s="188"/>
      <c r="G31" s="188"/>
      <c r="H31" s="188"/>
      <c r="I31" s="297"/>
      <c r="J31" s="297"/>
      <c r="K31" s="287"/>
    </row>
    <row r="32" spans="1:31" ht="28.5" x14ac:dyDescent="0.2">
      <c r="A32" s="471" t="s">
        <v>1153</v>
      </c>
      <c r="B32" s="471"/>
      <c r="C32" s="471"/>
      <c r="D32" s="471"/>
      <c r="E32" s="471"/>
      <c r="F32" s="471"/>
      <c r="G32" s="471"/>
      <c r="H32" s="471"/>
      <c r="I32" s="471"/>
      <c r="J32" s="471"/>
      <c r="K32" s="471"/>
      <c r="AE32" s="298" t="s">
        <v>1153</v>
      </c>
    </row>
    <row r="33" spans="1:22" ht="85.5" x14ac:dyDescent="0.2">
      <c r="A33" s="299" t="s">
        <v>81</v>
      </c>
      <c r="B33" s="299" t="s">
        <v>363</v>
      </c>
      <c r="C33" s="299" t="s">
        <v>83</v>
      </c>
      <c r="D33" s="299" t="s">
        <v>362</v>
      </c>
      <c r="E33" s="299" t="s">
        <v>361</v>
      </c>
      <c r="F33" s="299" t="s">
        <v>360</v>
      </c>
      <c r="G33" s="300" t="s">
        <v>359</v>
      </c>
      <c r="H33" s="300" t="s">
        <v>358</v>
      </c>
      <c r="I33" s="299" t="s">
        <v>357</v>
      </c>
      <c r="J33" s="299" t="s">
        <v>356</v>
      </c>
      <c r="K33" s="299" t="s">
        <v>355</v>
      </c>
    </row>
    <row r="34" spans="1:22" ht="14.25" x14ac:dyDescent="0.2">
      <c r="A34" s="299">
        <v>1</v>
      </c>
      <c r="B34" s="299">
        <v>2</v>
      </c>
      <c r="C34" s="299">
        <v>3</v>
      </c>
      <c r="D34" s="299">
        <v>4</v>
      </c>
      <c r="E34" s="299">
        <v>5</v>
      </c>
      <c r="F34" s="299">
        <v>6</v>
      </c>
      <c r="G34" s="299">
        <v>7</v>
      </c>
      <c r="H34" s="299">
        <v>8</v>
      </c>
      <c r="I34" s="299">
        <v>9</v>
      </c>
      <c r="J34" s="299">
        <v>10</v>
      </c>
      <c r="K34" s="299">
        <v>11</v>
      </c>
    </row>
    <row r="36" spans="1:22" ht="16.5" x14ac:dyDescent="0.25">
      <c r="A36" s="448" t="s">
        <v>3483</v>
      </c>
      <c r="B36" s="448"/>
      <c r="C36" s="448"/>
      <c r="D36" s="448"/>
      <c r="E36" s="448"/>
      <c r="F36" s="448"/>
      <c r="G36" s="448"/>
      <c r="H36" s="448"/>
      <c r="I36" s="448"/>
      <c r="J36" s="448"/>
      <c r="K36" s="448"/>
    </row>
    <row r="37" spans="1:22" ht="42.75" x14ac:dyDescent="0.2">
      <c r="A37" s="301" t="s">
        <v>719</v>
      </c>
      <c r="B37" s="302" t="s">
        <v>3440</v>
      </c>
      <c r="C37" s="302" t="s">
        <v>1211</v>
      </c>
      <c r="D37" s="303" t="s">
        <v>1903</v>
      </c>
      <c r="E37" s="286">
        <v>1</v>
      </c>
      <c r="F37" s="304"/>
      <c r="G37" s="305"/>
      <c r="H37" s="286"/>
      <c r="I37" s="304"/>
      <c r="J37" s="286"/>
      <c r="K37" s="304"/>
      <c r="Q37" s="281">
        <f>[12]Source!X28</f>
        <v>102.68</v>
      </c>
      <c r="R37" s="281">
        <f>[12]Source!X29</f>
        <v>1926.66</v>
      </c>
      <c r="S37" s="281">
        <f>[12]Source!Y28</f>
        <v>64.180000000000007</v>
      </c>
      <c r="T37" s="281">
        <f>[12]Source!Y29</f>
        <v>920.51</v>
      </c>
      <c r="U37" s="281">
        <f>ROUND((175/100)*ROUND([12]Source!R28, 2), 2)</f>
        <v>11.32</v>
      </c>
      <c r="V37" s="281">
        <f>ROUND((157/100)*ROUND([12]Source!R29, 2), 2)</f>
        <v>237.18</v>
      </c>
    </row>
    <row r="38" spans="1:22" ht="14.25" x14ac:dyDescent="0.2">
      <c r="A38" s="301"/>
      <c r="B38" s="302"/>
      <c r="C38" s="302" t="s">
        <v>197</v>
      </c>
      <c r="D38" s="303"/>
      <c r="E38" s="286"/>
      <c r="F38" s="304">
        <v>91.68</v>
      </c>
      <c r="G38" s="305" t="s">
        <v>195</v>
      </c>
      <c r="H38" s="286">
        <v>1</v>
      </c>
      <c r="I38" s="304">
        <v>91.68</v>
      </c>
      <c r="J38" s="286">
        <v>23.35</v>
      </c>
      <c r="K38" s="304">
        <v>2140.73</v>
      </c>
    </row>
    <row r="39" spans="1:22" ht="14.25" x14ac:dyDescent="0.2">
      <c r="A39" s="301"/>
      <c r="B39" s="302"/>
      <c r="C39" s="302" t="s">
        <v>184</v>
      </c>
      <c r="D39" s="303"/>
      <c r="E39" s="286"/>
      <c r="F39" s="304">
        <v>25.79</v>
      </c>
      <c r="G39" s="305" t="s">
        <v>195</v>
      </c>
      <c r="H39" s="286">
        <v>1</v>
      </c>
      <c r="I39" s="304">
        <v>25.79</v>
      </c>
      <c r="J39" s="286">
        <v>9.8699999999999992</v>
      </c>
      <c r="K39" s="304">
        <v>254.55</v>
      </c>
    </row>
    <row r="40" spans="1:22" ht="14.25" x14ac:dyDescent="0.2">
      <c r="A40" s="301"/>
      <c r="B40" s="302"/>
      <c r="C40" s="302" t="s">
        <v>189</v>
      </c>
      <c r="D40" s="303"/>
      <c r="E40" s="286"/>
      <c r="F40" s="304">
        <v>6.47</v>
      </c>
      <c r="G40" s="305" t="s">
        <v>195</v>
      </c>
      <c r="H40" s="286">
        <v>1</v>
      </c>
      <c r="I40" s="306">
        <v>6.47</v>
      </c>
      <c r="J40" s="286">
        <v>23.35</v>
      </c>
      <c r="K40" s="306">
        <v>151.07</v>
      </c>
    </row>
    <row r="41" spans="1:22" ht="14.25" x14ac:dyDescent="0.2">
      <c r="A41" s="301"/>
      <c r="B41" s="302"/>
      <c r="C41" s="302" t="s">
        <v>205</v>
      </c>
      <c r="D41" s="303"/>
      <c r="E41" s="286"/>
      <c r="F41" s="304">
        <v>5.74</v>
      </c>
      <c r="G41" s="305" t="s">
        <v>195</v>
      </c>
      <c r="H41" s="286">
        <v>1</v>
      </c>
      <c r="I41" s="304">
        <v>5.74</v>
      </c>
      <c r="J41" s="286">
        <v>5.42</v>
      </c>
      <c r="K41" s="304">
        <v>31.11</v>
      </c>
    </row>
    <row r="42" spans="1:22" ht="14.25" x14ac:dyDescent="0.2">
      <c r="A42" s="301"/>
      <c r="B42" s="302"/>
      <c r="C42" s="302" t="s">
        <v>194</v>
      </c>
      <c r="D42" s="303" t="s">
        <v>187</v>
      </c>
      <c r="E42" s="286">
        <v>112</v>
      </c>
      <c r="F42" s="304"/>
      <c r="G42" s="305"/>
      <c r="H42" s="286"/>
      <c r="I42" s="304">
        <v>102.68</v>
      </c>
      <c r="J42" s="286">
        <v>90</v>
      </c>
      <c r="K42" s="304">
        <v>1926.66</v>
      </c>
    </row>
    <row r="43" spans="1:22" ht="14.25" x14ac:dyDescent="0.2">
      <c r="A43" s="301"/>
      <c r="B43" s="302"/>
      <c r="C43" s="302" t="s">
        <v>193</v>
      </c>
      <c r="D43" s="303" t="s">
        <v>187</v>
      </c>
      <c r="E43" s="286">
        <v>70</v>
      </c>
      <c r="F43" s="304"/>
      <c r="G43" s="305"/>
      <c r="H43" s="286"/>
      <c r="I43" s="304">
        <v>64.180000000000007</v>
      </c>
      <c r="J43" s="286">
        <v>43</v>
      </c>
      <c r="K43" s="304">
        <v>920.51</v>
      </c>
    </row>
    <row r="44" spans="1:22" ht="14.25" x14ac:dyDescent="0.2">
      <c r="A44" s="301"/>
      <c r="B44" s="302"/>
      <c r="C44" s="302" t="s">
        <v>188</v>
      </c>
      <c r="D44" s="303" t="s">
        <v>187</v>
      </c>
      <c r="E44" s="286">
        <v>175</v>
      </c>
      <c r="F44" s="304"/>
      <c r="G44" s="305"/>
      <c r="H44" s="286"/>
      <c r="I44" s="304">
        <v>11.32</v>
      </c>
      <c r="J44" s="286">
        <v>157</v>
      </c>
      <c r="K44" s="304">
        <v>237.18</v>
      </c>
    </row>
    <row r="45" spans="1:22" ht="14.25" x14ac:dyDescent="0.2">
      <c r="A45" s="307"/>
      <c r="B45" s="308"/>
      <c r="C45" s="308" t="s">
        <v>192</v>
      </c>
      <c r="D45" s="309" t="s">
        <v>191</v>
      </c>
      <c r="E45" s="310">
        <v>8.1999999999999993</v>
      </c>
      <c r="F45" s="311"/>
      <c r="G45" s="312" t="s">
        <v>195</v>
      </c>
      <c r="H45" s="310">
        <v>1</v>
      </c>
      <c r="I45" s="311">
        <v>8.1999999999999993</v>
      </c>
      <c r="J45" s="310"/>
      <c r="K45" s="311"/>
    </row>
    <row r="46" spans="1:22" ht="15" x14ac:dyDescent="0.25">
      <c r="A46" s="313"/>
      <c r="B46" s="313"/>
      <c r="C46" s="314" t="s">
        <v>183</v>
      </c>
      <c r="D46" s="313"/>
      <c r="E46" s="313"/>
      <c r="F46" s="313"/>
      <c r="G46" s="313"/>
      <c r="H46" s="472">
        <v>301.39</v>
      </c>
      <c r="I46" s="472"/>
      <c r="J46" s="472">
        <v>5510.74</v>
      </c>
      <c r="K46" s="472"/>
      <c r="O46" s="284">
        <f>I38+I39+I41+I42+I43+I44</f>
        <v>301.39</v>
      </c>
      <c r="P46" s="284">
        <f>K38+K39+K41+K42+K43+K44</f>
        <v>5510.74</v>
      </c>
    </row>
    <row r="48" spans="1:22" ht="28.5" x14ac:dyDescent="0.2">
      <c r="A48" s="301" t="s">
        <v>104</v>
      </c>
      <c r="B48" s="302" t="s">
        <v>3484</v>
      </c>
      <c r="C48" s="302" t="s">
        <v>1210</v>
      </c>
      <c r="D48" s="303" t="s">
        <v>1903</v>
      </c>
      <c r="E48" s="286">
        <v>13</v>
      </c>
      <c r="F48" s="304"/>
      <c r="G48" s="305"/>
      <c r="H48" s="286"/>
      <c r="I48" s="304"/>
      <c r="J48" s="286"/>
      <c r="K48" s="304"/>
      <c r="Q48" s="281">
        <f>[12]Source!X30</f>
        <v>488.34</v>
      </c>
      <c r="R48" s="281">
        <f>[12]Source!X31</f>
        <v>9162.9599999999991</v>
      </c>
      <c r="S48" s="281">
        <f>[12]Source!Y30</f>
        <v>305.20999999999998</v>
      </c>
      <c r="T48" s="281">
        <f>[12]Source!Y31</f>
        <v>4377.8599999999997</v>
      </c>
      <c r="U48" s="281">
        <f>ROUND((175/100)*ROUND([12]Source!R30, 2), 2)</f>
        <v>0</v>
      </c>
      <c r="V48" s="281">
        <f>ROUND((157/100)*ROUND([12]Source!R31, 2), 2)</f>
        <v>0</v>
      </c>
    </row>
    <row r="49" spans="1:22" ht="14.25" x14ac:dyDescent="0.2">
      <c r="A49" s="301"/>
      <c r="B49" s="302"/>
      <c r="C49" s="302" t="s">
        <v>197</v>
      </c>
      <c r="D49" s="303"/>
      <c r="E49" s="286"/>
      <c r="F49" s="304">
        <v>33.54</v>
      </c>
      <c r="G49" s="305" t="s">
        <v>195</v>
      </c>
      <c r="H49" s="286">
        <v>1</v>
      </c>
      <c r="I49" s="304">
        <v>436.02</v>
      </c>
      <c r="J49" s="286">
        <v>23.35</v>
      </c>
      <c r="K49" s="304">
        <v>10181.07</v>
      </c>
    </row>
    <row r="50" spans="1:22" ht="14.25" x14ac:dyDescent="0.2">
      <c r="A50" s="301"/>
      <c r="B50" s="302"/>
      <c r="C50" s="302" t="s">
        <v>205</v>
      </c>
      <c r="D50" s="303"/>
      <c r="E50" s="286"/>
      <c r="F50" s="304">
        <v>3.08</v>
      </c>
      <c r="G50" s="305" t="s">
        <v>195</v>
      </c>
      <c r="H50" s="286">
        <v>1</v>
      </c>
      <c r="I50" s="304">
        <v>40.04</v>
      </c>
      <c r="J50" s="286">
        <v>5.42</v>
      </c>
      <c r="K50" s="304">
        <v>217.02</v>
      </c>
    </row>
    <row r="51" spans="1:22" ht="14.25" x14ac:dyDescent="0.2">
      <c r="A51" s="301"/>
      <c r="B51" s="302"/>
      <c r="C51" s="302" t="s">
        <v>194</v>
      </c>
      <c r="D51" s="303" t="s">
        <v>187</v>
      </c>
      <c r="E51" s="286">
        <v>112</v>
      </c>
      <c r="F51" s="304"/>
      <c r="G51" s="305"/>
      <c r="H51" s="286"/>
      <c r="I51" s="304">
        <v>488.34</v>
      </c>
      <c r="J51" s="286">
        <v>90</v>
      </c>
      <c r="K51" s="304">
        <v>9162.9599999999991</v>
      </c>
    </row>
    <row r="52" spans="1:22" ht="14.25" x14ac:dyDescent="0.2">
      <c r="A52" s="301"/>
      <c r="B52" s="302"/>
      <c r="C52" s="302" t="s">
        <v>193</v>
      </c>
      <c r="D52" s="303" t="s">
        <v>187</v>
      </c>
      <c r="E52" s="286">
        <v>70</v>
      </c>
      <c r="F52" s="304"/>
      <c r="G52" s="305"/>
      <c r="H52" s="286"/>
      <c r="I52" s="304">
        <v>305.20999999999998</v>
      </c>
      <c r="J52" s="286">
        <v>43</v>
      </c>
      <c r="K52" s="304">
        <v>4377.8599999999997</v>
      </c>
    </row>
    <row r="53" spans="1:22" ht="14.25" x14ac:dyDescent="0.2">
      <c r="A53" s="307"/>
      <c r="B53" s="308"/>
      <c r="C53" s="308" t="s">
        <v>192</v>
      </c>
      <c r="D53" s="309" t="s">
        <v>191</v>
      </c>
      <c r="E53" s="310">
        <v>3</v>
      </c>
      <c r="F53" s="311"/>
      <c r="G53" s="312" t="s">
        <v>195</v>
      </c>
      <c r="H53" s="310">
        <v>1</v>
      </c>
      <c r="I53" s="311">
        <v>39</v>
      </c>
      <c r="J53" s="310"/>
      <c r="K53" s="311"/>
    </row>
    <row r="54" spans="1:22" ht="15" x14ac:dyDescent="0.25">
      <c r="A54" s="313"/>
      <c r="B54" s="313"/>
      <c r="C54" s="314" t="s">
        <v>183</v>
      </c>
      <c r="D54" s="313"/>
      <c r="E54" s="313"/>
      <c r="F54" s="313"/>
      <c r="G54" s="313"/>
      <c r="H54" s="472">
        <v>1269.6099999999999</v>
      </c>
      <c r="I54" s="472"/>
      <c r="J54" s="472">
        <v>23938.91</v>
      </c>
      <c r="K54" s="472"/>
      <c r="O54" s="284">
        <f>I49+I50+I51+I52</f>
        <v>1269.6099999999999</v>
      </c>
      <c r="P54" s="284">
        <f>K49+K50+K51+K52</f>
        <v>23938.91</v>
      </c>
    </row>
    <row r="56" spans="1:22" ht="42.75" x14ac:dyDescent="0.2">
      <c r="A56" s="301" t="s">
        <v>1546</v>
      </c>
      <c r="B56" s="302" t="s">
        <v>3485</v>
      </c>
      <c r="C56" s="302" t="s">
        <v>1209</v>
      </c>
      <c r="D56" s="303" t="s">
        <v>1903</v>
      </c>
      <c r="E56" s="286">
        <v>1</v>
      </c>
      <c r="F56" s="304"/>
      <c r="G56" s="305"/>
      <c r="H56" s="286"/>
      <c r="I56" s="304"/>
      <c r="J56" s="286"/>
      <c r="K56" s="304"/>
      <c r="Q56" s="281">
        <f>[12]Source!X32</f>
        <v>70.67</v>
      </c>
      <c r="R56" s="281">
        <f>[12]Source!X33</f>
        <v>1326.05</v>
      </c>
      <c r="S56" s="281">
        <f>[12]Source!Y32</f>
        <v>44.17</v>
      </c>
      <c r="T56" s="281">
        <f>[12]Source!Y33</f>
        <v>633.55999999999995</v>
      </c>
      <c r="U56" s="281">
        <f>ROUND((175/100)*ROUND([12]Source!R32, 2), 2)</f>
        <v>0</v>
      </c>
      <c r="V56" s="281">
        <f>ROUND((157/100)*ROUND([12]Source!R33, 2), 2)</f>
        <v>0</v>
      </c>
    </row>
    <row r="57" spans="1:22" ht="14.25" x14ac:dyDescent="0.2">
      <c r="A57" s="301"/>
      <c r="B57" s="302"/>
      <c r="C57" s="302" t="s">
        <v>197</v>
      </c>
      <c r="D57" s="303"/>
      <c r="E57" s="286"/>
      <c r="F57" s="304">
        <v>63.1</v>
      </c>
      <c r="G57" s="305" t="s">
        <v>195</v>
      </c>
      <c r="H57" s="286">
        <v>1</v>
      </c>
      <c r="I57" s="304">
        <v>63.1</v>
      </c>
      <c r="J57" s="286">
        <v>23.35</v>
      </c>
      <c r="K57" s="304">
        <v>1473.39</v>
      </c>
    </row>
    <row r="58" spans="1:22" ht="14.25" x14ac:dyDescent="0.2">
      <c r="A58" s="301"/>
      <c r="B58" s="302"/>
      <c r="C58" s="302" t="s">
        <v>205</v>
      </c>
      <c r="D58" s="303"/>
      <c r="E58" s="286"/>
      <c r="F58" s="304">
        <v>77.7</v>
      </c>
      <c r="G58" s="305" t="s">
        <v>195</v>
      </c>
      <c r="H58" s="286">
        <v>1</v>
      </c>
      <c r="I58" s="304">
        <v>77.7</v>
      </c>
      <c r="J58" s="286">
        <v>5.42</v>
      </c>
      <c r="K58" s="304">
        <v>421.13</v>
      </c>
    </row>
    <row r="59" spans="1:22" ht="54" x14ac:dyDescent="0.2">
      <c r="A59" s="301" t="s">
        <v>1550</v>
      </c>
      <c r="B59" s="302" t="s">
        <v>3448</v>
      </c>
      <c r="C59" s="302" t="s">
        <v>1208</v>
      </c>
      <c r="D59" s="303" t="s">
        <v>1661</v>
      </c>
      <c r="E59" s="286">
        <v>1</v>
      </c>
      <c r="F59" s="304">
        <v>1850.56</v>
      </c>
      <c r="G59" s="315" t="s">
        <v>195</v>
      </c>
      <c r="H59" s="286">
        <v>1</v>
      </c>
      <c r="I59" s="304">
        <v>1850.56</v>
      </c>
      <c r="J59" s="286">
        <v>5.42</v>
      </c>
      <c r="K59" s="304">
        <v>10030.040000000001</v>
      </c>
      <c r="Q59" s="281">
        <f>[12]Source!X34</f>
        <v>0</v>
      </c>
      <c r="R59" s="281">
        <f>[12]Source!X35</f>
        <v>0</v>
      </c>
      <c r="S59" s="281">
        <f>[12]Source!Y34</f>
        <v>0</v>
      </c>
      <c r="T59" s="281">
        <f>[12]Source!Y35</f>
        <v>0</v>
      </c>
      <c r="U59" s="281">
        <f>ROUND((175/100)*ROUND([12]Source!R34, 2), 2)</f>
        <v>0</v>
      </c>
      <c r="V59" s="281">
        <f>ROUND((157/100)*ROUND([12]Source!R35, 2), 2)</f>
        <v>0</v>
      </c>
    </row>
    <row r="60" spans="1:22" ht="14.25" x14ac:dyDescent="0.2">
      <c r="A60" s="301"/>
      <c r="B60" s="302"/>
      <c r="C60" s="302" t="s">
        <v>194</v>
      </c>
      <c r="D60" s="303" t="s">
        <v>187</v>
      </c>
      <c r="E60" s="286">
        <v>112</v>
      </c>
      <c r="F60" s="304"/>
      <c r="G60" s="305"/>
      <c r="H60" s="286"/>
      <c r="I60" s="304">
        <v>70.67</v>
      </c>
      <c r="J60" s="286">
        <v>90</v>
      </c>
      <c r="K60" s="304">
        <v>1326.05</v>
      </c>
    </row>
    <row r="61" spans="1:22" ht="14.25" x14ac:dyDescent="0.2">
      <c r="A61" s="301"/>
      <c r="B61" s="302"/>
      <c r="C61" s="302" t="s">
        <v>193</v>
      </c>
      <c r="D61" s="303" t="s">
        <v>187</v>
      </c>
      <c r="E61" s="286">
        <v>70</v>
      </c>
      <c r="F61" s="304"/>
      <c r="G61" s="305"/>
      <c r="H61" s="286"/>
      <c r="I61" s="304">
        <v>44.17</v>
      </c>
      <c r="J61" s="286">
        <v>43</v>
      </c>
      <c r="K61" s="304">
        <v>633.55999999999995</v>
      </c>
    </row>
    <row r="62" spans="1:22" ht="14.25" x14ac:dyDescent="0.2">
      <c r="A62" s="307"/>
      <c r="B62" s="308"/>
      <c r="C62" s="308" t="s">
        <v>192</v>
      </c>
      <c r="D62" s="309" t="s">
        <v>191</v>
      </c>
      <c r="E62" s="310">
        <v>5</v>
      </c>
      <c r="F62" s="311"/>
      <c r="G62" s="312" t="s">
        <v>195</v>
      </c>
      <c r="H62" s="310">
        <v>1</v>
      </c>
      <c r="I62" s="311">
        <v>5</v>
      </c>
      <c r="J62" s="310"/>
      <c r="K62" s="311"/>
    </row>
    <row r="63" spans="1:22" ht="15" x14ac:dyDescent="0.25">
      <c r="A63" s="313"/>
      <c r="B63" s="313"/>
      <c r="C63" s="314" t="s">
        <v>183</v>
      </c>
      <c r="D63" s="313"/>
      <c r="E63" s="313"/>
      <c r="F63" s="313"/>
      <c r="G63" s="313"/>
      <c r="H63" s="472">
        <v>2106.1999999999998</v>
      </c>
      <c r="I63" s="472"/>
      <c r="J63" s="472">
        <v>13884.17</v>
      </c>
      <c r="K63" s="472"/>
      <c r="O63" s="284">
        <f>I57+I58+I60+I61+SUM(I59:I59)</f>
        <v>2106.1999999999998</v>
      </c>
      <c r="P63" s="284">
        <f>K57+K58+K60+K61+SUM(K59:K59)</f>
        <v>13884.17</v>
      </c>
    </row>
    <row r="65" spans="1:22" ht="42.75" x14ac:dyDescent="0.2">
      <c r="A65" s="301" t="s">
        <v>1737</v>
      </c>
      <c r="B65" s="302" t="s">
        <v>3486</v>
      </c>
      <c r="C65" s="302" t="s">
        <v>1207</v>
      </c>
      <c r="D65" s="303" t="s">
        <v>1903</v>
      </c>
      <c r="E65" s="286">
        <v>1</v>
      </c>
      <c r="F65" s="304"/>
      <c r="G65" s="305"/>
      <c r="H65" s="286"/>
      <c r="I65" s="304"/>
      <c r="J65" s="286"/>
      <c r="K65" s="304"/>
      <c r="Q65" s="281">
        <f>[12]Source!X38</f>
        <v>183.75</v>
      </c>
      <c r="R65" s="281">
        <f>[12]Source!X39</f>
        <v>3447.72</v>
      </c>
      <c r="S65" s="281">
        <f>[12]Source!Y38</f>
        <v>114.84</v>
      </c>
      <c r="T65" s="281">
        <f>[12]Source!Y39</f>
        <v>1647.24</v>
      </c>
      <c r="U65" s="281">
        <f>ROUND((175/100)*ROUND([12]Source!R38, 2), 2)</f>
        <v>0</v>
      </c>
      <c r="V65" s="281">
        <f>ROUND((157/100)*ROUND([12]Source!R39, 2), 2)</f>
        <v>0</v>
      </c>
    </row>
    <row r="66" spans="1:22" ht="14.25" x14ac:dyDescent="0.2">
      <c r="A66" s="301"/>
      <c r="B66" s="302"/>
      <c r="C66" s="302" t="s">
        <v>197</v>
      </c>
      <c r="D66" s="303"/>
      <c r="E66" s="286"/>
      <c r="F66" s="304">
        <v>164.06</v>
      </c>
      <c r="G66" s="305" t="s">
        <v>195</v>
      </c>
      <c r="H66" s="286">
        <v>1</v>
      </c>
      <c r="I66" s="304">
        <v>164.06</v>
      </c>
      <c r="J66" s="286">
        <v>23.35</v>
      </c>
      <c r="K66" s="304">
        <v>3830.8</v>
      </c>
    </row>
    <row r="67" spans="1:22" ht="14.25" x14ac:dyDescent="0.2">
      <c r="A67" s="301"/>
      <c r="B67" s="302"/>
      <c r="C67" s="302" t="s">
        <v>205</v>
      </c>
      <c r="D67" s="303"/>
      <c r="E67" s="286"/>
      <c r="F67" s="304">
        <v>1.4</v>
      </c>
      <c r="G67" s="305" t="s">
        <v>195</v>
      </c>
      <c r="H67" s="286">
        <v>1</v>
      </c>
      <c r="I67" s="304">
        <v>1.4</v>
      </c>
      <c r="J67" s="286">
        <v>5.42</v>
      </c>
      <c r="K67" s="304">
        <v>7.59</v>
      </c>
    </row>
    <row r="68" spans="1:22" ht="14.25" x14ac:dyDescent="0.2">
      <c r="A68" s="301"/>
      <c r="B68" s="302"/>
      <c r="C68" s="302" t="s">
        <v>194</v>
      </c>
      <c r="D68" s="303" t="s">
        <v>187</v>
      </c>
      <c r="E68" s="286">
        <v>112</v>
      </c>
      <c r="F68" s="304"/>
      <c r="G68" s="305"/>
      <c r="H68" s="286"/>
      <c r="I68" s="304">
        <v>183.75</v>
      </c>
      <c r="J68" s="286">
        <v>90</v>
      </c>
      <c r="K68" s="304">
        <v>3447.72</v>
      </c>
    </row>
    <row r="69" spans="1:22" ht="14.25" x14ac:dyDescent="0.2">
      <c r="A69" s="301"/>
      <c r="B69" s="302"/>
      <c r="C69" s="302" t="s">
        <v>193</v>
      </c>
      <c r="D69" s="303" t="s">
        <v>187</v>
      </c>
      <c r="E69" s="286">
        <v>70</v>
      </c>
      <c r="F69" s="304"/>
      <c r="G69" s="305"/>
      <c r="H69" s="286"/>
      <c r="I69" s="304">
        <v>114.84</v>
      </c>
      <c r="J69" s="286">
        <v>43</v>
      </c>
      <c r="K69" s="304">
        <v>1647.24</v>
      </c>
    </row>
    <row r="70" spans="1:22" ht="14.25" x14ac:dyDescent="0.2">
      <c r="A70" s="307"/>
      <c r="B70" s="308"/>
      <c r="C70" s="308" t="s">
        <v>192</v>
      </c>
      <c r="D70" s="309" t="s">
        <v>191</v>
      </c>
      <c r="E70" s="310">
        <v>13</v>
      </c>
      <c r="F70" s="311"/>
      <c r="G70" s="312" t="s">
        <v>195</v>
      </c>
      <c r="H70" s="310">
        <v>1</v>
      </c>
      <c r="I70" s="311">
        <v>13</v>
      </c>
      <c r="J70" s="310"/>
      <c r="K70" s="311"/>
    </row>
    <row r="71" spans="1:22" ht="15" x14ac:dyDescent="0.25">
      <c r="A71" s="313"/>
      <c r="B71" s="313"/>
      <c r="C71" s="314" t="s">
        <v>183</v>
      </c>
      <c r="D71" s="313"/>
      <c r="E71" s="313"/>
      <c r="F71" s="313"/>
      <c r="G71" s="313"/>
      <c r="H71" s="472">
        <v>464.05</v>
      </c>
      <c r="I71" s="472"/>
      <c r="J71" s="472">
        <v>8933.35</v>
      </c>
      <c r="K71" s="472"/>
      <c r="O71" s="284">
        <f>I66+I67+I68+I69</f>
        <v>464.05</v>
      </c>
      <c r="P71" s="284">
        <f>K66+K67+K68+K69</f>
        <v>8933.35</v>
      </c>
    </row>
    <row r="73" spans="1:22" ht="28.5" x14ac:dyDescent="0.2">
      <c r="A73" s="301" t="s">
        <v>1740</v>
      </c>
      <c r="B73" s="302" t="s">
        <v>3487</v>
      </c>
      <c r="C73" s="302" t="s">
        <v>1206</v>
      </c>
      <c r="D73" s="303" t="s">
        <v>1903</v>
      </c>
      <c r="E73" s="286">
        <v>1</v>
      </c>
      <c r="F73" s="304"/>
      <c r="G73" s="305"/>
      <c r="H73" s="286"/>
      <c r="I73" s="304"/>
      <c r="J73" s="286"/>
      <c r="K73" s="304"/>
      <c r="Q73" s="281">
        <f>[12]Source!X40</f>
        <v>86.44</v>
      </c>
      <c r="R73" s="281">
        <f>[12]Source!X41</f>
        <v>1621.94</v>
      </c>
      <c r="S73" s="281">
        <f>[12]Source!Y40</f>
        <v>54.03</v>
      </c>
      <c r="T73" s="281">
        <f>[12]Source!Y41</f>
        <v>774.92</v>
      </c>
      <c r="U73" s="281">
        <f>ROUND((175/100)*ROUND([12]Source!R40, 2), 2)</f>
        <v>0</v>
      </c>
      <c r="V73" s="281">
        <f>ROUND((157/100)*ROUND([12]Source!R41, 2), 2)</f>
        <v>0</v>
      </c>
    </row>
    <row r="74" spans="1:22" ht="14.25" x14ac:dyDescent="0.2">
      <c r="A74" s="301"/>
      <c r="B74" s="302"/>
      <c r="C74" s="302" t="s">
        <v>197</v>
      </c>
      <c r="D74" s="303"/>
      <c r="E74" s="286"/>
      <c r="F74" s="304">
        <v>77.180000000000007</v>
      </c>
      <c r="G74" s="305" t="s">
        <v>195</v>
      </c>
      <c r="H74" s="286">
        <v>1</v>
      </c>
      <c r="I74" s="304">
        <v>77.180000000000007</v>
      </c>
      <c r="J74" s="286">
        <v>23.35</v>
      </c>
      <c r="K74" s="304">
        <v>1802.15</v>
      </c>
    </row>
    <row r="75" spans="1:22" ht="14.25" x14ac:dyDescent="0.2">
      <c r="A75" s="301"/>
      <c r="B75" s="302"/>
      <c r="C75" s="302" t="s">
        <v>205</v>
      </c>
      <c r="D75" s="303"/>
      <c r="E75" s="286"/>
      <c r="F75" s="304">
        <v>3.01</v>
      </c>
      <c r="G75" s="305" t="s">
        <v>195</v>
      </c>
      <c r="H75" s="286">
        <v>1</v>
      </c>
      <c r="I75" s="304">
        <v>3.01</v>
      </c>
      <c r="J75" s="286">
        <v>5.42</v>
      </c>
      <c r="K75" s="304">
        <v>16.309999999999999</v>
      </c>
    </row>
    <row r="76" spans="1:22" ht="14.25" x14ac:dyDescent="0.2">
      <c r="A76" s="301"/>
      <c r="B76" s="302"/>
      <c r="C76" s="302" t="s">
        <v>194</v>
      </c>
      <c r="D76" s="303" t="s">
        <v>187</v>
      </c>
      <c r="E76" s="286">
        <v>112</v>
      </c>
      <c r="F76" s="304"/>
      <c r="G76" s="305"/>
      <c r="H76" s="286"/>
      <c r="I76" s="304">
        <v>86.44</v>
      </c>
      <c r="J76" s="286">
        <v>90</v>
      </c>
      <c r="K76" s="304">
        <v>1621.94</v>
      </c>
    </row>
    <row r="77" spans="1:22" ht="14.25" x14ac:dyDescent="0.2">
      <c r="A77" s="301"/>
      <c r="B77" s="302"/>
      <c r="C77" s="302" t="s">
        <v>193</v>
      </c>
      <c r="D77" s="303" t="s">
        <v>187</v>
      </c>
      <c r="E77" s="286">
        <v>70</v>
      </c>
      <c r="F77" s="304"/>
      <c r="G77" s="305"/>
      <c r="H77" s="286"/>
      <c r="I77" s="304">
        <v>54.03</v>
      </c>
      <c r="J77" s="286">
        <v>43</v>
      </c>
      <c r="K77" s="304">
        <v>774.92</v>
      </c>
    </row>
    <row r="78" spans="1:22" ht="14.25" x14ac:dyDescent="0.2">
      <c r="A78" s="307"/>
      <c r="B78" s="308"/>
      <c r="C78" s="308" t="s">
        <v>192</v>
      </c>
      <c r="D78" s="309" t="s">
        <v>191</v>
      </c>
      <c r="E78" s="310">
        <v>5.86</v>
      </c>
      <c r="F78" s="311"/>
      <c r="G78" s="312" t="s">
        <v>195</v>
      </c>
      <c r="H78" s="310">
        <v>1</v>
      </c>
      <c r="I78" s="311">
        <v>5.86</v>
      </c>
      <c r="J78" s="310"/>
      <c r="K78" s="311"/>
    </row>
    <row r="79" spans="1:22" ht="15" x14ac:dyDescent="0.25">
      <c r="A79" s="313"/>
      <c r="B79" s="313"/>
      <c r="C79" s="314" t="s">
        <v>183</v>
      </c>
      <c r="D79" s="313"/>
      <c r="E79" s="313"/>
      <c r="F79" s="313"/>
      <c r="G79" s="313"/>
      <c r="H79" s="472">
        <v>220.66</v>
      </c>
      <c r="I79" s="472"/>
      <c r="J79" s="472">
        <v>4215.32</v>
      </c>
      <c r="K79" s="472"/>
      <c r="O79" s="284">
        <f>I74+I75+I76+I77</f>
        <v>220.66</v>
      </c>
      <c r="P79" s="284">
        <f>K74+K75+K76+K77</f>
        <v>4215.32</v>
      </c>
    </row>
    <row r="81" spans="1:22" ht="42.75" x14ac:dyDescent="0.2">
      <c r="A81" s="301" t="s">
        <v>1744</v>
      </c>
      <c r="B81" s="302" t="s">
        <v>3488</v>
      </c>
      <c r="C81" s="302" t="s">
        <v>1205</v>
      </c>
      <c r="D81" s="303" t="s">
        <v>1903</v>
      </c>
      <c r="E81" s="286">
        <v>1</v>
      </c>
      <c r="F81" s="304"/>
      <c r="G81" s="305"/>
      <c r="H81" s="286"/>
      <c r="I81" s="304"/>
      <c r="J81" s="286"/>
      <c r="K81" s="304"/>
      <c r="Q81" s="281">
        <f>[12]Source!X42</f>
        <v>28.87</v>
      </c>
      <c r="R81" s="281">
        <f>[12]Source!X43</f>
        <v>541.76</v>
      </c>
      <c r="S81" s="281">
        <f>[12]Source!Y42</f>
        <v>18.05</v>
      </c>
      <c r="T81" s="281">
        <f>[12]Source!Y43</f>
        <v>258.83999999999997</v>
      </c>
      <c r="U81" s="281">
        <f>ROUND((175/100)*ROUND([12]Source!R42, 2), 2)</f>
        <v>0</v>
      </c>
      <c r="V81" s="281">
        <f>ROUND((157/100)*ROUND([12]Source!R43, 2), 2)</f>
        <v>0</v>
      </c>
    </row>
    <row r="82" spans="1:22" ht="14.25" x14ac:dyDescent="0.2">
      <c r="A82" s="301"/>
      <c r="B82" s="302"/>
      <c r="C82" s="302" t="s">
        <v>197</v>
      </c>
      <c r="D82" s="303"/>
      <c r="E82" s="286"/>
      <c r="F82" s="304">
        <v>25.78</v>
      </c>
      <c r="G82" s="305" t="s">
        <v>195</v>
      </c>
      <c r="H82" s="286">
        <v>1</v>
      </c>
      <c r="I82" s="304">
        <v>25.78</v>
      </c>
      <c r="J82" s="286">
        <v>23.35</v>
      </c>
      <c r="K82" s="304">
        <v>601.96</v>
      </c>
    </row>
    <row r="83" spans="1:22" ht="14.25" x14ac:dyDescent="0.2">
      <c r="A83" s="301"/>
      <c r="B83" s="302"/>
      <c r="C83" s="302" t="s">
        <v>205</v>
      </c>
      <c r="D83" s="303"/>
      <c r="E83" s="286"/>
      <c r="F83" s="304">
        <v>0.19</v>
      </c>
      <c r="G83" s="305" t="s">
        <v>195</v>
      </c>
      <c r="H83" s="286">
        <v>1</v>
      </c>
      <c r="I83" s="304">
        <v>0.19</v>
      </c>
      <c r="J83" s="286">
        <v>5.42</v>
      </c>
      <c r="K83" s="304">
        <v>1.03</v>
      </c>
    </row>
    <row r="84" spans="1:22" ht="57" x14ac:dyDescent="0.2">
      <c r="A84" s="301" t="s">
        <v>1747</v>
      </c>
      <c r="B84" s="302" t="s">
        <v>3489</v>
      </c>
      <c r="C84" s="302" t="s">
        <v>1204</v>
      </c>
      <c r="D84" s="303" t="s">
        <v>1661</v>
      </c>
      <c r="E84" s="286">
        <v>1</v>
      </c>
      <c r="F84" s="304">
        <v>342.13</v>
      </c>
      <c r="G84" s="315" t="s">
        <v>195</v>
      </c>
      <c r="H84" s="286">
        <v>1</v>
      </c>
      <c r="I84" s="304">
        <v>342.13</v>
      </c>
      <c r="J84" s="286">
        <v>6.22</v>
      </c>
      <c r="K84" s="304">
        <v>2128.0500000000002</v>
      </c>
      <c r="Q84" s="281">
        <f>[12]Source!X44</f>
        <v>0</v>
      </c>
      <c r="R84" s="281">
        <f>[12]Source!X45</f>
        <v>0</v>
      </c>
      <c r="S84" s="281">
        <f>[12]Source!Y44</f>
        <v>0</v>
      </c>
      <c r="T84" s="281">
        <f>[12]Source!Y45</f>
        <v>0</v>
      </c>
      <c r="U84" s="281">
        <f>ROUND((175/100)*ROUND([12]Source!R44, 2), 2)</f>
        <v>0</v>
      </c>
      <c r="V84" s="281">
        <f>ROUND((157/100)*ROUND([12]Source!R45, 2), 2)</f>
        <v>0</v>
      </c>
    </row>
    <row r="85" spans="1:22" ht="39.75" x14ac:dyDescent="0.2">
      <c r="A85" s="301" t="s">
        <v>2188</v>
      </c>
      <c r="B85" s="302" t="s">
        <v>3448</v>
      </c>
      <c r="C85" s="302" t="s">
        <v>1203</v>
      </c>
      <c r="D85" s="303" t="s">
        <v>1661</v>
      </c>
      <c r="E85" s="286">
        <v>2</v>
      </c>
      <c r="F85" s="304">
        <v>95.21</v>
      </c>
      <c r="G85" s="315" t="s">
        <v>195</v>
      </c>
      <c r="H85" s="286">
        <v>1</v>
      </c>
      <c r="I85" s="304">
        <v>190.42</v>
      </c>
      <c r="J85" s="286">
        <v>5.42</v>
      </c>
      <c r="K85" s="304">
        <v>1032.08</v>
      </c>
      <c r="Q85" s="281">
        <f>[12]Source!X46</f>
        <v>0</v>
      </c>
      <c r="R85" s="281">
        <f>[12]Source!X47</f>
        <v>0</v>
      </c>
      <c r="S85" s="281">
        <f>[12]Source!Y46</f>
        <v>0</v>
      </c>
      <c r="T85" s="281">
        <f>[12]Source!Y47</f>
        <v>0</v>
      </c>
      <c r="U85" s="281">
        <f>ROUND((175/100)*ROUND([12]Source!R46, 2), 2)</f>
        <v>0</v>
      </c>
      <c r="V85" s="281">
        <f>ROUND((157/100)*ROUND([12]Source!R47, 2), 2)</f>
        <v>0</v>
      </c>
    </row>
    <row r="86" spans="1:22" ht="28.5" x14ac:dyDescent="0.2">
      <c r="A86" s="301" t="s">
        <v>3490</v>
      </c>
      <c r="B86" s="302" t="s">
        <v>3491</v>
      </c>
      <c r="C86" s="302" t="s">
        <v>1202</v>
      </c>
      <c r="D86" s="303" t="s">
        <v>1552</v>
      </c>
      <c r="E86" s="286">
        <v>30</v>
      </c>
      <c r="F86" s="304">
        <v>27.12</v>
      </c>
      <c r="G86" s="315" t="s">
        <v>195</v>
      </c>
      <c r="H86" s="286">
        <v>1</v>
      </c>
      <c r="I86" s="304">
        <v>813.6</v>
      </c>
      <c r="J86" s="286">
        <v>7.92</v>
      </c>
      <c r="K86" s="304">
        <v>6443.71</v>
      </c>
      <c r="Q86" s="281">
        <f>[12]Source!X48</f>
        <v>0</v>
      </c>
      <c r="R86" s="281">
        <f>[12]Source!X49</f>
        <v>0</v>
      </c>
      <c r="S86" s="281">
        <f>[12]Source!Y48</f>
        <v>0</v>
      </c>
      <c r="T86" s="281">
        <f>[12]Source!Y49</f>
        <v>0</v>
      </c>
      <c r="U86" s="281">
        <f>ROUND((175/100)*ROUND([12]Source!R48, 2), 2)</f>
        <v>0</v>
      </c>
      <c r="V86" s="281">
        <f>ROUND((157/100)*ROUND([12]Source!R49, 2), 2)</f>
        <v>0</v>
      </c>
    </row>
    <row r="87" spans="1:22" ht="28.5" x14ac:dyDescent="0.2">
      <c r="A87" s="301" t="s">
        <v>3492</v>
      </c>
      <c r="B87" s="302" t="s">
        <v>3493</v>
      </c>
      <c r="C87" s="302" t="s">
        <v>1201</v>
      </c>
      <c r="D87" s="303" t="s">
        <v>1661</v>
      </c>
      <c r="E87" s="286">
        <v>2</v>
      </c>
      <c r="F87" s="304">
        <v>12.07</v>
      </c>
      <c r="G87" s="315" t="s">
        <v>195</v>
      </c>
      <c r="H87" s="286">
        <v>1</v>
      </c>
      <c r="I87" s="304">
        <v>24.14</v>
      </c>
      <c r="J87" s="286">
        <v>2.08</v>
      </c>
      <c r="K87" s="304">
        <v>50.21</v>
      </c>
      <c r="Q87" s="281">
        <f>[12]Source!X50</f>
        <v>0</v>
      </c>
      <c r="R87" s="281">
        <f>[12]Source!X51</f>
        <v>0</v>
      </c>
      <c r="S87" s="281">
        <f>[12]Source!Y50</f>
        <v>0</v>
      </c>
      <c r="T87" s="281">
        <f>[12]Source!Y51</f>
        <v>0</v>
      </c>
      <c r="U87" s="281">
        <f>ROUND((175/100)*ROUND([12]Source!R50, 2), 2)</f>
        <v>0</v>
      </c>
      <c r="V87" s="281">
        <f>ROUND((157/100)*ROUND([12]Source!R51, 2), 2)</f>
        <v>0</v>
      </c>
    </row>
    <row r="88" spans="1:22" ht="42.75" x14ac:dyDescent="0.2">
      <c r="A88" s="301" t="s">
        <v>3494</v>
      </c>
      <c r="B88" s="302" t="s">
        <v>3495</v>
      </c>
      <c r="C88" s="302" t="s">
        <v>1200</v>
      </c>
      <c r="D88" s="303" t="s">
        <v>1661</v>
      </c>
      <c r="E88" s="286">
        <v>4</v>
      </c>
      <c r="F88" s="304">
        <v>21.22</v>
      </c>
      <c r="G88" s="315" t="s">
        <v>195</v>
      </c>
      <c r="H88" s="286">
        <v>1</v>
      </c>
      <c r="I88" s="304">
        <v>84.88</v>
      </c>
      <c r="J88" s="286">
        <v>2.41</v>
      </c>
      <c r="K88" s="304">
        <v>204.56</v>
      </c>
      <c r="Q88" s="281">
        <f>[12]Source!X52</f>
        <v>0</v>
      </c>
      <c r="R88" s="281">
        <f>[12]Source!X53</f>
        <v>0</v>
      </c>
      <c r="S88" s="281">
        <f>[12]Source!Y52</f>
        <v>0</v>
      </c>
      <c r="T88" s="281">
        <f>[12]Source!Y53</f>
        <v>0</v>
      </c>
      <c r="U88" s="281">
        <f>ROUND((175/100)*ROUND([12]Source!R52, 2), 2)</f>
        <v>0</v>
      </c>
      <c r="V88" s="281">
        <f>ROUND((157/100)*ROUND([12]Source!R53, 2), 2)</f>
        <v>0</v>
      </c>
    </row>
    <row r="89" spans="1:22" ht="14.25" x14ac:dyDescent="0.2">
      <c r="A89" s="301"/>
      <c r="B89" s="302"/>
      <c r="C89" s="302" t="s">
        <v>194</v>
      </c>
      <c r="D89" s="303" t="s">
        <v>187</v>
      </c>
      <c r="E89" s="286">
        <v>112</v>
      </c>
      <c r="F89" s="304"/>
      <c r="G89" s="305"/>
      <c r="H89" s="286"/>
      <c r="I89" s="304">
        <v>28.87</v>
      </c>
      <c r="J89" s="286">
        <v>90</v>
      </c>
      <c r="K89" s="304">
        <v>541.76</v>
      </c>
    </row>
    <row r="90" spans="1:22" ht="14.25" x14ac:dyDescent="0.2">
      <c r="A90" s="301"/>
      <c r="B90" s="302"/>
      <c r="C90" s="302" t="s">
        <v>193</v>
      </c>
      <c r="D90" s="303" t="s">
        <v>187</v>
      </c>
      <c r="E90" s="286">
        <v>70</v>
      </c>
      <c r="F90" s="304"/>
      <c r="G90" s="305"/>
      <c r="H90" s="286"/>
      <c r="I90" s="304">
        <v>18.05</v>
      </c>
      <c r="J90" s="286">
        <v>43</v>
      </c>
      <c r="K90" s="304">
        <v>258.83999999999997</v>
      </c>
    </row>
    <row r="91" spans="1:22" ht="14.25" x14ac:dyDescent="0.2">
      <c r="A91" s="307"/>
      <c r="B91" s="308"/>
      <c r="C91" s="308" t="s">
        <v>192</v>
      </c>
      <c r="D91" s="309" t="s">
        <v>191</v>
      </c>
      <c r="E91" s="310">
        <v>1.9</v>
      </c>
      <c r="F91" s="311"/>
      <c r="G91" s="312" t="s">
        <v>195</v>
      </c>
      <c r="H91" s="310">
        <v>1</v>
      </c>
      <c r="I91" s="311">
        <v>1.9</v>
      </c>
      <c r="J91" s="310"/>
      <c r="K91" s="311"/>
    </row>
    <row r="92" spans="1:22" ht="15" x14ac:dyDescent="0.25">
      <c r="A92" s="313"/>
      <c r="B92" s="313"/>
      <c r="C92" s="314" t="s">
        <v>183</v>
      </c>
      <c r="D92" s="313"/>
      <c r="E92" s="313"/>
      <c r="F92" s="313"/>
      <c r="G92" s="313"/>
      <c r="H92" s="472">
        <v>1528.06</v>
      </c>
      <c r="I92" s="472"/>
      <c r="J92" s="472">
        <v>11262.2</v>
      </c>
      <c r="K92" s="472"/>
      <c r="O92" s="284">
        <f>I82+I83+I89+I90+SUM(I84:I88)</f>
        <v>1528.06</v>
      </c>
      <c r="P92" s="284">
        <f>K82+K83+K89+K90+SUM(K84:K88)</f>
        <v>11262.2</v>
      </c>
    </row>
    <row r="94" spans="1:22" ht="71.25" x14ac:dyDescent="0.2">
      <c r="A94" s="301" t="s">
        <v>2040</v>
      </c>
      <c r="B94" s="302" t="s">
        <v>3496</v>
      </c>
      <c r="C94" s="302" t="s">
        <v>1199</v>
      </c>
      <c r="D94" s="303" t="s">
        <v>3497</v>
      </c>
      <c r="E94" s="286">
        <v>1</v>
      </c>
      <c r="F94" s="304"/>
      <c r="G94" s="305"/>
      <c r="H94" s="286"/>
      <c r="I94" s="304"/>
      <c r="J94" s="286"/>
      <c r="K94" s="304"/>
      <c r="Q94" s="281">
        <f>[12]Source!X54</f>
        <v>85.29</v>
      </c>
      <c r="R94" s="281">
        <f>[12]Source!X55</f>
        <v>1600.29</v>
      </c>
      <c r="S94" s="281">
        <f>[12]Source!Y54</f>
        <v>53.31</v>
      </c>
      <c r="T94" s="281">
        <f>[12]Source!Y55</f>
        <v>764.58</v>
      </c>
      <c r="U94" s="281">
        <f>ROUND((175/100)*ROUND([12]Source!R54, 2), 2)</f>
        <v>0</v>
      </c>
      <c r="V94" s="281">
        <f>ROUND((157/100)*ROUND([12]Source!R55, 2), 2)</f>
        <v>0</v>
      </c>
    </row>
    <row r="95" spans="1:22" ht="14.25" x14ac:dyDescent="0.2">
      <c r="A95" s="301"/>
      <c r="B95" s="302"/>
      <c r="C95" s="302" t="s">
        <v>197</v>
      </c>
      <c r="D95" s="303"/>
      <c r="E95" s="286"/>
      <c r="F95" s="304">
        <v>76.150000000000006</v>
      </c>
      <c r="G95" s="305" t="s">
        <v>195</v>
      </c>
      <c r="H95" s="286">
        <v>1</v>
      </c>
      <c r="I95" s="304">
        <v>76.150000000000006</v>
      </c>
      <c r="J95" s="286">
        <v>23.35</v>
      </c>
      <c r="K95" s="304">
        <v>1778.1</v>
      </c>
    </row>
    <row r="96" spans="1:22" ht="14.25" x14ac:dyDescent="0.2">
      <c r="A96" s="301"/>
      <c r="B96" s="302"/>
      <c r="C96" s="302" t="s">
        <v>205</v>
      </c>
      <c r="D96" s="303"/>
      <c r="E96" s="286"/>
      <c r="F96" s="304">
        <v>0.37</v>
      </c>
      <c r="G96" s="305" t="s">
        <v>195</v>
      </c>
      <c r="H96" s="286">
        <v>1</v>
      </c>
      <c r="I96" s="304">
        <v>0.37</v>
      </c>
      <c r="J96" s="286">
        <v>5.43</v>
      </c>
      <c r="K96" s="304">
        <v>2.0099999999999998</v>
      </c>
    </row>
    <row r="97" spans="1:22" ht="42.75" x14ac:dyDescent="0.2">
      <c r="A97" s="301" t="s">
        <v>2043</v>
      </c>
      <c r="B97" s="302" t="s">
        <v>3498</v>
      </c>
      <c r="C97" s="302" t="s">
        <v>1198</v>
      </c>
      <c r="D97" s="303" t="s">
        <v>1661</v>
      </c>
      <c r="E97" s="286">
        <v>1</v>
      </c>
      <c r="F97" s="304">
        <v>1144.1099999999999</v>
      </c>
      <c r="G97" s="315" t="s">
        <v>195</v>
      </c>
      <c r="H97" s="286">
        <v>1</v>
      </c>
      <c r="I97" s="304">
        <v>1144.1099999999999</v>
      </c>
      <c r="J97" s="286">
        <v>2.72</v>
      </c>
      <c r="K97" s="304">
        <v>3111.98</v>
      </c>
      <c r="Q97" s="281">
        <f>[12]Source!X56</f>
        <v>0</v>
      </c>
      <c r="R97" s="281">
        <f>[12]Source!X57</f>
        <v>0</v>
      </c>
      <c r="S97" s="281">
        <f>[12]Source!Y56</f>
        <v>0</v>
      </c>
      <c r="T97" s="281">
        <f>[12]Source!Y57</f>
        <v>0</v>
      </c>
      <c r="U97" s="281">
        <f>ROUND((175/100)*ROUND([12]Source!R56, 2), 2)</f>
        <v>0</v>
      </c>
      <c r="V97" s="281">
        <f>ROUND((157/100)*ROUND([12]Source!R57, 2), 2)</f>
        <v>0</v>
      </c>
    </row>
    <row r="98" spans="1:22" ht="14.25" x14ac:dyDescent="0.2">
      <c r="A98" s="301"/>
      <c r="B98" s="302"/>
      <c r="C98" s="302" t="s">
        <v>194</v>
      </c>
      <c r="D98" s="303" t="s">
        <v>187</v>
      </c>
      <c r="E98" s="286">
        <v>112</v>
      </c>
      <c r="F98" s="304"/>
      <c r="G98" s="305"/>
      <c r="H98" s="286"/>
      <c r="I98" s="304">
        <v>85.29</v>
      </c>
      <c r="J98" s="286">
        <v>90</v>
      </c>
      <c r="K98" s="304">
        <v>1600.29</v>
      </c>
    </row>
    <row r="99" spans="1:22" ht="14.25" x14ac:dyDescent="0.2">
      <c r="A99" s="301"/>
      <c r="B99" s="302"/>
      <c r="C99" s="302" t="s">
        <v>193</v>
      </c>
      <c r="D99" s="303" t="s">
        <v>187</v>
      </c>
      <c r="E99" s="286">
        <v>70</v>
      </c>
      <c r="F99" s="304"/>
      <c r="G99" s="305"/>
      <c r="H99" s="286"/>
      <c r="I99" s="304">
        <v>53.31</v>
      </c>
      <c r="J99" s="286">
        <v>43</v>
      </c>
      <c r="K99" s="304">
        <v>764.58</v>
      </c>
    </row>
    <row r="100" spans="1:22" ht="14.25" x14ac:dyDescent="0.2">
      <c r="A100" s="307"/>
      <c r="B100" s="308"/>
      <c r="C100" s="308" t="s">
        <v>192</v>
      </c>
      <c r="D100" s="309" t="s">
        <v>191</v>
      </c>
      <c r="E100" s="310">
        <v>5.37</v>
      </c>
      <c r="F100" s="311"/>
      <c r="G100" s="312" t="s">
        <v>195</v>
      </c>
      <c r="H100" s="310">
        <v>1</v>
      </c>
      <c r="I100" s="311">
        <v>5.37</v>
      </c>
      <c r="J100" s="310"/>
      <c r="K100" s="311"/>
    </row>
    <row r="101" spans="1:22" ht="15" x14ac:dyDescent="0.25">
      <c r="A101" s="313"/>
      <c r="B101" s="313"/>
      <c r="C101" s="314" t="s">
        <v>183</v>
      </c>
      <c r="D101" s="313"/>
      <c r="E101" s="313"/>
      <c r="F101" s="313"/>
      <c r="G101" s="313"/>
      <c r="H101" s="472">
        <v>1359.23</v>
      </c>
      <c r="I101" s="472"/>
      <c r="J101" s="472">
        <v>7256.96</v>
      </c>
      <c r="K101" s="472"/>
      <c r="O101" s="284">
        <f>I95+I96+I98+I99+SUM(I97:I97)</f>
        <v>1359.23</v>
      </c>
      <c r="P101" s="284">
        <f>K95+K96+K98+K99+SUM(K97:K97)</f>
        <v>7256.96</v>
      </c>
    </row>
    <row r="103" spans="1:22" ht="57" x14ac:dyDescent="0.2">
      <c r="A103" s="301" t="s">
        <v>1748</v>
      </c>
      <c r="B103" s="302" t="s">
        <v>3499</v>
      </c>
      <c r="C103" s="302" t="s">
        <v>1197</v>
      </c>
      <c r="D103" s="303" t="s">
        <v>3497</v>
      </c>
      <c r="E103" s="286">
        <v>1</v>
      </c>
      <c r="F103" s="304"/>
      <c r="G103" s="305"/>
      <c r="H103" s="286"/>
      <c r="I103" s="304"/>
      <c r="J103" s="286"/>
      <c r="K103" s="304"/>
      <c r="Q103" s="281">
        <f>[12]Source!X58</f>
        <v>44.63</v>
      </c>
      <c r="R103" s="281">
        <f>[12]Source!X59</f>
        <v>837.45</v>
      </c>
      <c r="S103" s="281">
        <f>[12]Source!Y58</f>
        <v>27.9</v>
      </c>
      <c r="T103" s="281">
        <f>[12]Source!Y59</f>
        <v>400.12</v>
      </c>
      <c r="U103" s="281">
        <f>ROUND((175/100)*ROUND([12]Source!R58, 2), 2)</f>
        <v>0</v>
      </c>
      <c r="V103" s="281">
        <f>ROUND((157/100)*ROUND([12]Source!R59, 2), 2)</f>
        <v>0</v>
      </c>
    </row>
    <row r="104" spans="1:22" ht="14.25" x14ac:dyDescent="0.2">
      <c r="A104" s="301"/>
      <c r="B104" s="302"/>
      <c r="C104" s="302" t="s">
        <v>197</v>
      </c>
      <c r="D104" s="303"/>
      <c r="E104" s="286"/>
      <c r="F104" s="304">
        <v>39.85</v>
      </c>
      <c r="G104" s="305" t="s">
        <v>195</v>
      </c>
      <c r="H104" s="286">
        <v>1</v>
      </c>
      <c r="I104" s="304">
        <v>39.85</v>
      </c>
      <c r="J104" s="286">
        <v>23.35</v>
      </c>
      <c r="K104" s="304">
        <v>930.5</v>
      </c>
    </row>
    <row r="105" spans="1:22" ht="14.25" x14ac:dyDescent="0.2">
      <c r="A105" s="301"/>
      <c r="B105" s="302"/>
      <c r="C105" s="302" t="s">
        <v>205</v>
      </c>
      <c r="D105" s="303"/>
      <c r="E105" s="286"/>
      <c r="F105" s="304">
        <v>0.19</v>
      </c>
      <c r="G105" s="305" t="s">
        <v>195</v>
      </c>
      <c r="H105" s="286">
        <v>1</v>
      </c>
      <c r="I105" s="304">
        <v>0.19</v>
      </c>
      <c r="J105" s="286">
        <v>5.42</v>
      </c>
      <c r="K105" s="304">
        <v>1.03</v>
      </c>
    </row>
    <row r="106" spans="1:22" ht="185.25" x14ac:dyDescent="0.2">
      <c r="A106" s="301" t="s">
        <v>1751</v>
      </c>
      <c r="B106" s="302" t="s">
        <v>3500</v>
      </c>
      <c r="C106" s="302" t="s">
        <v>1196</v>
      </c>
      <c r="D106" s="303" t="s">
        <v>1913</v>
      </c>
      <c r="E106" s="286">
        <v>1</v>
      </c>
      <c r="F106" s="304">
        <v>2065.0500000000002</v>
      </c>
      <c r="G106" s="315" t="s">
        <v>195</v>
      </c>
      <c r="H106" s="286">
        <v>1</v>
      </c>
      <c r="I106" s="304">
        <v>2065.0500000000002</v>
      </c>
      <c r="J106" s="286">
        <v>3.66</v>
      </c>
      <c r="K106" s="304">
        <v>7558.08</v>
      </c>
      <c r="Q106" s="281">
        <f>[12]Source!X60</f>
        <v>0</v>
      </c>
      <c r="R106" s="281">
        <f>[12]Source!X61</f>
        <v>0</v>
      </c>
      <c r="S106" s="281">
        <f>[12]Source!Y60</f>
        <v>0</v>
      </c>
      <c r="T106" s="281">
        <f>[12]Source!Y61</f>
        <v>0</v>
      </c>
      <c r="U106" s="281">
        <f>ROUND((175/100)*ROUND([12]Source!R60, 2), 2)</f>
        <v>0</v>
      </c>
      <c r="V106" s="281">
        <f>ROUND((157/100)*ROUND([12]Source!R61, 2), 2)</f>
        <v>0</v>
      </c>
    </row>
    <row r="107" spans="1:22" ht="14.25" x14ac:dyDescent="0.2">
      <c r="A107" s="301"/>
      <c r="B107" s="302"/>
      <c r="C107" s="302" t="s">
        <v>194</v>
      </c>
      <c r="D107" s="303" t="s">
        <v>187</v>
      </c>
      <c r="E107" s="286">
        <v>112</v>
      </c>
      <c r="F107" s="304"/>
      <c r="G107" s="305"/>
      <c r="H107" s="286"/>
      <c r="I107" s="304">
        <v>44.63</v>
      </c>
      <c r="J107" s="286">
        <v>90</v>
      </c>
      <c r="K107" s="304">
        <v>837.45</v>
      </c>
    </row>
    <row r="108" spans="1:22" ht="14.25" x14ac:dyDescent="0.2">
      <c r="A108" s="301"/>
      <c r="B108" s="302"/>
      <c r="C108" s="302" t="s">
        <v>193</v>
      </c>
      <c r="D108" s="303" t="s">
        <v>187</v>
      </c>
      <c r="E108" s="286">
        <v>70</v>
      </c>
      <c r="F108" s="304"/>
      <c r="G108" s="305"/>
      <c r="H108" s="286"/>
      <c r="I108" s="304">
        <v>27.9</v>
      </c>
      <c r="J108" s="286">
        <v>43</v>
      </c>
      <c r="K108" s="304">
        <v>400.12</v>
      </c>
    </row>
    <row r="109" spans="1:22" ht="14.25" x14ac:dyDescent="0.2">
      <c r="A109" s="307"/>
      <c r="B109" s="308"/>
      <c r="C109" s="308" t="s">
        <v>192</v>
      </c>
      <c r="D109" s="309" t="s">
        <v>191</v>
      </c>
      <c r="E109" s="310">
        <v>2.77</v>
      </c>
      <c r="F109" s="311"/>
      <c r="G109" s="312" t="s">
        <v>195</v>
      </c>
      <c r="H109" s="310">
        <v>1</v>
      </c>
      <c r="I109" s="311">
        <v>2.77</v>
      </c>
      <c r="J109" s="310"/>
      <c r="K109" s="311"/>
    </row>
    <row r="110" spans="1:22" ht="15" x14ac:dyDescent="0.25">
      <c r="A110" s="313"/>
      <c r="B110" s="313"/>
      <c r="C110" s="314" t="s">
        <v>183</v>
      </c>
      <c r="D110" s="313"/>
      <c r="E110" s="313"/>
      <c r="F110" s="313"/>
      <c r="G110" s="313"/>
      <c r="H110" s="472">
        <v>2177.62</v>
      </c>
      <c r="I110" s="472"/>
      <c r="J110" s="472">
        <v>9727.18</v>
      </c>
      <c r="K110" s="472"/>
      <c r="O110" s="284">
        <f>I104+I105+I107+I108+SUM(I106:I106)</f>
        <v>2177.62</v>
      </c>
      <c r="P110" s="284">
        <f>K104+K105+K107+K108+SUM(K106:K106)</f>
        <v>9727.18</v>
      </c>
    </row>
    <row r="112" spans="1:22" ht="57" x14ac:dyDescent="0.2">
      <c r="A112" s="301" t="s">
        <v>1753</v>
      </c>
      <c r="B112" s="302" t="s">
        <v>3501</v>
      </c>
      <c r="C112" s="302" t="s">
        <v>1195</v>
      </c>
      <c r="D112" s="303" t="s">
        <v>1903</v>
      </c>
      <c r="E112" s="286">
        <v>2</v>
      </c>
      <c r="F112" s="304"/>
      <c r="G112" s="305"/>
      <c r="H112" s="286"/>
      <c r="I112" s="304"/>
      <c r="J112" s="286"/>
      <c r="K112" s="304"/>
      <c r="Q112" s="281">
        <f>[12]Source!X62</f>
        <v>24.68</v>
      </c>
      <c r="R112" s="281">
        <f>[12]Source!X63</f>
        <v>463.17</v>
      </c>
      <c r="S112" s="281">
        <f>[12]Source!Y62</f>
        <v>15.43</v>
      </c>
      <c r="T112" s="281">
        <f>[12]Source!Y63</f>
        <v>221.29</v>
      </c>
      <c r="U112" s="281">
        <f>ROUND((175/100)*ROUND([12]Source!R62, 2), 2)</f>
        <v>0</v>
      </c>
      <c r="V112" s="281">
        <f>ROUND((157/100)*ROUND([12]Source!R63, 2), 2)</f>
        <v>0</v>
      </c>
    </row>
    <row r="113" spans="1:22" ht="14.25" x14ac:dyDescent="0.2">
      <c r="A113" s="301"/>
      <c r="B113" s="302"/>
      <c r="C113" s="302" t="s">
        <v>197</v>
      </c>
      <c r="D113" s="303"/>
      <c r="E113" s="286"/>
      <c r="F113" s="304">
        <v>11.02</v>
      </c>
      <c r="G113" s="305" t="s">
        <v>195</v>
      </c>
      <c r="H113" s="286">
        <v>1</v>
      </c>
      <c r="I113" s="304">
        <v>22.04</v>
      </c>
      <c r="J113" s="286">
        <v>23.35</v>
      </c>
      <c r="K113" s="304">
        <v>514.63</v>
      </c>
    </row>
    <row r="114" spans="1:22" ht="14.25" x14ac:dyDescent="0.2">
      <c r="A114" s="301"/>
      <c r="B114" s="302"/>
      <c r="C114" s="302" t="s">
        <v>205</v>
      </c>
      <c r="D114" s="303"/>
      <c r="E114" s="286"/>
      <c r="F114" s="304">
        <v>0.28999999999999998</v>
      </c>
      <c r="G114" s="305" t="s">
        <v>195</v>
      </c>
      <c r="H114" s="286">
        <v>1</v>
      </c>
      <c r="I114" s="304">
        <v>0.57999999999999996</v>
      </c>
      <c r="J114" s="286">
        <v>5.41</v>
      </c>
      <c r="K114" s="304">
        <v>3.14</v>
      </c>
    </row>
    <row r="115" spans="1:22" ht="39.75" x14ac:dyDescent="0.2">
      <c r="A115" s="301" t="s">
        <v>1754</v>
      </c>
      <c r="B115" s="302" t="s">
        <v>3448</v>
      </c>
      <c r="C115" s="302" t="s">
        <v>1194</v>
      </c>
      <c r="D115" s="303" t="s">
        <v>1661</v>
      </c>
      <c r="E115" s="286">
        <v>1</v>
      </c>
      <c r="F115" s="304">
        <v>414.02</v>
      </c>
      <c r="G115" s="315" t="s">
        <v>195</v>
      </c>
      <c r="H115" s="286">
        <v>1</v>
      </c>
      <c r="I115" s="304">
        <v>414.02</v>
      </c>
      <c r="J115" s="286">
        <v>5.42</v>
      </c>
      <c r="K115" s="304">
        <v>2243.9899999999998</v>
      </c>
      <c r="Q115" s="281">
        <f>[12]Source!X64</f>
        <v>0</v>
      </c>
      <c r="R115" s="281">
        <f>[12]Source!X65</f>
        <v>0</v>
      </c>
      <c r="S115" s="281">
        <f>[12]Source!Y64</f>
        <v>0</v>
      </c>
      <c r="T115" s="281">
        <f>[12]Source!Y65</f>
        <v>0</v>
      </c>
      <c r="U115" s="281">
        <f>ROUND((175/100)*ROUND([12]Source!R64, 2), 2)</f>
        <v>0</v>
      </c>
      <c r="V115" s="281">
        <f>ROUND((157/100)*ROUND([12]Source!R65, 2), 2)</f>
        <v>0</v>
      </c>
    </row>
    <row r="116" spans="1:22" ht="39.75" x14ac:dyDescent="0.2">
      <c r="A116" s="301" t="s">
        <v>3502</v>
      </c>
      <c r="B116" s="302" t="s">
        <v>3448</v>
      </c>
      <c r="C116" s="302" t="s">
        <v>1193</v>
      </c>
      <c r="D116" s="303" t="s">
        <v>1661</v>
      </c>
      <c r="E116" s="286">
        <v>1</v>
      </c>
      <c r="F116" s="304">
        <v>499.23</v>
      </c>
      <c r="G116" s="315" t="s">
        <v>195</v>
      </c>
      <c r="H116" s="286">
        <v>1</v>
      </c>
      <c r="I116" s="304">
        <v>499.23</v>
      </c>
      <c r="J116" s="286">
        <v>5.42</v>
      </c>
      <c r="K116" s="304">
        <v>2705.83</v>
      </c>
      <c r="Q116" s="281">
        <f>[12]Source!X66</f>
        <v>0</v>
      </c>
      <c r="R116" s="281">
        <f>[12]Source!X67</f>
        <v>0</v>
      </c>
      <c r="S116" s="281">
        <f>[12]Source!Y66</f>
        <v>0</v>
      </c>
      <c r="T116" s="281">
        <f>[12]Source!Y67</f>
        <v>0</v>
      </c>
      <c r="U116" s="281">
        <f>ROUND((175/100)*ROUND([12]Source!R66, 2), 2)</f>
        <v>0</v>
      </c>
      <c r="V116" s="281">
        <f>ROUND((157/100)*ROUND([12]Source!R67, 2), 2)</f>
        <v>0</v>
      </c>
    </row>
    <row r="117" spans="1:22" ht="14.25" x14ac:dyDescent="0.2">
      <c r="A117" s="301"/>
      <c r="B117" s="302"/>
      <c r="C117" s="302" t="s">
        <v>194</v>
      </c>
      <c r="D117" s="303" t="s">
        <v>187</v>
      </c>
      <c r="E117" s="286">
        <v>112</v>
      </c>
      <c r="F117" s="304"/>
      <c r="G117" s="305"/>
      <c r="H117" s="286"/>
      <c r="I117" s="304">
        <v>24.68</v>
      </c>
      <c r="J117" s="286">
        <v>90</v>
      </c>
      <c r="K117" s="304">
        <v>463.17</v>
      </c>
    </row>
    <row r="118" spans="1:22" ht="14.25" x14ac:dyDescent="0.2">
      <c r="A118" s="301"/>
      <c r="B118" s="302"/>
      <c r="C118" s="302" t="s">
        <v>193</v>
      </c>
      <c r="D118" s="303" t="s">
        <v>187</v>
      </c>
      <c r="E118" s="286">
        <v>70</v>
      </c>
      <c r="F118" s="304"/>
      <c r="G118" s="305"/>
      <c r="H118" s="286"/>
      <c r="I118" s="304">
        <v>15.43</v>
      </c>
      <c r="J118" s="286">
        <v>43</v>
      </c>
      <c r="K118" s="304">
        <v>221.29</v>
      </c>
    </row>
    <row r="119" spans="1:22" ht="14.25" x14ac:dyDescent="0.2">
      <c r="A119" s="307"/>
      <c r="B119" s="308"/>
      <c r="C119" s="308" t="s">
        <v>192</v>
      </c>
      <c r="D119" s="309" t="s">
        <v>191</v>
      </c>
      <c r="E119" s="310">
        <v>0.8</v>
      </c>
      <c r="F119" s="311"/>
      <c r="G119" s="312" t="s">
        <v>195</v>
      </c>
      <c r="H119" s="310">
        <v>1</v>
      </c>
      <c r="I119" s="311">
        <v>1.6</v>
      </c>
      <c r="J119" s="310"/>
      <c r="K119" s="311"/>
    </row>
    <row r="120" spans="1:22" ht="15" x14ac:dyDescent="0.25">
      <c r="A120" s="313"/>
      <c r="B120" s="313"/>
      <c r="C120" s="314" t="s">
        <v>183</v>
      </c>
      <c r="D120" s="313"/>
      <c r="E120" s="313"/>
      <c r="F120" s="313"/>
      <c r="G120" s="313"/>
      <c r="H120" s="472">
        <v>975.98</v>
      </c>
      <c r="I120" s="472"/>
      <c r="J120" s="472">
        <v>6152.05</v>
      </c>
      <c r="K120" s="472"/>
      <c r="O120" s="284">
        <f>I113+I114+I117+I118+SUM(I115:I116)</f>
        <v>975.98</v>
      </c>
      <c r="P120" s="284">
        <f>K113+K114+K117+K118+SUM(K115:K116)</f>
        <v>6152.05</v>
      </c>
    </row>
    <row r="122" spans="1:22" ht="28.5" x14ac:dyDescent="0.2">
      <c r="A122" s="301">
        <v>42</v>
      </c>
      <c r="B122" s="302" t="s">
        <v>3503</v>
      </c>
      <c r="C122" s="302" t="s">
        <v>1192</v>
      </c>
      <c r="D122" s="303" t="s">
        <v>1903</v>
      </c>
      <c r="E122" s="286">
        <v>13</v>
      </c>
      <c r="F122" s="304"/>
      <c r="G122" s="305"/>
      <c r="H122" s="286"/>
      <c r="I122" s="304"/>
      <c r="J122" s="286"/>
      <c r="K122" s="304"/>
      <c r="Q122" s="281">
        <f>[12]Source!X76</f>
        <v>162.78</v>
      </c>
      <c r="R122" s="281">
        <f>[12]Source!X77</f>
        <v>3054.32</v>
      </c>
      <c r="S122" s="281">
        <f>[12]Source!Y76</f>
        <v>101.74</v>
      </c>
      <c r="T122" s="281">
        <f>[12]Source!Y77</f>
        <v>1459.29</v>
      </c>
      <c r="U122" s="281">
        <f>ROUND((175/100)*ROUND([12]Source!R76, 2), 2)</f>
        <v>0</v>
      </c>
      <c r="V122" s="281">
        <f>ROUND((157/100)*ROUND([12]Source!R77, 2), 2)</f>
        <v>0</v>
      </c>
    </row>
    <row r="123" spans="1:22" ht="14.25" x14ac:dyDescent="0.2">
      <c r="A123" s="301"/>
      <c r="B123" s="302"/>
      <c r="C123" s="302" t="s">
        <v>197</v>
      </c>
      <c r="D123" s="303"/>
      <c r="E123" s="286"/>
      <c r="F123" s="304">
        <v>11.18</v>
      </c>
      <c r="G123" s="305" t="s">
        <v>195</v>
      </c>
      <c r="H123" s="286">
        <v>1</v>
      </c>
      <c r="I123" s="304">
        <v>145.34</v>
      </c>
      <c r="J123" s="286">
        <v>23.35</v>
      </c>
      <c r="K123" s="304">
        <v>3393.69</v>
      </c>
    </row>
    <row r="124" spans="1:22" ht="14.25" x14ac:dyDescent="0.2">
      <c r="A124" s="301"/>
      <c r="B124" s="302"/>
      <c r="C124" s="302" t="s">
        <v>205</v>
      </c>
      <c r="D124" s="303"/>
      <c r="E124" s="286"/>
      <c r="F124" s="304">
        <v>0.49</v>
      </c>
      <c r="G124" s="305" t="s">
        <v>195</v>
      </c>
      <c r="H124" s="286">
        <v>1</v>
      </c>
      <c r="I124" s="304">
        <v>6.37</v>
      </c>
      <c r="J124" s="286">
        <v>5.43</v>
      </c>
      <c r="K124" s="304">
        <v>34.590000000000003</v>
      </c>
    </row>
    <row r="125" spans="1:22" ht="28.5" x14ac:dyDescent="0.2">
      <c r="A125" s="301" t="s">
        <v>1774</v>
      </c>
      <c r="B125" s="302" t="s">
        <v>3504</v>
      </c>
      <c r="C125" s="302" t="s">
        <v>1191</v>
      </c>
      <c r="D125" s="303" t="s">
        <v>1661</v>
      </c>
      <c r="E125" s="286">
        <v>13</v>
      </c>
      <c r="F125" s="304">
        <v>1.46</v>
      </c>
      <c r="G125" s="315" t="s">
        <v>195</v>
      </c>
      <c r="H125" s="286">
        <v>1</v>
      </c>
      <c r="I125" s="304">
        <v>18.98</v>
      </c>
      <c r="J125" s="286">
        <v>9.64</v>
      </c>
      <c r="K125" s="304">
        <v>182.97</v>
      </c>
      <c r="Q125" s="281">
        <f>[12]Source!X78</f>
        <v>0</v>
      </c>
      <c r="R125" s="281">
        <f>[12]Source!X79</f>
        <v>0</v>
      </c>
      <c r="S125" s="281">
        <f>[12]Source!Y78</f>
        <v>0</v>
      </c>
      <c r="T125" s="281">
        <f>[12]Source!Y79</f>
        <v>0</v>
      </c>
      <c r="U125" s="281">
        <f>ROUND((175/100)*ROUND([12]Source!R78, 2), 2)</f>
        <v>0</v>
      </c>
      <c r="V125" s="281">
        <f>ROUND((157/100)*ROUND([12]Source!R79, 2), 2)</f>
        <v>0</v>
      </c>
    </row>
    <row r="126" spans="1:22" ht="14.25" x14ac:dyDescent="0.2">
      <c r="A126" s="301"/>
      <c r="B126" s="302"/>
      <c r="C126" s="302" t="s">
        <v>194</v>
      </c>
      <c r="D126" s="303" t="s">
        <v>187</v>
      </c>
      <c r="E126" s="286">
        <v>112</v>
      </c>
      <c r="F126" s="304"/>
      <c r="G126" s="305"/>
      <c r="H126" s="286"/>
      <c r="I126" s="304">
        <v>162.78</v>
      </c>
      <c r="J126" s="286">
        <v>90</v>
      </c>
      <c r="K126" s="304">
        <v>3054.32</v>
      </c>
    </row>
    <row r="127" spans="1:22" ht="14.25" x14ac:dyDescent="0.2">
      <c r="A127" s="301"/>
      <c r="B127" s="302"/>
      <c r="C127" s="302" t="s">
        <v>193</v>
      </c>
      <c r="D127" s="303" t="s">
        <v>187</v>
      </c>
      <c r="E127" s="286">
        <v>70</v>
      </c>
      <c r="F127" s="304"/>
      <c r="G127" s="305"/>
      <c r="H127" s="286"/>
      <c r="I127" s="304">
        <v>101.74</v>
      </c>
      <c r="J127" s="286">
        <v>43</v>
      </c>
      <c r="K127" s="304">
        <v>1459.29</v>
      </c>
    </row>
    <row r="128" spans="1:22" ht="14.25" x14ac:dyDescent="0.2">
      <c r="A128" s="307"/>
      <c r="B128" s="308"/>
      <c r="C128" s="308" t="s">
        <v>192</v>
      </c>
      <c r="D128" s="309" t="s">
        <v>191</v>
      </c>
      <c r="E128" s="310">
        <v>1</v>
      </c>
      <c r="F128" s="311"/>
      <c r="G128" s="312" t="s">
        <v>195</v>
      </c>
      <c r="H128" s="310">
        <v>1</v>
      </c>
      <c r="I128" s="311">
        <v>13</v>
      </c>
      <c r="J128" s="310"/>
      <c r="K128" s="311"/>
    </row>
    <row r="129" spans="1:22" ht="15" x14ac:dyDescent="0.25">
      <c r="A129" s="313"/>
      <c r="B129" s="313"/>
      <c r="C129" s="314" t="s">
        <v>183</v>
      </c>
      <c r="D129" s="313"/>
      <c r="E129" s="313"/>
      <c r="F129" s="313"/>
      <c r="G129" s="313"/>
      <c r="H129" s="472">
        <v>435.21</v>
      </c>
      <c r="I129" s="472"/>
      <c r="J129" s="472">
        <v>8124.86</v>
      </c>
      <c r="K129" s="472"/>
      <c r="O129" s="284">
        <f>I123+I124+I126+I127+SUM(I125:I125)</f>
        <v>435.21</v>
      </c>
      <c r="P129" s="284">
        <f>K123+K124+K126+K127+SUM(K125:K125)</f>
        <v>8124.86</v>
      </c>
    </row>
    <row r="131" spans="1:22" ht="71.25" x14ac:dyDescent="0.2">
      <c r="A131" s="301" t="s">
        <v>1775</v>
      </c>
      <c r="B131" s="302" t="s">
        <v>3477</v>
      </c>
      <c r="C131" s="302" t="s">
        <v>1115</v>
      </c>
      <c r="D131" s="303" t="s">
        <v>1686</v>
      </c>
      <c r="E131" s="286">
        <v>6</v>
      </c>
      <c r="F131" s="304"/>
      <c r="G131" s="305"/>
      <c r="H131" s="286"/>
      <c r="I131" s="304"/>
      <c r="J131" s="286"/>
      <c r="K131" s="304"/>
      <c r="Q131" s="281">
        <f>[12]Source!X80</f>
        <v>1243.8</v>
      </c>
      <c r="R131" s="281">
        <f>[12]Source!X81</f>
        <v>23338</v>
      </c>
      <c r="S131" s="281">
        <f>[12]Source!Y80</f>
        <v>777.38</v>
      </c>
      <c r="T131" s="281">
        <f>[12]Source!Y81</f>
        <v>11150.38</v>
      </c>
      <c r="U131" s="281">
        <f>ROUND((175/100)*ROUND([12]Source!R80, 2), 2)</f>
        <v>57.33</v>
      </c>
      <c r="V131" s="281">
        <f>ROUND((157/100)*ROUND([12]Source!R81, 2), 2)</f>
        <v>1200.97</v>
      </c>
    </row>
    <row r="132" spans="1:22" x14ac:dyDescent="0.2">
      <c r="C132" s="316" t="s">
        <v>3505</v>
      </c>
    </row>
    <row r="133" spans="1:22" ht="14.25" x14ac:dyDescent="0.2">
      <c r="A133" s="301"/>
      <c r="B133" s="302"/>
      <c r="C133" s="302" t="s">
        <v>197</v>
      </c>
      <c r="D133" s="303"/>
      <c r="E133" s="286"/>
      <c r="F133" s="304">
        <v>185.09</v>
      </c>
      <c r="G133" s="305" t="s">
        <v>195</v>
      </c>
      <c r="H133" s="286">
        <v>1</v>
      </c>
      <c r="I133" s="304">
        <v>1110.54</v>
      </c>
      <c r="J133" s="286">
        <v>23.35</v>
      </c>
      <c r="K133" s="304">
        <v>25931.11</v>
      </c>
    </row>
    <row r="134" spans="1:22" ht="14.25" x14ac:dyDescent="0.2">
      <c r="A134" s="301"/>
      <c r="B134" s="302"/>
      <c r="C134" s="302" t="s">
        <v>184</v>
      </c>
      <c r="D134" s="303"/>
      <c r="E134" s="286"/>
      <c r="F134" s="304">
        <v>32.74</v>
      </c>
      <c r="G134" s="305" t="s">
        <v>195</v>
      </c>
      <c r="H134" s="286">
        <v>1</v>
      </c>
      <c r="I134" s="304">
        <v>196.44</v>
      </c>
      <c r="J134" s="286">
        <v>8.35</v>
      </c>
      <c r="K134" s="304">
        <v>1640.27</v>
      </c>
    </row>
    <row r="135" spans="1:22" ht="14.25" x14ac:dyDescent="0.2">
      <c r="A135" s="301"/>
      <c r="B135" s="302"/>
      <c r="C135" s="302" t="s">
        <v>189</v>
      </c>
      <c r="D135" s="303"/>
      <c r="E135" s="286"/>
      <c r="F135" s="304">
        <v>5.46</v>
      </c>
      <c r="G135" s="305" t="s">
        <v>195</v>
      </c>
      <c r="H135" s="286">
        <v>1</v>
      </c>
      <c r="I135" s="306">
        <v>32.76</v>
      </c>
      <c r="J135" s="286">
        <v>23.35</v>
      </c>
      <c r="K135" s="306">
        <v>764.95</v>
      </c>
    </row>
    <row r="136" spans="1:22" ht="14.25" x14ac:dyDescent="0.2">
      <c r="A136" s="301"/>
      <c r="B136" s="302"/>
      <c r="C136" s="302" t="s">
        <v>205</v>
      </c>
      <c r="D136" s="303"/>
      <c r="E136" s="286"/>
      <c r="F136" s="304">
        <v>343.03</v>
      </c>
      <c r="G136" s="305" t="s">
        <v>195</v>
      </c>
      <c r="H136" s="286">
        <v>1</v>
      </c>
      <c r="I136" s="304">
        <v>2058.1799999999998</v>
      </c>
      <c r="J136" s="286">
        <v>5.42</v>
      </c>
      <c r="K136" s="304">
        <v>11155.34</v>
      </c>
    </row>
    <row r="137" spans="1:22" ht="57" x14ac:dyDescent="0.2">
      <c r="A137" s="301" t="s">
        <v>1776</v>
      </c>
      <c r="B137" s="302" t="s">
        <v>3479</v>
      </c>
      <c r="C137" s="302" t="s">
        <v>1114</v>
      </c>
      <c r="D137" s="303" t="s">
        <v>1552</v>
      </c>
      <c r="E137" s="286">
        <v>612</v>
      </c>
      <c r="F137" s="304">
        <v>2.67</v>
      </c>
      <c r="G137" s="315" t="s">
        <v>195</v>
      </c>
      <c r="H137" s="286">
        <v>1</v>
      </c>
      <c r="I137" s="304">
        <v>1634.04</v>
      </c>
      <c r="J137" s="286">
        <v>6.27</v>
      </c>
      <c r="K137" s="304">
        <v>10245.43</v>
      </c>
      <c r="Q137" s="281">
        <f>[12]Source!X82</f>
        <v>0</v>
      </c>
      <c r="R137" s="281">
        <f>[12]Source!X83</f>
        <v>0</v>
      </c>
      <c r="S137" s="281">
        <f>[12]Source!Y82</f>
        <v>0</v>
      </c>
      <c r="T137" s="281">
        <f>[12]Source!Y83</f>
        <v>0</v>
      </c>
      <c r="U137" s="281">
        <f>ROUND((175/100)*ROUND([12]Source!R82, 2), 2)</f>
        <v>0</v>
      </c>
      <c r="V137" s="281">
        <f>ROUND((157/100)*ROUND([12]Source!R83, 2), 2)</f>
        <v>0</v>
      </c>
    </row>
    <row r="138" spans="1:22" ht="42.75" x14ac:dyDescent="0.2">
      <c r="A138" s="301" t="s">
        <v>3506</v>
      </c>
      <c r="B138" s="302" t="s">
        <v>3507</v>
      </c>
      <c r="C138" s="302" t="s">
        <v>1112</v>
      </c>
      <c r="D138" s="303" t="s">
        <v>1536</v>
      </c>
      <c r="E138" s="286">
        <v>15</v>
      </c>
      <c r="F138" s="304">
        <v>135.68</v>
      </c>
      <c r="G138" s="315" t="s">
        <v>195</v>
      </c>
      <c r="H138" s="286">
        <v>1</v>
      </c>
      <c r="I138" s="304">
        <v>2035.2</v>
      </c>
      <c r="J138" s="286">
        <v>1.2</v>
      </c>
      <c r="K138" s="304">
        <v>2442.2399999999998</v>
      </c>
      <c r="Q138" s="281">
        <f>[12]Source!X86</f>
        <v>0</v>
      </c>
      <c r="R138" s="281">
        <f>[12]Source!X87</f>
        <v>0</v>
      </c>
      <c r="S138" s="281">
        <f>[12]Source!Y86</f>
        <v>0</v>
      </c>
      <c r="T138" s="281">
        <f>[12]Source!Y87</f>
        <v>0</v>
      </c>
      <c r="U138" s="281">
        <f>ROUND((175/100)*ROUND([12]Source!R86, 2), 2)</f>
        <v>0</v>
      </c>
      <c r="V138" s="281">
        <f>ROUND((157/100)*ROUND([12]Source!R87, 2), 2)</f>
        <v>0</v>
      </c>
    </row>
    <row r="139" spans="1:22" ht="57" x14ac:dyDescent="0.2">
      <c r="A139" s="301" t="s">
        <v>3508</v>
      </c>
      <c r="B139" s="302" t="s">
        <v>3509</v>
      </c>
      <c r="C139" s="302" t="s">
        <v>1190</v>
      </c>
      <c r="D139" s="303" t="s">
        <v>1661</v>
      </c>
      <c r="E139" s="286">
        <v>12</v>
      </c>
      <c r="F139" s="304">
        <v>29.6</v>
      </c>
      <c r="G139" s="315" t="s">
        <v>195</v>
      </c>
      <c r="H139" s="286">
        <v>1</v>
      </c>
      <c r="I139" s="304">
        <v>355.2</v>
      </c>
      <c r="J139" s="286">
        <v>6.25</v>
      </c>
      <c r="K139" s="304">
        <v>2220</v>
      </c>
      <c r="Q139" s="281">
        <f>[12]Source!X88</f>
        <v>0</v>
      </c>
      <c r="R139" s="281">
        <f>[12]Source!X89</f>
        <v>0</v>
      </c>
      <c r="S139" s="281">
        <f>[12]Source!Y88</f>
        <v>0</v>
      </c>
      <c r="T139" s="281">
        <f>[12]Source!Y89</f>
        <v>0</v>
      </c>
      <c r="U139" s="281">
        <f>ROUND((175/100)*ROUND([12]Source!R88, 2), 2)</f>
        <v>0</v>
      </c>
      <c r="V139" s="281">
        <f>ROUND((157/100)*ROUND([12]Source!R89, 2), 2)</f>
        <v>0</v>
      </c>
    </row>
    <row r="140" spans="1:22" ht="42.75" x14ac:dyDescent="0.2">
      <c r="A140" s="301" t="s">
        <v>3510</v>
      </c>
      <c r="B140" s="302" t="s">
        <v>3511</v>
      </c>
      <c r="C140" s="302" t="s">
        <v>1189</v>
      </c>
      <c r="D140" s="303" t="s">
        <v>1661</v>
      </c>
      <c r="E140" s="286">
        <v>1</v>
      </c>
      <c r="F140" s="304">
        <v>5.0999999999999996</v>
      </c>
      <c r="G140" s="315" t="s">
        <v>195</v>
      </c>
      <c r="H140" s="286">
        <v>1</v>
      </c>
      <c r="I140" s="304">
        <v>5.0999999999999996</v>
      </c>
      <c r="J140" s="286">
        <v>3.04</v>
      </c>
      <c r="K140" s="304">
        <v>15.5</v>
      </c>
      <c r="Q140" s="281">
        <f>[12]Source!X90</f>
        <v>0</v>
      </c>
      <c r="R140" s="281">
        <f>[12]Source!X91</f>
        <v>0</v>
      </c>
      <c r="S140" s="281">
        <f>[12]Source!Y90</f>
        <v>0</v>
      </c>
      <c r="T140" s="281">
        <f>[12]Source!Y91</f>
        <v>0</v>
      </c>
      <c r="U140" s="281">
        <f>ROUND((175/100)*ROUND([12]Source!R90, 2), 2)</f>
        <v>0</v>
      </c>
      <c r="V140" s="281">
        <f>ROUND((157/100)*ROUND([12]Source!R91, 2), 2)</f>
        <v>0</v>
      </c>
    </row>
    <row r="141" spans="1:22" ht="14.25" x14ac:dyDescent="0.2">
      <c r="A141" s="301"/>
      <c r="B141" s="302"/>
      <c r="C141" s="302" t="s">
        <v>194</v>
      </c>
      <c r="D141" s="303" t="s">
        <v>187</v>
      </c>
      <c r="E141" s="286">
        <v>112</v>
      </c>
      <c r="F141" s="304"/>
      <c r="G141" s="305"/>
      <c r="H141" s="286"/>
      <c r="I141" s="304">
        <v>1243.8</v>
      </c>
      <c r="J141" s="286">
        <v>90</v>
      </c>
      <c r="K141" s="304">
        <v>23338</v>
      </c>
    </row>
    <row r="142" spans="1:22" ht="14.25" x14ac:dyDescent="0.2">
      <c r="A142" s="301"/>
      <c r="B142" s="302"/>
      <c r="C142" s="302" t="s">
        <v>193</v>
      </c>
      <c r="D142" s="303" t="s">
        <v>187</v>
      </c>
      <c r="E142" s="286">
        <v>70</v>
      </c>
      <c r="F142" s="304"/>
      <c r="G142" s="305"/>
      <c r="H142" s="286"/>
      <c r="I142" s="304">
        <v>777.38</v>
      </c>
      <c r="J142" s="286">
        <v>43</v>
      </c>
      <c r="K142" s="304">
        <v>11150.38</v>
      </c>
    </row>
    <row r="143" spans="1:22" ht="14.25" x14ac:dyDescent="0.2">
      <c r="A143" s="301"/>
      <c r="B143" s="302"/>
      <c r="C143" s="302" t="s">
        <v>188</v>
      </c>
      <c r="D143" s="303" t="s">
        <v>187</v>
      </c>
      <c r="E143" s="286">
        <v>175</v>
      </c>
      <c r="F143" s="304"/>
      <c r="G143" s="305"/>
      <c r="H143" s="286"/>
      <c r="I143" s="304">
        <v>57.33</v>
      </c>
      <c r="J143" s="286">
        <v>157</v>
      </c>
      <c r="K143" s="304">
        <v>1200.97</v>
      </c>
    </row>
    <row r="144" spans="1:22" ht="14.25" x14ac:dyDescent="0.2">
      <c r="A144" s="307"/>
      <c r="B144" s="308"/>
      <c r="C144" s="308" t="s">
        <v>192</v>
      </c>
      <c r="D144" s="309" t="s">
        <v>191</v>
      </c>
      <c r="E144" s="310">
        <v>14.37</v>
      </c>
      <c r="F144" s="311"/>
      <c r="G144" s="312" t="s">
        <v>195</v>
      </c>
      <c r="H144" s="310">
        <v>1</v>
      </c>
      <c r="I144" s="311">
        <v>86.22</v>
      </c>
      <c r="J144" s="310"/>
      <c r="K144" s="311"/>
    </row>
    <row r="145" spans="1:22" ht="15" x14ac:dyDescent="0.25">
      <c r="A145" s="313"/>
      <c r="B145" s="313"/>
      <c r="C145" s="314" t="s">
        <v>183</v>
      </c>
      <c r="D145" s="313"/>
      <c r="E145" s="313"/>
      <c r="F145" s="313"/>
      <c r="G145" s="313"/>
      <c r="H145" s="472">
        <v>9473.2099999999991</v>
      </c>
      <c r="I145" s="472"/>
      <c r="J145" s="472">
        <v>89339.24</v>
      </c>
      <c r="K145" s="472"/>
      <c r="O145" s="284">
        <f>I133+I134+I136+I141+I142+I143+SUM(I137:I140)</f>
        <v>9473.2099999999991</v>
      </c>
      <c r="P145" s="284">
        <f>K133+K134+K136+K141+K142+K143+SUM(K137:K140)</f>
        <v>89339.24</v>
      </c>
    </row>
    <row r="147" spans="1:22" ht="71.25" x14ac:dyDescent="0.2">
      <c r="A147" s="301" t="s">
        <v>1778</v>
      </c>
      <c r="B147" s="302" t="s">
        <v>3354</v>
      </c>
      <c r="C147" s="302" t="s">
        <v>1111</v>
      </c>
      <c r="D147" s="303" t="s">
        <v>1686</v>
      </c>
      <c r="E147" s="286">
        <v>1.1000000000000001</v>
      </c>
      <c r="F147" s="304"/>
      <c r="G147" s="305"/>
      <c r="H147" s="286"/>
      <c r="I147" s="304"/>
      <c r="J147" s="286"/>
      <c r="K147" s="304"/>
      <c r="Q147" s="281">
        <f>[12]Source!X92</f>
        <v>93.88</v>
      </c>
      <c r="R147" s="281">
        <f>[12]Source!X93</f>
        <v>1761.48</v>
      </c>
      <c r="S147" s="281">
        <f>[12]Source!Y92</f>
        <v>58.67</v>
      </c>
      <c r="T147" s="281">
        <f>[12]Source!Y93</f>
        <v>841.6</v>
      </c>
      <c r="U147" s="281">
        <f>ROUND((175/100)*ROUND([12]Source!R92, 2), 2)</f>
        <v>0.75</v>
      </c>
      <c r="V147" s="281">
        <f>ROUND((157/100)*ROUND([12]Source!R93, 2), 2)</f>
        <v>15.76</v>
      </c>
    </row>
    <row r="148" spans="1:22" x14ac:dyDescent="0.2">
      <c r="C148" s="316" t="s">
        <v>3415</v>
      </c>
    </row>
    <row r="149" spans="1:22" ht="14.25" x14ac:dyDescent="0.2">
      <c r="A149" s="301"/>
      <c r="B149" s="302"/>
      <c r="C149" s="302" t="s">
        <v>197</v>
      </c>
      <c r="D149" s="303"/>
      <c r="E149" s="286"/>
      <c r="F149" s="304">
        <v>76.2</v>
      </c>
      <c r="G149" s="305" t="s">
        <v>195</v>
      </c>
      <c r="H149" s="286">
        <v>1</v>
      </c>
      <c r="I149" s="304">
        <v>83.82</v>
      </c>
      <c r="J149" s="286">
        <v>23.35</v>
      </c>
      <c r="K149" s="304">
        <v>1957.2</v>
      </c>
    </row>
    <row r="150" spans="1:22" ht="14.25" x14ac:dyDescent="0.2">
      <c r="A150" s="301"/>
      <c r="B150" s="302"/>
      <c r="C150" s="302" t="s">
        <v>184</v>
      </c>
      <c r="D150" s="303"/>
      <c r="E150" s="286"/>
      <c r="F150" s="304">
        <v>1.69</v>
      </c>
      <c r="G150" s="305" t="s">
        <v>195</v>
      </c>
      <c r="H150" s="286">
        <v>1</v>
      </c>
      <c r="I150" s="304">
        <v>1.86</v>
      </c>
      <c r="J150" s="286">
        <v>9.5</v>
      </c>
      <c r="K150" s="304">
        <v>17.670000000000002</v>
      </c>
    </row>
    <row r="151" spans="1:22" ht="14.25" x14ac:dyDescent="0.2">
      <c r="A151" s="301"/>
      <c r="B151" s="302"/>
      <c r="C151" s="302" t="s">
        <v>189</v>
      </c>
      <c r="D151" s="303"/>
      <c r="E151" s="286"/>
      <c r="F151" s="304">
        <v>0.39</v>
      </c>
      <c r="G151" s="305" t="s">
        <v>195</v>
      </c>
      <c r="H151" s="286">
        <v>1</v>
      </c>
      <c r="I151" s="306">
        <v>0.43</v>
      </c>
      <c r="J151" s="286">
        <v>23.35</v>
      </c>
      <c r="K151" s="306">
        <v>10.039999999999999</v>
      </c>
    </row>
    <row r="152" spans="1:22" ht="14.25" x14ac:dyDescent="0.2">
      <c r="A152" s="301"/>
      <c r="B152" s="302"/>
      <c r="C152" s="302" t="s">
        <v>205</v>
      </c>
      <c r="D152" s="303"/>
      <c r="E152" s="286"/>
      <c r="F152" s="304">
        <v>9.94</v>
      </c>
      <c r="G152" s="305" t="s">
        <v>195</v>
      </c>
      <c r="H152" s="286">
        <v>1</v>
      </c>
      <c r="I152" s="304">
        <v>10.93</v>
      </c>
      <c r="J152" s="286">
        <v>5.42</v>
      </c>
      <c r="K152" s="304">
        <v>59.24</v>
      </c>
    </row>
    <row r="153" spans="1:22" ht="114" x14ac:dyDescent="0.2">
      <c r="A153" s="301" t="s">
        <v>1779</v>
      </c>
      <c r="B153" s="302" t="s">
        <v>3512</v>
      </c>
      <c r="C153" s="302" t="s">
        <v>1161</v>
      </c>
      <c r="D153" s="303" t="s">
        <v>3367</v>
      </c>
      <c r="E153" s="286">
        <v>0.11219999999999999</v>
      </c>
      <c r="F153" s="304">
        <v>21349.79</v>
      </c>
      <c r="G153" s="315" t="s">
        <v>195</v>
      </c>
      <c r="H153" s="286">
        <v>1</v>
      </c>
      <c r="I153" s="304">
        <v>2395.4499999999998</v>
      </c>
      <c r="J153" s="286">
        <v>1.71</v>
      </c>
      <c r="K153" s="304">
        <v>4096.22</v>
      </c>
      <c r="Q153" s="281">
        <f>[12]Source!X94</f>
        <v>0</v>
      </c>
      <c r="R153" s="281">
        <f>[12]Source!X95</f>
        <v>0</v>
      </c>
      <c r="S153" s="281">
        <f>[12]Source!Y94</f>
        <v>0</v>
      </c>
      <c r="T153" s="281">
        <f>[12]Source!Y95</f>
        <v>0</v>
      </c>
      <c r="U153" s="281">
        <f>ROUND((175/100)*ROUND([12]Source!R94, 2), 2)</f>
        <v>0</v>
      </c>
      <c r="V153" s="281">
        <f>ROUND((157/100)*ROUND([12]Source!R95, 2), 2)</f>
        <v>0</v>
      </c>
    </row>
    <row r="154" spans="1:22" ht="14.25" x14ac:dyDescent="0.2">
      <c r="A154" s="301"/>
      <c r="B154" s="302"/>
      <c r="C154" s="302" t="s">
        <v>194</v>
      </c>
      <c r="D154" s="303" t="s">
        <v>187</v>
      </c>
      <c r="E154" s="286">
        <v>112</v>
      </c>
      <c r="F154" s="304"/>
      <c r="G154" s="305"/>
      <c r="H154" s="286"/>
      <c r="I154" s="304">
        <v>93.88</v>
      </c>
      <c r="J154" s="286">
        <v>90</v>
      </c>
      <c r="K154" s="304">
        <v>1761.48</v>
      </c>
    </row>
    <row r="155" spans="1:22" ht="14.25" x14ac:dyDescent="0.2">
      <c r="A155" s="301"/>
      <c r="B155" s="302"/>
      <c r="C155" s="302" t="s">
        <v>193</v>
      </c>
      <c r="D155" s="303" t="s">
        <v>187</v>
      </c>
      <c r="E155" s="286">
        <v>70</v>
      </c>
      <c r="F155" s="304"/>
      <c r="G155" s="305"/>
      <c r="H155" s="286"/>
      <c r="I155" s="304">
        <v>58.67</v>
      </c>
      <c r="J155" s="286">
        <v>43</v>
      </c>
      <c r="K155" s="304">
        <v>841.6</v>
      </c>
    </row>
    <row r="156" spans="1:22" ht="14.25" x14ac:dyDescent="0.2">
      <c r="A156" s="301"/>
      <c r="B156" s="302"/>
      <c r="C156" s="302" t="s">
        <v>188</v>
      </c>
      <c r="D156" s="303" t="s">
        <v>187</v>
      </c>
      <c r="E156" s="286">
        <v>175</v>
      </c>
      <c r="F156" s="304"/>
      <c r="G156" s="305"/>
      <c r="H156" s="286"/>
      <c r="I156" s="304">
        <v>0.75</v>
      </c>
      <c r="J156" s="286">
        <v>157</v>
      </c>
      <c r="K156" s="304">
        <v>15.76</v>
      </c>
    </row>
    <row r="157" spans="1:22" ht="14.25" x14ac:dyDescent="0.2">
      <c r="A157" s="307"/>
      <c r="B157" s="308"/>
      <c r="C157" s="308" t="s">
        <v>192</v>
      </c>
      <c r="D157" s="309" t="s">
        <v>191</v>
      </c>
      <c r="E157" s="310">
        <v>6.18</v>
      </c>
      <c r="F157" s="311"/>
      <c r="G157" s="312" t="s">
        <v>195</v>
      </c>
      <c r="H157" s="310">
        <v>1</v>
      </c>
      <c r="I157" s="311">
        <v>6.8</v>
      </c>
      <c r="J157" s="310"/>
      <c r="K157" s="311"/>
    </row>
    <row r="158" spans="1:22" ht="15" x14ac:dyDescent="0.25">
      <c r="A158" s="313"/>
      <c r="B158" s="313"/>
      <c r="C158" s="314" t="s">
        <v>183</v>
      </c>
      <c r="D158" s="313"/>
      <c r="E158" s="313"/>
      <c r="F158" s="313"/>
      <c r="G158" s="313"/>
      <c r="H158" s="472">
        <v>2645.36</v>
      </c>
      <c r="I158" s="472"/>
      <c r="J158" s="472">
        <v>8749.17</v>
      </c>
      <c r="K158" s="472"/>
      <c r="O158" s="284">
        <f>I149+I150+I152+I154+I155+I156+SUM(I153:I153)</f>
        <v>2645.36</v>
      </c>
      <c r="P158" s="284">
        <f>K149+K150+K152+K154+K155+K156+SUM(K153:K153)</f>
        <v>8749.17</v>
      </c>
    </row>
    <row r="160" spans="1:22" ht="71.25" x14ac:dyDescent="0.2">
      <c r="A160" s="301" t="s">
        <v>1780</v>
      </c>
      <c r="B160" s="302" t="s">
        <v>3354</v>
      </c>
      <c r="C160" s="302" t="s">
        <v>1111</v>
      </c>
      <c r="D160" s="303" t="s">
        <v>1686</v>
      </c>
      <c r="E160" s="286">
        <v>0.3</v>
      </c>
      <c r="F160" s="304"/>
      <c r="G160" s="305"/>
      <c r="H160" s="286"/>
      <c r="I160" s="304"/>
      <c r="J160" s="286"/>
      <c r="K160" s="304"/>
      <c r="Q160" s="281">
        <f>[12]Source!X96</f>
        <v>25.6</v>
      </c>
      <c r="R160" s="281">
        <f>[12]Source!X97</f>
        <v>480.4</v>
      </c>
      <c r="S160" s="281">
        <f>[12]Source!Y96</f>
        <v>16</v>
      </c>
      <c r="T160" s="281">
        <f>[12]Source!Y97</f>
        <v>229.53</v>
      </c>
      <c r="U160" s="281">
        <f>ROUND((175/100)*ROUND([12]Source!R96, 2), 2)</f>
        <v>0.21</v>
      </c>
      <c r="V160" s="281">
        <f>ROUND((157/100)*ROUND([12]Source!R97, 2), 2)</f>
        <v>4.4000000000000004</v>
      </c>
    </row>
    <row r="161" spans="1:22" x14ac:dyDescent="0.2">
      <c r="C161" s="316" t="s">
        <v>3334</v>
      </c>
    </row>
    <row r="162" spans="1:22" ht="14.25" x14ac:dyDescent="0.2">
      <c r="A162" s="301"/>
      <c r="B162" s="302"/>
      <c r="C162" s="302" t="s">
        <v>197</v>
      </c>
      <c r="D162" s="303"/>
      <c r="E162" s="286"/>
      <c r="F162" s="304">
        <v>76.2</v>
      </c>
      <c r="G162" s="305" t="s">
        <v>195</v>
      </c>
      <c r="H162" s="286">
        <v>1</v>
      </c>
      <c r="I162" s="304">
        <v>22.86</v>
      </c>
      <c r="J162" s="286">
        <v>23.35</v>
      </c>
      <c r="K162" s="304">
        <v>533.78</v>
      </c>
    </row>
    <row r="163" spans="1:22" ht="14.25" x14ac:dyDescent="0.2">
      <c r="A163" s="301"/>
      <c r="B163" s="302"/>
      <c r="C163" s="302" t="s">
        <v>184</v>
      </c>
      <c r="D163" s="303"/>
      <c r="E163" s="286"/>
      <c r="F163" s="304">
        <v>1.69</v>
      </c>
      <c r="G163" s="305" t="s">
        <v>195</v>
      </c>
      <c r="H163" s="286">
        <v>1</v>
      </c>
      <c r="I163" s="304">
        <v>0.51</v>
      </c>
      <c r="J163" s="286">
        <v>9.5</v>
      </c>
      <c r="K163" s="304">
        <v>4.8499999999999996</v>
      </c>
    </row>
    <row r="164" spans="1:22" ht="14.25" x14ac:dyDescent="0.2">
      <c r="A164" s="301"/>
      <c r="B164" s="302"/>
      <c r="C164" s="302" t="s">
        <v>189</v>
      </c>
      <c r="D164" s="303"/>
      <c r="E164" s="286"/>
      <c r="F164" s="304">
        <v>0.39</v>
      </c>
      <c r="G164" s="305" t="s">
        <v>195</v>
      </c>
      <c r="H164" s="286">
        <v>1</v>
      </c>
      <c r="I164" s="306">
        <v>0.12</v>
      </c>
      <c r="J164" s="286">
        <v>23.35</v>
      </c>
      <c r="K164" s="306">
        <v>2.8</v>
      </c>
    </row>
    <row r="165" spans="1:22" ht="14.25" x14ac:dyDescent="0.2">
      <c r="A165" s="301"/>
      <c r="B165" s="302"/>
      <c r="C165" s="302" t="s">
        <v>205</v>
      </c>
      <c r="D165" s="303"/>
      <c r="E165" s="286"/>
      <c r="F165" s="304">
        <v>9.94</v>
      </c>
      <c r="G165" s="305" t="s">
        <v>195</v>
      </c>
      <c r="H165" s="286">
        <v>1</v>
      </c>
      <c r="I165" s="304">
        <v>2.98</v>
      </c>
      <c r="J165" s="286">
        <v>5.42</v>
      </c>
      <c r="K165" s="304">
        <v>16.149999999999999</v>
      </c>
    </row>
    <row r="166" spans="1:22" ht="71.25" x14ac:dyDescent="0.2">
      <c r="A166" s="301" t="s">
        <v>1783</v>
      </c>
      <c r="B166" s="302" t="s">
        <v>3513</v>
      </c>
      <c r="C166" s="302" t="s">
        <v>1188</v>
      </c>
      <c r="D166" s="303" t="s">
        <v>3367</v>
      </c>
      <c r="E166" s="286">
        <v>3.0599999999999999E-2</v>
      </c>
      <c r="F166" s="304">
        <v>3746.55</v>
      </c>
      <c r="G166" s="315" t="s">
        <v>195</v>
      </c>
      <c r="H166" s="286">
        <v>1</v>
      </c>
      <c r="I166" s="304">
        <v>114.64</v>
      </c>
      <c r="J166" s="286">
        <v>18.649999999999999</v>
      </c>
      <c r="K166" s="304">
        <v>2138.04</v>
      </c>
      <c r="Q166" s="281">
        <f>[12]Source!X98</f>
        <v>0</v>
      </c>
      <c r="R166" s="281">
        <f>[12]Source!X99</f>
        <v>0</v>
      </c>
      <c r="S166" s="281">
        <f>[12]Source!Y98</f>
        <v>0</v>
      </c>
      <c r="T166" s="281">
        <f>[12]Source!Y99</f>
        <v>0</v>
      </c>
      <c r="U166" s="281">
        <f>ROUND((175/100)*ROUND([12]Source!R98, 2), 2)</f>
        <v>0</v>
      </c>
      <c r="V166" s="281">
        <f>ROUND((157/100)*ROUND([12]Source!R99, 2), 2)</f>
        <v>0</v>
      </c>
    </row>
    <row r="167" spans="1:22" ht="14.25" x14ac:dyDescent="0.2">
      <c r="A167" s="301"/>
      <c r="B167" s="302"/>
      <c r="C167" s="302" t="s">
        <v>194</v>
      </c>
      <c r="D167" s="303" t="s">
        <v>187</v>
      </c>
      <c r="E167" s="286">
        <v>112</v>
      </c>
      <c r="F167" s="304"/>
      <c r="G167" s="305"/>
      <c r="H167" s="286"/>
      <c r="I167" s="304">
        <v>25.6</v>
      </c>
      <c r="J167" s="286">
        <v>90</v>
      </c>
      <c r="K167" s="304">
        <v>480.4</v>
      </c>
    </row>
    <row r="168" spans="1:22" ht="14.25" x14ac:dyDescent="0.2">
      <c r="A168" s="301"/>
      <c r="B168" s="302"/>
      <c r="C168" s="302" t="s">
        <v>193</v>
      </c>
      <c r="D168" s="303" t="s">
        <v>187</v>
      </c>
      <c r="E168" s="286">
        <v>70</v>
      </c>
      <c r="F168" s="304"/>
      <c r="G168" s="305"/>
      <c r="H168" s="286"/>
      <c r="I168" s="304">
        <v>16</v>
      </c>
      <c r="J168" s="286">
        <v>43</v>
      </c>
      <c r="K168" s="304">
        <v>229.53</v>
      </c>
    </row>
    <row r="169" spans="1:22" ht="14.25" x14ac:dyDescent="0.2">
      <c r="A169" s="301"/>
      <c r="B169" s="302"/>
      <c r="C169" s="302" t="s">
        <v>188</v>
      </c>
      <c r="D169" s="303" t="s">
        <v>187</v>
      </c>
      <c r="E169" s="286">
        <v>175</v>
      </c>
      <c r="F169" s="304"/>
      <c r="G169" s="305"/>
      <c r="H169" s="286"/>
      <c r="I169" s="304">
        <v>0.21</v>
      </c>
      <c r="J169" s="286">
        <v>157</v>
      </c>
      <c r="K169" s="304">
        <v>4.4000000000000004</v>
      </c>
    </row>
    <row r="170" spans="1:22" ht="14.25" x14ac:dyDescent="0.2">
      <c r="A170" s="307"/>
      <c r="B170" s="308"/>
      <c r="C170" s="308" t="s">
        <v>192</v>
      </c>
      <c r="D170" s="309" t="s">
        <v>191</v>
      </c>
      <c r="E170" s="310">
        <v>6.18</v>
      </c>
      <c r="F170" s="311"/>
      <c r="G170" s="312" t="s">
        <v>195</v>
      </c>
      <c r="H170" s="310">
        <v>1</v>
      </c>
      <c r="I170" s="311">
        <v>1.85</v>
      </c>
      <c r="J170" s="310"/>
      <c r="K170" s="311"/>
    </row>
    <row r="171" spans="1:22" ht="15" x14ac:dyDescent="0.25">
      <c r="A171" s="313"/>
      <c r="B171" s="313"/>
      <c r="C171" s="314" t="s">
        <v>183</v>
      </c>
      <c r="D171" s="313"/>
      <c r="E171" s="313"/>
      <c r="F171" s="313"/>
      <c r="G171" s="313"/>
      <c r="H171" s="472">
        <v>182.8</v>
      </c>
      <c r="I171" s="472"/>
      <c r="J171" s="472">
        <v>3407.15</v>
      </c>
      <c r="K171" s="472"/>
      <c r="O171" s="284">
        <f>I162+I163+I165+I167+I168+I169+SUM(I166:I166)</f>
        <v>182.8</v>
      </c>
      <c r="P171" s="284">
        <f>K162+K163+K165+K167+K168+K169+SUM(K166:K166)</f>
        <v>3407.15</v>
      </c>
    </row>
    <row r="173" spans="1:22" ht="71.25" x14ac:dyDescent="0.2">
      <c r="A173" s="301" t="s">
        <v>1784</v>
      </c>
      <c r="B173" s="302" t="s">
        <v>3354</v>
      </c>
      <c r="C173" s="302" t="s">
        <v>1111</v>
      </c>
      <c r="D173" s="303" t="s">
        <v>1686</v>
      </c>
      <c r="E173" s="286">
        <v>0.3</v>
      </c>
      <c r="F173" s="304"/>
      <c r="G173" s="305"/>
      <c r="H173" s="286"/>
      <c r="I173" s="304"/>
      <c r="J173" s="286"/>
      <c r="K173" s="304"/>
      <c r="Q173" s="281">
        <f>[12]Source!X102</f>
        <v>25.6</v>
      </c>
      <c r="R173" s="281">
        <f>[12]Source!X103</f>
        <v>480.4</v>
      </c>
      <c r="S173" s="281">
        <f>[12]Source!Y102</f>
        <v>16</v>
      </c>
      <c r="T173" s="281">
        <f>[12]Source!Y103</f>
        <v>229.53</v>
      </c>
      <c r="U173" s="281">
        <f>ROUND((175/100)*ROUND([12]Source!R102, 2), 2)</f>
        <v>0.21</v>
      </c>
      <c r="V173" s="281">
        <f>ROUND((157/100)*ROUND([12]Source!R103, 2), 2)</f>
        <v>4.4000000000000004</v>
      </c>
    </row>
    <row r="174" spans="1:22" x14ac:dyDescent="0.2">
      <c r="C174" s="316" t="s">
        <v>3334</v>
      </c>
    </row>
    <row r="175" spans="1:22" ht="14.25" x14ac:dyDescent="0.2">
      <c r="A175" s="301"/>
      <c r="B175" s="302"/>
      <c r="C175" s="302" t="s">
        <v>197</v>
      </c>
      <c r="D175" s="303"/>
      <c r="E175" s="286"/>
      <c r="F175" s="304">
        <v>76.2</v>
      </c>
      <c r="G175" s="305" t="s">
        <v>195</v>
      </c>
      <c r="H175" s="286">
        <v>1</v>
      </c>
      <c r="I175" s="304">
        <v>22.86</v>
      </c>
      <c r="J175" s="286">
        <v>23.35</v>
      </c>
      <c r="K175" s="304">
        <v>533.78</v>
      </c>
    </row>
    <row r="176" spans="1:22" ht="14.25" x14ac:dyDescent="0.2">
      <c r="A176" s="301"/>
      <c r="B176" s="302"/>
      <c r="C176" s="302" t="s">
        <v>184</v>
      </c>
      <c r="D176" s="303"/>
      <c r="E176" s="286"/>
      <c r="F176" s="304">
        <v>1.69</v>
      </c>
      <c r="G176" s="305" t="s">
        <v>195</v>
      </c>
      <c r="H176" s="286">
        <v>1</v>
      </c>
      <c r="I176" s="304">
        <v>0.51</v>
      </c>
      <c r="J176" s="286">
        <v>9.5</v>
      </c>
      <c r="K176" s="304">
        <v>4.8499999999999996</v>
      </c>
    </row>
    <row r="177" spans="1:22" ht="14.25" x14ac:dyDescent="0.2">
      <c r="A177" s="301"/>
      <c r="B177" s="302"/>
      <c r="C177" s="302" t="s">
        <v>189</v>
      </c>
      <c r="D177" s="303"/>
      <c r="E177" s="286"/>
      <c r="F177" s="304">
        <v>0.39</v>
      </c>
      <c r="G177" s="305" t="s">
        <v>195</v>
      </c>
      <c r="H177" s="286">
        <v>1</v>
      </c>
      <c r="I177" s="306">
        <v>0.12</v>
      </c>
      <c r="J177" s="286">
        <v>23.35</v>
      </c>
      <c r="K177" s="306">
        <v>2.8</v>
      </c>
    </row>
    <row r="178" spans="1:22" ht="14.25" x14ac:dyDescent="0.2">
      <c r="A178" s="301"/>
      <c r="B178" s="302"/>
      <c r="C178" s="302" t="s">
        <v>205</v>
      </c>
      <c r="D178" s="303"/>
      <c r="E178" s="286"/>
      <c r="F178" s="304">
        <v>9.94</v>
      </c>
      <c r="G178" s="305" t="s">
        <v>195</v>
      </c>
      <c r="H178" s="286">
        <v>1</v>
      </c>
      <c r="I178" s="304">
        <v>2.98</v>
      </c>
      <c r="J178" s="286">
        <v>5.42</v>
      </c>
      <c r="K178" s="304">
        <v>16.149999999999999</v>
      </c>
    </row>
    <row r="179" spans="1:22" ht="71.25" x14ac:dyDescent="0.2">
      <c r="A179" s="301" t="s">
        <v>1787</v>
      </c>
      <c r="B179" s="302" t="s">
        <v>3514</v>
      </c>
      <c r="C179" s="302" t="s">
        <v>1187</v>
      </c>
      <c r="D179" s="303" t="s">
        <v>3367</v>
      </c>
      <c r="E179" s="286">
        <v>3.0599999999999999E-2</v>
      </c>
      <c r="F179" s="304">
        <v>13568.48</v>
      </c>
      <c r="G179" s="315" t="s">
        <v>195</v>
      </c>
      <c r="H179" s="286">
        <v>1</v>
      </c>
      <c r="I179" s="304">
        <v>415.2</v>
      </c>
      <c r="J179" s="286">
        <v>6.6</v>
      </c>
      <c r="K179" s="304">
        <v>2740.32</v>
      </c>
      <c r="Q179" s="281">
        <f>[12]Source!X104</f>
        <v>0</v>
      </c>
      <c r="R179" s="281">
        <f>[12]Source!X105</f>
        <v>0</v>
      </c>
      <c r="S179" s="281">
        <f>[12]Source!Y104</f>
        <v>0</v>
      </c>
      <c r="T179" s="281">
        <f>[12]Source!Y105</f>
        <v>0</v>
      </c>
      <c r="U179" s="281">
        <f>ROUND((175/100)*ROUND([12]Source!R104, 2), 2)</f>
        <v>0</v>
      </c>
      <c r="V179" s="281">
        <f>ROUND((157/100)*ROUND([12]Source!R105, 2), 2)</f>
        <v>0</v>
      </c>
    </row>
    <row r="180" spans="1:22" ht="14.25" x14ac:dyDescent="0.2">
      <c r="A180" s="301"/>
      <c r="B180" s="302"/>
      <c r="C180" s="302" t="s">
        <v>194</v>
      </c>
      <c r="D180" s="303" t="s">
        <v>187</v>
      </c>
      <c r="E180" s="286">
        <v>112</v>
      </c>
      <c r="F180" s="304"/>
      <c r="G180" s="305"/>
      <c r="H180" s="286"/>
      <c r="I180" s="304">
        <v>25.6</v>
      </c>
      <c r="J180" s="286">
        <v>90</v>
      </c>
      <c r="K180" s="304">
        <v>480.4</v>
      </c>
    </row>
    <row r="181" spans="1:22" ht="14.25" x14ac:dyDescent="0.2">
      <c r="A181" s="301"/>
      <c r="B181" s="302"/>
      <c r="C181" s="302" t="s">
        <v>193</v>
      </c>
      <c r="D181" s="303" t="s">
        <v>187</v>
      </c>
      <c r="E181" s="286">
        <v>70</v>
      </c>
      <c r="F181" s="304"/>
      <c r="G181" s="305"/>
      <c r="H181" s="286"/>
      <c r="I181" s="304">
        <v>16</v>
      </c>
      <c r="J181" s="286">
        <v>43</v>
      </c>
      <c r="K181" s="304">
        <v>229.53</v>
      </c>
    </row>
    <row r="182" spans="1:22" ht="14.25" x14ac:dyDescent="0.2">
      <c r="A182" s="301"/>
      <c r="B182" s="302"/>
      <c r="C182" s="302" t="s">
        <v>188</v>
      </c>
      <c r="D182" s="303" t="s">
        <v>187</v>
      </c>
      <c r="E182" s="286">
        <v>175</v>
      </c>
      <c r="F182" s="304"/>
      <c r="G182" s="305"/>
      <c r="H182" s="286"/>
      <c r="I182" s="304">
        <v>0.21</v>
      </c>
      <c r="J182" s="286">
        <v>157</v>
      </c>
      <c r="K182" s="304">
        <v>4.4000000000000004</v>
      </c>
    </row>
    <row r="183" spans="1:22" ht="14.25" x14ac:dyDescent="0.2">
      <c r="A183" s="307"/>
      <c r="B183" s="308"/>
      <c r="C183" s="308" t="s">
        <v>192</v>
      </c>
      <c r="D183" s="309" t="s">
        <v>191</v>
      </c>
      <c r="E183" s="310">
        <v>6.18</v>
      </c>
      <c r="F183" s="311"/>
      <c r="G183" s="312" t="s">
        <v>195</v>
      </c>
      <c r="H183" s="310">
        <v>1</v>
      </c>
      <c r="I183" s="311">
        <v>1.85</v>
      </c>
      <c r="J183" s="310"/>
      <c r="K183" s="311"/>
    </row>
    <row r="184" spans="1:22" ht="15" x14ac:dyDescent="0.25">
      <c r="A184" s="313"/>
      <c r="B184" s="313"/>
      <c r="C184" s="314" t="s">
        <v>183</v>
      </c>
      <c r="D184" s="313"/>
      <c r="E184" s="313"/>
      <c r="F184" s="313"/>
      <c r="G184" s="313"/>
      <c r="H184" s="472">
        <v>483.36</v>
      </c>
      <c r="I184" s="472"/>
      <c r="J184" s="472">
        <v>4009.43</v>
      </c>
      <c r="K184" s="472"/>
      <c r="O184" s="284">
        <f>I175+I176+I178+I180+I181+I182+SUM(I179:I179)</f>
        <v>483.36</v>
      </c>
      <c r="P184" s="284">
        <f>K175+K176+K178+K180+K181+K182+SUM(K179:K179)</f>
        <v>4009.43</v>
      </c>
    </row>
    <row r="186" spans="1:22" ht="71.25" x14ac:dyDescent="0.2">
      <c r="A186" s="301" t="s">
        <v>1789</v>
      </c>
      <c r="B186" s="302" t="s">
        <v>3455</v>
      </c>
      <c r="C186" s="302" t="s">
        <v>1165</v>
      </c>
      <c r="D186" s="303" t="s">
        <v>1686</v>
      </c>
      <c r="E186" s="286">
        <v>2.4</v>
      </c>
      <c r="F186" s="304"/>
      <c r="G186" s="305"/>
      <c r="H186" s="286"/>
      <c r="I186" s="304"/>
      <c r="J186" s="286"/>
      <c r="K186" s="304"/>
      <c r="Q186" s="281">
        <f>[12]Source!X108</f>
        <v>170.69</v>
      </c>
      <c r="R186" s="281">
        <f>[12]Source!X109</f>
        <v>3202.69</v>
      </c>
      <c r="S186" s="281">
        <f>[12]Source!Y108</f>
        <v>106.68</v>
      </c>
      <c r="T186" s="281">
        <f>[12]Source!Y109</f>
        <v>1530.17</v>
      </c>
      <c r="U186" s="281">
        <f>ROUND((175/100)*ROUND([12]Source!R108, 2), 2)</f>
        <v>0.84</v>
      </c>
      <c r="V186" s="281">
        <f>ROUND((157/100)*ROUND([12]Source!R109, 2), 2)</f>
        <v>17.600000000000001</v>
      </c>
    </row>
    <row r="187" spans="1:22" x14ac:dyDescent="0.2">
      <c r="C187" s="316" t="s">
        <v>3515</v>
      </c>
    </row>
    <row r="188" spans="1:22" ht="14.25" x14ac:dyDescent="0.2">
      <c r="A188" s="301"/>
      <c r="B188" s="302"/>
      <c r="C188" s="302" t="s">
        <v>197</v>
      </c>
      <c r="D188" s="303"/>
      <c r="E188" s="286"/>
      <c r="F188" s="304">
        <v>63.5</v>
      </c>
      <c r="G188" s="305" t="s">
        <v>195</v>
      </c>
      <c r="H188" s="286">
        <v>1</v>
      </c>
      <c r="I188" s="304">
        <v>152.4</v>
      </c>
      <c r="J188" s="286">
        <v>23.35</v>
      </c>
      <c r="K188" s="304">
        <v>3558.54</v>
      </c>
    </row>
    <row r="189" spans="1:22" ht="14.25" x14ac:dyDescent="0.2">
      <c r="A189" s="301"/>
      <c r="B189" s="302"/>
      <c r="C189" s="302" t="s">
        <v>184</v>
      </c>
      <c r="D189" s="303"/>
      <c r="E189" s="286"/>
      <c r="F189" s="304">
        <v>0.85</v>
      </c>
      <c r="G189" s="305" t="s">
        <v>195</v>
      </c>
      <c r="H189" s="286">
        <v>1</v>
      </c>
      <c r="I189" s="304">
        <v>2.04</v>
      </c>
      <c r="J189" s="286">
        <v>9.59</v>
      </c>
      <c r="K189" s="304">
        <v>19.559999999999999</v>
      </c>
    </row>
    <row r="190" spans="1:22" ht="14.25" x14ac:dyDescent="0.2">
      <c r="A190" s="301"/>
      <c r="B190" s="302"/>
      <c r="C190" s="302" t="s">
        <v>189</v>
      </c>
      <c r="D190" s="303"/>
      <c r="E190" s="286"/>
      <c r="F190" s="304">
        <v>0.2</v>
      </c>
      <c r="G190" s="305" t="s">
        <v>195</v>
      </c>
      <c r="H190" s="286">
        <v>1</v>
      </c>
      <c r="I190" s="306">
        <v>0.48</v>
      </c>
      <c r="J190" s="286">
        <v>23.35</v>
      </c>
      <c r="K190" s="306">
        <v>11.21</v>
      </c>
    </row>
    <row r="191" spans="1:22" ht="14.25" x14ac:dyDescent="0.2">
      <c r="A191" s="301"/>
      <c r="B191" s="302"/>
      <c r="C191" s="302" t="s">
        <v>205</v>
      </c>
      <c r="D191" s="303"/>
      <c r="E191" s="286"/>
      <c r="F191" s="304">
        <v>6.37</v>
      </c>
      <c r="G191" s="305" t="s">
        <v>195</v>
      </c>
      <c r="H191" s="286">
        <v>1</v>
      </c>
      <c r="I191" s="304">
        <v>15.29</v>
      </c>
      <c r="J191" s="286">
        <v>5.42</v>
      </c>
      <c r="K191" s="304">
        <v>82.87</v>
      </c>
    </row>
    <row r="192" spans="1:22" ht="96.75" x14ac:dyDescent="0.2">
      <c r="A192" s="301" t="s">
        <v>1790</v>
      </c>
      <c r="B192" s="302" t="s">
        <v>3448</v>
      </c>
      <c r="C192" s="302" t="s">
        <v>1186</v>
      </c>
      <c r="D192" s="303" t="s">
        <v>3516</v>
      </c>
      <c r="E192" s="286">
        <v>244.8</v>
      </c>
      <c r="F192" s="304">
        <v>2.5</v>
      </c>
      <c r="G192" s="315" t="s">
        <v>195</v>
      </c>
      <c r="H192" s="286">
        <v>1</v>
      </c>
      <c r="I192" s="304">
        <v>612</v>
      </c>
      <c r="J192" s="286">
        <v>5.42</v>
      </c>
      <c r="K192" s="304">
        <v>3317.04</v>
      </c>
      <c r="Q192" s="281">
        <f>[12]Source!X110</f>
        <v>0</v>
      </c>
      <c r="R192" s="281">
        <f>[12]Source!X111</f>
        <v>0</v>
      </c>
      <c r="S192" s="281">
        <f>[12]Source!Y110</f>
        <v>0</v>
      </c>
      <c r="T192" s="281">
        <f>[12]Source!Y111</f>
        <v>0</v>
      </c>
      <c r="U192" s="281">
        <f>ROUND((175/100)*ROUND([12]Source!R110, 2), 2)</f>
        <v>0</v>
      </c>
      <c r="V192" s="281">
        <f>ROUND((157/100)*ROUND([12]Source!R111, 2), 2)</f>
        <v>0</v>
      </c>
    </row>
    <row r="193" spans="1:22" ht="42.75" x14ac:dyDescent="0.2">
      <c r="A193" s="301" t="s">
        <v>1791</v>
      </c>
      <c r="B193" s="302" t="s">
        <v>3517</v>
      </c>
      <c r="C193" s="302" t="s">
        <v>1185</v>
      </c>
      <c r="D193" s="303" t="s">
        <v>1661</v>
      </c>
      <c r="E193" s="286">
        <v>4</v>
      </c>
      <c r="F193" s="304">
        <v>60.6</v>
      </c>
      <c r="G193" s="315" t="s">
        <v>195</v>
      </c>
      <c r="H193" s="286">
        <v>1</v>
      </c>
      <c r="I193" s="304">
        <v>242.4</v>
      </c>
      <c r="J193" s="286">
        <v>4.66</v>
      </c>
      <c r="K193" s="304">
        <v>1129.58</v>
      </c>
      <c r="Q193" s="281">
        <f>[12]Source!X112</f>
        <v>0</v>
      </c>
      <c r="R193" s="281">
        <f>[12]Source!X113</f>
        <v>0</v>
      </c>
      <c r="S193" s="281">
        <f>[12]Source!Y112</f>
        <v>0</v>
      </c>
      <c r="T193" s="281">
        <f>[12]Source!Y113</f>
        <v>0</v>
      </c>
      <c r="U193" s="281">
        <f>ROUND((175/100)*ROUND([12]Source!R112, 2), 2)</f>
        <v>0</v>
      </c>
      <c r="V193" s="281">
        <f>ROUND((157/100)*ROUND([12]Source!R113, 2), 2)</f>
        <v>0</v>
      </c>
    </row>
    <row r="194" spans="1:22" ht="28.5" x14ac:dyDescent="0.2">
      <c r="A194" s="301" t="s">
        <v>1792</v>
      </c>
      <c r="B194" s="302" t="s">
        <v>3518</v>
      </c>
      <c r="C194" s="302" t="s">
        <v>1184</v>
      </c>
      <c r="D194" s="303" t="s">
        <v>1661</v>
      </c>
      <c r="E194" s="286">
        <v>4</v>
      </c>
      <c r="F194" s="304">
        <v>5.79</v>
      </c>
      <c r="G194" s="315" t="s">
        <v>195</v>
      </c>
      <c r="H194" s="286">
        <v>1</v>
      </c>
      <c r="I194" s="304">
        <v>23.16</v>
      </c>
      <c r="J194" s="286">
        <v>2.35</v>
      </c>
      <c r="K194" s="304">
        <v>54.43</v>
      </c>
      <c r="Q194" s="281">
        <f>[12]Source!X114</f>
        <v>0</v>
      </c>
      <c r="R194" s="281">
        <f>[12]Source!X115</f>
        <v>0</v>
      </c>
      <c r="S194" s="281">
        <f>[12]Source!Y114</f>
        <v>0</v>
      </c>
      <c r="T194" s="281">
        <f>[12]Source!Y115</f>
        <v>0</v>
      </c>
      <c r="U194" s="281">
        <f>ROUND((175/100)*ROUND([12]Source!R114, 2), 2)</f>
        <v>0</v>
      </c>
      <c r="V194" s="281">
        <f>ROUND((157/100)*ROUND([12]Source!R115, 2), 2)</f>
        <v>0</v>
      </c>
    </row>
    <row r="195" spans="1:22" ht="14.25" x14ac:dyDescent="0.2">
      <c r="A195" s="301"/>
      <c r="B195" s="302"/>
      <c r="C195" s="302" t="s">
        <v>194</v>
      </c>
      <c r="D195" s="303" t="s">
        <v>187</v>
      </c>
      <c r="E195" s="286">
        <v>112</v>
      </c>
      <c r="F195" s="304"/>
      <c r="G195" s="305"/>
      <c r="H195" s="286"/>
      <c r="I195" s="304">
        <v>170.69</v>
      </c>
      <c r="J195" s="286">
        <v>90</v>
      </c>
      <c r="K195" s="304">
        <v>3202.69</v>
      </c>
    </row>
    <row r="196" spans="1:22" ht="14.25" x14ac:dyDescent="0.2">
      <c r="A196" s="301"/>
      <c r="B196" s="302"/>
      <c r="C196" s="302" t="s">
        <v>193</v>
      </c>
      <c r="D196" s="303" t="s">
        <v>187</v>
      </c>
      <c r="E196" s="286">
        <v>70</v>
      </c>
      <c r="F196" s="304"/>
      <c r="G196" s="305"/>
      <c r="H196" s="286"/>
      <c r="I196" s="304">
        <v>106.68</v>
      </c>
      <c r="J196" s="286">
        <v>43</v>
      </c>
      <c r="K196" s="304">
        <v>1530.17</v>
      </c>
    </row>
    <row r="197" spans="1:22" ht="14.25" x14ac:dyDescent="0.2">
      <c r="A197" s="301"/>
      <c r="B197" s="302"/>
      <c r="C197" s="302" t="s">
        <v>188</v>
      </c>
      <c r="D197" s="303" t="s">
        <v>187</v>
      </c>
      <c r="E197" s="286">
        <v>175</v>
      </c>
      <c r="F197" s="304"/>
      <c r="G197" s="305"/>
      <c r="H197" s="286"/>
      <c r="I197" s="304">
        <v>0.84</v>
      </c>
      <c r="J197" s="286">
        <v>157</v>
      </c>
      <c r="K197" s="304">
        <v>17.600000000000001</v>
      </c>
    </row>
    <row r="198" spans="1:22" ht="14.25" x14ac:dyDescent="0.2">
      <c r="A198" s="307"/>
      <c r="B198" s="308"/>
      <c r="C198" s="308" t="s">
        <v>192</v>
      </c>
      <c r="D198" s="309" t="s">
        <v>191</v>
      </c>
      <c r="E198" s="310">
        <v>5.15</v>
      </c>
      <c r="F198" s="311"/>
      <c r="G198" s="312" t="s">
        <v>195</v>
      </c>
      <c r="H198" s="310">
        <v>1</v>
      </c>
      <c r="I198" s="311">
        <v>12.36</v>
      </c>
      <c r="J198" s="310"/>
      <c r="K198" s="311"/>
    </row>
    <row r="199" spans="1:22" ht="15" x14ac:dyDescent="0.25">
      <c r="A199" s="313"/>
      <c r="B199" s="313"/>
      <c r="C199" s="314" t="s">
        <v>183</v>
      </c>
      <c r="D199" s="313"/>
      <c r="E199" s="313"/>
      <c r="F199" s="313"/>
      <c r="G199" s="313"/>
      <c r="H199" s="472">
        <v>1325.5</v>
      </c>
      <c r="I199" s="472"/>
      <c r="J199" s="472">
        <v>12912.48</v>
      </c>
      <c r="K199" s="472"/>
      <c r="O199" s="284">
        <f>I188+I189+I191+I195+I196+I197+SUM(I192:I194)</f>
        <v>1325.5</v>
      </c>
      <c r="P199" s="284">
        <f>K188+K189+K191+K195+K196+K197+SUM(K192:K194)</f>
        <v>12912.48</v>
      </c>
    </row>
    <row r="201" spans="1:22" ht="71.25" x14ac:dyDescent="0.2">
      <c r="A201" s="301" t="s">
        <v>1795</v>
      </c>
      <c r="B201" s="302" t="s">
        <v>3354</v>
      </c>
      <c r="C201" s="302" t="s">
        <v>1111</v>
      </c>
      <c r="D201" s="303" t="s">
        <v>1686</v>
      </c>
      <c r="E201" s="286">
        <v>1.3</v>
      </c>
      <c r="F201" s="304"/>
      <c r="G201" s="305"/>
      <c r="H201" s="286"/>
      <c r="I201" s="304"/>
      <c r="J201" s="286"/>
      <c r="K201" s="304"/>
      <c r="Q201" s="281">
        <f>[12]Source!X118</f>
        <v>110.95</v>
      </c>
      <c r="R201" s="281">
        <f>[12]Source!X119</f>
        <v>2081.75</v>
      </c>
      <c r="S201" s="281">
        <f>[12]Source!Y118</f>
        <v>69.34</v>
      </c>
      <c r="T201" s="281">
        <f>[12]Source!Y119</f>
        <v>994.61</v>
      </c>
      <c r="U201" s="281">
        <f>ROUND((175/100)*ROUND([12]Source!R118, 2), 2)</f>
        <v>0.89</v>
      </c>
      <c r="V201" s="281">
        <f>ROUND((157/100)*ROUND([12]Source!R119, 2), 2)</f>
        <v>18.7</v>
      </c>
    </row>
    <row r="202" spans="1:22" x14ac:dyDescent="0.2">
      <c r="C202" s="316" t="s">
        <v>3519</v>
      </c>
    </row>
    <row r="203" spans="1:22" ht="14.25" x14ac:dyDescent="0.2">
      <c r="A203" s="301"/>
      <c r="B203" s="302"/>
      <c r="C203" s="302" t="s">
        <v>197</v>
      </c>
      <c r="D203" s="303"/>
      <c r="E203" s="286"/>
      <c r="F203" s="304">
        <v>76.2</v>
      </c>
      <c r="G203" s="305" t="s">
        <v>195</v>
      </c>
      <c r="H203" s="286">
        <v>1</v>
      </c>
      <c r="I203" s="304">
        <v>99.06</v>
      </c>
      <c r="J203" s="286">
        <v>23.35</v>
      </c>
      <c r="K203" s="304">
        <v>2313.0500000000002</v>
      </c>
    </row>
    <row r="204" spans="1:22" ht="14.25" x14ac:dyDescent="0.2">
      <c r="A204" s="301"/>
      <c r="B204" s="302"/>
      <c r="C204" s="302" t="s">
        <v>184</v>
      </c>
      <c r="D204" s="303"/>
      <c r="E204" s="286"/>
      <c r="F204" s="304">
        <v>1.69</v>
      </c>
      <c r="G204" s="305" t="s">
        <v>195</v>
      </c>
      <c r="H204" s="286">
        <v>1</v>
      </c>
      <c r="I204" s="304">
        <v>2.2000000000000002</v>
      </c>
      <c r="J204" s="286">
        <v>9.5</v>
      </c>
      <c r="K204" s="304">
        <v>20.9</v>
      </c>
    </row>
    <row r="205" spans="1:22" ht="14.25" x14ac:dyDescent="0.2">
      <c r="A205" s="301"/>
      <c r="B205" s="302"/>
      <c r="C205" s="302" t="s">
        <v>189</v>
      </c>
      <c r="D205" s="303"/>
      <c r="E205" s="286"/>
      <c r="F205" s="304">
        <v>0.39</v>
      </c>
      <c r="G205" s="305" t="s">
        <v>195</v>
      </c>
      <c r="H205" s="286">
        <v>1</v>
      </c>
      <c r="I205" s="306">
        <v>0.51</v>
      </c>
      <c r="J205" s="286">
        <v>23.35</v>
      </c>
      <c r="K205" s="306">
        <v>11.91</v>
      </c>
    </row>
    <row r="206" spans="1:22" ht="14.25" x14ac:dyDescent="0.2">
      <c r="A206" s="301"/>
      <c r="B206" s="302"/>
      <c r="C206" s="302" t="s">
        <v>205</v>
      </c>
      <c r="D206" s="303"/>
      <c r="E206" s="286"/>
      <c r="F206" s="304">
        <v>9.94</v>
      </c>
      <c r="G206" s="305" t="s">
        <v>195</v>
      </c>
      <c r="H206" s="286">
        <v>1</v>
      </c>
      <c r="I206" s="304">
        <v>12.92</v>
      </c>
      <c r="J206" s="286">
        <v>5.42</v>
      </c>
      <c r="K206" s="304">
        <v>70.03</v>
      </c>
    </row>
    <row r="207" spans="1:22" ht="96.75" x14ac:dyDescent="0.2">
      <c r="A207" s="301" t="s">
        <v>1797</v>
      </c>
      <c r="B207" s="302" t="s">
        <v>3448</v>
      </c>
      <c r="C207" s="302" t="s">
        <v>1183</v>
      </c>
      <c r="D207" s="303" t="s">
        <v>3516</v>
      </c>
      <c r="E207" s="286">
        <v>132.6</v>
      </c>
      <c r="F207" s="304">
        <v>5.41</v>
      </c>
      <c r="G207" s="315" t="s">
        <v>195</v>
      </c>
      <c r="H207" s="286">
        <v>1</v>
      </c>
      <c r="I207" s="304">
        <v>717.37</v>
      </c>
      <c r="J207" s="286">
        <v>5.42</v>
      </c>
      <c r="K207" s="304">
        <v>3888.15</v>
      </c>
      <c r="Q207" s="281">
        <f>[12]Source!X120</f>
        <v>0</v>
      </c>
      <c r="R207" s="281">
        <f>[12]Source!X121</f>
        <v>0</v>
      </c>
      <c r="S207" s="281">
        <f>[12]Source!Y120</f>
        <v>0</v>
      </c>
      <c r="T207" s="281">
        <f>[12]Source!Y121</f>
        <v>0</v>
      </c>
      <c r="U207" s="281">
        <f>ROUND((175/100)*ROUND([12]Source!R120, 2), 2)</f>
        <v>0</v>
      </c>
      <c r="V207" s="281">
        <f>ROUND((157/100)*ROUND([12]Source!R121, 2), 2)</f>
        <v>0</v>
      </c>
    </row>
    <row r="208" spans="1:22" ht="14.25" x14ac:dyDescent="0.2">
      <c r="A208" s="301"/>
      <c r="B208" s="302"/>
      <c r="C208" s="302" t="s">
        <v>194</v>
      </c>
      <c r="D208" s="303" t="s">
        <v>187</v>
      </c>
      <c r="E208" s="286">
        <v>112</v>
      </c>
      <c r="F208" s="304"/>
      <c r="G208" s="305"/>
      <c r="H208" s="286"/>
      <c r="I208" s="304">
        <v>110.95</v>
      </c>
      <c r="J208" s="286">
        <v>90</v>
      </c>
      <c r="K208" s="304">
        <v>2081.75</v>
      </c>
    </row>
    <row r="209" spans="1:22" ht="14.25" x14ac:dyDescent="0.2">
      <c r="A209" s="301"/>
      <c r="B209" s="302"/>
      <c r="C209" s="302" t="s">
        <v>193</v>
      </c>
      <c r="D209" s="303" t="s">
        <v>187</v>
      </c>
      <c r="E209" s="286">
        <v>70</v>
      </c>
      <c r="F209" s="304"/>
      <c r="G209" s="305"/>
      <c r="H209" s="286"/>
      <c r="I209" s="304">
        <v>69.34</v>
      </c>
      <c r="J209" s="286">
        <v>43</v>
      </c>
      <c r="K209" s="304">
        <v>994.61</v>
      </c>
    </row>
    <row r="210" spans="1:22" ht="14.25" x14ac:dyDescent="0.2">
      <c r="A210" s="301"/>
      <c r="B210" s="302"/>
      <c r="C210" s="302" t="s">
        <v>188</v>
      </c>
      <c r="D210" s="303" t="s">
        <v>187</v>
      </c>
      <c r="E210" s="286">
        <v>175</v>
      </c>
      <c r="F210" s="304"/>
      <c r="G210" s="305"/>
      <c r="H210" s="286"/>
      <c r="I210" s="304">
        <v>0.89</v>
      </c>
      <c r="J210" s="286">
        <v>157</v>
      </c>
      <c r="K210" s="304">
        <v>18.7</v>
      </c>
    </row>
    <row r="211" spans="1:22" ht="14.25" x14ac:dyDescent="0.2">
      <c r="A211" s="307"/>
      <c r="B211" s="308"/>
      <c r="C211" s="308" t="s">
        <v>192</v>
      </c>
      <c r="D211" s="309" t="s">
        <v>191</v>
      </c>
      <c r="E211" s="310">
        <v>6.18</v>
      </c>
      <c r="F211" s="311"/>
      <c r="G211" s="312" t="s">
        <v>195</v>
      </c>
      <c r="H211" s="310">
        <v>1</v>
      </c>
      <c r="I211" s="311">
        <v>8.0299999999999994</v>
      </c>
      <c r="J211" s="310"/>
      <c r="K211" s="311"/>
    </row>
    <row r="212" spans="1:22" ht="15" x14ac:dyDescent="0.25">
      <c r="A212" s="313"/>
      <c r="B212" s="313"/>
      <c r="C212" s="314" t="s">
        <v>183</v>
      </c>
      <c r="D212" s="313"/>
      <c r="E212" s="313"/>
      <c r="F212" s="313"/>
      <c r="G212" s="313"/>
      <c r="H212" s="472">
        <v>1012.73</v>
      </c>
      <c r="I212" s="472"/>
      <c r="J212" s="472">
        <v>9387.19</v>
      </c>
      <c r="K212" s="472"/>
      <c r="O212" s="284">
        <f>I203+I204+I206+I208+I209+I210+SUM(I207:I207)</f>
        <v>1012.73</v>
      </c>
      <c r="P212" s="284">
        <f>K203+K204+K206+K208+K209+K210+SUM(K207:K207)</f>
        <v>9387.19</v>
      </c>
    </row>
    <row r="214" spans="1:22" ht="71.25" x14ac:dyDescent="0.2">
      <c r="A214" s="301" t="s">
        <v>1798</v>
      </c>
      <c r="B214" s="302" t="s">
        <v>3354</v>
      </c>
      <c r="C214" s="302" t="s">
        <v>1111</v>
      </c>
      <c r="D214" s="303" t="s">
        <v>1686</v>
      </c>
      <c r="E214" s="286">
        <v>0.6</v>
      </c>
      <c r="F214" s="304"/>
      <c r="G214" s="305"/>
      <c r="H214" s="286"/>
      <c r="I214" s="304"/>
      <c r="J214" s="286"/>
      <c r="K214" s="304"/>
      <c r="Q214" s="281">
        <f>[12]Source!X122</f>
        <v>51.21</v>
      </c>
      <c r="R214" s="281">
        <f>[12]Source!X123</f>
        <v>960.8</v>
      </c>
      <c r="S214" s="281">
        <f>[12]Source!Y122</f>
        <v>32</v>
      </c>
      <c r="T214" s="281">
        <f>[12]Source!Y123</f>
        <v>459.05</v>
      </c>
      <c r="U214" s="281">
        <f>ROUND((175/100)*ROUND([12]Source!R122, 2), 2)</f>
        <v>0.4</v>
      </c>
      <c r="V214" s="281">
        <f>ROUND((157/100)*ROUND([12]Source!R123, 2), 2)</f>
        <v>8.43</v>
      </c>
    </row>
    <row r="215" spans="1:22" x14ac:dyDescent="0.2">
      <c r="C215" s="316" t="s">
        <v>3520</v>
      </c>
    </row>
    <row r="216" spans="1:22" ht="14.25" x14ac:dyDescent="0.2">
      <c r="A216" s="301"/>
      <c r="B216" s="302"/>
      <c r="C216" s="302" t="s">
        <v>197</v>
      </c>
      <c r="D216" s="303"/>
      <c r="E216" s="286"/>
      <c r="F216" s="304">
        <v>76.2</v>
      </c>
      <c r="G216" s="305" t="s">
        <v>195</v>
      </c>
      <c r="H216" s="286">
        <v>1</v>
      </c>
      <c r="I216" s="304">
        <v>45.72</v>
      </c>
      <c r="J216" s="286">
        <v>23.35</v>
      </c>
      <c r="K216" s="304">
        <v>1067.56</v>
      </c>
    </row>
    <row r="217" spans="1:22" ht="14.25" x14ac:dyDescent="0.2">
      <c r="A217" s="301"/>
      <c r="B217" s="302"/>
      <c r="C217" s="302" t="s">
        <v>184</v>
      </c>
      <c r="D217" s="303"/>
      <c r="E217" s="286"/>
      <c r="F217" s="304">
        <v>1.69</v>
      </c>
      <c r="G217" s="305" t="s">
        <v>195</v>
      </c>
      <c r="H217" s="286">
        <v>1</v>
      </c>
      <c r="I217" s="304">
        <v>1.01</v>
      </c>
      <c r="J217" s="286">
        <v>9.5</v>
      </c>
      <c r="K217" s="304">
        <v>9.6</v>
      </c>
    </row>
    <row r="218" spans="1:22" ht="14.25" x14ac:dyDescent="0.2">
      <c r="A218" s="301"/>
      <c r="B218" s="302"/>
      <c r="C218" s="302" t="s">
        <v>189</v>
      </c>
      <c r="D218" s="303"/>
      <c r="E218" s="286"/>
      <c r="F218" s="304">
        <v>0.39</v>
      </c>
      <c r="G218" s="305" t="s">
        <v>195</v>
      </c>
      <c r="H218" s="286">
        <v>1</v>
      </c>
      <c r="I218" s="306">
        <v>0.23</v>
      </c>
      <c r="J218" s="286">
        <v>23.35</v>
      </c>
      <c r="K218" s="306">
        <v>5.37</v>
      </c>
    </row>
    <row r="219" spans="1:22" ht="14.25" x14ac:dyDescent="0.2">
      <c r="A219" s="301"/>
      <c r="B219" s="302"/>
      <c r="C219" s="302" t="s">
        <v>205</v>
      </c>
      <c r="D219" s="303"/>
      <c r="E219" s="286"/>
      <c r="F219" s="304">
        <v>9.94</v>
      </c>
      <c r="G219" s="305" t="s">
        <v>195</v>
      </c>
      <c r="H219" s="286">
        <v>1</v>
      </c>
      <c r="I219" s="304">
        <v>5.96</v>
      </c>
      <c r="J219" s="286">
        <v>5.42</v>
      </c>
      <c r="K219" s="304">
        <v>32.299999999999997</v>
      </c>
    </row>
    <row r="220" spans="1:22" ht="114" x14ac:dyDescent="0.2">
      <c r="A220" s="301" t="s">
        <v>1801</v>
      </c>
      <c r="B220" s="302" t="s">
        <v>3521</v>
      </c>
      <c r="C220" s="302" t="s">
        <v>1182</v>
      </c>
      <c r="D220" s="303" t="s">
        <v>3367</v>
      </c>
      <c r="E220" s="286">
        <v>6.1199999999999997E-2</v>
      </c>
      <c r="F220" s="304">
        <v>16078.65</v>
      </c>
      <c r="G220" s="315" t="s">
        <v>195</v>
      </c>
      <c r="H220" s="286">
        <v>1</v>
      </c>
      <c r="I220" s="304">
        <v>984.01</v>
      </c>
      <c r="J220" s="286">
        <v>2.52</v>
      </c>
      <c r="K220" s="304">
        <v>2479.71</v>
      </c>
      <c r="Q220" s="281">
        <f>[12]Source!X124</f>
        <v>0</v>
      </c>
      <c r="R220" s="281">
        <f>[12]Source!X125</f>
        <v>0</v>
      </c>
      <c r="S220" s="281">
        <f>[12]Source!Y124</f>
        <v>0</v>
      </c>
      <c r="T220" s="281">
        <f>[12]Source!Y125</f>
        <v>0</v>
      </c>
      <c r="U220" s="281">
        <f>ROUND((175/100)*ROUND([12]Source!R124, 2), 2)</f>
        <v>0</v>
      </c>
      <c r="V220" s="281">
        <f>ROUND((157/100)*ROUND([12]Source!R125, 2), 2)</f>
        <v>0</v>
      </c>
    </row>
    <row r="221" spans="1:22" ht="14.25" x14ac:dyDescent="0.2">
      <c r="A221" s="301"/>
      <c r="B221" s="302"/>
      <c r="C221" s="302" t="s">
        <v>194</v>
      </c>
      <c r="D221" s="303" t="s">
        <v>187</v>
      </c>
      <c r="E221" s="286">
        <v>112</v>
      </c>
      <c r="F221" s="304"/>
      <c r="G221" s="305"/>
      <c r="H221" s="286"/>
      <c r="I221" s="304">
        <v>51.21</v>
      </c>
      <c r="J221" s="286">
        <v>90</v>
      </c>
      <c r="K221" s="304">
        <v>960.8</v>
      </c>
    </row>
    <row r="222" spans="1:22" ht="14.25" x14ac:dyDescent="0.2">
      <c r="A222" s="301"/>
      <c r="B222" s="302"/>
      <c r="C222" s="302" t="s">
        <v>193</v>
      </c>
      <c r="D222" s="303" t="s">
        <v>187</v>
      </c>
      <c r="E222" s="286">
        <v>70</v>
      </c>
      <c r="F222" s="304"/>
      <c r="G222" s="305"/>
      <c r="H222" s="286"/>
      <c r="I222" s="304">
        <v>32</v>
      </c>
      <c r="J222" s="286">
        <v>43</v>
      </c>
      <c r="K222" s="304">
        <v>459.05</v>
      </c>
    </row>
    <row r="223" spans="1:22" ht="14.25" x14ac:dyDescent="0.2">
      <c r="A223" s="301"/>
      <c r="B223" s="302"/>
      <c r="C223" s="302" t="s">
        <v>188</v>
      </c>
      <c r="D223" s="303" t="s">
        <v>187</v>
      </c>
      <c r="E223" s="286">
        <v>175</v>
      </c>
      <c r="F223" s="304"/>
      <c r="G223" s="305"/>
      <c r="H223" s="286"/>
      <c r="I223" s="304">
        <v>0.4</v>
      </c>
      <c r="J223" s="286">
        <v>157</v>
      </c>
      <c r="K223" s="304">
        <v>8.43</v>
      </c>
    </row>
    <row r="224" spans="1:22" ht="14.25" x14ac:dyDescent="0.2">
      <c r="A224" s="307"/>
      <c r="B224" s="308"/>
      <c r="C224" s="308" t="s">
        <v>192</v>
      </c>
      <c r="D224" s="309" t="s">
        <v>191</v>
      </c>
      <c r="E224" s="310">
        <v>6.18</v>
      </c>
      <c r="F224" s="311"/>
      <c r="G224" s="312" t="s">
        <v>195</v>
      </c>
      <c r="H224" s="310">
        <v>1</v>
      </c>
      <c r="I224" s="311">
        <v>3.71</v>
      </c>
      <c r="J224" s="310"/>
      <c r="K224" s="311"/>
    </row>
    <row r="225" spans="1:22" ht="15" x14ac:dyDescent="0.25">
      <c r="A225" s="313"/>
      <c r="B225" s="313"/>
      <c r="C225" s="314" t="s">
        <v>183</v>
      </c>
      <c r="D225" s="313"/>
      <c r="E225" s="313"/>
      <c r="F225" s="313"/>
      <c r="G225" s="313"/>
      <c r="H225" s="472">
        <v>1120.31</v>
      </c>
      <c r="I225" s="472"/>
      <c r="J225" s="472">
        <v>5017.45</v>
      </c>
      <c r="K225" s="472"/>
      <c r="O225" s="284">
        <f>I216+I217+I219+I221+I222+I223+SUM(I220:I220)</f>
        <v>1120.31</v>
      </c>
      <c r="P225" s="284">
        <f>K216+K217+K219+K221+K222+K223+SUM(K220:K220)</f>
        <v>5017.45</v>
      </c>
    </row>
    <row r="228" spans="1:22" ht="16.5" x14ac:dyDescent="0.25">
      <c r="A228" s="448" t="s">
        <v>3447</v>
      </c>
      <c r="B228" s="448"/>
      <c r="C228" s="448"/>
      <c r="D228" s="448"/>
      <c r="E228" s="448"/>
      <c r="F228" s="448"/>
      <c r="G228" s="448"/>
      <c r="H228" s="448"/>
      <c r="I228" s="448"/>
      <c r="J228" s="448"/>
      <c r="K228" s="448"/>
    </row>
    <row r="229" spans="1:22" ht="95.25" x14ac:dyDescent="0.2">
      <c r="A229" s="275" t="s">
        <v>719</v>
      </c>
      <c r="B229" s="276" t="s">
        <v>3448</v>
      </c>
      <c r="C229" s="276" t="s">
        <v>1181</v>
      </c>
      <c r="D229" s="277" t="s">
        <v>1661</v>
      </c>
      <c r="E229" s="278">
        <v>1</v>
      </c>
      <c r="F229" s="279">
        <v>87173.47</v>
      </c>
      <c r="G229" s="280" t="s">
        <v>195</v>
      </c>
      <c r="H229" s="278">
        <v>1</v>
      </c>
      <c r="I229" s="279">
        <v>87173.47</v>
      </c>
      <c r="J229" s="278">
        <v>4.4000000000000004</v>
      </c>
      <c r="K229" s="279">
        <v>383563.27</v>
      </c>
      <c r="Q229" s="281">
        <f>[12]Source!X131</f>
        <v>0</v>
      </c>
      <c r="R229" s="281">
        <f>[12]Source!X132</f>
        <v>0</v>
      </c>
      <c r="S229" s="281">
        <f>[12]Source!Y131</f>
        <v>0</v>
      </c>
      <c r="T229" s="281">
        <f>[12]Source!Y132</f>
        <v>0</v>
      </c>
      <c r="U229" s="281">
        <f>ROUND((175/100)*ROUND([12]Source!R131, 2), 2)</f>
        <v>0</v>
      </c>
      <c r="V229" s="281">
        <f>ROUND((157/100)*ROUND([12]Source!R132, 2), 2)</f>
        <v>0</v>
      </c>
    </row>
    <row r="230" spans="1:22" ht="15" x14ac:dyDescent="0.25">
      <c r="A230" s="282"/>
      <c r="B230" s="282"/>
      <c r="C230" s="283" t="s">
        <v>183</v>
      </c>
      <c r="D230" s="282"/>
      <c r="E230" s="282"/>
      <c r="F230" s="282"/>
      <c r="G230" s="282"/>
      <c r="H230" s="473">
        <v>87173.47</v>
      </c>
      <c r="I230" s="473"/>
      <c r="J230" s="473">
        <v>383563.27</v>
      </c>
      <c r="K230" s="473"/>
      <c r="O230" s="284">
        <f>I229</f>
        <v>87173.47</v>
      </c>
      <c r="P230" s="284">
        <f>K229</f>
        <v>383563.27</v>
      </c>
    </row>
    <row r="232" spans="1:22" s="281" customFormat="1" ht="68.25" x14ac:dyDescent="0.2">
      <c r="A232" s="275" t="s">
        <v>1534</v>
      </c>
      <c r="B232" s="276" t="s">
        <v>3522</v>
      </c>
      <c r="C232" s="276" t="s">
        <v>1180</v>
      </c>
      <c r="D232" s="277" t="s">
        <v>1661</v>
      </c>
      <c r="E232" s="278">
        <v>13</v>
      </c>
      <c r="F232" s="279">
        <v>294.55</v>
      </c>
      <c r="G232" s="280" t="s">
        <v>195</v>
      </c>
      <c r="H232" s="278">
        <v>1</v>
      </c>
      <c r="I232" s="279">
        <v>3829.15</v>
      </c>
      <c r="J232" s="278">
        <v>4.4000000000000004</v>
      </c>
      <c r="K232" s="279">
        <v>16848.259999999998</v>
      </c>
      <c r="Q232" s="281">
        <f>[12]Source!X133</f>
        <v>0</v>
      </c>
      <c r="R232" s="281">
        <f>[12]Source!X134</f>
        <v>0</v>
      </c>
      <c r="S232" s="281">
        <f>[12]Source!Y133</f>
        <v>0</v>
      </c>
      <c r="T232" s="281">
        <f>[12]Source!Y134</f>
        <v>0</v>
      </c>
      <c r="U232" s="281">
        <f>ROUND((175/100)*ROUND([12]Source!R133, 2), 2)</f>
        <v>0</v>
      </c>
      <c r="V232" s="281">
        <f>ROUND((157/100)*ROUND([12]Source!R134, 2), 2)</f>
        <v>0</v>
      </c>
    </row>
    <row r="233" spans="1:22" s="281" customFormat="1" ht="15" x14ac:dyDescent="0.25">
      <c r="A233" s="282"/>
      <c r="B233" s="282"/>
      <c r="C233" s="283" t="s">
        <v>183</v>
      </c>
      <c r="D233" s="282"/>
      <c r="E233" s="282"/>
      <c r="F233" s="282"/>
      <c r="G233" s="282"/>
      <c r="H233" s="473">
        <v>3829.15</v>
      </c>
      <c r="I233" s="473"/>
      <c r="J233" s="473">
        <v>16848.259999999998</v>
      </c>
      <c r="K233" s="473"/>
      <c r="O233" s="284">
        <f>I232</f>
        <v>3829.15</v>
      </c>
      <c r="P233" s="284">
        <f>K232</f>
        <v>16848.259999999998</v>
      </c>
    </row>
    <row r="235" spans="1:22" ht="68.25" x14ac:dyDescent="0.2">
      <c r="A235" s="275" t="s">
        <v>104</v>
      </c>
      <c r="B235" s="276" t="s">
        <v>3522</v>
      </c>
      <c r="C235" s="276" t="s">
        <v>1179</v>
      </c>
      <c r="D235" s="277" t="s">
        <v>1661</v>
      </c>
      <c r="E235" s="278">
        <v>1</v>
      </c>
      <c r="F235" s="279">
        <v>78831.789999999994</v>
      </c>
      <c r="G235" s="280" t="s">
        <v>195</v>
      </c>
      <c r="H235" s="278">
        <v>1</v>
      </c>
      <c r="I235" s="279">
        <v>78831.789999999994</v>
      </c>
      <c r="J235" s="278">
        <v>4.4000000000000004</v>
      </c>
      <c r="K235" s="279">
        <v>346859.88</v>
      </c>
      <c r="Q235" s="281">
        <f>[12]Source!X135</f>
        <v>0</v>
      </c>
      <c r="R235" s="281">
        <f>[12]Source!X136</f>
        <v>0</v>
      </c>
      <c r="S235" s="281">
        <f>[12]Source!Y135</f>
        <v>0</v>
      </c>
      <c r="T235" s="281">
        <f>[12]Source!Y136</f>
        <v>0</v>
      </c>
      <c r="U235" s="281">
        <f>ROUND((175/100)*ROUND([12]Source!R135, 2), 2)</f>
        <v>0</v>
      </c>
      <c r="V235" s="281">
        <f>ROUND((157/100)*ROUND([12]Source!R136, 2), 2)</f>
        <v>0</v>
      </c>
    </row>
    <row r="236" spans="1:22" ht="15" x14ac:dyDescent="0.25">
      <c r="A236" s="282"/>
      <c r="B236" s="282"/>
      <c r="C236" s="283" t="s">
        <v>183</v>
      </c>
      <c r="D236" s="282"/>
      <c r="E236" s="282"/>
      <c r="F236" s="282"/>
      <c r="G236" s="282"/>
      <c r="H236" s="473">
        <v>78831.789999999994</v>
      </c>
      <c r="I236" s="473"/>
      <c r="J236" s="473">
        <v>346859.88</v>
      </c>
      <c r="K236" s="473"/>
      <c r="O236" s="284">
        <f>I235</f>
        <v>78831.789999999994</v>
      </c>
      <c r="P236" s="284">
        <f>K235</f>
        <v>346859.88</v>
      </c>
    </row>
    <row r="238" spans="1:22" ht="54" x14ac:dyDescent="0.2">
      <c r="A238" s="275" t="s">
        <v>1546</v>
      </c>
      <c r="B238" s="276" t="s">
        <v>3448</v>
      </c>
      <c r="C238" s="276" t="s">
        <v>1132</v>
      </c>
      <c r="D238" s="277" t="s">
        <v>1661</v>
      </c>
      <c r="E238" s="278">
        <v>1</v>
      </c>
      <c r="F238" s="279">
        <v>3415.12</v>
      </c>
      <c r="G238" s="280" t="s">
        <v>195</v>
      </c>
      <c r="H238" s="278">
        <v>1</v>
      </c>
      <c r="I238" s="279">
        <v>3415.12</v>
      </c>
      <c r="J238" s="278">
        <v>4.4000000000000004</v>
      </c>
      <c r="K238" s="279">
        <v>15026.53</v>
      </c>
      <c r="Q238" s="281">
        <f>[12]Source!X137</f>
        <v>0</v>
      </c>
      <c r="R238" s="281">
        <f>[12]Source!X138</f>
        <v>0</v>
      </c>
      <c r="S238" s="281">
        <f>[12]Source!Y137</f>
        <v>0</v>
      </c>
      <c r="T238" s="281">
        <f>[12]Source!Y138</f>
        <v>0</v>
      </c>
      <c r="U238" s="281">
        <f>ROUND((175/100)*ROUND([12]Source!R137, 2), 2)</f>
        <v>0</v>
      </c>
      <c r="V238" s="281">
        <f>ROUND((157/100)*ROUND([12]Source!R138, 2), 2)</f>
        <v>0</v>
      </c>
    </row>
    <row r="239" spans="1:22" ht="15" x14ac:dyDescent="0.25">
      <c r="A239" s="282"/>
      <c r="B239" s="282"/>
      <c r="C239" s="283" t="s">
        <v>183</v>
      </c>
      <c r="D239" s="282"/>
      <c r="E239" s="282"/>
      <c r="F239" s="282"/>
      <c r="G239" s="282"/>
      <c r="H239" s="473">
        <v>3415.12</v>
      </c>
      <c r="I239" s="473"/>
      <c r="J239" s="473">
        <v>15026.53</v>
      </c>
      <c r="K239" s="473"/>
      <c r="O239" s="284">
        <f>I238</f>
        <v>3415.12</v>
      </c>
      <c r="P239" s="284">
        <f>K238</f>
        <v>15026.53</v>
      </c>
    </row>
    <row r="242" spans="1:11" ht="15" x14ac:dyDescent="0.25">
      <c r="A242" s="447" t="s">
        <v>3449</v>
      </c>
      <c r="B242" s="447"/>
      <c r="C242" s="447"/>
      <c r="D242" s="447"/>
      <c r="E242" s="447"/>
      <c r="F242" s="447"/>
      <c r="G242" s="447"/>
      <c r="H242" s="445">
        <v>173249.53</v>
      </c>
      <c r="I242" s="446"/>
      <c r="J242" s="445">
        <v>762297.94</v>
      </c>
      <c r="K242" s="446"/>
    </row>
    <row r="243" spans="1:11" hidden="1" x14ac:dyDescent="0.2">
      <c r="A243" s="281" t="s">
        <v>182</v>
      </c>
      <c r="I243" s="281">
        <v>0</v>
      </c>
      <c r="J243" s="281">
        <v>0</v>
      </c>
    </row>
    <row r="244" spans="1:11" hidden="1" x14ac:dyDescent="0.2">
      <c r="A244" s="281" t="s">
        <v>181</v>
      </c>
      <c r="I244" s="281">
        <v>0</v>
      </c>
      <c r="J244" s="281">
        <v>0</v>
      </c>
    </row>
    <row r="246" spans="1:11" ht="15" x14ac:dyDescent="0.25">
      <c r="A246" s="447" t="s">
        <v>3523</v>
      </c>
      <c r="B246" s="447"/>
      <c r="C246" s="447"/>
      <c r="D246" s="447"/>
      <c r="E246" s="447"/>
      <c r="F246" s="447"/>
      <c r="G246" s="447"/>
      <c r="H246" s="445">
        <v>200330.81</v>
      </c>
      <c r="I246" s="446"/>
      <c r="J246" s="445">
        <v>994125.79</v>
      </c>
      <c r="K246" s="446"/>
    </row>
    <row r="247" spans="1:11" hidden="1" x14ac:dyDescent="0.2">
      <c r="A247" s="281" t="s">
        <v>182</v>
      </c>
      <c r="I247" s="281">
        <v>0</v>
      </c>
      <c r="J247" s="281">
        <v>0</v>
      </c>
    </row>
    <row r="248" spans="1:11" hidden="1" x14ac:dyDescent="0.2">
      <c r="A248" s="281" t="s">
        <v>181</v>
      </c>
      <c r="I248" s="281">
        <v>0</v>
      </c>
      <c r="J248" s="281">
        <v>0</v>
      </c>
    </row>
    <row r="250" spans="1:11" ht="15" x14ac:dyDescent="0.25">
      <c r="A250" s="447" t="s">
        <v>3524</v>
      </c>
      <c r="B250" s="447"/>
      <c r="C250" s="447"/>
      <c r="D250" s="447"/>
      <c r="E250" s="447"/>
      <c r="F250" s="447"/>
      <c r="G250" s="447"/>
      <c r="H250" s="445">
        <v>200330.81</v>
      </c>
      <c r="I250" s="446"/>
      <c r="J250" s="445">
        <v>994125.79</v>
      </c>
      <c r="K250" s="446"/>
    </row>
    <row r="251" spans="1:11" hidden="1" x14ac:dyDescent="0.2">
      <c r="A251" s="281" t="s">
        <v>182</v>
      </c>
      <c r="I251" s="281">
        <v>0</v>
      </c>
      <c r="J251" s="281">
        <v>0</v>
      </c>
    </row>
    <row r="252" spans="1:11" hidden="1" x14ac:dyDescent="0.2">
      <c r="A252" s="281" t="s">
        <v>181</v>
      </c>
      <c r="I252" s="281">
        <v>0</v>
      </c>
      <c r="J252" s="281">
        <v>0</v>
      </c>
    </row>
    <row r="253" spans="1:11" ht="14.25" x14ac:dyDescent="0.2">
      <c r="C253" s="442" t="s">
        <v>1920</v>
      </c>
      <c r="D253" s="442"/>
      <c r="E253" s="442"/>
      <c r="F253" s="442"/>
      <c r="G253" s="442"/>
      <c r="H253" s="443">
        <v>195384.07</v>
      </c>
      <c r="I253" s="443"/>
      <c r="J253" s="443">
        <v>909437.43</v>
      </c>
      <c r="K253" s="443"/>
    </row>
    <row r="254" spans="1:11" ht="14.25" x14ac:dyDescent="0.2">
      <c r="C254" s="442" t="s">
        <v>1933</v>
      </c>
      <c r="D254" s="442"/>
      <c r="E254" s="442"/>
      <c r="F254" s="442"/>
      <c r="G254" s="442"/>
      <c r="H254" s="443">
        <v>192475.25</v>
      </c>
      <c r="I254" s="443"/>
      <c r="J254" s="443">
        <v>844923.14</v>
      </c>
      <c r="K254" s="443"/>
    </row>
    <row r="255" spans="1:11" ht="14.25" x14ac:dyDescent="0.2">
      <c r="C255" s="442" t="s">
        <v>1934</v>
      </c>
      <c r="D255" s="442"/>
      <c r="E255" s="442"/>
      <c r="F255" s="442"/>
      <c r="G255" s="442"/>
      <c r="H255" s="443">
        <v>19225.72</v>
      </c>
      <c r="I255" s="443"/>
      <c r="J255" s="443">
        <v>82625.2</v>
      </c>
      <c r="K255" s="443"/>
    </row>
    <row r="256" spans="1:11" ht="14.25" x14ac:dyDescent="0.2">
      <c r="C256" s="442" t="s">
        <v>1935</v>
      </c>
      <c r="D256" s="442"/>
      <c r="E256" s="442"/>
      <c r="F256" s="442"/>
      <c r="G256" s="442"/>
      <c r="H256" s="443">
        <v>173249.53</v>
      </c>
      <c r="I256" s="443"/>
      <c r="J256" s="443">
        <v>762297.94</v>
      </c>
      <c r="K256" s="443"/>
    </row>
    <row r="257" spans="1:11" ht="14.25" x14ac:dyDescent="0.2">
      <c r="C257" s="442" t="s">
        <v>1938</v>
      </c>
      <c r="D257" s="442"/>
      <c r="E257" s="442"/>
      <c r="F257" s="442"/>
      <c r="G257" s="442"/>
      <c r="H257" s="443">
        <v>2678.46</v>
      </c>
      <c r="I257" s="443"/>
      <c r="J257" s="443">
        <v>62542.04</v>
      </c>
      <c r="K257" s="443"/>
    </row>
    <row r="258" spans="1:11" ht="14.25" x14ac:dyDescent="0.2">
      <c r="C258" s="442" t="s">
        <v>1939</v>
      </c>
      <c r="D258" s="442"/>
      <c r="E258" s="442"/>
      <c r="F258" s="442"/>
      <c r="G258" s="442"/>
      <c r="H258" s="443">
        <v>0</v>
      </c>
      <c r="I258" s="443"/>
      <c r="J258" s="443">
        <v>0</v>
      </c>
      <c r="K258" s="443"/>
    </row>
    <row r="259" spans="1:11" ht="14.25" x14ac:dyDescent="0.2">
      <c r="C259" s="442" t="s">
        <v>1940</v>
      </c>
      <c r="D259" s="442"/>
      <c r="E259" s="442"/>
      <c r="F259" s="442"/>
      <c r="G259" s="442"/>
      <c r="H259" s="443">
        <v>27081.279999999999</v>
      </c>
      <c r="I259" s="443"/>
      <c r="J259" s="443">
        <v>231827.85</v>
      </c>
      <c r="K259" s="443"/>
    </row>
    <row r="260" spans="1:11" ht="14.25" x14ac:dyDescent="0.2">
      <c r="C260" s="442" t="s">
        <v>1941</v>
      </c>
      <c r="D260" s="442"/>
      <c r="E260" s="442"/>
      <c r="F260" s="442"/>
      <c r="G260" s="442"/>
      <c r="H260" s="443">
        <v>0</v>
      </c>
      <c r="I260" s="443"/>
      <c r="J260" s="443">
        <v>0</v>
      </c>
      <c r="K260" s="443"/>
    </row>
    <row r="261" spans="1:11" ht="14.25" x14ac:dyDescent="0.2">
      <c r="C261" s="442" t="s">
        <v>1942</v>
      </c>
      <c r="D261" s="442"/>
      <c r="E261" s="442"/>
      <c r="F261" s="442"/>
      <c r="G261" s="442"/>
      <c r="H261" s="443">
        <v>2999.86</v>
      </c>
      <c r="I261" s="443"/>
      <c r="J261" s="443">
        <v>56287.839999999997</v>
      </c>
      <c r="K261" s="443"/>
    </row>
    <row r="262" spans="1:11" ht="14.25" x14ac:dyDescent="0.2">
      <c r="C262" s="442" t="s">
        <v>1943</v>
      </c>
      <c r="D262" s="442"/>
      <c r="E262" s="442"/>
      <c r="F262" s="442"/>
      <c r="G262" s="442"/>
      <c r="H262" s="443">
        <v>1874.93</v>
      </c>
      <c r="I262" s="443"/>
      <c r="J262" s="443">
        <v>26893.08</v>
      </c>
      <c r="K262" s="443"/>
    </row>
    <row r="263" spans="1:11" ht="14.25" x14ac:dyDescent="0.2">
      <c r="C263" s="442" t="s">
        <v>1944</v>
      </c>
      <c r="D263" s="442"/>
      <c r="E263" s="442"/>
      <c r="F263" s="442"/>
      <c r="G263" s="442"/>
      <c r="H263" s="443">
        <v>200330.81</v>
      </c>
      <c r="I263" s="443"/>
      <c r="J263" s="443">
        <v>994125.79</v>
      </c>
      <c r="K263" s="443"/>
    </row>
    <row r="266" spans="1:11" ht="14.25" x14ac:dyDescent="0.2">
      <c r="A266" s="440" t="s">
        <v>180</v>
      </c>
      <c r="B266" s="440"/>
      <c r="C266" s="317" t="s">
        <v>107</v>
      </c>
      <c r="D266" s="317"/>
      <c r="E266" s="317"/>
      <c r="F266" s="317"/>
      <c r="G266" s="317"/>
      <c r="H266" s="287" t="s">
        <v>107</v>
      </c>
      <c r="I266" s="287"/>
      <c r="J266" s="287"/>
      <c r="K266" s="287"/>
    </row>
    <row r="267" spans="1:11" ht="14.25" x14ac:dyDescent="0.2">
      <c r="A267" s="287"/>
      <c r="B267" s="287"/>
      <c r="C267" s="468" t="s">
        <v>72</v>
      </c>
      <c r="D267" s="468"/>
      <c r="E267" s="468"/>
      <c r="F267" s="468"/>
      <c r="G267" s="468"/>
      <c r="H267" s="287"/>
      <c r="I267" s="287"/>
      <c r="J267" s="287"/>
      <c r="K267" s="287"/>
    </row>
    <row r="268" spans="1:11" ht="14.25" x14ac:dyDescent="0.2">
      <c r="A268" s="287"/>
      <c r="B268" s="287"/>
      <c r="C268" s="287"/>
      <c r="D268" s="287"/>
      <c r="E268" s="287"/>
      <c r="F268" s="287"/>
      <c r="G268" s="287"/>
      <c r="H268" s="287"/>
      <c r="I268" s="287"/>
      <c r="J268" s="287"/>
      <c r="K268" s="287"/>
    </row>
    <row r="269" spans="1:11" ht="14.25" x14ac:dyDescent="0.2">
      <c r="A269" s="440" t="s">
        <v>179</v>
      </c>
      <c r="B269" s="440"/>
      <c r="C269" s="317" t="s">
        <v>107</v>
      </c>
      <c r="D269" s="317"/>
      <c r="E269" s="317"/>
      <c r="F269" s="317"/>
      <c r="G269" s="317"/>
      <c r="H269" s="287" t="s">
        <v>107</v>
      </c>
      <c r="I269" s="287"/>
      <c r="J269" s="287"/>
      <c r="K269" s="287"/>
    </row>
    <row r="270" spans="1:11" ht="14.25" x14ac:dyDescent="0.2">
      <c r="A270" s="287"/>
      <c r="B270" s="287"/>
      <c r="C270" s="468" t="s">
        <v>72</v>
      </c>
      <c r="D270" s="468"/>
      <c r="E270" s="468"/>
      <c r="F270" s="468"/>
      <c r="G270" s="468"/>
      <c r="H270" s="287"/>
      <c r="I270" s="287"/>
      <c r="J270" s="287"/>
      <c r="K270" s="287"/>
    </row>
  </sheetData>
  <mergeCells count="113">
    <mergeCell ref="A266:B266"/>
    <mergeCell ref="C267:G267"/>
    <mergeCell ref="A269:B269"/>
    <mergeCell ref="C270:G270"/>
    <mergeCell ref="C262:G262"/>
    <mergeCell ref="H262:I262"/>
    <mergeCell ref="C259:G259"/>
    <mergeCell ref="H259:I259"/>
    <mergeCell ref="J259:K259"/>
    <mergeCell ref="J262:K262"/>
    <mergeCell ref="C263:G263"/>
    <mergeCell ref="H263:I263"/>
    <mergeCell ref="J263:K263"/>
    <mergeCell ref="C260:G260"/>
    <mergeCell ref="H260:I260"/>
    <mergeCell ref="J260:K260"/>
    <mergeCell ref="C261:G261"/>
    <mergeCell ref="H261:I261"/>
    <mergeCell ref="J261:K261"/>
    <mergeCell ref="C256:G256"/>
    <mergeCell ref="H256:I256"/>
    <mergeCell ref="J256:K256"/>
    <mergeCell ref="C257:G257"/>
    <mergeCell ref="H257:I257"/>
    <mergeCell ref="J257:K257"/>
    <mergeCell ref="C258:G258"/>
    <mergeCell ref="H258:I258"/>
    <mergeCell ref="J258:K258"/>
    <mergeCell ref="C253:G253"/>
    <mergeCell ref="H253:I253"/>
    <mergeCell ref="J253:K253"/>
    <mergeCell ref="C254:G254"/>
    <mergeCell ref="H254:I254"/>
    <mergeCell ref="J254:K254"/>
    <mergeCell ref="C255:G255"/>
    <mergeCell ref="H255:I255"/>
    <mergeCell ref="J255:K255"/>
    <mergeCell ref="J242:K242"/>
    <mergeCell ref="H242:I242"/>
    <mergeCell ref="A242:G242"/>
    <mergeCell ref="J246:K246"/>
    <mergeCell ref="H246:I246"/>
    <mergeCell ref="A246:G246"/>
    <mergeCell ref="J250:K250"/>
    <mergeCell ref="H250:I250"/>
    <mergeCell ref="A250:G250"/>
    <mergeCell ref="A228:K228"/>
    <mergeCell ref="J230:K230"/>
    <mergeCell ref="H230:I230"/>
    <mergeCell ref="J233:K233"/>
    <mergeCell ref="H233:I233"/>
    <mergeCell ref="J236:K236"/>
    <mergeCell ref="H236:I236"/>
    <mergeCell ref="J239:K239"/>
    <mergeCell ref="H239:I239"/>
    <mergeCell ref="J171:K171"/>
    <mergeCell ref="H171:I171"/>
    <mergeCell ref="J184:K184"/>
    <mergeCell ref="H184:I184"/>
    <mergeCell ref="J199:K199"/>
    <mergeCell ref="H199:I199"/>
    <mergeCell ref="J212:K212"/>
    <mergeCell ref="H212:I212"/>
    <mergeCell ref="J225:K225"/>
    <mergeCell ref="H225:I225"/>
    <mergeCell ref="J110:K110"/>
    <mergeCell ref="H110:I110"/>
    <mergeCell ref="J120:K120"/>
    <mergeCell ref="H120:I120"/>
    <mergeCell ref="J129:K129"/>
    <mergeCell ref="H129:I129"/>
    <mergeCell ref="J145:K145"/>
    <mergeCell ref="H145:I145"/>
    <mergeCell ref="J158:K158"/>
    <mergeCell ref="H158:I158"/>
    <mergeCell ref="J63:K63"/>
    <mergeCell ref="H63:I63"/>
    <mergeCell ref="J71:K71"/>
    <mergeCell ref="H71:I71"/>
    <mergeCell ref="J79:K79"/>
    <mergeCell ref="H79:I79"/>
    <mergeCell ref="J92:K92"/>
    <mergeCell ref="H92:I92"/>
    <mergeCell ref="J101:K101"/>
    <mergeCell ref="H101:I101"/>
    <mergeCell ref="F25:H25"/>
    <mergeCell ref="F26:H26"/>
    <mergeCell ref="F27:H27"/>
    <mergeCell ref="F29:H29"/>
    <mergeCell ref="A32:K32"/>
    <mergeCell ref="A36:K36"/>
    <mergeCell ref="J46:K46"/>
    <mergeCell ref="H46:I46"/>
    <mergeCell ref="J54:K54"/>
    <mergeCell ref="H54:I54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B3:E3"/>
    <mergeCell ref="G3:K3"/>
    <mergeCell ref="B4:E4"/>
    <mergeCell ref="G4:K4"/>
    <mergeCell ref="B6:E6"/>
    <mergeCell ref="G6:K6"/>
    <mergeCell ref="B7:E7"/>
    <mergeCell ref="G7:K7"/>
    <mergeCell ref="A10:K10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E157"/>
  <sheetViews>
    <sheetView topLeftCell="A51" zoomScaleNormal="100" workbookViewId="0">
      <selection activeCell="A51" sqref="A1:M1048576"/>
    </sheetView>
  </sheetViews>
  <sheetFormatPr defaultColWidth="9.140625" defaultRowHeight="12.75" x14ac:dyDescent="0.2"/>
  <cols>
    <col min="1" max="1" width="5.7109375" style="281" customWidth="1"/>
    <col min="2" max="2" width="11.7109375" style="281" customWidth="1"/>
    <col min="3" max="3" width="40.7109375" style="281" customWidth="1"/>
    <col min="4" max="6" width="11.7109375" style="281" customWidth="1"/>
    <col min="7" max="7" width="12.7109375" style="281" customWidth="1"/>
    <col min="8" max="8" width="10.7109375" style="281" customWidth="1"/>
    <col min="9" max="11" width="12.7109375" style="281" customWidth="1"/>
    <col min="12" max="13" width="9.140625" style="281"/>
    <col min="14" max="14" width="9.140625" style="160"/>
    <col min="15" max="30" width="0" style="160" hidden="1" customWidth="1"/>
    <col min="31" max="31" width="150.7109375" style="160" hidden="1" customWidth="1"/>
    <col min="32" max="36" width="0" style="160" hidden="1" customWidth="1"/>
    <col min="37" max="16384" width="9.140625" style="160"/>
  </cols>
  <sheetData>
    <row r="1" spans="1:31" x14ac:dyDescent="0.2">
      <c r="A1" s="285" t="s">
        <v>1523</v>
      </c>
    </row>
    <row r="2" spans="1:31" ht="14.25" x14ac:dyDescent="0.2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7" t="s">
        <v>381</v>
      </c>
    </row>
    <row r="3" spans="1:31" ht="16.5" x14ac:dyDescent="0.25">
      <c r="A3" s="288"/>
      <c r="B3" s="458" t="s">
        <v>380</v>
      </c>
      <c r="C3" s="458"/>
      <c r="D3" s="458"/>
      <c r="E3" s="458"/>
      <c r="F3" s="287"/>
      <c r="G3" s="458" t="s">
        <v>0</v>
      </c>
      <c r="H3" s="458"/>
      <c r="I3" s="458"/>
      <c r="J3" s="458"/>
      <c r="K3" s="458"/>
    </row>
    <row r="4" spans="1:31" ht="14.25" x14ac:dyDescent="0.2">
      <c r="A4" s="287"/>
      <c r="B4" s="450"/>
      <c r="C4" s="450"/>
      <c r="D4" s="450"/>
      <c r="E4" s="450"/>
      <c r="F4" s="287"/>
      <c r="G4" s="450"/>
      <c r="H4" s="450"/>
      <c r="I4" s="450"/>
      <c r="J4" s="450"/>
      <c r="K4" s="450"/>
    </row>
    <row r="5" spans="1:31" ht="14.25" x14ac:dyDescent="0.2">
      <c r="A5" s="289"/>
      <c r="B5" s="289"/>
      <c r="C5" s="290"/>
      <c r="D5" s="290"/>
      <c r="E5" s="290"/>
      <c r="F5" s="287"/>
      <c r="G5" s="188"/>
      <c r="H5" s="290"/>
      <c r="I5" s="290"/>
      <c r="J5" s="290"/>
      <c r="K5" s="188"/>
    </row>
    <row r="6" spans="1:31" ht="14.25" x14ac:dyDescent="0.2">
      <c r="A6" s="188"/>
      <c r="B6" s="450" t="s">
        <v>1524</v>
      </c>
      <c r="C6" s="450"/>
      <c r="D6" s="450"/>
      <c r="E6" s="450"/>
      <c r="F6" s="287"/>
      <c r="G6" s="450" t="s">
        <v>1524</v>
      </c>
      <c r="H6" s="450"/>
      <c r="I6" s="450"/>
      <c r="J6" s="450"/>
      <c r="K6" s="450"/>
    </row>
    <row r="7" spans="1:31" ht="14.25" x14ac:dyDescent="0.2">
      <c r="A7" s="291"/>
      <c r="B7" s="459" t="s">
        <v>379</v>
      </c>
      <c r="C7" s="459"/>
      <c r="D7" s="459"/>
      <c r="E7" s="459"/>
      <c r="F7" s="287"/>
      <c r="G7" s="459" t="s">
        <v>379</v>
      </c>
      <c r="H7" s="459"/>
      <c r="I7" s="459"/>
      <c r="J7" s="459"/>
      <c r="K7" s="459"/>
    </row>
    <row r="9" spans="1:31" ht="14.25" x14ac:dyDescent="0.2">
      <c r="A9" s="287"/>
      <c r="B9" s="287"/>
      <c r="C9" s="287"/>
      <c r="D9" s="287"/>
      <c r="E9" s="287"/>
      <c r="F9" s="287"/>
      <c r="G9" s="287"/>
      <c r="H9" s="287"/>
      <c r="I9" s="287"/>
      <c r="J9" s="287"/>
      <c r="K9" s="287"/>
    </row>
    <row r="10" spans="1:31" ht="47.25" x14ac:dyDescent="0.25">
      <c r="A10" s="464" t="s">
        <v>3850</v>
      </c>
      <c r="B10" s="464"/>
      <c r="C10" s="464"/>
      <c r="D10" s="464"/>
      <c r="E10" s="464"/>
      <c r="F10" s="464"/>
      <c r="G10" s="464"/>
      <c r="H10" s="464"/>
      <c r="I10" s="464"/>
      <c r="J10" s="464"/>
      <c r="K10" s="464"/>
      <c r="AE10" s="259" t="str">
        <f>IF([13]Source!G12&lt;&gt;"Новый объект", [13]Source!G12,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60" t="s">
        <v>75</v>
      </c>
      <c r="B11" s="460"/>
      <c r="C11" s="460"/>
      <c r="D11" s="460"/>
      <c r="E11" s="460"/>
      <c r="F11" s="460"/>
      <c r="G11" s="460"/>
      <c r="H11" s="460"/>
      <c r="I11" s="460"/>
      <c r="J11" s="460"/>
      <c r="K11" s="460"/>
    </row>
    <row r="12" spans="1:31" ht="14.25" x14ac:dyDescent="0.2">
      <c r="A12" s="287"/>
      <c r="B12" s="287"/>
      <c r="C12" s="287"/>
      <c r="D12" s="287"/>
      <c r="E12" s="287"/>
      <c r="F12" s="287"/>
      <c r="G12" s="287"/>
      <c r="H12" s="287"/>
      <c r="I12" s="287"/>
      <c r="J12" s="287"/>
      <c r="K12" s="287"/>
    </row>
    <row r="13" spans="1:31" ht="15.75" x14ac:dyDescent="0.25">
      <c r="A13" s="464" t="s">
        <v>3892</v>
      </c>
      <c r="B13" s="465"/>
      <c r="C13" s="465"/>
      <c r="D13" s="465"/>
      <c r="E13" s="465"/>
      <c r="F13" s="465"/>
      <c r="G13" s="465"/>
      <c r="H13" s="465"/>
      <c r="I13" s="465"/>
      <c r="J13" s="465"/>
      <c r="K13" s="465"/>
    </row>
    <row r="14" spans="1:31" ht="14.25" x14ac:dyDescent="0.2">
      <c r="A14" s="287"/>
      <c r="B14" s="287"/>
      <c r="C14" s="287"/>
      <c r="D14" s="287"/>
      <c r="E14" s="287"/>
      <c r="F14" s="287"/>
      <c r="G14" s="287"/>
      <c r="H14" s="287"/>
      <c r="I14" s="287"/>
      <c r="J14" s="287"/>
      <c r="K14" s="287"/>
    </row>
    <row r="15" spans="1:31" ht="18" x14ac:dyDescent="0.25">
      <c r="A15" s="466" t="s">
        <v>173</v>
      </c>
      <c r="B15" s="466"/>
      <c r="C15" s="466"/>
      <c r="D15" s="466"/>
      <c r="E15" s="466"/>
      <c r="F15" s="466"/>
      <c r="G15" s="466"/>
      <c r="H15" s="466"/>
      <c r="I15" s="466"/>
      <c r="J15" s="466"/>
      <c r="K15" s="466"/>
    </row>
    <row r="16" spans="1:31" x14ac:dyDescent="0.2">
      <c r="A16" s="455" t="s">
        <v>378</v>
      </c>
      <c r="B16" s="456"/>
      <c r="C16" s="456"/>
      <c r="D16" s="456"/>
      <c r="E16" s="456"/>
      <c r="F16" s="456"/>
      <c r="G16" s="456"/>
      <c r="H16" s="456"/>
      <c r="I16" s="456"/>
      <c r="J16" s="456"/>
      <c r="K16" s="456"/>
    </row>
    <row r="17" spans="1:31" ht="14.25" x14ac:dyDescent="0.2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</row>
    <row r="18" spans="1:31" ht="14.25" x14ac:dyDescent="0.2">
      <c r="A18" s="463" t="s">
        <v>3854</v>
      </c>
      <c r="B18" s="463"/>
      <c r="C18" s="463"/>
      <c r="D18" s="463"/>
      <c r="E18" s="463"/>
      <c r="F18" s="463"/>
      <c r="G18" s="463"/>
      <c r="H18" s="463"/>
      <c r="I18" s="463"/>
      <c r="J18" s="463"/>
      <c r="K18" s="463"/>
    </row>
    <row r="19" spans="1:31" ht="14.25" x14ac:dyDescent="0.2">
      <c r="A19" s="293"/>
      <c r="B19" s="293"/>
      <c r="C19" s="293"/>
      <c r="D19" s="293"/>
      <c r="E19" s="293"/>
      <c r="F19" s="293"/>
      <c r="G19" s="293"/>
      <c r="H19" s="293"/>
      <c r="I19" s="293"/>
      <c r="J19" s="293"/>
      <c r="K19" s="293"/>
    </row>
    <row r="20" spans="1:31" ht="28.5" x14ac:dyDescent="0.2">
      <c r="A20" s="287"/>
      <c r="B20" s="287"/>
      <c r="C20" s="287"/>
      <c r="D20" s="287"/>
      <c r="E20" s="287"/>
      <c r="F20" s="287"/>
      <c r="G20" s="287"/>
      <c r="H20" s="287"/>
      <c r="I20" s="294" t="s">
        <v>377</v>
      </c>
      <c r="J20" s="294" t="s">
        <v>376</v>
      </c>
      <c r="K20" s="287"/>
    </row>
    <row r="21" spans="1:31" ht="15" x14ac:dyDescent="0.25">
      <c r="A21" s="287"/>
      <c r="B21" s="287"/>
      <c r="C21" s="287"/>
      <c r="D21" s="287"/>
      <c r="E21" s="287"/>
      <c r="F21" s="457" t="s">
        <v>375</v>
      </c>
      <c r="G21" s="457"/>
      <c r="H21" s="457"/>
      <c r="I21" s="295">
        <v>63.14</v>
      </c>
      <c r="J21" s="295">
        <v>661.76</v>
      </c>
      <c r="K21" s="296" t="s">
        <v>366</v>
      </c>
    </row>
    <row r="22" spans="1:31" ht="14.25" x14ac:dyDescent="0.2">
      <c r="A22" s="287"/>
      <c r="B22" s="287"/>
      <c r="C22" s="287"/>
      <c r="D22" s="287"/>
      <c r="E22" s="287"/>
      <c r="F22" s="450" t="s">
        <v>374</v>
      </c>
      <c r="G22" s="450"/>
      <c r="H22" s="450"/>
      <c r="I22" s="297">
        <v>0</v>
      </c>
      <c r="J22" s="297">
        <v>0</v>
      </c>
      <c r="K22" s="287" t="s">
        <v>366</v>
      </c>
    </row>
    <row r="23" spans="1:31" ht="14.25" x14ac:dyDescent="0.2">
      <c r="A23" s="287"/>
      <c r="B23" s="287"/>
      <c r="C23" s="287"/>
      <c r="D23" s="287"/>
      <c r="E23" s="287"/>
      <c r="F23" s="450" t="s">
        <v>373</v>
      </c>
      <c r="G23" s="450"/>
      <c r="H23" s="450"/>
      <c r="I23" s="297">
        <v>45.39</v>
      </c>
      <c r="J23" s="297">
        <v>573.08000000000004</v>
      </c>
      <c r="K23" s="287" t="s">
        <v>366</v>
      </c>
    </row>
    <row r="24" spans="1:31" ht="14.25" x14ac:dyDescent="0.2">
      <c r="A24" s="287"/>
      <c r="B24" s="287"/>
      <c r="C24" s="287"/>
      <c r="D24" s="287"/>
      <c r="E24" s="287"/>
      <c r="F24" s="450" t="s">
        <v>106</v>
      </c>
      <c r="G24" s="450"/>
      <c r="H24" s="450"/>
      <c r="I24" s="297">
        <v>17.75</v>
      </c>
      <c r="J24" s="297">
        <v>88.68</v>
      </c>
      <c r="K24" s="287" t="s">
        <v>366</v>
      </c>
    </row>
    <row r="25" spans="1:31" ht="14.25" x14ac:dyDescent="0.2">
      <c r="A25" s="287"/>
      <c r="B25" s="287"/>
      <c r="C25" s="287"/>
      <c r="D25" s="287"/>
      <c r="E25" s="287"/>
      <c r="F25" s="450" t="s">
        <v>372</v>
      </c>
      <c r="G25" s="450"/>
      <c r="H25" s="450"/>
      <c r="I25" s="297">
        <v>0</v>
      </c>
      <c r="J25" s="297">
        <v>0</v>
      </c>
      <c r="K25" s="287" t="s">
        <v>366</v>
      </c>
    </row>
    <row r="26" spans="1:31" ht="14.25" x14ac:dyDescent="0.2">
      <c r="A26" s="287"/>
      <c r="B26" s="287"/>
      <c r="C26" s="287"/>
      <c r="D26" s="287"/>
      <c r="E26" s="287"/>
      <c r="F26" s="450" t="s">
        <v>371</v>
      </c>
      <c r="G26" s="450"/>
      <c r="H26" s="450"/>
      <c r="I26" s="297">
        <v>5.33</v>
      </c>
      <c r="J26" s="297">
        <v>124.35</v>
      </c>
      <c r="K26" s="287" t="s">
        <v>366</v>
      </c>
    </row>
    <row r="27" spans="1:31" ht="14.25" x14ac:dyDescent="0.2">
      <c r="A27" s="287"/>
      <c r="B27" s="287"/>
      <c r="C27" s="287"/>
      <c r="D27" s="287"/>
      <c r="E27" s="287"/>
      <c r="F27" s="450" t="s">
        <v>370</v>
      </c>
      <c r="G27" s="450"/>
      <c r="H27" s="450"/>
      <c r="I27" s="297">
        <v>421.61</v>
      </c>
      <c r="J27" s="297"/>
      <c r="K27" s="287" t="s">
        <v>369</v>
      </c>
    </row>
    <row r="28" spans="1:31" ht="14.25" hidden="1" x14ac:dyDescent="0.2">
      <c r="A28" s="287"/>
      <c r="B28" s="287"/>
      <c r="C28" s="287"/>
      <c r="D28" s="287"/>
      <c r="E28" s="287"/>
      <c r="F28" s="188" t="s">
        <v>368</v>
      </c>
      <c r="G28" s="188"/>
      <c r="H28" s="188"/>
      <c r="I28" s="297"/>
      <c r="J28" s="297"/>
      <c r="K28" s="287"/>
    </row>
    <row r="29" spans="1:31" ht="14.25" hidden="1" x14ac:dyDescent="0.2">
      <c r="A29" s="287"/>
      <c r="B29" s="287"/>
      <c r="C29" s="287"/>
      <c r="D29" s="287"/>
      <c r="E29" s="287"/>
      <c r="F29" s="419" t="s">
        <v>367</v>
      </c>
      <c r="G29" s="420"/>
      <c r="H29" s="420"/>
      <c r="I29" s="297">
        <v>0</v>
      </c>
      <c r="J29" s="297">
        <v>0</v>
      </c>
      <c r="K29" s="287" t="s">
        <v>366</v>
      </c>
    </row>
    <row r="30" spans="1:31" ht="14.25" x14ac:dyDescent="0.2">
      <c r="A30" s="287"/>
      <c r="B30" s="287"/>
      <c r="C30" s="287"/>
      <c r="D30" s="287"/>
      <c r="E30" s="287"/>
      <c r="F30" s="188"/>
      <c r="G30" s="188"/>
      <c r="H30" s="188"/>
      <c r="I30" s="297"/>
      <c r="J30" s="297"/>
      <c r="K30" s="287"/>
    </row>
    <row r="31" spans="1:31" ht="14.25" x14ac:dyDescent="0.2">
      <c r="A31" s="287" t="s">
        <v>365</v>
      </c>
      <c r="B31" s="287"/>
      <c r="C31" s="287"/>
      <c r="D31" s="287"/>
      <c r="E31" s="287"/>
      <c r="F31" s="188"/>
      <c r="G31" s="188"/>
      <c r="H31" s="188"/>
      <c r="I31" s="297"/>
      <c r="J31" s="297"/>
      <c r="K31" s="287"/>
    </row>
    <row r="32" spans="1:31" ht="14.25" x14ac:dyDescent="0.2">
      <c r="A32" s="463" t="s">
        <v>1249</v>
      </c>
      <c r="B32" s="463"/>
      <c r="C32" s="463"/>
      <c r="D32" s="463"/>
      <c r="E32" s="463"/>
      <c r="F32" s="463"/>
      <c r="G32" s="463"/>
      <c r="H32" s="463"/>
      <c r="I32" s="463"/>
      <c r="J32" s="463"/>
      <c r="K32" s="463"/>
      <c r="AE32" s="258" t="s">
        <v>1249</v>
      </c>
    </row>
    <row r="33" spans="1:22" ht="85.5" x14ac:dyDescent="0.2">
      <c r="A33" s="299" t="s">
        <v>81</v>
      </c>
      <c r="B33" s="299" t="s">
        <v>363</v>
      </c>
      <c r="C33" s="299" t="s">
        <v>83</v>
      </c>
      <c r="D33" s="299" t="s">
        <v>362</v>
      </c>
      <c r="E33" s="299" t="s">
        <v>361</v>
      </c>
      <c r="F33" s="299" t="s">
        <v>360</v>
      </c>
      <c r="G33" s="300" t="s">
        <v>359</v>
      </c>
      <c r="H33" s="300" t="s">
        <v>358</v>
      </c>
      <c r="I33" s="299" t="s">
        <v>357</v>
      </c>
      <c r="J33" s="299" t="s">
        <v>356</v>
      </c>
      <c r="K33" s="299" t="s">
        <v>355</v>
      </c>
    </row>
    <row r="34" spans="1:22" ht="14.25" x14ac:dyDescent="0.2">
      <c r="A34" s="299">
        <v>1</v>
      </c>
      <c r="B34" s="299">
        <v>2</v>
      </c>
      <c r="C34" s="299">
        <v>3</v>
      </c>
      <c r="D34" s="299">
        <v>4</v>
      </c>
      <c r="E34" s="299">
        <v>5</v>
      </c>
      <c r="F34" s="299">
        <v>6</v>
      </c>
      <c r="G34" s="299">
        <v>7</v>
      </c>
      <c r="H34" s="299">
        <v>8</v>
      </c>
      <c r="I34" s="299">
        <v>9</v>
      </c>
      <c r="J34" s="299">
        <v>10</v>
      </c>
      <c r="K34" s="299">
        <v>11</v>
      </c>
    </row>
    <row r="36" spans="1:22" ht="16.5" x14ac:dyDescent="0.25">
      <c r="A36" s="448" t="s">
        <v>3525</v>
      </c>
      <c r="B36" s="448"/>
      <c r="C36" s="448"/>
      <c r="D36" s="448"/>
      <c r="E36" s="448"/>
      <c r="F36" s="448"/>
      <c r="G36" s="448"/>
      <c r="H36" s="448"/>
      <c r="I36" s="448"/>
      <c r="J36" s="448"/>
      <c r="K36" s="448"/>
    </row>
    <row r="37" spans="1:22" ht="42.75" x14ac:dyDescent="0.2">
      <c r="A37" s="301" t="s">
        <v>2040</v>
      </c>
      <c r="B37" s="302" t="s">
        <v>3526</v>
      </c>
      <c r="C37" s="302" t="s">
        <v>1443</v>
      </c>
      <c r="D37" s="303" t="s">
        <v>1903</v>
      </c>
      <c r="E37" s="286">
        <v>1</v>
      </c>
      <c r="F37" s="304"/>
      <c r="G37" s="305"/>
      <c r="H37" s="286"/>
      <c r="I37" s="304"/>
      <c r="J37" s="286"/>
      <c r="K37" s="304"/>
      <c r="Q37" s="160">
        <f>[13]Source!X30</f>
        <v>125.08</v>
      </c>
      <c r="R37" s="160">
        <f>[13]Source!X31</f>
        <v>2346.96</v>
      </c>
      <c r="S37" s="160">
        <f>[13]Source!Y30</f>
        <v>78.180000000000007</v>
      </c>
      <c r="T37" s="160">
        <f>[13]Source!Y31</f>
        <v>1121.32</v>
      </c>
      <c r="U37" s="160">
        <f>ROUND((175/100)*ROUND([13]Source!R30, 2), 2)</f>
        <v>0</v>
      </c>
      <c r="V37" s="160">
        <f>ROUND((157/100)*ROUND([13]Source!R31, 2), 2)</f>
        <v>0</v>
      </c>
    </row>
    <row r="38" spans="1:22" ht="14.25" x14ac:dyDescent="0.2">
      <c r="A38" s="301"/>
      <c r="B38" s="302"/>
      <c r="C38" s="302" t="s">
        <v>197</v>
      </c>
      <c r="D38" s="303"/>
      <c r="E38" s="286"/>
      <c r="F38" s="304">
        <v>111.68</v>
      </c>
      <c r="G38" s="305" t="s">
        <v>195</v>
      </c>
      <c r="H38" s="286">
        <v>1</v>
      </c>
      <c r="I38" s="304">
        <v>111.68</v>
      </c>
      <c r="J38" s="286">
        <v>23.35</v>
      </c>
      <c r="K38" s="304">
        <v>2607.73</v>
      </c>
    </row>
    <row r="39" spans="1:22" ht="14.25" x14ac:dyDescent="0.2">
      <c r="A39" s="301"/>
      <c r="B39" s="302"/>
      <c r="C39" s="302" t="s">
        <v>205</v>
      </c>
      <c r="D39" s="303"/>
      <c r="E39" s="286"/>
      <c r="F39" s="304">
        <v>0.28999999999999998</v>
      </c>
      <c r="G39" s="305" t="s">
        <v>195</v>
      </c>
      <c r="H39" s="286">
        <v>1</v>
      </c>
      <c r="I39" s="304">
        <v>0.28999999999999998</v>
      </c>
      <c r="J39" s="286">
        <v>5.41</v>
      </c>
      <c r="K39" s="304">
        <v>1.57</v>
      </c>
    </row>
    <row r="40" spans="1:22" ht="14.25" x14ac:dyDescent="0.2">
      <c r="A40" s="301"/>
      <c r="B40" s="302"/>
      <c r="C40" s="302" t="s">
        <v>194</v>
      </c>
      <c r="D40" s="303" t="s">
        <v>187</v>
      </c>
      <c r="E40" s="286">
        <v>112</v>
      </c>
      <c r="F40" s="304"/>
      <c r="G40" s="305"/>
      <c r="H40" s="286"/>
      <c r="I40" s="304">
        <v>125.08</v>
      </c>
      <c r="J40" s="286">
        <v>90</v>
      </c>
      <c r="K40" s="304">
        <v>2346.96</v>
      </c>
    </row>
    <row r="41" spans="1:22" ht="14.25" x14ac:dyDescent="0.2">
      <c r="A41" s="301"/>
      <c r="B41" s="302"/>
      <c r="C41" s="302" t="s">
        <v>193</v>
      </c>
      <c r="D41" s="303" t="s">
        <v>187</v>
      </c>
      <c r="E41" s="286">
        <v>70</v>
      </c>
      <c r="F41" s="304"/>
      <c r="G41" s="305"/>
      <c r="H41" s="286"/>
      <c r="I41" s="304">
        <v>78.180000000000007</v>
      </c>
      <c r="J41" s="286">
        <v>43</v>
      </c>
      <c r="K41" s="304">
        <v>1121.32</v>
      </c>
    </row>
    <row r="42" spans="1:22" ht="14.25" x14ac:dyDescent="0.2">
      <c r="A42" s="329"/>
      <c r="B42" s="330"/>
      <c r="C42" s="330" t="s">
        <v>192</v>
      </c>
      <c r="D42" s="331" t="s">
        <v>191</v>
      </c>
      <c r="E42" s="332">
        <v>8</v>
      </c>
      <c r="F42" s="335"/>
      <c r="G42" s="334" t="s">
        <v>195</v>
      </c>
      <c r="H42" s="332">
        <v>1</v>
      </c>
      <c r="I42" s="335">
        <v>8</v>
      </c>
      <c r="J42" s="332"/>
      <c r="K42" s="335"/>
    </row>
    <row r="43" spans="1:22" ht="15" x14ac:dyDescent="0.25">
      <c r="A43" s="336"/>
      <c r="B43" s="336"/>
      <c r="C43" s="337" t="s">
        <v>183</v>
      </c>
      <c r="D43" s="336"/>
      <c r="E43" s="336"/>
      <c r="F43" s="336"/>
      <c r="G43" s="336"/>
      <c r="H43" s="461">
        <v>315.23</v>
      </c>
      <c r="I43" s="461"/>
      <c r="J43" s="461">
        <v>6077.58</v>
      </c>
      <c r="K43" s="461"/>
      <c r="O43" s="163">
        <f>I38+I39+I40+I41</f>
        <v>315.23</v>
      </c>
      <c r="P43" s="163">
        <f>K38+K39+K40+K41</f>
        <v>6077.58</v>
      </c>
    </row>
    <row r="45" spans="1:22" ht="57" x14ac:dyDescent="0.2">
      <c r="A45" s="301" t="s">
        <v>1748</v>
      </c>
      <c r="B45" s="302" t="s">
        <v>3527</v>
      </c>
      <c r="C45" s="302" t="s">
        <v>1442</v>
      </c>
      <c r="D45" s="303" t="s">
        <v>3497</v>
      </c>
      <c r="E45" s="286">
        <v>1</v>
      </c>
      <c r="F45" s="304"/>
      <c r="G45" s="305"/>
      <c r="H45" s="286"/>
      <c r="I45" s="304"/>
      <c r="J45" s="286"/>
      <c r="K45" s="304"/>
      <c r="Q45" s="160">
        <f>[13]Source!X32</f>
        <v>218.4</v>
      </c>
      <c r="R45" s="160">
        <f>[13]Source!X33</f>
        <v>4097.93</v>
      </c>
      <c r="S45" s="160">
        <f>[13]Source!Y32</f>
        <v>136.5</v>
      </c>
      <c r="T45" s="160">
        <f>[13]Source!Y33</f>
        <v>1957.9</v>
      </c>
      <c r="U45" s="160">
        <f>ROUND((175/100)*ROUND([13]Source!R32, 2), 2)</f>
        <v>1.68</v>
      </c>
      <c r="V45" s="160">
        <f>ROUND((157/100)*ROUND([13]Source!R33, 2), 2)</f>
        <v>35.200000000000003</v>
      </c>
    </row>
    <row r="46" spans="1:22" ht="14.25" x14ac:dyDescent="0.2">
      <c r="A46" s="301"/>
      <c r="B46" s="302"/>
      <c r="C46" s="302" t="s">
        <v>197</v>
      </c>
      <c r="D46" s="303"/>
      <c r="E46" s="286"/>
      <c r="F46" s="304">
        <v>195</v>
      </c>
      <c r="G46" s="305" t="s">
        <v>195</v>
      </c>
      <c r="H46" s="286">
        <v>1</v>
      </c>
      <c r="I46" s="304">
        <v>195</v>
      </c>
      <c r="J46" s="286">
        <v>23.35</v>
      </c>
      <c r="K46" s="304">
        <v>4553.25</v>
      </c>
    </row>
    <row r="47" spans="1:22" ht="14.25" x14ac:dyDescent="0.2">
      <c r="A47" s="301"/>
      <c r="B47" s="302"/>
      <c r="C47" s="302" t="s">
        <v>184</v>
      </c>
      <c r="D47" s="303"/>
      <c r="E47" s="286"/>
      <c r="F47" s="304">
        <v>20.25</v>
      </c>
      <c r="G47" s="305" t="s">
        <v>195</v>
      </c>
      <c r="H47" s="286">
        <v>1</v>
      </c>
      <c r="I47" s="304">
        <v>20.25</v>
      </c>
      <c r="J47" s="286">
        <v>6.2</v>
      </c>
      <c r="K47" s="304">
        <v>125.55</v>
      </c>
    </row>
    <row r="48" spans="1:22" ht="14.25" x14ac:dyDescent="0.2">
      <c r="A48" s="301"/>
      <c r="B48" s="302"/>
      <c r="C48" s="302" t="s">
        <v>189</v>
      </c>
      <c r="D48" s="303"/>
      <c r="E48" s="286"/>
      <c r="F48" s="304">
        <v>0.96</v>
      </c>
      <c r="G48" s="305" t="s">
        <v>195</v>
      </c>
      <c r="H48" s="286">
        <v>1</v>
      </c>
      <c r="I48" s="306">
        <v>0.96</v>
      </c>
      <c r="J48" s="286">
        <v>23.35</v>
      </c>
      <c r="K48" s="306">
        <v>22.42</v>
      </c>
    </row>
    <row r="49" spans="1:22" ht="14.25" x14ac:dyDescent="0.2">
      <c r="A49" s="301"/>
      <c r="B49" s="302"/>
      <c r="C49" s="302" t="s">
        <v>194</v>
      </c>
      <c r="D49" s="303" t="s">
        <v>187</v>
      </c>
      <c r="E49" s="286">
        <v>112</v>
      </c>
      <c r="F49" s="304"/>
      <c r="G49" s="305"/>
      <c r="H49" s="286"/>
      <c r="I49" s="304">
        <v>218.4</v>
      </c>
      <c r="J49" s="286">
        <v>90</v>
      </c>
      <c r="K49" s="304">
        <v>4097.93</v>
      </c>
    </row>
    <row r="50" spans="1:22" ht="14.25" x14ac:dyDescent="0.2">
      <c r="A50" s="301"/>
      <c r="B50" s="302"/>
      <c r="C50" s="302" t="s">
        <v>193</v>
      </c>
      <c r="D50" s="303" t="s">
        <v>187</v>
      </c>
      <c r="E50" s="286">
        <v>70</v>
      </c>
      <c r="F50" s="304"/>
      <c r="G50" s="305"/>
      <c r="H50" s="286"/>
      <c r="I50" s="304">
        <v>136.5</v>
      </c>
      <c r="J50" s="286">
        <v>43</v>
      </c>
      <c r="K50" s="304">
        <v>1957.9</v>
      </c>
    </row>
    <row r="51" spans="1:22" ht="14.25" x14ac:dyDescent="0.2">
      <c r="A51" s="301"/>
      <c r="B51" s="302"/>
      <c r="C51" s="302" t="s">
        <v>188</v>
      </c>
      <c r="D51" s="303" t="s">
        <v>187</v>
      </c>
      <c r="E51" s="286">
        <v>175</v>
      </c>
      <c r="F51" s="304"/>
      <c r="G51" s="305"/>
      <c r="H51" s="286"/>
      <c r="I51" s="304">
        <v>1.68</v>
      </c>
      <c r="J51" s="286">
        <v>157</v>
      </c>
      <c r="K51" s="304">
        <v>35.200000000000003</v>
      </c>
    </row>
    <row r="52" spans="1:22" ht="14.25" x14ac:dyDescent="0.2">
      <c r="A52" s="329"/>
      <c r="B52" s="330"/>
      <c r="C52" s="330" t="s">
        <v>192</v>
      </c>
      <c r="D52" s="331" t="s">
        <v>191</v>
      </c>
      <c r="E52" s="332">
        <v>15</v>
      </c>
      <c r="F52" s="335"/>
      <c r="G52" s="334" t="s">
        <v>195</v>
      </c>
      <c r="H52" s="332">
        <v>1</v>
      </c>
      <c r="I52" s="335">
        <v>15</v>
      </c>
      <c r="J52" s="332"/>
      <c r="K52" s="335"/>
    </row>
    <row r="53" spans="1:22" ht="15" x14ac:dyDescent="0.25">
      <c r="A53" s="336"/>
      <c r="B53" s="336"/>
      <c r="C53" s="337" t="s">
        <v>183</v>
      </c>
      <c r="D53" s="336"/>
      <c r="E53" s="336"/>
      <c r="F53" s="336"/>
      <c r="G53" s="336"/>
      <c r="H53" s="461">
        <v>571.83000000000004</v>
      </c>
      <c r="I53" s="461"/>
      <c r="J53" s="461">
        <v>10769.83</v>
      </c>
      <c r="K53" s="461"/>
      <c r="O53" s="163">
        <f>I46+I47+I49+I50+I51</f>
        <v>571.83000000000004</v>
      </c>
      <c r="P53" s="163">
        <f>K46+K47+K49+K50+K51</f>
        <v>10769.83</v>
      </c>
    </row>
    <row r="55" spans="1:22" ht="42.75" x14ac:dyDescent="0.2">
      <c r="A55" s="301" t="s">
        <v>1753</v>
      </c>
      <c r="B55" s="302" t="s">
        <v>3528</v>
      </c>
      <c r="C55" s="302" t="s">
        <v>1441</v>
      </c>
      <c r="D55" s="303" t="s">
        <v>1903</v>
      </c>
      <c r="E55" s="286">
        <v>70</v>
      </c>
      <c r="F55" s="304"/>
      <c r="G55" s="305"/>
      <c r="H55" s="286"/>
      <c r="I55" s="304"/>
      <c r="J55" s="286"/>
      <c r="K55" s="304"/>
      <c r="Q55" s="160">
        <f>[13]Source!X34</f>
        <v>1865.92</v>
      </c>
      <c r="R55" s="160">
        <f>[13]Source!X35</f>
        <v>35010.99</v>
      </c>
      <c r="S55" s="160">
        <f>[13]Source!Y34</f>
        <v>1166.2</v>
      </c>
      <c r="T55" s="160">
        <f>[13]Source!Y35</f>
        <v>16727.47</v>
      </c>
      <c r="U55" s="160">
        <f>ROUND((175/100)*ROUND([13]Source!R34, 2), 2)</f>
        <v>0</v>
      </c>
      <c r="V55" s="160">
        <f>ROUND((157/100)*ROUND([13]Source!R35, 2), 2)</f>
        <v>0</v>
      </c>
    </row>
    <row r="56" spans="1:22" ht="14.25" x14ac:dyDescent="0.2">
      <c r="A56" s="301"/>
      <c r="B56" s="302"/>
      <c r="C56" s="302" t="s">
        <v>197</v>
      </c>
      <c r="D56" s="303"/>
      <c r="E56" s="286"/>
      <c r="F56" s="304">
        <v>23.8</v>
      </c>
      <c r="G56" s="305" t="s">
        <v>195</v>
      </c>
      <c r="H56" s="286">
        <v>1</v>
      </c>
      <c r="I56" s="304">
        <v>1666</v>
      </c>
      <c r="J56" s="286">
        <v>23.35</v>
      </c>
      <c r="K56" s="304">
        <v>38901.1</v>
      </c>
    </row>
    <row r="57" spans="1:22" ht="14.25" x14ac:dyDescent="0.2">
      <c r="A57" s="301"/>
      <c r="B57" s="302"/>
      <c r="C57" s="302" t="s">
        <v>205</v>
      </c>
      <c r="D57" s="303"/>
      <c r="E57" s="286"/>
      <c r="F57" s="304">
        <v>0.28000000000000003</v>
      </c>
      <c r="G57" s="305" t="s">
        <v>195</v>
      </c>
      <c r="H57" s="286">
        <v>1</v>
      </c>
      <c r="I57" s="304">
        <v>19.600000000000001</v>
      </c>
      <c r="J57" s="286">
        <v>5.43</v>
      </c>
      <c r="K57" s="304">
        <v>106.43</v>
      </c>
    </row>
    <row r="58" spans="1:22" ht="42.75" x14ac:dyDescent="0.2">
      <c r="A58" s="301" t="s">
        <v>1754</v>
      </c>
      <c r="B58" s="302" t="s">
        <v>3529</v>
      </c>
      <c r="C58" s="302" t="s">
        <v>1440</v>
      </c>
      <c r="D58" s="303" t="s">
        <v>1661</v>
      </c>
      <c r="E58" s="286">
        <v>70</v>
      </c>
      <c r="F58" s="304">
        <v>145.19999999999999</v>
      </c>
      <c r="G58" s="315" t="s">
        <v>195</v>
      </c>
      <c r="H58" s="286">
        <v>1</v>
      </c>
      <c r="I58" s="304">
        <v>10164</v>
      </c>
      <c r="J58" s="286">
        <v>19.670000000000002</v>
      </c>
      <c r="K58" s="304">
        <v>199925.88</v>
      </c>
      <c r="Q58" s="160">
        <f>[13]Source!X36</f>
        <v>0</v>
      </c>
      <c r="R58" s="160">
        <f>[13]Source!X37</f>
        <v>0</v>
      </c>
      <c r="S58" s="160">
        <f>[13]Source!Y36</f>
        <v>0</v>
      </c>
      <c r="T58" s="160">
        <f>[13]Source!Y37</f>
        <v>0</v>
      </c>
      <c r="U58" s="160">
        <f>ROUND((175/100)*ROUND([13]Source!R36, 2), 2)</f>
        <v>0</v>
      </c>
      <c r="V58" s="160">
        <f>ROUND((157/100)*ROUND([13]Source!R37, 2), 2)</f>
        <v>0</v>
      </c>
    </row>
    <row r="59" spans="1:22" ht="14.25" x14ac:dyDescent="0.2">
      <c r="A59" s="301"/>
      <c r="B59" s="302"/>
      <c r="C59" s="302" t="s">
        <v>194</v>
      </c>
      <c r="D59" s="303" t="s">
        <v>187</v>
      </c>
      <c r="E59" s="286">
        <v>112</v>
      </c>
      <c r="F59" s="304"/>
      <c r="G59" s="305"/>
      <c r="H59" s="286"/>
      <c r="I59" s="304">
        <v>1865.92</v>
      </c>
      <c r="J59" s="286">
        <v>90</v>
      </c>
      <c r="K59" s="304">
        <v>35010.99</v>
      </c>
    </row>
    <row r="60" spans="1:22" ht="14.25" x14ac:dyDescent="0.2">
      <c r="A60" s="301"/>
      <c r="B60" s="302"/>
      <c r="C60" s="302" t="s">
        <v>193</v>
      </c>
      <c r="D60" s="303" t="s">
        <v>187</v>
      </c>
      <c r="E60" s="286">
        <v>70</v>
      </c>
      <c r="F60" s="304"/>
      <c r="G60" s="305"/>
      <c r="H60" s="286"/>
      <c r="I60" s="304">
        <v>1166.2</v>
      </c>
      <c r="J60" s="286">
        <v>43</v>
      </c>
      <c r="K60" s="304">
        <v>16727.47</v>
      </c>
    </row>
    <row r="61" spans="1:22" ht="14.25" x14ac:dyDescent="0.2">
      <c r="A61" s="329"/>
      <c r="B61" s="330"/>
      <c r="C61" s="330" t="s">
        <v>192</v>
      </c>
      <c r="D61" s="331" t="s">
        <v>191</v>
      </c>
      <c r="E61" s="332">
        <v>2</v>
      </c>
      <c r="F61" s="335"/>
      <c r="G61" s="334" t="s">
        <v>195</v>
      </c>
      <c r="H61" s="332">
        <v>1</v>
      </c>
      <c r="I61" s="335">
        <v>140</v>
      </c>
      <c r="J61" s="332"/>
      <c r="K61" s="335"/>
    </row>
    <row r="62" spans="1:22" ht="15" x14ac:dyDescent="0.25">
      <c r="A62" s="336"/>
      <c r="B62" s="336"/>
      <c r="C62" s="337" t="s">
        <v>183</v>
      </c>
      <c r="D62" s="336"/>
      <c r="E62" s="336"/>
      <c r="F62" s="336"/>
      <c r="G62" s="336"/>
      <c r="H62" s="461">
        <v>14881.72</v>
      </c>
      <c r="I62" s="461"/>
      <c r="J62" s="461">
        <v>290671.87</v>
      </c>
      <c r="K62" s="461"/>
      <c r="O62" s="163">
        <f>I56+I57+I59+I60+SUM(I58:I58)</f>
        <v>14881.72</v>
      </c>
      <c r="P62" s="163">
        <f>K56+K57+K59+K60+SUM(K58:K58)</f>
        <v>290671.87</v>
      </c>
    </row>
    <row r="64" spans="1:22" ht="28.5" x14ac:dyDescent="0.2">
      <c r="A64" s="301" t="s">
        <v>1756</v>
      </c>
      <c r="B64" s="302" t="s">
        <v>3408</v>
      </c>
      <c r="C64" s="302" t="s">
        <v>1129</v>
      </c>
      <c r="D64" s="303" t="s">
        <v>1903</v>
      </c>
      <c r="E64" s="286">
        <v>1</v>
      </c>
      <c r="F64" s="304"/>
      <c r="G64" s="305"/>
      <c r="H64" s="286"/>
      <c r="I64" s="304"/>
      <c r="J64" s="286"/>
      <c r="K64" s="304"/>
      <c r="Q64" s="160">
        <f>[13]Source!X38</f>
        <v>21.21</v>
      </c>
      <c r="R64" s="160">
        <f>[13]Source!X39</f>
        <v>398.03</v>
      </c>
      <c r="S64" s="160">
        <f>[13]Source!Y38</f>
        <v>13.26</v>
      </c>
      <c r="T64" s="160">
        <f>[13]Source!Y39</f>
        <v>190.17</v>
      </c>
      <c r="U64" s="160">
        <f>ROUND((175/100)*ROUND([13]Source!R38, 2), 2)</f>
        <v>0</v>
      </c>
      <c r="V64" s="160">
        <f>ROUND((157/100)*ROUND([13]Source!R39, 2), 2)</f>
        <v>0</v>
      </c>
    </row>
    <row r="65" spans="1:22" ht="14.25" x14ac:dyDescent="0.2">
      <c r="A65" s="301"/>
      <c r="B65" s="302"/>
      <c r="C65" s="302" t="s">
        <v>197</v>
      </c>
      <c r="D65" s="303"/>
      <c r="E65" s="286"/>
      <c r="F65" s="304">
        <v>18.940000000000001</v>
      </c>
      <c r="G65" s="305" t="s">
        <v>195</v>
      </c>
      <c r="H65" s="286">
        <v>1</v>
      </c>
      <c r="I65" s="304">
        <v>18.940000000000001</v>
      </c>
      <c r="J65" s="286">
        <v>23.35</v>
      </c>
      <c r="K65" s="304">
        <v>442.25</v>
      </c>
    </row>
    <row r="66" spans="1:22" ht="14.25" x14ac:dyDescent="0.2">
      <c r="A66" s="301"/>
      <c r="B66" s="302"/>
      <c r="C66" s="302" t="s">
        <v>184</v>
      </c>
      <c r="D66" s="303"/>
      <c r="E66" s="286"/>
      <c r="F66" s="304">
        <v>0.05</v>
      </c>
      <c r="G66" s="305" t="s">
        <v>195</v>
      </c>
      <c r="H66" s="286">
        <v>1</v>
      </c>
      <c r="I66" s="304">
        <v>0.05</v>
      </c>
      <c r="J66" s="286">
        <v>5.4</v>
      </c>
      <c r="K66" s="304">
        <v>0.27</v>
      </c>
    </row>
    <row r="67" spans="1:22" ht="14.25" x14ac:dyDescent="0.2">
      <c r="A67" s="301"/>
      <c r="B67" s="302"/>
      <c r="C67" s="302" t="s">
        <v>205</v>
      </c>
      <c r="D67" s="303"/>
      <c r="E67" s="286"/>
      <c r="F67" s="304">
        <v>1.5</v>
      </c>
      <c r="G67" s="305" t="s">
        <v>195</v>
      </c>
      <c r="H67" s="286">
        <v>1</v>
      </c>
      <c r="I67" s="304">
        <v>1.5</v>
      </c>
      <c r="J67" s="286">
        <v>5.42</v>
      </c>
      <c r="K67" s="304">
        <v>8.1300000000000008</v>
      </c>
    </row>
    <row r="68" spans="1:22" ht="14.25" x14ac:dyDescent="0.2">
      <c r="A68" s="301"/>
      <c r="B68" s="302"/>
      <c r="C68" s="302" t="s">
        <v>194</v>
      </c>
      <c r="D68" s="303" t="s">
        <v>187</v>
      </c>
      <c r="E68" s="286">
        <v>112</v>
      </c>
      <c r="F68" s="304"/>
      <c r="G68" s="305"/>
      <c r="H68" s="286"/>
      <c r="I68" s="304">
        <v>21.21</v>
      </c>
      <c r="J68" s="286">
        <v>90</v>
      </c>
      <c r="K68" s="304">
        <v>398.03</v>
      </c>
    </row>
    <row r="69" spans="1:22" ht="14.25" x14ac:dyDescent="0.2">
      <c r="A69" s="301"/>
      <c r="B69" s="302"/>
      <c r="C69" s="302" t="s">
        <v>193</v>
      </c>
      <c r="D69" s="303" t="s">
        <v>187</v>
      </c>
      <c r="E69" s="286">
        <v>70</v>
      </c>
      <c r="F69" s="304"/>
      <c r="G69" s="305"/>
      <c r="H69" s="286"/>
      <c r="I69" s="304">
        <v>13.26</v>
      </c>
      <c r="J69" s="286">
        <v>43</v>
      </c>
      <c r="K69" s="304">
        <v>190.17</v>
      </c>
    </row>
    <row r="70" spans="1:22" ht="14.25" x14ac:dyDescent="0.2">
      <c r="A70" s="329"/>
      <c r="B70" s="330"/>
      <c r="C70" s="330" t="s">
        <v>192</v>
      </c>
      <c r="D70" s="331" t="s">
        <v>191</v>
      </c>
      <c r="E70" s="332">
        <v>1.36</v>
      </c>
      <c r="F70" s="335"/>
      <c r="G70" s="334" t="s">
        <v>195</v>
      </c>
      <c r="H70" s="332">
        <v>1</v>
      </c>
      <c r="I70" s="335">
        <v>1.36</v>
      </c>
      <c r="J70" s="332"/>
      <c r="K70" s="335"/>
    </row>
    <row r="71" spans="1:22" ht="15" x14ac:dyDescent="0.25">
      <c r="A71" s="336"/>
      <c r="B71" s="336"/>
      <c r="C71" s="337" t="s">
        <v>183</v>
      </c>
      <c r="D71" s="336"/>
      <c r="E71" s="336"/>
      <c r="F71" s="336"/>
      <c r="G71" s="336"/>
      <c r="H71" s="461">
        <v>54.96</v>
      </c>
      <c r="I71" s="461"/>
      <c r="J71" s="461">
        <v>1038.8499999999999</v>
      </c>
      <c r="K71" s="461"/>
      <c r="O71" s="163">
        <f>I65+I66+I67+I68+I69</f>
        <v>54.96</v>
      </c>
      <c r="P71" s="163">
        <f>K65+K66+K67+K68+K69</f>
        <v>1038.8499999999999</v>
      </c>
    </row>
    <row r="73" spans="1:22" ht="71.25" x14ac:dyDescent="0.2">
      <c r="A73" s="301" t="s">
        <v>1760</v>
      </c>
      <c r="B73" s="302" t="s">
        <v>3354</v>
      </c>
      <c r="C73" s="302" t="s">
        <v>1111</v>
      </c>
      <c r="D73" s="303" t="s">
        <v>1686</v>
      </c>
      <c r="E73" s="286">
        <v>0.5</v>
      </c>
      <c r="F73" s="304"/>
      <c r="G73" s="305"/>
      <c r="H73" s="286"/>
      <c r="I73" s="304"/>
      <c r="J73" s="286"/>
      <c r="K73" s="304"/>
      <c r="Q73" s="160">
        <f>[13]Source!X40</f>
        <v>42.67</v>
      </c>
      <c r="R73" s="160">
        <f>[13]Source!X41</f>
        <v>800.68</v>
      </c>
      <c r="S73" s="160">
        <f>[13]Source!Y40</f>
        <v>26.67</v>
      </c>
      <c r="T73" s="160">
        <f>[13]Source!Y41</f>
        <v>382.55</v>
      </c>
      <c r="U73" s="160">
        <f>ROUND((175/100)*ROUND([13]Source!R40, 2), 2)</f>
        <v>0.35</v>
      </c>
      <c r="V73" s="160">
        <f>ROUND((157/100)*ROUND([13]Source!R41, 2), 2)</f>
        <v>7.33</v>
      </c>
    </row>
    <row r="74" spans="1:22" x14ac:dyDescent="0.2">
      <c r="C74" s="316" t="s">
        <v>3081</v>
      </c>
    </row>
    <row r="75" spans="1:22" ht="14.25" x14ac:dyDescent="0.2">
      <c r="A75" s="301"/>
      <c r="B75" s="302"/>
      <c r="C75" s="302" t="s">
        <v>197</v>
      </c>
      <c r="D75" s="303"/>
      <c r="E75" s="286"/>
      <c r="F75" s="304">
        <v>76.2</v>
      </c>
      <c r="G75" s="305" t="s">
        <v>195</v>
      </c>
      <c r="H75" s="286">
        <v>1</v>
      </c>
      <c r="I75" s="304">
        <v>38.1</v>
      </c>
      <c r="J75" s="286">
        <v>23.35</v>
      </c>
      <c r="K75" s="304">
        <v>889.64</v>
      </c>
    </row>
    <row r="76" spans="1:22" ht="14.25" x14ac:dyDescent="0.2">
      <c r="A76" s="301"/>
      <c r="B76" s="302"/>
      <c r="C76" s="302" t="s">
        <v>184</v>
      </c>
      <c r="D76" s="303"/>
      <c r="E76" s="286"/>
      <c r="F76" s="304">
        <v>1.69</v>
      </c>
      <c r="G76" s="305" t="s">
        <v>195</v>
      </c>
      <c r="H76" s="286">
        <v>1</v>
      </c>
      <c r="I76" s="304">
        <v>0.85</v>
      </c>
      <c r="J76" s="286">
        <v>9.5</v>
      </c>
      <c r="K76" s="304">
        <v>8.08</v>
      </c>
    </row>
    <row r="77" spans="1:22" ht="14.25" x14ac:dyDescent="0.2">
      <c r="A77" s="301"/>
      <c r="B77" s="302"/>
      <c r="C77" s="302" t="s">
        <v>189</v>
      </c>
      <c r="D77" s="303"/>
      <c r="E77" s="286"/>
      <c r="F77" s="304">
        <v>0.39</v>
      </c>
      <c r="G77" s="305" t="s">
        <v>195</v>
      </c>
      <c r="H77" s="286">
        <v>1</v>
      </c>
      <c r="I77" s="306">
        <v>0.2</v>
      </c>
      <c r="J77" s="286">
        <v>23.35</v>
      </c>
      <c r="K77" s="306">
        <v>4.67</v>
      </c>
    </row>
    <row r="78" spans="1:22" ht="14.25" x14ac:dyDescent="0.2">
      <c r="A78" s="301"/>
      <c r="B78" s="302"/>
      <c r="C78" s="302" t="s">
        <v>205</v>
      </c>
      <c r="D78" s="303"/>
      <c r="E78" s="286"/>
      <c r="F78" s="304">
        <v>9.94</v>
      </c>
      <c r="G78" s="305" t="s">
        <v>195</v>
      </c>
      <c r="H78" s="286">
        <v>1</v>
      </c>
      <c r="I78" s="304">
        <v>4.97</v>
      </c>
      <c r="J78" s="286">
        <v>5.42</v>
      </c>
      <c r="K78" s="304">
        <v>26.94</v>
      </c>
    </row>
    <row r="79" spans="1:22" ht="114" x14ac:dyDescent="0.2">
      <c r="A79" s="301" t="s">
        <v>1762</v>
      </c>
      <c r="B79" s="302" t="s">
        <v>3512</v>
      </c>
      <c r="C79" s="302" t="s">
        <v>1161</v>
      </c>
      <c r="D79" s="303" t="s">
        <v>3367</v>
      </c>
      <c r="E79" s="286">
        <v>5.0999999999999997E-2</v>
      </c>
      <c r="F79" s="304">
        <v>21349.79</v>
      </c>
      <c r="G79" s="315" t="s">
        <v>195</v>
      </c>
      <c r="H79" s="286">
        <v>1</v>
      </c>
      <c r="I79" s="304">
        <v>1088.8399999999999</v>
      </c>
      <c r="J79" s="286">
        <v>1.71</v>
      </c>
      <c r="K79" s="304">
        <v>1861.92</v>
      </c>
      <c r="Q79" s="160">
        <f>[13]Source!X42</f>
        <v>0</v>
      </c>
      <c r="R79" s="160">
        <f>[13]Source!X43</f>
        <v>0</v>
      </c>
      <c r="S79" s="160">
        <f>[13]Source!Y42</f>
        <v>0</v>
      </c>
      <c r="T79" s="160">
        <f>[13]Source!Y43</f>
        <v>0</v>
      </c>
      <c r="U79" s="160">
        <f>ROUND((175/100)*ROUND([13]Source!R42, 2), 2)</f>
        <v>0</v>
      </c>
      <c r="V79" s="160">
        <f>ROUND((157/100)*ROUND([13]Source!R43, 2), 2)</f>
        <v>0</v>
      </c>
    </row>
    <row r="80" spans="1:22" ht="14.25" x14ac:dyDescent="0.2">
      <c r="A80" s="301"/>
      <c r="B80" s="302"/>
      <c r="C80" s="302" t="s">
        <v>194</v>
      </c>
      <c r="D80" s="303" t="s">
        <v>187</v>
      </c>
      <c r="E80" s="286">
        <v>112</v>
      </c>
      <c r="F80" s="304"/>
      <c r="G80" s="305"/>
      <c r="H80" s="286"/>
      <c r="I80" s="304">
        <v>42.67</v>
      </c>
      <c r="J80" s="286">
        <v>90</v>
      </c>
      <c r="K80" s="304">
        <v>800.68</v>
      </c>
    </row>
    <row r="81" spans="1:22" ht="14.25" x14ac:dyDescent="0.2">
      <c r="A81" s="301"/>
      <c r="B81" s="302"/>
      <c r="C81" s="302" t="s">
        <v>193</v>
      </c>
      <c r="D81" s="303" t="s">
        <v>187</v>
      </c>
      <c r="E81" s="286">
        <v>70</v>
      </c>
      <c r="F81" s="304"/>
      <c r="G81" s="305"/>
      <c r="H81" s="286"/>
      <c r="I81" s="304">
        <v>26.67</v>
      </c>
      <c r="J81" s="286">
        <v>43</v>
      </c>
      <c r="K81" s="304">
        <v>382.55</v>
      </c>
    </row>
    <row r="82" spans="1:22" ht="14.25" x14ac:dyDescent="0.2">
      <c r="A82" s="301"/>
      <c r="B82" s="302"/>
      <c r="C82" s="302" t="s">
        <v>188</v>
      </c>
      <c r="D82" s="303" t="s">
        <v>187</v>
      </c>
      <c r="E82" s="286">
        <v>175</v>
      </c>
      <c r="F82" s="304"/>
      <c r="G82" s="305"/>
      <c r="H82" s="286"/>
      <c r="I82" s="304">
        <v>0.35</v>
      </c>
      <c r="J82" s="286">
        <v>157</v>
      </c>
      <c r="K82" s="304">
        <v>7.33</v>
      </c>
    </row>
    <row r="83" spans="1:22" ht="14.25" x14ac:dyDescent="0.2">
      <c r="A83" s="329"/>
      <c r="B83" s="330"/>
      <c r="C83" s="330" t="s">
        <v>192</v>
      </c>
      <c r="D83" s="331" t="s">
        <v>191</v>
      </c>
      <c r="E83" s="332">
        <v>6.18</v>
      </c>
      <c r="F83" s="335"/>
      <c r="G83" s="334" t="s">
        <v>195</v>
      </c>
      <c r="H83" s="332">
        <v>1</v>
      </c>
      <c r="I83" s="335">
        <v>3.09</v>
      </c>
      <c r="J83" s="332"/>
      <c r="K83" s="335"/>
    </row>
    <row r="84" spans="1:22" ht="15" x14ac:dyDescent="0.25">
      <c r="A84" s="336"/>
      <c r="B84" s="336"/>
      <c r="C84" s="337" t="s">
        <v>183</v>
      </c>
      <c r="D84" s="336"/>
      <c r="E84" s="336"/>
      <c r="F84" s="336"/>
      <c r="G84" s="336"/>
      <c r="H84" s="461">
        <v>1202.45</v>
      </c>
      <c r="I84" s="461"/>
      <c r="J84" s="461">
        <v>3977.14</v>
      </c>
      <c r="K84" s="461"/>
      <c r="O84" s="163">
        <f>I75+I76+I78+I80+I81+I82+SUM(I79:I79)</f>
        <v>1202.45</v>
      </c>
      <c r="P84" s="163">
        <f>K75+K76+K78+K80+K81+K82+SUM(K79:K79)</f>
        <v>3977.14</v>
      </c>
    </row>
    <row r="86" spans="1:22" ht="71.25" x14ac:dyDescent="0.2">
      <c r="A86" s="301" t="s">
        <v>1768</v>
      </c>
      <c r="B86" s="302" t="s">
        <v>3354</v>
      </c>
      <c r="C86" s="302" t="s">
        <v>1111</v>
      </c>
      <c r="D86" s="303" t="s">
        <v>1686</v>
      </c>
      <c r="E86" s="286">
        <v>12</v>
      </c>
      <c r="F86" s="304"/>
      <c r="G86" s="305"/>
      <c r="H86" s="286"/>
      <c r="I86" s="304"/>
      <c r="J86" s="286"/>
      <c r="K86" s="304"/>
      <c r="Q86" s="160">
        <f>[13]Source!X44</f>
        <v>1024.1300000000001</v>
      </c>
      <c r="R86" s="160">
        <f>[13]Source!X45</f>
        <v>19216.12</v>
      </c>
      <c r="S86" s="160">
        <f>[13]Source!Y44</f>
        <v>640.08000000000004</v>
      </c>
      <c r="T86" s="160">
        <f>[13]Source!Y45</f>
        <v>9181.0300000000007</v>
      </c>
      <c r="U86" s="160">
        <f>ROUND((175/100)*ROUND([13]Source!R44, 2), 2)</f>
        <v>8.19</v>
      </c>
      <c r="V86" s="160">
        <f>ROUND((157/100)*ROUND([13]Source!R45, 2), 2)</f>
        <v>171.57</v>
      </c>
    </row>
    <row r="87" spans="1:22" x14ac:dyDescent="0.2">
      <c r="C87" s="316" t="s">
        <v>3530</v>
      </c>
    </row>
    <row r="88" spans="1:22" ht="14.25" x14ac:dyDescent="0.2">
      <c r="A88" s="301"/>
      <c r="B88" s="302"/>
      <c r="C88" s="302" t="s">
        <v>197</v>
      </c>
      <c r="D88" s="303"/>
      <c r="E88" s="286"/>
      <c r="F88" s="304">
        <v>76.2</v>
      </c>
      <c r="G88" s="305" t="s">
        <v>195</v>
      </c>
      <c r="H88" s="286">
        <v>1</v>
      </c>
      <c r="I88" s="304">
        <v>914.4</v>
      </c>
      <c r="J88" s="286">
        <v>23.35</v>
      </c>
      <c r="K88" s="304">
        <v>21351.24</v>
      </c>
    </row>
    <row r="89" spans="1:22" ht="14.25" x14ac:dyDescent="0.2">
      <c r="A89" s="301"/>
      <c r="B89" s="302"/>
      <c r="C89" s="302" t="s">
        <v>184</v>
      </c>
      <c r="D89" s="303"/>
      <c r="E89" s="286"/>
      <c r="F89" s="304">
        <v>1.69</v>
      </c>
      <c r="G89" s="305" t="s">
        <v>195</v>
      </c>
      <c r="H89" s="286">
        <v>1</v>
      </c>
      <c r="I89" s="304">
        <v>20.28</v>
      </c>
      <c r="J89" s="286">
        <v>9.5</v>
      </c>
      <c r="K89" s="304">
        <v>192.66</v>
      </c>
    </row>
    <row r="90" spans="1:22" ht="14.25" x14ac:dyDescent="0.2">
      <c r="A90" s="301"/>
      <c r="B90" s="302"/>
      <c r="C90" s="302" t="s">
        <v>189</v>
      </c>
      <c r="D90" s="303"/>
      <c r="E90" s="286"/>
      <c r="F90" s="304">
        <v>0.39</v>
      </c>
      <c r="G90" s="305" t="s">
        <v>195</v>
      </c>
      <c r="H90" s="286">
        <v>1</v>
      </c>
      <c r="I90" s="306">
        <v>4.68</v>
      </c>
      <c r="J90" s="286">
        <v>23.35</v>
      </c>
      <c r="K90" s="306">
        <v>109.28</v>
      </c>
    </row>
    <row r="91" spans="1:22" ht="14.25" x14ac:dyDescent="0.2">
      <c r="A91" s="301"/>
      <c r="B91" s="302"/>
      <c r="C91" s="302" t="s">
        <v>205</v>
      </c>
      <c r="D91" s="303"/>
      <c r="E91" s="286"/>
      <c r="F91" s="304">
        <v>9.94</v>
      </c>
      <c r="G91" s="305" t="s">
        <v>195</v>
      </c>
      <c r="H91" s="286">
        <v>1</v>
      </c>
      <c r="I91" s="304">
        <v>119.28</v>
      </c>
      <c r="J91" s="286">
        <v>5.42</v>
      </c>
      <c r="K91" s="304">
        <v>646.5</v>
      </c>
    </row>
    <row r="92" spans="1:22" ht="42.75" x14ac:dyDescent="0.2">
      <c r="A92" s="301" t="s">
        <v>1770</v>
      </c>
      <c r="B92" s="302" t="s">
        <v>3531</v>
      </c>
      <c r="C92" s="302" t="s">
        <v>1439</v>
      </c>
      <c r="D92" s="303" t="s">
        <v>3367</v>
      </c>
      <c r="E92" s="286">
        <v>1.224</v>
      </c>
      <c r="F92" s="304">
        <v>4789.93</v>
      </c>
      <c r="G92" s="315" t="s">
        <v>195</v>
      </c>
      <c r="H92" s="286">
        <v>1</v>
      </c>
      <c r="I92" s="304">
        <v>5862.87</v>
      </c>
      <c r="J92" s="286">
        <v>4.22</v>
      </c>
      <c r="K92" s="304">
        <v>24741.31</v>
      </c>
      <c r="Q92" s="160">
        <f>[13]Source!X46</f>
        <v>0</v>
      </c>
      <c r="R92" s="160">
        <f>[13]Source!X47</f>
        <v>0</v>
      </c>
      <c r="S92" s="160">
        <f>[13]Source!Y46</f>
        <v>0</v>
      </c>
      <c r="T92" s="160">
        <f>[13]Source!Y47</f>
        <v>0</v>
      </c>
      <c r="U92" s="160">
        <f>ROUND((175/100)*ROUND([13]Source!R46, 2), 2)</f>
        <v>0</v>
      </c>
      <c r="V92" s="160">
        <f>ROUND((157/100)*ROUND([13]Source!R47, 2), 2)</f>
        <v>0</v>
      </c>
    </row>
    <row r="93" spans="1:22" ht="14.25" x14ac:dyDescent="0.2">
      <c r="A93" s="301"/>
      <c r="B93" s="302"/>
      <c r="C93" s="302" t="s">
        <v>194</v>
      </c>
      <c r="D93" s="303" t="s">
        <v>187</v>
      </c>
      <c r="E93" s="286">
        <v>112</v>
      </c>
      <c r="F93" s="304"/>
      <c r="G93" s="305"/>
      <c r="H93" s="286"/>
      <c r="I93" s="304">
        <v>1024.1300000000001</v>
      </c>
      <c r="J93" s="286">
        <v>90</v>
      </c>
      <c r="K93" s="304">
        <v>19216.12</v>
      </c>
    </row>
    <row r="94" spans="1:22" ht="14.25" x14ac:dyDescent="0.2">
      <c r="A94" s="301"/>
      <c r="B94" s="302"/>
      <c r="C94" s="302" t="s">
        <v>193</v>
      </c>
      <c r="D94" s="303" t="s">
        <v>187</v>
      </c>
      <c r="E94" s="286">
        <v>70</v>
      </c>
      <c r="F94" s="304"/>
      <c r="G94" s="305"/>
      <c r="H94" s="286"/>
      <c r="I94" s="304">
        <v>640.08000000000004</v>
      </c>
      <c r="J94" s="286">
        <v>43</v>
      </c>
      <c r="K94" s="304">
        <v>9181.0300000000007</v>
      </c>
    </row>
    <row r="95" spans="1:22" ht="14.25" x14ac:dyDescent="0.2">
      <c r="A95" s="301"/>
      <c r="B95" s="302"/>
      <c r="C95" s="302" t="s">
        <v>188</v>
      </c>
      <c r="D95" s="303" t="s">
        <v>187</v>
      </c>
      <c r="E95" s="286">
        <v>175</v>
      </c>
      <c r="F95" s="304"/>
      <c r="G95" s="305"/>
      <c r="H95" s="286"/>
      <c r="I95" s="304">
        <v>8.19</v>
      </c>
      <c r="J95" s="286">
        <v>157</v>
      </c>
      <c r="K95" s="304">
        <v>171.57</v>
      </c>
    </row>
    <row r="96" spans="1:22" ht="14.25" x14ac:dyDescent="0.2">
      <c r="A96" s="329"/>
      <c r="B96" s="330"/>
      <c r="C96" s="330" t="s">
        <v>192</v>
      </c>
      <c r="D96" s="331" t="s">
        <v>191</v>
      </c>
      <c r="E96" s="332">
        <v>6.18</v>
      </c>
      <c r="F96" s="335"/>
      <c r="G96" s="334" t="s">
        <v>195</v>
      </c>
      <c r="H96" s="332">
        <v>1</v>
      </c>
      <c r="I96" s="335">
        <v>74.16</v>
      </c>
      <c r="J96" s="332"/>
      <c r="K96" s="335"/>
    </row>
    <row r="97" spans="1:22" ht="15" x14ac:dyDescent="0.25">
      <c r="A97" s="336"/>
      <c r="B97" s="336"/>
      <c r="C97" s="337" t="s">
        <v>183</v>
      </c>
      <c r="D97" s="336"/>
      <c r="E97" s="336"/>
      <c r="F97" s="336"/>
      <c r="G97" s="336"/>
      <c r="H97" s="461">
        <v>8589.23</v>
      </c>
      <c r="I97" s="461"/>
      <c r="J97" s="461">
        <v>75500.429999999993</v>
      </c>
      <c r="K97" s="461"/>
      <c r="O97" s="163">
        <f>I88+I89+I91+I93+I94+I95+SUM(I92:I92)</f>
        <v>8589.23</v>
      </c>
      <c r="P97" s="163">
        <f>K88+K89+K91+K93+K94+K95+SUM(K92:K92)</f>
        <v>75500.429999999993</v>
      </c>
    </row>
    <row r="99" spans="1:22" ht="71.25" x14ac:dyDescent="0.2">
      <c r="A99" s="301" t="s">
        <v>1775</v>
      </c>
      <c r="B99" s="302" t="s">
        <v>3347</v>
      </c>
      <c r="C99" s="302" t="s">
        <v>1171</v>
      </c>
      <c r="D99" s="303" t="s">
        <v>1686</v>
      </c>
      <c r="E99" s="286">
        <v>12</v>
      </c>
      <c r="F99" s="304"/>
      <c r="G99" s="305"/>
      <c r="H99" s="286"/>
      <c r="I99" s="304"/>
      <c r="J99" s="286"/>
      <c r="K99" s="304"/>
      <c r="Q99" s="160">
        <f>[13]Source!X54</f>
        <v>2583.9699999999998</v>
      </c>
      <c r="R99" s="160">
        <f>[13]Source!X55</f>
        <v>48484.13</v>
      </c>
      <c r="S99" s="160">
        <f>[13]Source!Y54</f>
        <v>1614.98</v>
      </c>
      <c r="T99" s="160">
        <f>[13]Source!Y55</f>
        <v>23164.639999999999</v>
      </c>
      <c r="U99" s="160">
        <f>ROUND((175/100)*ROUND([13]Source!R54, 2), 2)</f>
        <v>119.91</v>
      </c>
      <c r="V99" s="160">
        <f>ROUND((157/100)*ROUND([13]Source!R55, 2), 2)</f>
        <v>2511.91</v>
      </c>
    </row>
    <row r="100" spans="1:22" x14ac:dyDescent="0.2">
      <c r="C100" s="316" t="s">
        <v>3530</v>
      </c>
    </row>
    <row r="101" spans="1:22" ht="14.25" x14ac:dyDescent="0.2">
      <c r="A101" s="301"/>
      <c r="B101" s="302"/>
      <c r="C101" s="302" t="s">
        <v>197</v>
      </c>
      <c r="D101" s="303"/>
      <c r="E101" s="286"/>
      <c r="F101" s="304">
        <v>192.26</v>
      </c>
      <c r="G101" s="305" t="s">
        <v>195</v>
      </c>
      <c r="H101" s="286">
        <v>1</v>
      </c>
      <c r="I101" s="304">
        <v>2307.12</v>
      </c>
      <c r="J101" s="286">
        <v>23.35</v>
      </c>
      <c r="K101" s="304">
        <v>53871.25</v>
      </c>
    </row>
    <row r="102" spans="1:22" ht="14.25" x14ac:dyDescent="0.2">
      <c r="A102" s="301"/>
      <c r="B102" s="302"/>
      <c r="C102" s="302" t="s">
        <v>184</v>
      </c>
      <c r="D102" s="303"/>
      <c r="E102" s="286"/>
      <c r="F102" s="304">
        <v>32.869999999999997</v>
      </c>
      <c r="G102" s="305" t="s">
        <v>195</v>
      </c>
      <c r="H102" s="286">
        <v>1</v>
      </c>
      <c r="I102" s="304">
        <v>394.44</v>
      </c>
      <c r="J102" s="286">
        <v>8.48</v>
      </c>
      <c r="K102" s="304">
        <v>3344.85</v>
      </c>
    </row>
    <row r="103" spans="1:22" ht="14.25" x14ac:dyDescent="0.2">
      <c r="A103" s="301"/>
      <c r="B103" s="302"/>
      <c r="C103" s="302" t="s">
        <v>189</v>
      </c>
      <c r="D103" s="303"/>
      <c r="E103" s="286"/>
      <c r="F103" s="304">
        <v>5.71</v>
      </c>
      <c r="G103" s="305" t="s">
        <v>195</v>
      </c>
      <c r="H103" s="286">
        <v>1</v>
      </c>
      <c r="I103" s="306">
        <v>68.52</v>
      </c>
      <c r="J103" s="286">
        <v>23.35</v>
      </c>
      <c r="K103" s="306">
        <v>1599.94</v>
      </c>
    </row>
    <row r="104" spans="1:22" ht="14.25" x14ac:dyDescent="0.2">
      <c r="A104" s="301"/>
      <c r="B104" s="302"/>
      <c r="C104" s="302" t="s">
        <v>205</v>
      </c>
      <c r="D104" s="303"/>
      <c r="E104" s="286"/>
      <c r="F104" s="304">
        <v>314.29000000000002</v>
      </c>
      <c r="G104" s="305" t="s">
        <v>195</v>
      </c>
      <c r="H104" s="286">
        <v>1</v>
      </c>
      <c r="I104" s="304">
        <v>3771.48</v>
      </c>
      <c r="J104" s="286">
        <v>5.42</v>
      </c>
      <c r="K104" s="304">
        <v>20441.419999999998</v>
      </c>
    </row>
    <row r="105" spans="1:22" ht="57" x14ac:dyDescent="0.2">
      <c r="A105" s="301" t="s">
        <v>1776</v>
      </c>
      <c r="B105" s="302" t="s">
        <v>3349</v>
      </c>
      <c r="C105" s="302" t="s">
        <v>1232</v>
      </c>
      <c r="D105" s="303" t="s">
        <v>1552</v>
      </c>
      <c r="E105" s="286">
        <v>1224</v>
      </c>
      <c r="F105" s="304">
        <v>3.45</v>
      </c>
      <c r="G105" s="315" t="s">
        <v>195</v>
      </c>
      <c r="H105" s="286">
        <v>1</v>
      </c>
      <c r="I105" s="304">
        <v>4222.8</v>
      </c>
      <c r="J105" s="286">
        <v>6.37</v>
      </c>
      <c r="K105" s="304">
        <v>26899.24</v>
      </c>
      <c r="Q105" s="160">
        <f>[13]Source!X56</f>
        <v>0</v>
      </c>
      <c r="R105" s="160">
        <f>[13]Source!X57</f>
        <v>0</v>
      </c>
      <c r="S105" s="160">
        <f>[13]Source!Y56</f>
        <v>0</v>
      </c>
      <c r="T105" s="160">
        <f>[13]Source!Y57</f>
        <v>0</v>
      </c>
      <c r="U105" s="160">
        <f>ROUND((175/100)*ROUND([13]Source!R56, 2), 2)</f>
        <v>0</v>
      </c>
      <c r="V105" s="160">
        <f>ROUND((157/100)*ROUND([13]Source!R57, 2), 2)</f>
        <v>0</v>
      </c>
    </row>
    <row r="106" spans="1:22" ht="42.75" x14ac:dyDescent="0.2">
      <c r="A106" s="301" t="s">
        <v>2047</v>
      </c>
      <c r="B106" s="302" t="s">
        <v>3511</v>
      </c>
      <c r="C106" s="302" t="s">
        <v>1189</v>
      </c>
      <c r="D106" s="303" t="s">
        <v>1661</v>
      </c>
      <c r="E106" s="286">
        <v>70</v>
      </c>
      <c r="F106" s="304">
        <v>5.0999999999999996</v>
      </c>
      <c r="G106" s="315" t="s">
        <v>195</v>
      </c>
      <c r="H106" s="286">
        <v>1</v>
      </c>
      <c r="I106" s="304">
        <v>357</v>
      </c>
      <c r="J106" s="286">
        <v>3.04</v>
      </c>
      <c r="K106" s="304">
        <v>1085.28</v>
      </c>
      <c r="Q106" s="160">
        <f>[13]Source!X58</f>
        <v>0</v>
      </c>
      <c r="R106" s="160">
        <f>[13]Source!X59</f>
        <v>0</v>
      </c>
      <c r="S106" s="160">
        <f>[13]Source!Y58</f>
        <v>0</v>
      </c>
      <c r="T106" s="160">
        <f>[13]Source!Y59</f>
        <v>0</v>
      </c>
      <c r="U106" s="160">
        <f>ROUND((175/100)*ROUND([13]Source!R58, 2), 2)</f>
        <v>0</v>
      </c>
      <c r="V106" s="160">
        <f>ROUND((157/100)*ROUND([13]Source!R59, 2), 2)</f>
        <v>0</v>
      </c>
    </row>
    <row r="107" spans="1:22" ht="42.75" x14ac:dyDescent="0.2">
      <c r="A107" s="301" t="s">
        <v>3506</v>
      </c>
      <c r="B107" s="302" t="s">
        <v>3350</v>
      </c>
      <c r="C107" s="302" t="s">
        <v>1169</v>
      </c>
      <c r="D107" s="303" t="s">
        <v>1536</v>
      </c>
      <c r="E107" s="286">
        <v>30</v>
      </c>
      <c r="F107" s="304">
        <v>146.88999999999999</v>
      </c>
      <c r="G107" s="315" t="s">
        <v>195</v>
      </c>
      <c r="H107" s="286">
        <v>1</v>
      </c>
      <c r="I107" s="304">
        <v>4406.7</v>
      </c>
      <c r="J107" s="286">
        <v>1.19</v>
      </c>
      <c r="K107" s="304">
        <v>5243.97</v>
      </c>
      <c r="Q107" s="160">
        <f>[13]Source!X60</f>
        <v>0</v>
      </c>
      <c r="R107" s="160">
        <f>[13]Source!X61</f>
        <v>0</v>
      </c>
      <c r="S107" s="160">
        <f>[13]Source!Y60</f>
        <v>0</v>
      </c>
      <c r="T107" s="160">
        <f>[13]Source!Y61</f>
        <v>0</v>
      </c>
      <c r="U107" s="160">
        <f>ROUND((175/100)*ROUND([13]Source!R60, 2), 2)</f>
        <v>0</v>
      </c>
      <c r="V107" s="160">
        <f>ROUND((157/100)*ROUND([13]Source!R61, 2), 2)</f>
        <v>0</v>
      </c>
    </row>
    <row r="108" spans="1:22" ht="14.25" x14ac:dyDescent="0.2">
      <c r="A108" s="301"/>
      <c r="B108" s="302"/>
      <c r="C108" s="302" t="s">
        <v>194</v>
      </c>
      <c r="D108" s="303" t="s">
        <v>187</v>
      </c>
      <c r="E108" s="286">
        <v>112</v>
      </c>
      <c r="F108" s="304"/>
      <c r="G108" s="305"/>
      <c r="H108" s="286"/>
      <c r="I108" s="304">
        <v>2583.9699999999998</v>
      </c>
      <c r="J108" s="286">
        <v>90</v>
      </c>
      <c r="K108" s="304">
        <v>48484.13</v>
      </c>
    </row>
    <row r="109" spans="1:22" ht="14.25" x14ac:dyDescent="0.2">
      <c r="A109" s="301"/>
      <c r="B109" s="302"/>
      <c r="C109" s="302" t="s">
        <v>193</v>
      </c>
      <c r="D109" s="303" t="s">
        <v>187</v>
      </c>
      <c r="E109" s="286">
        <v>70</v>
      </c>
      <c r="F109" s="304"/>
      <c r="G109" s="305"/>
      <c r="H109" s="286"/>
      <c r="I109" s="304">
        <v>1614.98</v>
      </c>
      <c r="J109" s="286">
        <v>43</v>
      </c>
      <c r="K109" s="304">
        <v>23164.639999999999</v>
      </c>
    </row>
    <row r="110" spans="1:22" ht="14.25" x14ac:dyDescent="0.2">
      <c r="A110" s="301"/>
      <c r="B110" s="302"/>
      <c r="C110" s="302" t="s">
        <v>188</v>
      </c>
      <c r="D110" s="303" t="s">
        <v>187</v>
      </c>
      <c r="E110" s="286">
        <v>175</v>
      </c>
      <c r="F110" s="304"/>
      <c r="G110" s="305"/>
      <c r="H110" s="286"/>
      <c r="I110" s="304">
        <v>119.91</v>
      </c>
      <c r="J110" s="286">
        <v>157</v>
      </c>
      <c r="K110" s="304">
        <v>2511.91</v>
      </c>
    </row>
    <row r="111" spans="1:22" ht="14.25" x14ac:dyDescent="0.2">
      <c r="A111" s="329"/>
      <c r="B111" s="330"/>
      <c r="C111" s="330" t="s">
        <v>192</v>
      </c>
      <c r="D111" s="331" t="s">
        <v>191</v>
      </c>
      <c r="E111" s="332">
        <v>15</v>
      </c>
      <c r="F111" s="335"/>
      <c r="G111" s="334" t="s">
        <v>195</v>
      </c>
      <c r="H111" s="332">
        <v>1</v>
      </c>
      <c r="I111" s="335">
        <v>180</v>
      </c>
      <c r="J111" s="332"/>
      <c r="K111" s="335"/>
    </row>
    <row r="112" spans="1:22" ht="15" x14ac:dyDescent="0.25">
      <c r="A112" s="336"/>
      <c r="B112" s="336"/>
      <c r="C112" s="337" t="s">
        <v>183</v>
      </c>
      <c r="D112" s="336"/>
      <c r="E112" s="336"/>
      <c r="F112" s="336"/>
      <c r="G112" s="336"/>
      <c r="H112" s="461">
        <v>19778.400000000001</v>
      </c>
      <c r="I112" s="461"/>
      <c r="J112" s="461">
        <v>185046.69</v>
      </c>
      <c r="K112" s="461"/>
      <c r="O112" s="163">
        <f>I101+I102+I104+I108+I109+I110+SUM(I105:I107)</f>
        <v>19778.400000000001</v>
      </c>
      <c r="P112" s="163">
        <f>K101+K102+K104+K108+K109+K110+SUM(K105:K107)</f>
        <v>185046.69</v>
      </c>
    </row>
    <row r="115" spans="1:22" ht="16.5" x14ac:dyDescent="0.25">
      <c r="A115" s="448" t="s">
        <v>3447</v>
      </c>
      <c r="B115" s="448"/>
      <c r="C115" s="448"/>
      <c r="D115" s="448"/>
      <c r="E115" s="448"/>
      <c r="F115" s="448"/>
      <c r="G115" s="448"/>
      <c r="H115" s="448"/>
      <c r="I115" s="448"/>
      <c r="J115" s="448"/>
      <c r="K115" s="448"/>
    </row>
    <row r="116" spans="1:22" ht="68.25" x14ac:dyDescent="0.2">
      <c r="A116" s="338" t="s">
        <v>1778</v>
      </c>
      <c r="B116" s="339" t="s">
        <v>3532</v>
      </c>
      <c r="C116" s="339" t="s">
        <v>1438</v>
      </c>
      <c r="D116" s="340" t="s">
        <v>1661</v>
      </c>
      <c r="E116" s="341">
        <v>1</v>
      </c>
      <c r="F116" s="344">
        <v>10217.290000000001</v>
      </c>
      <c r="G116" s="343" t="s">
        <v>195</v>
      </c>
      <c r="H116" s="341">
        <v>1</v>
      </c>
      <c r="I116" s="344">
        <v>10217.290000000001</v>
      </c>
      <c r="J116" s="341">
        <v>4.4000000000000004</v>
      </c>
      <c r="K116" s="344">
        <v>44956.08</v>
      </c>
      <c r="Q116" s="160">
        <f>[13]Source!X67</f>
        <v>0</v>
      </c>
      <c r="R116" s="160">
        <f>[13]Source!X68</f>
        <v>0</v>
      </c>
      <c r="S116" s="160">
        <f>[13]Source!Y67</f>
        <v>0</v>
      </c>
      <c r="T116" s="160">
        <f>[13]Source!Y68</f>
        <v>0</v>
      </c>
      <c r="U116" s="160">
        <f>ROUND((175/100)*ROUND([13]Source!R67, 2), 2)</f>
        <v>0</v>
      </c>
      <c r="V116" s="160">
        <f>ROUND((157/100)*ROUND([13]Source!R68, 2), 2)</f>
        <v>0</v>
      </c>
    </row>
    <row r="117" spans="1:22" ht="15" x14ac:dyDescent="0.25">
      <c r="A117" s="345"/>
      <c r="B117" s="345"/>
      <c r="C117" s="346" t="s">
        <v>183</v>
      </c>
      <c r="D117" s="345"/>
      <c r="E117" s="345"/>
      <c r="F117" s="345"/>
      <c r="G117" s="345"/>
      <c r="H117" s="462">
        <v>10217.290000000001</v>
      </c>
      <c r="I117" s="462"/>
      <c r="J117" s="462">
        <v>44956.08</v>
      </c>
      <c r="K117" s="462"/>
      <c r="O117" s="163">
        <f>I116</f>
        <v>10217.290000000001</v>
      </c>
      <c r="P117" s="163">
        <f>K116</f>
        <v>44956.08</v>
      </c>
    </row>
    <row r="119" spans="1:22" ht="114" x14ac:dyDescent="0.2">
      <c r="A119" s="338" t="s">
        <v>1780</v>
      </c>
      <c r="B119" s="339" t="s">
        <v>3533</v>
      </c>
      <c r="C119" s="339" t="s">
        <v>1437</v>
      </c>
      <c r="D119" s="340" t="s">
        <v>1913</v>
      </c>
      <c r="E119" s="341">
        <v>1</v>
      </c>
      <c r="F119" s="344">
        <v>2712.51</v>
      </c>
      <c r="G119" s="343" t="s">
        <v>195</v>
      </c>
      <c r="H119" s="341">
        <v>1</v>
      </c>
      <c r="I119" s="344">
        <v>2712.51</v>
      </c>
      <c r="J119" s="341">
        <v>8.2899999999999991</v>
      </c>
      <c r="K119" s="344">
        <v>22486.71</v>
      </c>
      <c r="Q119" s="160">
        <f>[13]Source!X69</f>
        <v>0</v>
      </c>
      <c r="R119" s="160">
        <f>[13]Source!X70</f>
        <v>0</v>
      </c>
      <c r="S119" s="160">
        <f>[13]Source!Y69</f>
        <v>0</v>
      </c>
      <c r="T119" s="160">
        <f>[13]Source!Y70</f>
        <v>0</v>
      </c>
      <c r="U119" s="160">
        <f>ROUND((175/100)*ROUND([13]Source!R69, 2), 2)</f>
        <v>0</v>
      </c>
      <c r="V119" s="160">
        <f>ROUND((157/100)*ROUND([13]Source!R70, 2), 2)</f>
        <v>0</v>
      </c>
    </row>
    <row r="120" spans="1:22" ht="15" x14ac:dyDescent="0.25">
      <c r="A120" s="345"/>
      <c r="B120" s="345"/>
      <c r="C120" s="346" t="s">
        <v>183</v>
      </c>
      <c r="D120" s="345"/>
      <c r="E120" s="345"/>
      <c r="F120" s="345"/>
      <c r="G120" s="345"/>
      <c r="H120" s="462">
        <v>2712.51</v>
      </c>
      <c r="I120" s="462"/>
      <c r="J120" s="462">
        <v>22486.71</v>
      </c>
      <c r="K120" s="462"/>
      <c r="O120" s="163">
        <f>I119</f>
        <v>2712.51</v>
      </c>
      <c r="P120" s="163">
        <f>K119</f>
        <v>22486.71</v>
      </c>
    </row>
    <row r="122" spans="1:22" ht="68.25" x14ac:dyDescent="0.2">
      <c r="A122" s="338" t="s">
        <v>1784</v>
      </c>
      <c r="B122" s="339" t="s">
        <v>3522</v>
      </c>
      <c r="C122" s="339" t="s">
        <v>1436</v>
      </c>
      <c r="D122" s="340" t="s">
        <v>1661</v>
      </c>
      <c r="E122" s="341">
        <v>1</v>
      </c>
      <c r="F122" s="344">
        <v>4726.1499999999996</v>
      </c>
      <c r="G122" s="343" t="s">
        <v>195</v>
      </c>
      <c r="H122" s="341">
        <v>1</v>
      </c>
      <c r="I122" s="344">
        <v>4726.1499999999996</v>
      </c>
      <c r="J122" s="341">
        <v>4.4000000000000004</v>
      </c>
      <c r="K122" s="344">
        <v>20795.060000000001</v>
      </c>
      <c r="Q122" s="160">
        <f>[13]Source!X71</f>
        <v>0</v>
      </c>
      <c r="R122" s="160">
        <f>[13]Source!X72</f>
        <v>0</v>
      </c>
      <c r="S122" s="160">
        <f>[13]Source!Y71</f>
        <v>0</v>
      </c>
      <c r="T122" s="160">
        <f>[13]Source!Y72</f>
        <v>0</v>
      </c>
      <c r="U122" s="160">
        <f>ROUND((175/100)*ROUND([13]Source!R71, 2), 2)</f>
        <v>0</v>
      </c>
      <c r="V122" s="160">
        <f>ROUND((157/100)*ROUND([13]Source!R72, 2), 2)</f>
        <v>0</v>
      </c>
    </row>
    <row r="123" spans="1:22" ht="15" x14ac:dyDescent="0.25">
      <c r="A123" s="345"/>
      <c r="B123" s="345"/>
      <c r="C123" s="346" t="s">
        <v>183</v>
      </c>
      <c r="D123" s="345"/>
      <c r="E123" s="345"/>
      <c r="F123" s="345"/>
      <c r="G123" s="345"/>
      <c r="H123" s="462">
        <v>4726.1499999999996</v>
      </c>
      <c r="I123" s="462"/>
      <c r="J123" s="462">
        <v>20795.060000000001</v>
      </c>
      <c r="K123" s="462"/>
      <c r="O123" s="163">
        <f>I122</f>
        <v>4726.1499999999996</v>
      </c>
      <c r="P123" s="163">
        <f>K122</f>
        <v>20795.060000000001</v>
      </c>
    </row>
    <row r="125" spans="1:22" ht="42.75" x14ac:dyDescent="0.2">
      <c r="A125" s="338" t="s">
        <v>1795</v>
      </c>
      <c r="B125" s="339" t="s">
        <v>3468</v>
      </c>
      <c r="C125" s="339" t="s">
        <v>1353</v>
      </c>
      <c r="D125" s="340" t="s">
        <v>1661</v>
      </c>
      <c r="E125" s="341">
        <v>1</v>
      </c>
      <c r="F125" s="344">
        <v>89.39</v>
      </c>
      <c r="G125" s="343" t="s">
        <v>195</v>
      </c>
      <c r="H125" s="341">
        <v>1</v>
      </c>
      <c r="I125" s="344">
        <v>89.39</v>
      </c>
      <c r="J125" s="341">
        <v>4.96</v>
      </c>
      <c r="K125" s="344">
        <v>443.37</v>
      </c>
      <c r="Q125" s="160">
        <f>[13]Source!X75</f>
        <v>0</v>
      </c>
      <c r="R125" s="160">
        <f>[13]Source!X76</f>
        <v>0</v>
      </c>
      <c r="S125" s="160">
        <f>[13]Source!Y75</f>
        <v>0</v>
      </c>
      <c r="T125" s="160">
        <f>[13]Source!Y76</f>
        <v>0</v>
      </c>
      <c r="U125" s="160">
        <f>ROUND((175/100)*ROUND([13]Source!R75, 2), 2)</f>
        <v>0</v>
      </c>
      <c r="V125" s="160">
        <f>ROUND((157/100)*ROUND([13]Source!R76, 2), 2)</f>
        <v>0</v>
      </c>
    </row>
    <row r="126" spans="1:22" ht="15" x14ac:dyDescent="0.25">
      <c r="A126" s="345"/>
      <c r="B126" s="345"/>
      <c r="C126" s="346" t="s">
        <v>183</v>
      </c>
      <c r="D126" s="345"/>
      <c r="E126" s="345"/>
      <c r="F126" s="345"/>
      <c r="G126" s="345"/>
      <c r="H126" s="462">
        <v>89.39</v>
      </c>
      <c r="I126" s="462"/>
      <c r="J126" s="462">
        <v>443.37</v>
      </c>
      <c r="K126" s="462"/>
      <c r="O126" s="163">
        <f>I125</f>
        <v>89.39</v>
      </c>
      <c r="P126" s="163">
        <f>K125</f>
        <v>443.37</v>
      </c>
    </row>
    <row r="129" spans="1:11" ht="15" x14ac:dyDescent="0.25">
      <c r="A129" s="447" t="s">
        <v>3449</v>
      </c>
      <c r="B129" s="447"/>
      <c r="C129" s="447"/>
      <c r="D129" s="447"/>
      <c r="E129" s="447"/>
      <c r="F129" s="447"/>
      <c r="G129" s="447"/>
      <c r="H129" s="445">
        <v>17745.34</v>
      </c>
      <c r="I129" s="446"/>
      <c r="J129" s="445">
        <v>88681.22</v>
      </c>
      <c r="K129" s="446"/>
    </row>
    <row r="130" spans="1:11" hidden="1" x14ac:dyDescent="0.2">
      <c r="A130" s="281" t="s">
        <v>182</v>
      </c>
      <c r="I130" s="281">
        <v>0</v>
      </c>
      <c r="J130" s="281">
        <v>0</v>
      </c>
    </row>
    <row r="131" spans="1:11" hidden="1" x14ac:dyDescent="0.2">
      <c r="A131" s="281" t="s">
        <v>181</v>
      </c>
      <c r="I131" s="281">
        <v>0</v>
      </c>
      <c r="J131" s="281">
        <v>0</v>
      </c>
    </row>
    <row r="133" spans="1:11" ht="15" x14ac:dyDescent="0.25">
      <c r="A133" s="447" t="s">
        <v>3534</v>
      </c>
      <c r="B133" s="447"/>
      <c r="C133" s="447"/>
      <c r="D133" s="447"/>
      <c r="E133" s="447"/>
      <c r="F133" s="447"/>
      <c r="G133" s="447"/>
      <c r="H133" s="445">
        <v>63139.16</v>
      </c>
      <c r="I133" s="446"/>
      <c r="J133" s="445">
        <v>661763.61</v>
      </c>
      <c r="K133" s="446"/>
    </row>
    <row r="134" spans="1:11" hidden="1" x14ac:dyDescent="0.2">
      <c r="A134" s="281" t="s">
        <v>182</v>
      </c>
      <c r="I134" s="281">
        <v>0</v>
      </c>
      <c r="J134" s="281">
        <v>0</v>
      </c>
    </row>
    <row r="135" spans="1:11" hidden="1" x14ac:dyDescent="0.2">
      <c r="A135" s="281" t="s">
        <v>181</v>
      </c>
      <c r="I135" s="281">
        <v>0</v>
      </c>
      <c r="J135" s="281">
        <v>0</v>
      </c>
    </row>
    <row r="137" spans="1:11" ht="15" x14ac:dyDescent="0.25">
      <c r="A137" s="447" t="s">
        <v>3535</v>
      </c>
      <c r="B137" s="447"/>
      <c r="C137" s="447"/>
      <c r="D137" s="447"/>
      <c r="E137" s="447"/>
      <c r="F137" s="447"/>
      <c r="G137" s="447"/>
      <c r="H137" s="445">
        <v>63139.16</v>
      </c>
      <c r="I137" s="446"/>
      <c r="J137" s="445">
        <v>661763.61</v>
      </c>
      <c r="K137" s="446"/>
    </row>
    <row r="138" spans="1:11" hidden="1" x14ac:dyDescent="0.2">
      <c r="A138" s="281" t="s">
        <v>182</v>
      </c>
      <c r="I138" s="281">
        <v>0</v>
      </c>
      <c r="J138" s="281">
        <v>0</v>
      </c>
    </row>
    <row r="139" spans="1:11" hidden="1" x14ac:dyDescent="0.2">
      <c r="A139" s="281" t="s">
        <v>181</v>
      </c>
      <c r="I139" s="281">
        <v>0</v>
      </c>
      <c r="J139" s="281">
        <v>0</v>
      </c>
    </row>
    <row r="140" spans="1:11" ht="14.25" x14ac:dyDescent="0.2">
      <c r="C140" s="442" t="s">
        <v>1920</v>
      </c>
      <c r="D140" s="442"/>
      <c r="E140" s="442"/>
      <c r="F140" s="442"/>
      <c r="G140" s="442"/>
      <c r="H140" s="443">
        <v>53451.78</v>
      </c>
      <c r="I140" s="443"/>
      <c r="J140" s="443">
        <v>495957.68</v>
      </c>
      <c r="K140" s="443"/>
    </row>
    <row r="141" spans="1:11" ht="14.25" x14ac:dyDescent="0.2">
      <c r="C141" s="442" t="s">
        <v>1933</v>
      </c>
      <c r="D141" s="442"/>
      <c r="E141" s="442"/>
      <c r="F141" s="442"/>
      <c r="G141" s="442"/>
      <c r="H141" s="443">
        <v>47764.67</v>
      </c>
      <c r="I141" s="443"/>
      <c r="J141" s="443">
        <v>369669.81</v>
      </c>
      <c r="K141" s="443"/>
    </row>
    <row r="142" spans="1:11" ht="14.25" x14ac:dyDescent="0.2">
      <c r="C142" s="442" t="s">
        <v>1934</v>
      </c>
      <c r="D142" s="442"/>
      <c r="E142" s="442"/>
      <c r="F142" s="442"/>
      <c r="G142" s="442"/>
      <c r="H142" s="443">
        <v>30019.33</v>
      </c>
      <c r="I142" s="443"/>
      <c r="J142" s="443">
        <v>280988.59000000003</v>
      </c>
      <c r="K142" s="443"/>
    </row>
    <row r="143" spans="1:11" ht="14.25" x14ac:dyDescent="0.2">
      <c r="C143" s="442" t="s">
        <v>1935</v>
      </c>
      <c r="D143" s="442"/>
      <c r="E143" s="442"/>
      <c r="F143" s="442"/>
      <c r="G143" s="442"/>
      <c r="H143" s="443">
        <v>17745.34</v>
      </c>
      <c r="I143" s="443"/>
      <c r="J143" s="443">
        <v>88681.22</v>
      </c>
      <c r="K143" s="443"/>
    </row>
    <row r="144" spans="1:11" ht="14.25" x14ac:dyDescent="0.2">
      <c r="C144" s="442" t="s">
        <v>1938</v>
      </c>
      <c r="D144" s="442"/>
      <c r="E144" s="442"/>
      <c r="F144" s="442"/>
      <c r="G144" s="442"/>
      <c r="H144" s="443">
        <v>5251.24</v>
      </c>
      <c r="I144" s="443"/>
      <c r="J144" s="443">
        <v>122616.46</v>
      </c>
      <c r="K144" s="443"/>
    </row>
    <row r="145" spans="1:11" ht="14.25" x14ac:dyDescent="0.2">
      <c r="C145" s="442" t="s">
        <v>1939</v>
      </c>
      <c r="D145" s="442"/>
      <c r="E145" s="442"/>
      <c r="F145" s="442"/>
      <c r="G145" s="442"/>
      <c r="H145" s="443">
        <v>0</v>
      </c>
      <c r="I145" s="443"/>
      <c r="J145" s="443">
        <v>0</v>
      </c>
      <c r="K145" s="443"/>
    </row>
    <row r="146" spans="1:11" ht="14.25" x14ac:dyDescent="0.2">
      <c r="C146" s="442" t="s">
        <v>1940</v>
      </c>
      <c r="D146" s="442"/>
      <c r="E146" s="442"/>
      <c r="F146" s="442"/>
      <c r="G146" s="442"/>
      <c r="H146" s="443">
        <v>45393.82</v>
      </c>
      <c r="I146" s="443"/>
      <c r="J146" s="443">
        <v>573082.39</v>
      </c>
      <c r="K146" s="443"/>
    </row>
    <row r="147" spans="1:11" ht="14.25" x14ac:dyDescent="0.2">
      <c r="C147" s="442" t="s">
        <v>1941</v>
      </c>
      <c r="D147" s="442"/>
      <c r="E147" s="442"/>
      <c r="F147" s="442"/>
      <c r="G147" s="442"/>
      <c r="H147" s="443">
        <v>0</v>
      </c>
      <c r="I147" s="443"/>
      <c r="J147" s="443">
        <v>0</v>
      </c>
      <c r="K147" s="443"/>
    </row>
    <row r="148" spans="1:11" ht="14.25" x14ac:dyDescent="0.2">
      <c r="C148" s="442" t="s">
        <v>1942</v>
      </c>
      <c r="D148" s="442"/>
      <c r="E148" s="442"/>
      <c r="F148" s="442"/>
      <c r="G148" s="442"/>
      <c r="H148" s="443">
        <v>5881.38</v>
      </c>
      <c r="I148" s="443"/>
      <c r="J148" s="443">
        <v>110354.84</v>
      </c>
      <c r="K148" s="443"/>
    </row>
    <row r="149" spans="1:11" ht="14.25" x14ac:dyDescent="0.2">
      <c r="C149" s="442" t="s">
        <v>1943</v>
      </c>
      <c r="D149" s="442"/>
      <c r="E149" s="442"/>
      <c r="F149" s="442"/>
      <c r="G149" s="442"/>
      <c r="H149" s="443">
        <v>3675.87</v>
      </c>
      <c r="I149" s="443"/>
      <c r="J149" s="443">
        <v>52725.08</v>
      </c>
      <c r="K149" s="443"/>
    </row>
    <row r="150" spans="1:11" ht="14.25" x14ac:dyDescent="0.2">
      <c r="C150" s="442" t="s">
        <v>1944</v>
      </c>
      <c r="D150" s="442"/>
      <c r="E150" s="442"/>
      <c r="F150" s="442"/>
      <c r="G150" s="442"/>
      <c r="H150" s="443">
        <v>63139.16</v>
      </c>
      <c r="I150" s="443"/>
      <c r="J150" s="443">
        <v>661763.61</v>
      </c>
      <c r="K150" s="443"/>
    </row>
    <row r="153" spans="1:11" ht="14.25" x14ac:dyDescent="0.2">
      <c r="A153" s="440" t="s">
        <v>180</v>
      </c>
      <c r="B153" s="440"/>
      <c r="C153" s="347" t="s">
        <v>107</v>
      </c>
      <c r="D153" s="347"/>
      <c r="E153" s="347"/>
      <c r="F153" s="347"/>
      <c r="G153" s="347"/>
      <c r="H153" s="287" t="s">
        <v>107</v>
      </c>
      <c r="I153" s="287"/>
      <c r="J153" s="287"/>
      <c r="K153" s="287"/>
    </row>
    <row r="154" spans="1:11" ht="14.25" x14ac:dyDescent="0.2">
      <c r="A154" s="287"/>
      <c r="B154" s="287"/>
      <c r="C154" s="460" t="s">
        <v>72</v>
      </c>
      <c r="D154" s="460"/>
      <c r="E154" s="460"/>
      <c r="F154" s="460"/>
      <c r="G154" s="460"/>
      <c r="H154" s="287"/>
      <c r="I154" s="287"/>
      <c r="J154" s="287"/>
      <c r="K154" s="287"/>
    </row>
    <row r="155" spans="1:11" ht="14.25" x14ac:dyDescent="0.2">
      <c r="A155" s="287"/>
      <c r="B155" s="287"/>
      <c r="C155" s="287"/>
      <c r="D155" s="287"/>
      <c r="E155" s="287"/>
      <c r="F155" s="287"/>
      <c r="G155" s="287"/>
      <c r="H155" s="287"/>
      <c r="I155" s="287"/>
      <c r="J155" s="287"/>
      <c r="K155" s="287"/>
    </row>
    <row r="156" spans="1:11" ht="14.25" x14ac:dyDescent="0.2">
      <c r="A156" s="440" t="s">
        <v>179</v>
      </c>
      <c r="B156" s="440"/>
      <c r="C156" s="347" t="s">
        <v>107</v>
      </c>
      <c r="D156" s="347"/>
      <c r="E156" s="347"/>
      <c r="F156" s="347"/>
      <c r="G156" s="347"/>
      <c r="H156" s="287" t="s">
        <v>107</v>
      </c>
      <c r="I156" s="287"/>
      <c r="J156" s="287"/>
      <c r="K156" s="287"/>
    </row>
    <row r="157" spans="1:11" ht="14.25" x14ac:dyDescent="0.2">
      <c r="A157" s="287"/>
      <c r="B157" s="287"/>
      <c r="C157" s="460" t="s">
        <v>72</v>
      </c>
      <c r="D157" s="460"/>
      <c r="E157" s="460"/>
      <c r="F157" s="460"/>
      <c r="G157" s="460"/>
      <c r="H157" s="287"/>
      <c r="I157" s="287"/>
      <c r="J157" s="287"/>
      <c r="K157" s="287"/>
    </row>
  </sheetData>
  <mergeCells count="93"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36:K36"/>
    <mergeCell ref="J43:K43"/>
    <mergeCell ref="H43:I43"/>
    <mergeCell ref="J53:K53"/>
    <mergeCell ref="H53:I53"/>
    <mergeCell ref="J62:K62"/>
    <mergeCell ref="H62:I62"/>
    <mergeCell ref="J71:K71"/>
    <mergeCell ref="H71:I71"/>
    <mergeCell ref="J84:K84"/>
    <mergeCell ref="H84:I84"/>
    <mergeCell ref="J97:K97"/>
    <mergeCell ref="H97:I97"/>
    <mergeCell ref="J112:K112"/>
    <mergeCell ref="H112:I112"/>
    <mergeCell ref="A115:K115"/>
    <mergeCell ref="J117:K117"/>
    <mergeCell ref="H117:I117"/>
    <mergeCell ref="J120:K120"/>
    <mergeCell ref="H120:I120"/>
    <mergeCell ref="J123:K123"/>
    <mergeCell ref="H123:I123"/>
    <mergeCell ref="J126:K126"/>
    <mergeCell ref="H126:I126"/>
    <mergeCell ref="J129:K129"/>
    <mergeCell ref="H129:I129"/>
    <mergeCell ref="A129:G129"/>
    <mergeCell ref="J133:K133"/>
    <mergeCell ref="H133:I133"/>
    <mergeCell ref="A133:G133"/>
    <mergeCell ref="J137:K137"/>
    <mergeCell ref="H137:I137"/>
    <mergeCell ref="A137:G137"/>
    <mergeCell ref="C140:G140"/>
    <mergeCell ref="H140:I140"/>
    <mergeCell ref="J140:K140"/>
    <mergeCell ref="C141:G141"/>
    <mergeCell ref="H141:I141"/>
    <mergeCell ref="J141:K141"/>
    <mergeCell ref="C142:G142"/>
    <mergeCell ref="H142:I142"/>
    <mergeCell ref="J142:K142"/>
    <mergeCell ref="C143:G143"/>
    <mergeCell ref="H143:I143"/>
    <mergeCell ref="J143:K143"/>
    <mergeCell ref="C144:G144"/>
    <mergeCell ref="H144:I144"/>
    <mergeCell ref="J144:K144"/>
    <mergeCell ref="C145:G145"/>
    <mergeCell ref="H145:I145"/>
    <mergeCell ref="J145:K145"/>
    <mergeCell ref="C146:G146"/>
    <mergeCell ref="H146:I146"/>
    <mergeCell ref="J146:K146"/>
    <mergeCell ref="C147:G147"/>
    <mergeCell ref="H147:I147"/>
    <mergeCell ref="J147:K147"/>
    <mergeCell ref="C148:G148"/>
    <mergeCell ref="H148:I148"/>
    <mergeCell ref="J148:K148"/>
    <mergeCell ref="C149:G149"/>
    <mergeCell ref="H149:I149"/>
    <mergeCell ref="J149:K149"/>
    <mergeCell ref="C157:G157"/>
    <mergeCell ref="C150:G150"/>
    <mergeCell ref="H150:I150"/>
    <mergeCell ref="J150:K150"/>
    <mergeCell ref="A153:B153"/>
    <mergeCell ref="C154:G154"/>
    <mergeCell ref="A156:B156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AK362"/>
  <sheetViews>
    <sheetView topLeftCell="A22" zoomScaleNormal="100" workbookViewId="0">
      <selection activeCell="A22" sqref="A1:AK1048576"/>
    </sheetView>
  </sheetViews>
  <sheetFormatPr defaultColWidth="9.140625" defaultRowHeight="12.75" x14ac:dyDescent="0.2"/>
  <cols>
    <col min="1" max="1" width="5.7109375" style="281" customWidth="1"/>
    <col min="2" max="2" width="11.7109375" style="281" customWidth="1"/>
    <col min="3" max="3" width="40.7109375" style="281" customWidth="1"/>
    <col min="4" max="6" width="11.7109375" style="281" customWidth="1"/>
    <col min="7" max="7" width="12.7109375" style="281" customWidth="1"/>
    <col min="8" max="8" width="10.7109375" style="281" customWidth="1"/>
    <col min="9" max="11" width="12.7109375" style="281" customWidth="1"/>
    <col min="12" max="14" width="9.140625" style="281"/>
    <col min="15" max="30" width="0" style="281" hidden="1" customWidth="1"/>
    <col min="31" max="31" width="150.7109375" style="281" hidden="1" customWidth="1"/>
    <col min="32" max="36" width="0" style="281" hidden="1" customWidth="1"/>
    <col min="37" max="37" width="9.140625" style="281"/>
    <col min="38" max="16384" width="9.140625" style="160"/>
  </cols>
  <sheetData>
    <row r="1" spans="1:31" x14ac:dyDescent="0.2">
      <c r="A1" s="285" t="s">
        <v>1523</v>
      </c>
    </row>
    <row r="2" spans="1:31" ht="14.25" x14ac:dyDescent="0.2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7" t="s">
        <v>381</v>
      </c>
    </row>
    <row r="3" spans="1:31" ht="16.5" x14ac:dyDescent="0.25">
      <c r="A3" s="288"/>
      <c r="B3" s="458" t="s">
        <v>380</v>
      </c>
      <c r="C3" s="458"/>
      <c r="D3" s="458"/>
      <c r="E3" s="458"/>
      <c r="F3" s="287"/>
      <c r="G3" s="458" t="s">
        <v>0</v>
      </c>
      <c r="H3" s="458"/>
      <c r="I3" s="458"/>
      <c r="J3" s="458"/>
      <c r="K3" s="458"/>
    </row>
    <row r="4" spans="1:31" ht="14.25" x14ac:dyDescent="0.2">
      <c r="A4" s="287"/>
      <c r="B4" s="450"/>
      <c r="C4" s="450"/>
      <c r="D4" s="450"/>
      <c r="E4" s="450"/>
      <c r="F4" s="287"/>
      <c r="G4" s="450"/>
      <c r="H4" s="450"/>
      <c r="I4" s="450"/>
      <c r="J4" s="450"/>
      <c r="K4" s="450"/>
    </row>
    <row r="5" spans="1:31" ht="14.25" x14ac:dyDescent="0.2">
      <c r="A5" s="289"/>
      <c r="B5" s="289"/>
      <c r="C5" s="290"/>
      <c r="D5" s="290"/>
      <c r="E5" s="290"/>
      <c r="F5" s="287"/>
      <c r="G5" s="188"/>
      <c r="H5" s="290"/>
      <c r="I5" s="290"/>
      <c r="J5" s="290"/>
      <c r="K5" s="188"/>
    </row>
    <row r="6" spans="1:31" ht="14.25" x14ac:dyDescent="0.2">
      <c r="A6" s="188"/>
      <c r="B6" s="450" t="s">
        <v>1524</v>
      </c>
      <c r="C6" s="450"/>
      <c r="D6" s="450"/>
      <c r="E6" s="450"/>
      <c r="F6" s="287"/>
      <c r="G6" s="450" t="s">
        <v>1524</v>
      </c>
      <c r="H6" s="450"/>
      <c r="I6" s="450"/>
      <c r="J6" s="450"/>
      <c r="K6" s="450"/>
    </row>
    <row r="7" spans="1:31" ht="14.25" x14ac:dyDescent="0.2">
      <c r="A7" s="291"/>
      <c r="B7" s="459" t="s">
        <v>379</v>
      </c>
      <c r="C7" s="459"/>
      <c r="D7" s="459"/>
      <c r="E7" s="459"/>
      <c r="F7" s="287"/>
      <c r="G7" s="459" t="s">
        <v>379</v>
      </c>
      <c r="H7" s="459"/>
      <c r="I7" s="459"/>
      <c r="J7" s="459"/>
      <c r="K7" s="459"/>
    </row>
    <row r="9" spans="1:31" ht="14.25" x14ac:dyDescent="0.2">
      <c r="A9" s="287"/>
      <c r="B9" s="287"/>
      <c r="C9" s="287"/>
      <c r="D9" s="287"/>
      <c r="E9" s="287"/>
      <c r="F9" s="287"/>
      <c r="G9" s="287"/>
      <c r="H9" s="287"/>
      <c r="I9" s="287"/>
      <c r="J9" s="287"/>
      <c r="K9" s="287"/>
    </row>
    <row r="10" spans="1:31" ht="47.25" x14ac:dyDescent="0.25">
      <c r="A10" s="467" t="s">
        <v>3850</v>
      </c>
      <c r="B10" s="467"/>
      <c r="C10" s="467"/>
      <c r="D10" s="467"/>
      <c r="E10" s="467"/>
      <c r="F10" s="467"/>
      <c r="G10" s="467"/>
      <c r="H10" s="467"/>
      <c r="I10" s="467"/>
      <c r="J10" s="467"/>
      <c r="K10" s="467"/>
      <c r="AE10" s="292" t="str">
        <f>IF([14]Source!G12&lt;&gt;"Новый объект", [14]Source!G12,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68" t="s">
        <v>75</v>
      </c>
      <c r="B11" s="468"/>
      <c r="C11" s="468"/>
      <c r="D11" s="468"/>
      <c r="E11" s="468"/>
      <c r="F11" s="468"/>
      <c r="G11" s="468"/>
      <c r="H11" s="468"/>
      <c r="I11" s="468"/>
      <c r="J11" s="468"/>
      <c r="K11" s="468"/>
    </row>
    <row r="12" spans="1:31" ht="14.25" x14ac:dyDescent="0.2">
      <c r="A12" s="287"/>
      <c r="B12" s="287"/>
      <c r="C12" s="287"/>
      <c r="D12" s="287"/>
      <c r="E12" s="287"/>
      <c r="F12" s="287"/>
      <c r="G12" s="287"/>
      <c r="H12" s="287"/>
      <c r="I12" s="287"/>
      <c r="J12" s="287"/>
      <c r="K12" s="287"/>
    </row>
    <row r="13" spans="1:31" ht="15.75" x14ac:dyDescent="0.25">
      <c r="A13" s="467" t="s">
        <v>3893</v>
      </c>
      <c r="B13" s="469"/>
      <c r="C13" s="469"/>
      <c r="D13" s="469"/>
      <c r="E13" s="469"/>
      <c r="F13" s="469"/>
      <c r="G13" s="469"/>
      <c r="H13" s="469"/>
      <c r="I13" s="469"/>
      <c r="J13" s="469"/>
      <c r="K13" s="469"/>
    </row>
    <row r="14" spans="1:31" ht="14.25" x14ac:dyDescent="0.2">
      <c r="A14" s="287"/>
      <c r="B14" s="287"/>
      <c r="C14" s="287"/>
      <c r="D14" s="287"/>
      <c r="E14" s="287"/>
      <c r="F14" s="287"/>
      <c r="G14" s="287"/>
      <c r="H14" s="287"/>
      <c r="I14" s="287"/>
      <c r="J14" s="287"/>
      <c r="K14" s="287"/>
    </row>
    <row r="15" spans="1:31" ht="18" x14ac:dyDescent="0.25">
      <c r="A15" s="470" t="s">
        <v>174</v>
      </c>
      <c r="B15" s="470"/>
      <c r="C15" s="470"/>
      <c r="D15" s="470"/>
      <c r="E15" s="470"/>
      <c r="F15" s="470"/>
      <c r="G15" s="470"/>
      <c r="H15" s="470"/>
      <c r="I15" s="470"/>
      <c r="J15" s="470"/>
      <c r="K15" s="470"/>
    </row>
    <row r="16" spans="1:31" x14ac:dyDescent="0.2">
      <c r="A16" s="455" t="s">
        <v>378</v>
      </c>
      <c r="B16" s="456"/>
      <c r="C16" s="456"/>
      <c r="D16" s="456"/>
      <c r="E16" s="456"/>
      <c r="F16" s="456"/>
      <c r="G16" s="456"/>
      <c r="H16" s="456"/>
      <c r="I16" s="456"/>
      <c r="J16" s="456"/>
      <c r="K16" s="456"/>
    </row>
    <row r="17" spans="1:31" ht="14.25" x14ac:dyDescent="0.2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</row>
    <row r="18" spans="1:31" ht="14.25" x14ac:dyDescent="0.2">
      <c r="A18" s="471" t="s">
        <v>3855</v>
      </c>
      <c r="B18" s="471"/>
      <c r="C18" s="471"/>
      <c r="D18" s="471"/>
      <c r="E18" s="471"/>
      <c r="F18" s="471"/>
      <c r="G18" s="471"/>
      <c r="H18" s="471"/>
      <c r="I18" s="471"/>
      <c r="J18" s="471"/>
      <c r="K18" s="471"/>
    </row>
    <row r="19" spans="1:31" ht="14.25" x14ac:dyDescent="0.2">
      <c r="A19" s="293"/>
      <c r="B19" s="293"/>
      <c r="C19" s="293"/>
      <c r="D19" s="293"/>
      <c r="E19" s="293"/>
      <c r="F19" s="293"/>
      <c r="G19" s="293"/>
      <c r="H19" s="293"/>
      <c r="I19" s="293"/>
      <c r="J19" s="293"/>
      <c r="K19" s="293"/>
    </row>
    <row r="20" spans="1:31" ht="28.5" x14ac:dyDescent="0.2">
      <c r="A20" s="287"/>
      <c r="B20" s="287"/>
      <c r="C20" s="287"/>
      <c r="D20" s="287"/>
      <c r="E20" s="287"/>
      <c r="F20" s="287"/>
      <c r="G20" s="287"/>
      <c r="H20" s="287"/>
      <c r="I20" s="294" t="s">
        <v>377</v>
      </c>
      <c r="J20" s="294" t="s">
        <v>376</v>
      </c>
      <c r="K20" s="287"/>
    </row>
    <row r="21" spans="1:31" ht="15" x14ac:dyDescent="0.25">
      <c r="A21" s="287"/>
      <c r="B21" s="287"/>
      <c r="C21" s="287"/>
      <c r="D21" s="287"/>
      <c r="E21" s="287"/>
      <c r="F21" s="457" t="s">
        <v>375</v>
      </c>
      <c r="G21" s="457"/>
      <c r="H21" s="457"/>
      <c r="I21" s="295">
        <v>398.89</v>
      </c>
      <c r="J21" s="295">
        <v>2178.87</v>
      </c>
      <c r="K21" s="296" t="s">
        <v>366</v>
      </c>
    </row>
    <row r="22" spans="1:31" ht="14.25" x14ac:dyDescent="0.2">
      <c r="A22" s="287"/>
      <c r="B22" s="287"/>
      <c r="C22" s="287"/>
      <c r="D22" s="287"/>
      <c r="E22" s="287"/>
      <c r="F22" s="450" t="s">
        <v>374</v>
      </c>
      <c r="G22" s="450"/>
      <c r="H22" s="450"/>
      <c r="I22" s="297">
        <v>0</v>
      </c>
      <c r="J22" s="297">
        <v>0</v>
      </c>
      <c r="K22" s="287" t="s">
        <v>366</v>
      </c>
    </row>
    <row r="23" spans="1:31" ht="14.25" x14ac:dyDescent="0.2">
      <c r="A23" s="287"/>
      <c r="B23" s="287"/>
      <c r="C23" s="287"/>
      <c r="D23" s="287"/>
      <c r="E23" s="287"/>
      <c r="F23" s="450" t="s">
        <v>373</v>
      </c>
      <c r="G23" s="450"/>
      <c r="H23" s="450"/>
      <c r="I23" s="297">
        <v>109.5</v>
      </c>
      <c r="J23" s="297">
        <v>881.95</v>
      </c>
      <c r="K23" s="287" t="s">
        <v>366</v>
      </c>
    </row>
    <row r="24" spans="1:31" ht="14.25" x14ac:dyDescent="0.2">
      <c r="A24" s="287"/>
      <c r="B24" s="287"/>
      <c r="C24" s="287"/>
      <c r="D24" s="287"/>
      <c r="E24" s="287"/>
      <c r="F24" s="450" t="s">
        <v>106</v>
      </c>
      <c r="G24" s="450"/>
      <c r="H24" s="450"/>
      <c r="I24" s="297">
        <v>287.26</v>
      </c>
      <c r="J24" s="297">
        <v>1254.5</v>
      </c>
      <c r="K24" s="287" t="s">
        <v>366</v>
      </c>
    </row>
    <row r="25" spans="1:31" ht="28.5" x14ac:dyDescent="0.2">
      <c r="A25" s="287"/>
      <c r="B25" s="287"/>
      <c r="C25" s="318" t="s">
        <v>3859</v>
      </c>
      <c r="D25" s="287"/>
      <c r="E25" s="287"/>
      <c r="F25" s="450" t="s">
        <v>372</v>
      </c>
      <c r="G25" s="450"/>
      <c r="H25" s="450"/>
      <c r="I25" s="297">
        <v>2.13</v>
      </c>
      <c r="J25" s="297">
        <v>42.42</v>
      </c>
      <c r="K25" s="287" t="s">
        <v>366</v>
      </c>
    </row>
    <row r="26" spans="1:31" ht="14.25" x14ac:dyDescent="0.2">
      <c r="A26" s="287"/>
      <c r="B26" s="287"/>
      <c r="C26" s="287"/>
      <c r="D26" s="287"/>
      <c r="E26" s="287"/>
      <c r="F26" s="450" t="s">
        <v>371</v>
      </c>
      <c r="G26" s="450"/>
      <c r="H26" s="450"/>
      <c r="I26" s="297">
        <v>10.92</v>
      </c>
      <c r="J26" s="297">
        <v>254.89</v>
      </c>
      <c r="K26" s="287" t="s">
        <v>366</v>
      </c>
    </row>
    <row r="27" spans="1:31" ht="14.25" x14ac:dyDescent="0.2">
      <c r="A27" s="287"/>
      <c r="B27" s="287"/>
      <c r="C27" s="287"/>
      <c r="D27" s="287"/>
      <c r="E27" s="287"/>
      <c r="F27" s="450" t="s">
        <v>370</v>
      </c>
      <c r="G27" s="450"/>
      <c r="H27" s="450"/>
      <c r="I27" s="297">
        <v>800.14</v>
      </c>
      <c r="J27" s="297"/>
      <c r="K27" s="287" t="s">
        <v>369</v>
      </c>
    </row>
    <row r="28" spans="1:31" ht="14.25" hidden="1" x14ac:dyDescent="0.2">
      <c r="A28" s="287"/>
      <c r="B28" s="287"/>
      <c r="C28" s="287"/>
      <c r="D28" s="287"/>
      <c r="E28" s="287"/>
      <c r="F28" s="188" t="s">
        <v>368</v>
      </c>
      <c r="G28" s="188"/>
      <c r="H28" s="188"/>
      <c r="I28" s="297"/>
      <c r="J28" s="297"/>
      <c r="K28" s="287"/>
    </row>
    <row r="29" spans="1:31" ht="14.25" hidden="1" x14ac:dyDescent="0.2">
      <c r="A29" s="287"/>
      <c r="B29" s="287"/>
      <c r="C29" s="287"/>
      <c r="D29" s="287"/>
      <c r="E29" s="287"/>
      <c r="F29" s="419" t="s">
        <v>367</v>
      </c>
      <c r="G29" s="420"/>
      <c r="H29" s="420"/>
      <c r="I29" s="297">
        <v>0</v>
      </c>
      <c r="J29" s="297">
        <v>0</v>
      </c>
      <c r="K29" s="287" t="s">
        <v>366</v>
      </c>
    </row>
    <row r="30" spans="1:31" ht="14.25" x14ac:dyDescent="0.2">
      <c r="A30" s="287"/>
      <c r="B30" s="287"/>
      <c r="C30" s="287"/>
      <c r="D30" s="287"/>
      <c r="E30" s="287"/>
      <c r="F30" s="188"/>
      <c r="G30" s="188"/>
      <c r="H30" s="188"/>
      <c r="I30" s="297"/>
      <c r="J30" s="297"/>
      <c r="K30" s="287"/>
    </row>
    <row r="31" spans="1:31" ht="14.25" x14ac:dyDescent="0.2">
      <c r="A31" s="287" t="s">
        <v>365</v>
      </c>
      <c r="B31" s="287"/>
      <c r="C31" s="287"/>
      <c r="D31" s="287"/>
      <c r="E31" s="287"/>
      <c r="F31" s="188"/>
      <c r="G31" s="188"/>
      <c r="H31" s="188"/>
      <c r="I31" s="297"/>
      <c r="J31" s="297"/>
      <c r="K31" s="287"/>
    </row>
    <row r="32" spans="1:31" ht="28.5" x14ac:dyDescent="0.2">
      <c r="A32" s="471" t="s">
        <v>1153</v>
      </c>
      <c r="B32" s="471"/>
      <c r="C32" s="471"/>
      <c r="D32" s="471"/>
      <c r="E32" s="471"/>
      <c r="F32" s="471"/>
      <c r="G32" s="471"/>
      <c r="H32" s="471"/>
      <c r="I32" s="471"/>
      <c r="J32" s="471"/>
      <c r="K32" s="471"/>
      <c r="AE32" s="298" t="s">
        <v>1153</v>
      </c>
    </row>
    <row r="33" spans="1:22" ht="85.5" x14ac:dyDescent="0.2">
      <c r="A33" s="299" t="s">
        <v>81</v>
      </c>
      <c r="B33" s="299" t="s">
        <v>363</v>
      </c>
      <c r="C33" s="299" t="s">
        <v>83</v>
      </c>
      <c r="D33" s="299" t="s">
        <v>362</v>
      </c>
      <c r="E33" s="299" t="s">
        <v>361</v>
      </c>
      <c r="F33" s="299" t="s">
        <v>360</v>
      </c>
      <c r="G33" s="300" t="s">
        <v>359</v>
      </c>
      <c r="H33" s="300" t="s">
        <v>358</v>
      </c>
      <c r="I33" s="299" t="s">
        <v>357</v>
      </c>
      <c r="J33" s="299" t="s">
        <v>356</v>
      </c>
      <c r="K33" s="299" t="s">
        <v>355</v>
      </c>
    </row>
    <row r="34" spans="1:22" ht="14.25" x14ac:dyDescent="0.2">
      <c r="A34" s="299">
        <v>1</v>
      </c>
      <c r="B34" s="299">
        <v>2</v>
      </c>
      <c r="C34" s="299">
        <v>3</v>
      </c>
      <c r="D34" s="299">
        <v>4</v>
      </c>
      <c r="E34" s="299">
        <v>5</v>
      </c>
      <c r="F34" s="299">
        <v>6</v>
      </c>
      <c r="G34" s="299">
        <v>7</v>
      </c>
      <c r="H34" s="299">
        <v>8</v>
      </c>
      <c r="I34" s="299">
        <v>9</v>
      </c>
      <c r="J34" s="299">
        <v>10</v>
      </c>
      <c r="K34" s="299">
        <v>11</v>
      </c>
    </row>
    <row r="36" spans="1:22" ht="16.5" x14ac:dyDescent="0.25">
      <c r="A36" s="448" t="s">
        <v>3536</v>
      </c>
      <c r="B36" s="448"/>
      <c r="C36" s="448"/>
      <c r="D36" s="448"/>
      <c r="E36" s="448"/>
      <c r="F36" s="448"/>
      <c r="G36" s="448"/>
      <c r="H36" s="448"/>
      <c r="I36" s="448"/>
      <c r="J36" s="448"/>
      <c r="K36" s="448"/>
    </row>
    <row r="38" spans="1:22" ht="16.5" x14ac:dyDescent="0.25">
      <c r="A38" s="448" t="s">
        <v>3537</v>
      </c>
      <c r="B38" s="448"/>
      <c r="C38" s="448"/>
      <c r="D38" s="448"/>
      <c r="E38" s="448"/>
      <c r="F38" s="448"/>
      <c r="G38" s="448"/>
      <c r="H38" s="448"/>
      <c r="I38" s="448"/>
      <c r="J38" s="448"/>
      <c r="K38" s="448"/>
    </row>
    <row r="39" spans="1:22" ht="28.5" x14ac:dyDescent="0.2">
      <c r="A39" s="301" t="s">
        <v>719</v>
      </c>
      <c r="B39" s="302" t="s">
        <v>3440</v>
      </c>
      <c r="C39" s="302" t="s">
        <v>1152</v>
      </c>
      <c r="D39" s="303" t="s">
        <v>1903</v>
      </c>
      <c r="E39" s="286">
        <v>1</v>
      </c>
      <c r="F39" s="304"/>
      <c r="G39" s="305"/>
      <c r="H39" s="286"/>
      <c r="I39" s="304"/>
      <c r="J39" s="286"/>
      <c r="K39" s="304"/>
      <c r="Q39" s="281">
        <f>[14]Source!X32</f>
        <v>102.68</v>
      </c>
      <c r="R39" s="281">
        <f>[14]Source!X33</f>
        <v>1926.66</v>
      </c>
      <c r="S39" s="281">
        <f>[14]Source!Y32</f>
        <v>64.180000000000007</v>
      </c>
      <c r="T39" s="281">
        <f>[14]Source!Y33</f>
        <v>920.51</v>
      </c>
      <c r="U39" s="281">
        <f>ROUND((175/100)*ROUND([14]Source!R32, 2), 2)</f>
        <v>11.32</v>
      </c>
      <c r="V39" s="281">
        <f>ROUND((157/100)*ROUND([14]Source!R33, 2), 2)</f>
        <v>237.18</v>
      </c>
    </row>
    <row r="40" spans="1:22" ht="14.25" x14ac:dyDescent="0.2">
      <c r="A40" s="301"/>
      <c r="B40" s="302"/>
      <c r="C40" s="302" t="s">
        <v>197</v>
      </c>
      <c r="D40" s="303"/>
      <c r="E40" s="286"/>
      <c r="F40" s="304">
        <v>91.68</v>
      </c>
      <c r="G40" s="305" t="s">
        <v>195</v>
      </c>
      <c r="H40" s="286">
        <v>1</v>
      </c>
      <c r="I40" s="304">
        <v>91.68</v>
      </c>
      <c r="J40" s="286">
        <v>23.35</v>
      </c>
      <c r="K40" s="304">
        <v>2140.73</v>
      </c>
    </row>
    <row r="41" spans="1:22" ht="14.25" x14ac:dyDescent="0.2">
      <c r="A41" s="301"/>
      <c r="B41" s="302"/>
      <c r="C41" s="302" t="s">
        <v>184</v>
      </c>
      <c r="D41" s="303"/>
      <c r="E41" s="286"/>
      <c r="F41" s="304">
        <v>25.79</v>
      </c>
      <c r="G41" s="305" t="s">
        <v>195</v>
      </c>
      <c r="H41" s="286">
        <v>1</v>
      </c>
      <c r="I41" s="304">
        <v>25.79</v>
      </c>
      <c r="J41" s="286">
        <v>9.8699999999999992</v>
      </c>
      <c r="K41" s="304">
        <v>254.55</v>
      </c>
    </row>
    <row r="42" spans="1:22" ht="14.25" x14ac:dyDescent="0.2">
      <c r="A42" s="301"/>
      <c r="B42" s="302"/>
      <c r="C42" s="302" t="s">
        <v>189</v>
      </c>
      <c r="D42" s="303"/>
      <c r="E42" s="286"/>
      <c r="F42" s="304">
        <v>6.47</v>
      </c>
      <c r="G42" s="305" t="s">
        <v>195</v>
      </c>
      <c r="H42" s="286">
        <v>1</v>
      </c>
      <c r="I42" s="306">
        <v>6.47</v>
      </c>
      <c r="J42" s="286">
        <v>23.35</v>
      </c>
      <c r="K42" s="306">
        <v>151.07</v>
      </c>
    </row>
    <row r="43" spans="1:22" ht="14.25" x14ac:dyDescent="0.2">
      <c r="A43" s="301"/>
      <c r="B43" s="302"/>
      <c r="C43" s="302" t="s">
        <v>205</v>
      </c>
      <c r="D43" s="303"/>
      <c r="E43" s="286"/>
      <c r="F43" s="304">
        <v>5.74</v>
      </c>
      <c r="G43" s="305" t="s">
        <v>195</v>
      </c>
      <c r="H43" s="286">
        <v>1</v>
      </c>
      <c r="I43" s="304">
        <v>5.74</v>
      </c>
      <c r="J43" s="286">
        <v>5.42</v>
      </c>
      <c r="K43" s="304">
        <v>31.11</v>
      </c>
    </row>
    <row r="44" spans="1:22" ht="96.75" x14ac:dyDescent="0.2">
      <c r="A44" s="301" t="s">
        <v>1531</v>
      </c>
      <c r="B44" s="302" t="s">
        <v>3448</v>
      </c>
      <c r="C44" s="302" t="s">
        <v>1151</v>
      </c>
      <c r="D44" s="303" t="s">
        <v>1661</v>
      </c>
      <c r="E44" s="286">
        <v>1</v>
      </c>
      <c r="F44" s="304">
        <v>6256.91</v>
      </c>
      <c r="G44" s="315" t="s">
        <v>195</v>
      </c>
      <c r="H44" s="286">
        <v>1</v>
      </c>
      <c r="I44" s="304">
        <v>6256.91</v>
      </c>
      <c r="J44" s="286">
        <v>5.42</v>
      </c>
      <c r="K44" s="304">
        <v>33912.449999999997</v>
      </c>
      <c r="Q44" s="281">
        <f>[14]Source!X34</f>
        <v>0</v>
      </c>
      <c r="R44" s="281">
        <f>[14]Source!X35</f>
        <v>0</v>
      </c>
      <c r="S44" s="281">
        <f>[14]Source!Y34</f>
        <v>0</v>
      </c>
      <c r="T44" s="281">
        <f>[14]Source!Y35</f>
        <v>0</v>
      </c>
      <c r="U44" s="281">
        <f>ROUND((175/100)*ROUND([14]Source!R34, 2), 2)</f>
        <v>0</v>
      </c>
      <c r="V44" s="281">
        <f>ROUND((157/100)*ROUND([14]Source!R35, 2), 2)</f>
        <v>0</v>
      </c>
    </row>
    <row r="45" spans="1:22" ht="82.5" x14ac:dyDescent="0.2">
      <c r="A45" s="301" t="s">
        <v>3138</v>
      </c>
      <c r="B45" s="302" t="s">
        <v>3448</v>
      </c>
      <c r="C45" s="302" t="s">
        <v>1150</v>
      </c>
      <c r="D45" s="303" t="s">
        <v>1661</v>
      </c>
      <c r="E45" s="286">
        <v>3</v>
      </c>
      <c r="F45" s="304">
        <v>101.94</v>
      </c>
      <c r="G45" s="315" t="s">
        <v>195</v>
      </c>
      <c r="H45" s="286">
        <v>1</v>
      </c>
      <c r="I45" s="304">
        <v>305.82</v>
      </c>
      <c r="J45" s="286">
        <v>5.42</v>
      </c>
      <c r="K45" s="304">
        <v>1657.54</v>
      </c>
      <c r="Q45" s="281">
        <f>[14]Source!X36</f>
        <v>0</v>
      </c>
      <c r="R45" s="281">
        <f>[14]Source!X37</f>
        <v>0</v>
      </c>
      <c r="S45" s="281">
        <f>[14]Source!Y36</f>
        <v>0</v>
      </c>
      <c r="T45" s="281">
        <f>[14]Source!Y37</f>
        <v>0</v>
      </c>
      <c r="U45" s="281">
        <f>ROUND((175/100)*ROUND([14]Source!R36, 2), 2)</f>
        <v>0</v>
      </c>
      <c r="V45" s="281">
        <f>ROUND((157/100)*ROUND([14]Source!R37, 2), 2)</f>
        <v>0</v>
      </c>
    </row>
    <row r="46" spans="1:22" ht="54" x14ac:dyDescent="0.2">
      <c r="A46" s="301" t="s">
        <v>3140</v>
      </c>
      <c r="B46" s="302" t="s">
        <v>3448</v>
      </c>
      <c r="C46" s="302" t="s">
        <v>1149</v>
      </c>
      <c r="D46" s="303" t="s">
        <v>1661</v>
      </c>
      <c r="E46" s="286">
        <v>1</v>
      </c>
      <c r="F46" s="304">
        <v>164.67</v>
      </c>
      <c r="G46" s="315" t="s">
        <v>195</v>
      </c>
      <c r="H46" s="286">
        <v>1</v>
      </c>
      <c r="I46" s="304">
        <v>164.67</v>
      </c>
      <c r="J46" s="286">
        <v>5.42</v>
      </c>
      <c r="K46" s="304">
        <v>892.51</v>
      </c>
      <c r="Q46" s="281">
        <f>[14]Source!X38</f>
        <v>0</v>
      </c>
      <c r="R46" s="281">
        <f>[14]Source!X39</f>
        <v>0</v>
      </c>
      <c r="S46" s="281">
        <f>[14]Source!Y38</f>
        <v>0</v>
      </c>
      <c r="T46" s="281">
        <f>[14]Source!Y39</f>
        <v>0</v>
      </c>
      <c r="U46" s="281">
        <f>ROUND((175/100)*ROUND([14]Source!R38, 2), 2)</f>
        <v>0</v>
      </c>
      <c r="V46" s="281">
        <f>ROUND((157/100)*ROUND([14]Source!R39, 2), 2)</f>
        <v>0</v>
      </c>
    </row>
    <row r="47" spans="1:22" ht="68.25" x14ac:dyDescent="0.2">
      <c r="A47" s="301" t="s">
        <v>3142</v>
      </c>
      <c r="B47" s="302" t="s">
        <v>3448</v>
      </c>
      <c r="C47" s="302" t="s">
        <v>1148</v>
      </c>
      <c r="D47" s="303" t="s">
        <v>1661</v>
      </c>
      <c r="E47" s="286">
        <v>1</v>
      </c>
      <c r="F47" s="304">
        <v>71.83</v>
      </c>
      <c r="G47" s="315" t="s">
        <v>195</v>
      </c>
      <c r="H47" s="286">
        <v>1</v>
      </c>
      <c r="I47" s="304">
        <v>71.83</v>
      </c>
      <c r="J47" s="286">
        <v>5.42</v>
      </c>
      <c r="K47" s="304">
        <v>389.32</v>
      </c>
      <c r="Q47" s="281">
        <f>[14]Source!X40</f>
        <v>0</v>
      </c>
      <c r="R47" s="281">
        <f>[14]Source!X41</f>
        <v>0</v>
      </c>
      <c r="S47" s="281">
        <f>[14]Source!Y40</f>
        <v>0</v>
      </c>
      <c r="T47" s="281">
        <f>[14]Source!Y41</f>
        <v>0</v>
      </c>
      <c r="U47" s="281">
        <f>ROUND((175/100)*ROUND([14]Source!R40, 2), 2)</f>
        <v>0</v>
      </c>
      <c r="V47" s="281">
        <f>ROUND((157/100)*ROUND([14]Source!R41, 2), 2)</f>
        <v>0</v>
      </c>
    </row>
    <row r="48" spans="1:22" ht="54" x14ac:dyDescent="0.2">
      <c r="A48" s="301" t="s">
        <v>3144</v>
      </c>
      <c r="B48" s="302" t="s">
        <v>3448</v>
      </c>
      <c r="C48" s="302" t="s">
        <v>1147</v>
      </c>
      <c r="D48" s="303" t="s">
        <v>1661</v>
      </c>
      <c r="E48" s="286">
        <v>1</v>
      </c>
      <c r="F48" s="304">
        <v>366.98</v>
      </c>
      <c r="G48" s="315" t="s">
        <v>195</v>
      </c>
      <c r="H48" s="286">
        <v>1</v>
      </c>
      <c r="I48" s="304">
        <v>366.98</v>
      </c>
      <c r="J48" s="286">
        <v>5.42</v>
      </c>
      <c r="K48" s="304">
        <v>1989.03</v>
      </c>
      <c r="Q48" s="281">
        <f>[14]Source!X42</f>
        <v>0</v>
      </c>
      <c r="R48" s="281">
        <f>[14]Source!X43</f>
        <v>0</v>
      </c>
      <c r="S48" s="281">
        <f>[14]Source!Y42</f>
        <v>0</v>
      </c>
      <c r="T48" s="281">
        <f>[14]Source!Y43</f>
        <v>0</v>
      </c>
      <c r="U48" s="281">
        <f>ROUND((175/100)*ROUND([14]Source!R42, 2), 2)</f>
        <v>0</v>
      </c>
      <c r="V48" s="281">
        <f>ROUND((157/100)*ROUND([14]Source!R43, 2), 2)</f>
        <v>0</v>
      </c>
    </row>
    <row r="49" spans="1:22" ht="54" x14ac:dyDescent="0.2">
      <c r="A49" s="301" t="s">
        <v>3148</v>
      </c>
      <c r="B49" s="302" t="s">
        <v>3448</v>
      </c>
      <c r="C49" s="302" t="s">
        <v>1146</v>
      </c>
      <c r="D49" s="303" t="s">
        <v>1661</v>
      </c>
      <c r="E49" s="286">
        <v>1</v>
      </c>
      <c r="F49" s="304">
        <v>1391.06</v>
      </c>
      <c r="G49" s="315" t="s">
        <v>195</v>
      </c>
      <c r="H49" s="286">
        <v>1</v>
      </c>
      <c r="I49" s="304">
        <v>1391.06</v>
      </c>
      <c r="J49" s="286">
        <v>5.42</v>
      </c>
      <c r="K49" s="304">
        <v>7539.55</v>
      </c>
      <c r="Q49" s="281">
        <f>[14]Source!X46</f>
        <v>0</v>
      </c>
      <c r="R49" s="281">
        <f>[14]Source!X47</f>
        <v>0</v>
      </c>
      <c r="S49" s="281">
        <f>[14]Source!Y46</f>
        <v>0</v>
      </c>
      <c r="T49" s="281">
        <f>[14]Source!Y47</f>
        <v>0</v>
      </c>
      <c r="U49" s="281">
        <f>ROUND((175/100)*ROUND([14]Source!R46, 2), 2)</f>
        <v>0</v>
      </c>
      <c r="V49" s="281">
        <f>ROUND((157/100)*ROUND([14]Source!R47, 2), 2)</f>
        <v>0</v>
      </c>
    </row>
    <row r="50" spans="1:22" ht="14.25" x14ac:dyDescent="0.2">
      <c r="A50" s="301"/>
      <c r="B50" s="302"/>
      <c r="C50" s="302" t="s">
        <v>194</v>
      </c>
      <c r="D50" s="303" t="s">
        <v>187</v>
      </c>
      <c r="E50" s="286">
        <v>112</v>
      </c>
      <c r="F50" s="304"/>
      <c r="G50" s="305"/>
      <c r="H50" s="286"/>
      <c r="I50" s="304">
        <v>102.68</v>
      </c>
      <c r="J50" s="286">
        <v>90</v>
      </c>
      <c r="K50" s="304">
        <v>1926.66</v>
      </c>
    </row>
    <row r="51" spans="1:22" ht="14.25" x14ac:dyDescent="0.2">
      <c r="A51" s="301"/>
      <c r="B51" s="302"/>
      <c r="C51" s="302" t="s">
        <v>193</v>
      </c>
      <c r="D51" s="303" t="s">
        <v>187</v>
      </c>
      <c r="E51" s="286">
        <v>70</v>
      </c>
      <c r="F51" s="304"/>
      <c r="G51" s="305"/>
      <c r="H51" s="286"/>
      <c r="I51" s="304">
        <v>64.180000000000007</v>
      </c>
      <c r="J51" s="286">
        <v>43</v>
      </c>
      <c r="K51" s="304">
        <v>920.51</v>
      </c>
    </row>
    <row r="52" spans="1:22" ht="14.25" x14ac:dyDescent="0.2">
      <c r="A52" s="301"/>
      <c r="B52" s="302"/>
      <c r="C52" s="302" t="s">
        <v>188</v>
      </c>
      <c r="D52" s="303" t="s">
        <v>187</v>
      </c>
      <c r="E52" s="286">
        <v>175</v>
      </c>
      <c r="F52" s="304"/>
      <c r="G52" s="305"/>
      <c r="H52" s="286"/>
      <c r="I52" s="304">
        <v>11.32</v>
      </c>
      <c r="J52" s="286">
        <v>157</v>
      </c>
      <c r="K52" s="304">
        <v>237.18</v>
      </c>
    </row>
    <row r="53" spans="1:22" ht="14.25" x14ac:dyDescent="0.2">
      <c r="A53" s="307"/>
      <c r="B53" s="308"/>
      <c r="C53" s="308" t="s">
        <v>192</v>
      </c>
      <c r="D53" s="309" t="s">
        <v>191</v>
      </c>
      <c r="E53" s="310">
        <v>8.1999999999999993</v>
      </c>
      <c r="F53" s="311"/>
      <c r="G53" s="312" t="s">
        <v>195</v>
      </c>
      <c r="H53" s="310">
        <v>1</v>
      </c>
      <c r="I53" s="311">
        <v>8.1999999999999993</v>
      </c>
      <c r="J53" s="310"/>
      <c r="K53" s="311"/>
    </row>
    <row r="54" spans="1:22" ht="15" x14ac:dyDescent="0.25">
      <c r="A54" s="313"/>
      <c r="B54" s="313"/>
      <c r="C54" s="314" t="s">
        <v>183</v>
      </c>
      <c r="D54" s="313"/>
      <c r="E54" s="313"/>
      <c r="F54" s="313"/>
      <c r="G54" s="313"/>
      <c r="H54" s="472">
        <v>8858.66</v>
      </c>
      <c r="I54" s="472"/>
      <c r="J54" s="472">
        <v>51891.14</v>
      </c>
      <c r="K54" s="472"/>
      <c r="O54" s="284">
        <f>I40+I41+I43+I50+I51+I52+SUM(I44:I49)</f>
        <v>8858.66</v>
      </c>
      <c r="P54" s="284">
        <f>K40+K41+K43+K50+K51+K52+SUM(K44:K49)</f>
        <v>51891.14</v>
      </c>
    </row>
    <row r="56" spans="1:22" ht="57" x14ac:dyDescent="0.2">
      <c r="A56" s="301" t="s">
        <v>1534</v>
      </c>
      <c r="B56" s="302" t="s">
        <v>3442</v>
      </c>
      <c r="C56" s="302" t="s">
        <v>1141</v>
      </c>
      <c r="D56" s="303" t="s">
        <v>1903</v>
      </c>
      <c r="E56" s="286">
        <v>8</v>
      </c>
      <c r="F56" s="304"/>
      <c r="G56" s="305"/>
      <c r="H56" s="286"/>
      <c r="I56" s="304"/>
      <c r="J56" s="286"/>
      <c r="K56" s="304"/>
      <c r="Q56" s="281">
        <f>[14]Source!X48</f>
        <v>210.38</v>
      </c>
      <c r="R56" s="281">
        <f>[14]Source!X49</f>
        <v>3947.45</v>
      </c>
      <c r="S56" s="281">
        <f>[14]Source!Y48</f>
        <v>131.49</v>
      </c>
      <c r="T56" s="281">
        <f>[14]Source!Y49</f>
        <v>1886.01</v>
      </c>
      <c r="U56" s="281">
        <f>ROUND((175/100)*ROUND([14]Source!R48, 2), 2)</f>
        <v>18.899999999999999</v>
      </c>
      <c r="V56" s="281">
        <f>ROUND((157/100)*ROUND([14]Source!R49, 2), 2)</f>
        <v>395.92</v>
      </c>
    </row>
    <row r="57" spans="1:22" ht="14.25" x14ac:dyDescent="0.2">
      <c r="A57" s="301"/>
      <c r="B57" s="302"/>
      <c r="C57" s="302" t="s">
        <v>197</v>
      </c>
      <c r="D57" s="303"/>
      <c r="E57" s="286"/>
      <c r="F57" s="304">
        <v>23.48</v>
      </c>
      <c r="G57" s="305" t="s">
        <v>195</v>
      </c>
      <c r="H57" s="286">
        <v>1</v>
      </c>
      <c r="I57" s="304">
        <v>187.84</v>
      </c>
      <c r="J57" s="286">
        <v>23.35</v>
      </c>
      <c r="K57" s="304">
        <v>4386.0600000000004</v>
      </c>
    </row>
    <row r="58" spans="1:22" ht="14.25" x14ac:dyDescent="0.2">
      <c r="A58" s="301"/>
      <c r="B58" s="302"/>
      <c r="C58" s="302" t="s">
        <v>184</v>
      </c>
      <c r="D58" s="303"/>
      <c r="E58" s="286"/>
      <c r="F58" s="304">
        <v>5.84</v>
      </c>
      <c r="G58" s="305" t="s">
        <v>195</v>
      </c>
      <c r="H58" s="286">
        <v>1</v>
      </c>
      <c r="I58" s="304">
        <v>46.72</v>
      </c>
      <c r="J58" s="286">
        <v>9.51</v>
      </c>
      <c r="K58" s="304">
        <v>444.31</v>
      </c>
    </row>
    <row r="59" spans="1:22" ht="14.25" x14ac:dyDescent="0.2">
      <c r="A59" s="301"/>
      <c r="B59" s="302"/>
      <c r="C59" s="302" t="s">
        <v>189</v>
      </c>
      <c r="D59" s="303"/>
      <c r="E59" s="286"/>
      <c r="F59" s="304">
        <v>1.35</v>
      </c>
      <c r="G59" s="305" t="s">
        <v>195</v>
      </c>
      <c r="H59" s="286">
        <v>1</v>
      </c>
      <c r="I59" s="306">
        <v>10.8</v>
      </c>
      <c r="J59" s="286">
        <v>23.35</v>
      </c>
      <c r="K59" s="306">
        <v>252.18</v>
      </c>
    </row>
    <row r="60" spans="1:22" ht="14.25" x14ac:dyDescent="0.2">
      <c r="A60" s="301"/>
      <c r="B60" s="302"/>
      <c r="C60" s="302" t="s">
        <v>205</v>
      </c>
      <c r="D60" s="303"/>
      <c r="E60" s="286"/>
      <c r="F60" s="304">
        <v>0.14000000000000001</v>
      </c>
      <c r="G60" s="305" t="s">
        <v>195</v>
      </c>
      <c r="H60" s="286">
        <v>1</v>
      </c>
      <c r="I60" s="304">
        <v>1.1200000000000001</v>
      </c>
      <c r="J60" s="286">
        <v>5.43</v>
      </c>
      <c r="K60" s="304">
        <v>6.08</v>
      </c>
    </row>
    <row r="61" spans="1:22" ht="68.25" x14ac:dyDescent="0.2">
      <c r="A61" s="301" t="s">
        <v>1538</v>
      </c>
      <c r="B61" s="302" t="s">
        <v>3448</v>
      </c>
      <c r="C61" s="302" t="s">
        <v>1145</v>
      </c>
      <c r="D61" s="303" t="s">
        <v>1661</v>
      </c>
      <c r="E61" s="286">
        <v>8</v>
      </c>
      <c r="F61" s="304">
        <v>78.39</v>
      </c>
      <c r="G61" s="315" t="s">
        <v>195</v>
      </c>
      <c r="H61" s="286">
        <v>1</v>
      </c>
      <c r="I61" s="304">
        <v>627.12</v>
      </c>
      <c r="J61" s="286">
        <v>5.42</v>
      </c>
      <c r="K61" s="304">
        <v>3398.99</v>
      </c>
      <c r="Q61" s="281">
        <f>[14]Source!X50</f>
        <v>0</v>
      </c>
      <c r="R61" s="281">
        <f>[14]Source!X51</f>
        <v>0</v>
      </c>
      <c r="S61" s="281">
        <f>[14]Source!Y50</f>
        <v>0</v>
      </c>
      <c r="T61" s="281">
        <f>[14]Source!Y51</f>
        <v>0</v>
      </c>
      <c r="U61" s="281">
        <f>ROUND((175/100)*ROUND([14]Source!R50, 2), 2)</f>
        <v>0</v>
      </c>
      <c r="V61" s="281">
        <f>ROUND((157/100)*ROUND([14]Source!R51, 2), 2)</f>
        <v>0</v>
      </c>
    </row>
    <row r="62" spans="1:22" ht="14.25" x14ac:dyDescent="0.2">
      <c r="A62" s="301"/>
      <c r="B62" s="302"/>
      <c r="C62" s="302" t="s">
        <v>194</v>
      </c>
      <c r="D62" s="303" t="s">
        <v>187</v>
      </c>
      <c r="E62" s="286">
        <v>112</v>
      </c>
      <c r="F62" s="304"/>
      <c r="G62" s="305"/>
      <c r="H62" s="286"/>
      <c r="I62" s="304">
        <v>210.38</v>
      </c>
      <c r="J62" s="286">
        <v>90</v>
      </c>
      <c r="K62" s="304">
        <v>3947.45</v>
      </c>
    </row>
    <row r="63" spans="1:22" ht="14.25" x14ac:dyDescent="0.2">
      <c r="A63" s="301"/>
      <c r="B63" s="302"/>
      <c r="C63" s="302" t="s">
        <v>193</v>
      </c>
      <c r="D63" s="303" t="s">
        <v>187</v>
      </c>
      <c r="E63" s="286">
        <v>70</v>
      </c>
      <c r="F63" s="304"/>
      <c r="G63" s="305"/>
      <c r="H63" s="286"/>
      <c r="I63" s="304">
        <v>131.49</v>
      </c>
      <c r="J63" s="286">
        <v>43</v>
      </c>
      <c r="K63" s="304">
        <v>1886.01</v>
      </c>
    </row>
    <row r="64" spans="1:22" ht="14.25" x14ac:dyDescent="0.2">
      <c r="A64" s="301"/>
      <c r="B64" s="302"/>
      <c r="C64" s="302" t="s">
        <v>188</v>
      </c>
      <c r="D64" s="303" t="s">
        <v>187</v>
      </c>
      <c r="E64" s="286">
        <v>175</v>
      </c>
      <c r="F64" s="304"/>
      <c r="G64" s="305"/>
      <c r="H64" s="286"/>
      <c r="I64" s="304">
        <v>18.899999999999999</v>
      </c>
      <c r="J64" s="286">
        <v>157</v>
      </c>
      <c r="K64" s="304">
        <v>395.92</v>
      </c>
    </row>
    <row r="65" spans="1:22" ht="14.25" x14ac:dyDescent="0.2">
      <c r="A65" s="307"/>
      <c r="B65" s="308"/>
      <c r="C65" s="308" t="s">
        <v>192</v>
      </c>
      <c r="D65" s="309" t="s">
        <v>191</v>
      </c>
      <c r="E65" s="310">
        <v>2.1</v>
      </c>
      <c r="F65" s="311"/>
      <c r="G65" s="312" t="s">
        <v>195</v>
      </c>
      <c r="H65" s="310">
        <v>1</v>
      </c>
      <c r="I65" s="311">
        <v>16.8</v>
      </c>
      <c r="J65" s="310"/>
      <c r="K65" s="311"/>
    </row>
    <row r="66" spans="1:22" ht="15" x14ac:dyDescent="0.25">
      <c r="A66" s="313"/>
      <c r="B66" s="313"/>
      <c r="C66" s="314" t="s">
        <v>183</v>
      </c>
      <c r="D66" s="313"/>
      <c r="E66" s="313"/>
      <c r="F66" s="313"/>
      <c r="G66" s="313"/>
      <c r="H66" s="472">
        <v>1223.57</v>
      </c>
      <c r="I66" s="472"/>
      <c r="J66" s="472">
        <v>14464.82</v>
      </c>
      <c r="K66" s="472"/>
      <c r="O66" s="284">
        <f>I57+I58+I60+I62+I63+I64+SUM(I61:I61)</f>
        <v>1223.57</v>
      </c>
      <c r="P66" s="284">
        <f>K57+K58+K60+K62+K63+K64+SUM(K61:K61)</f>
        <v>14464.82</v>
      </c>
    </row>
    <row r="68" spans="1:22" ht="14.25" x14ac:dyDescent="0.2">
      <c r="A68" s="301" t="s">
        <v>104</v>
      </c>
      <c r="B68" s="302" t="s">
        <v>3538</v>
      </c>
      <c r="C68" s="302" t="s">
        <v>1144</v>
      </c>
      <c r="D68" s="303" t="s">
        <v>1903</v>
      </c>
      <c r="E68" s="286">
        <v>2</v>
      </c>
      <c r="F68" s="304"/>
      <c r="G68" s="305"/>
      <c r="H68" s="286"/>
      <c r="I68" s="304"/>
      <c r="J68" s="286"/>
      <c r="K68" s="304"/>
      <c r="Q68" s="281">
        <f>[14]Source!X52</f>
        <v>175.26</v>
      </c>
      <c r="R68" s="281">
        <f>[14]Source!X53</f>
        <v>3288.43</v>
      </c>
      <c r="S68" s="281">
        <f>[14]Source!Y52</f>
        <v>109.54</v>
      </c>
      <c r="T68" s="281">
        <f>[14]Source!Y53</f>
        <v>1571.14</v>
      </c>
      <c r="U68" s="281">
        <f>ROUND((175/100)*ROUND([14]Source!R52, 2), 2)</f>
        <v>14.77</v>
      </c>
      <c r="V68" s="281">
        <f>ROUND((157/100)*ROUND([14]Source!R53, 2), 2)</f>
        <v>309.39999999999998</v>
      </c>
    </row>
    <row r="69" spans="1:22" ht="14.25" x14ac:dyDescent="0.2">
      <c r="A69" s="301"/>
      <c r="B69" s="302"/>
      <c r="C69" s="302" t="s">
        <v>197</v>
      </c>
      <c r="D69" s="303"/>
      <c r="E69" s="286"/>
      <c r="F69" s="304">
        <v>78.239999999999995</v>
      </c>
      <c r="G69" s="305" t="s">
        <v>195</v>
      </c>
      <c r="H69" s="286">
        <v>1</v>
      </c>
      <c r="I69" s="304">
        <v>156.47999999999999</v>
      </c>
      <c r="J69" s="286">
        <v>23.35</v>
      </c>
      <c r="K69" s="304">
        <v>3653.81</v>
      </c>
    </row>
    <row r="70" spans="1:22" ht="14.25" x14ac:dyDescent="0.2">
      <c r="A70" s="301"/>
      <c r="B70" s="302"/>
      <c r="C70" s="302" t="s">
        <v>184</v>
      </c>
      <c r="D70" s="303"/>
      <c r="E70" s="286"/>
      <c r="F70" s="304">
        <v>18.25</v>
      </c>
      <c r="G70" s="305" t="s">
        <v>195</v>
      </c>
      <c r="H70" s="286">
        <v>1</v>
      </c>
      <c r="I70" s="304">
        <v>36.5</v>
      </c>
      <c r="J70" s="286">
        <v>9.51</v>
      </c>
      <c r="K70" s="304">
        <v>347.12</v>
      </c>
    </row>
    <row r="71" spans="1:22" ht="14.25" x14ac:dyDescent="0.2">
      <c r="A71" s="301"/>
      <c r="B71" s="302"/>
      <c r="C71" s="302" t="s">
        <v>189</v>
      </c>
      <c r="D71" s="303"/>
      <c r="E71" s="286"/>
      <c r="F71" s="304">
        <v>4.22</v>
      </c>
      <c r="G71" s="305" t="s">
        <v>195</v>
      </c>
      <c r="H71" s="286">
        <v>1</v>
      </c>
      <c r="I71" s="306">
        <v>8.44</v>
      </c>
      <c r="J71" s="286">
        <v>23.35</v>
      </c>
      <c r="K71" s="306">
        <v>197.07</v>
      </c>
    </row>
    <row r="72" spans="1:22" ht="14.25" x14ac:dyDescent="0.2">
      <c r="A72" s="301"/>
      <c r="B72" s="302"/>
      <c r="C72" s="302" t="s">
        <v>205</v>
      </c>
      <c r="D72" s="303"/>
      <c r="E72" s="286"/>
      <c r="F72" s="304">
        <v>7</v>
      </c>
      <c r="G72" s="305" t="s">
        <v>195</v>
      </c>
      <c r="H72" s="286">
        <v>1</v>
      </c>
      <c r="I72" s="304">
        <v>14</v>
      </c>
      <c r="J72" s="286">
        <v>5.42</v>
      </c>
      <c r="K72" s="304">
        <v>75.88</v>
      </c>
    </row>
    <row r="73" spans="1:22" ht="14.25" x14ac:dyDescent="0.2">
      <c r="A73" s="301"/>
      <c r="B73" s="302"/>
      <c r="C73" s="302" t="s">
        <v>194</v>
      </c>
      <c r="D73" s="303" t="s">
        <v>187</v>
      </c>
      <c r="E73" s="286">
        <v>112</v>
      </c>
      <c r="F73" s="304"/>
      <c r="G73" s="305"/>
      <c r="H73" s="286"/>
      <c r="I73" s="304">
        <v>175.26</v>
      </c>
      <c r="J73" s="286">
        <v>90</v>
      </c>
      <c r="K73" s="304">
        <v>3288.43</v>
      </c>
    </row>
    <row r="74" spans="1:22" ht="14.25" x14ac:dyDescent="0.2">
      <c r="A74" s="301"/>
      <c r="B74" s="302"/>
      <c r="C74" s="302" t="s">
        <v>193</v>
      </c>
      <c r="D74" s="303" t="s">
        <v>187</v>
      </c>
      <c r="E74" s="286">
        <v>70</v>
      </c>
      <c r="F74" s="304"/>
      <c r="G74" s="305"/>
      <c r="H74" s="286"/>
      <c r="I74" s="304">
        <v>109.54</v>
      </c>
      <c r="J74" s="286">
        <v>43</v>
      </c>
      <c r="K74" s="304">
        <v>1571.14</v>
      </c>
    </row>
    <row r="75" spans="1:22" ht="14.25" x14ac:dyDescent="0.2">
      <c r="A75" s="301"/>
      <c r="B75" s="302"/>
      <c r="C75" s="302" t="s">
        <v>188</v>
      </c>
      <c r="D75" s="303" t="s">
        <v>187</v>
      </c>
      <c r="E75" s="286">
        <v>175</v>
      </c>
      <c r="F75" s="304"/>
      <c r="G75" s="305"/>
      <c r="H75" s="286"/>
      <c r="I75" s="304">
        <v>14.77</v>
      </c>
      <c r="J75" s="286">
        <v>157</v>
      </c>
      <c r="K75" s="304">
        <v>309.39999999999998</v>
      </c>
    </row>
    <row r="76" spans="1:22" ht="14.25" x14ac:dyDescent="0.2">
      <c r="A76" s="307"/>
      <c r="B76" s="308"/>
      <c r="C76" s="308" t="s">
        <v>192</v>
      </c>
      <c r="D76" s="309" t="s">
        <v>191</v>
      </c>
      <c r="E76" s="310">
        <v>6.2</v>
      </c>
      <c r="F76" s="311"/>
      <c r="G76" s="312" t="s">
        <v>195</v>
      </c>
      <c r="H76" s="310">
        <v>1</v>
      </c>
      <c r="I76" s="311">
        <v>12.4</v>
      </c>
      <c r="J76" s="310"/>
      <c r="K76" s="311"/>
    </row>
    <row r="77" spans="1:22" ht="15" x14ac:dyDescent="0.25">
      <c r="A77" s="313"/>
      <c r="B77" s="313"/>
      <c r="C77" s="314" t="s">
        <v>183</v>
      </c>
      <c r="D77" s="313"/>
      <c r="E77" s="313"/>
      <c r="F77" s="313"/>
      <c r="G77" s="313"/>
      <c r="H77" s="472">
        <v>506.55</v>
      </c>
      <c r="I77" s="472"/>
      <c r="J77" s="472">
        <v>9245.7800000000007</v>
      </c>
      <c r="K77" s="472"/>
      <c r="O77" s="284">
        <f>I69+I70+I72+I73+I74+I75</f>
        <v>506.55</v>
      </c>
      <c r="P77" s="284">
        <f>K69+K70+K72+K73+K74+K75</f>
        <v>9245.7800000000007</v>
      </c>
    </row>
    <row r="79" spans="1:22" ht="57" x14ac:dyDescent="0.2">
      <c r="A79" s="301" t="s">
        <v>1546</v>
      </c>
      <c r="B79" s="302" t="s">
        <v>3442</v>
      </c>
      <c r="C79" s="302" t="s">
        <v>1141</v>
      </c>
      <c r="D79" s="303" t="s">
        <v>1903</v>
      </c>
      <c r="E79" s="286">
        <v>3</v>
      </c>
      <c r="F79" s="304"/>
      <c r="G79" s="305"/>
      <c r="H79" s="286"/>
      <c r="I79" s="304"/>
      <c r="J79" s="286"/>
      <c r="K79" s="304"/>
      <c r="Q79" s="281">
        <f>[14]Source!X54</f>
        <v>78.89</v>
      </c>
      <c r="R79" s="281">
        <f>[14]Source!X55</f>
        <v>1480.29</v>
      </c>
      <c r="S79" s="281">
        <f>[14]Source!Y54</f>
        <v>49.31</v>
      </c>
      <c r="T79" s="281">
        <f>[14]Source!Y55</f>
        <v>707.25</v>
      </c>
      <c r="U79" s="281">
        <f>ROUND((175/100)*ROUND([14]Source!R54, 2), 2)</f>
        <v>7.09</v>
      </c>
      <c r="V79" s="281">
        <f>ROUND((157/100)*ROUND([14]Source!R55, 2), 2)</f>
        <v>148.47</v>
      </c>
    </row>
    <row r="80" spans="1:22" ht="14.25" x14ac:dyDescent="0.2">
      <c r="A80" s="301"/>
      <c r="B80" s="302"/>
      <c r="C80" s="302" t="s">
        <v>197</v>
      </c>
      <c r="D80" s="303"/>
      <c r="E80" s="286"/>
      <c r="F80" s="304">
        <v>23.48</v>
      </c>
      <c r="G80" s="305" t="s">
        <v>195</v>
      </c>
      <c r="H80" s="286">
        <v>1</v>
      </c>
      <c r="I80" s="304">
        <v>70.44</v>
      </c>
      <c r="J80" s="286">
        <v>23.35</v>
      </c>
      <c r="K80" s="304">
        <v>1644.77</v>
      </c>
    </row>
    <row r="81" spans="1:22" ht="14.25" x14ac:dyDescent="0.2">
      <c r="A81" s="301"/>
      <c r="B81" s="302"/>
      <c r="C81" s="302" t="s">
        <v>184</v>
      </c>
      <c r="D81" s="303"/>
      <c r="E81" s="286"/>
      <c r="F81" s="304">
        <v>5.84</v>
      </c>
      <c r="G81" s="305" t="s">
        <v>195</v>
      </c>
      <c r="H81" s="286">
        <v>1</v>
      </c>
      <c r="I81" s="304">
        <v>17.52</v>
      </c>
      <c r="J81" s="286">
        <v>9.51</v>
      </c>
      <c r="K81" s="304">
        <v>166.62</v>
      </c>
    </row>
    <row r="82" spans="1:22" ht="14.25" x14ac:dyDescent="0.2">
      <c r="A82" s="301"/>
      <c r="B82" s="302"/>
      <c r="C82" s="302" t="s">
        <v>189</v>
      </c>
      <c r="D82" s="303"/>
      <c r="E82" s="286"/>
      <c r="F82" s="304">
        <v>1.35</v>
      </c>
      <c r="G82" s="305" t="s">
        <v>195</v>
      </c>
      <c r="H82" s="286">
        <v>1</v>
      </c>
      <c r="I82" s="306">
        <v>4.05</v>
      </c>
      <c r="J82" s="286">
        <v>23.35</v>
      </c>
      <c r="K82" s="306">
        <v>94.57</v>
      </c>
    </row>
    <row r="83" spans="1:22" ht="14.25" x14ac:dyDescent="0.2">
      <c r="A83" s="301"/>
      <c r="B83" s="302"/>
      <c r="C83" s="302" t="s">
        <v>205</v>
      </c>
      <c r="D83" s="303"/>
      <c r="E83" s="286"/>
      <c r="F83" s="304">
        <v>0.14000000000000001</v>
      </c>
      <c r="G83" s="305" t="s">
        <v>195</v>
      </c>
      <c r="H83" s="286">
        <v>1</v>
      </c>
      <c r="I83" s="304">
        <v>0.42</v>
      </c>
      <c r="J83" s="286">
        <v>5.43</v>
      </c>
      <c r="K83" s="304">
        <v>2.2799999999999998</v>
      </c>
    </row>
    <row r="84" spans="1:22" ht="39.75" x14ac:dyDescent="0.2">
      <c r="A84" s="301" t="s">
        <v>1550</v>
      </c>
      <c r="B84" s="302" t="s">
        <v>3448</v>
      </c>
      <c r="C84" s="302" t="s">
        <v>1143</v>
      </c>
      <c r="D84" s="303" t="s">
        <v>1661</v>
      </c>
      <c r="E84" s="286">
        <v>3</v>
      </c>
      <c r="F84" s="304">
        <v>1693.88</v>
      </c>
      <c r="G84" s="315" t="s">
        <v>195</v>
      </c>
      <c r="H84" s="286">
        <v>1</v>
      </c>
      <c r="I84" s="304">
        <v>5081.6400000000003</v>
      </c>
      <c r="J84" s="286">
        <v>5.42</v>
      </c>
      <c r="K84" s="304">
        <v>27542.49</v>
      </c>
      <c r="Q84" s="281">
        <f>[14]Source!X56</f>
        <v>0</v>
      </c>
      <c r="R84" s="281">
        <f>[14]Source!X57</f>
        <v>0</v>
      </c>
      <c r="S84" s="281">
        <f>[14]Source!Y56</f>
        <v>0</v>
      </c>
      <c r="T84" s="281">
        <f>[14]Source!Y57</f>
        <v>0</v>
      </c>
      <c r="U84" s="281">
        <f>ROUND((175/100)*ROUND([14]Source!R56, 2), 2)</f>
        <v>0</v>
      </c>
      <c r="V84" s="281">
        <f>ROUND((157/100)*ROUND([14]Source!R57, 2), 2)</f>
        <v>0</v>
      </c>
    </row>
    <row r="85" spans="1:22" ht="14.25" x14ac:dyDescent="0.2">
      <c r="A85" s="301"/>
      <c r="B85" s="302"/>
      <c r="C85" s="302" t="s">
        <v>194</v>
      </c>
      <c r="D85" s="303" t="s">
        <v>187</v>
      </c>
      <c r="E85" s="286">
        <v>112</v>
      </c>
      <c r="F85" s="304"/>
      <c r="G85" s="305"/>
      <c r="H85" s="286"/>
      <c r="I85" s="304">
        <v>78.89</v>
      </c>
      <c r="J85" s="286">
        <v>90</v>
      </c>
      <c r="K85" s="304">
        <v>1480.29</v>
      </c>
    </row>
    <row r="86" spans="1:22" ht="14.25" x14ac:dyDescent="0.2">
      <c r="A86" s="301"/>
      <c r="B86" s="302"/>
      <c r="C86" s="302" t="s">
        <v>193</v>
      </c>
      <c r="D86" s="303" t="s">
        <v>187</v>
      </c>
      <c r="E86" s="286">
        <v>70</v>
      </c>
      <c r="F86" s="304"/>
      <c r="G86" s="305"/>
      <c r="H86" s="286"/>
      <c r="I86" s="304">
        <v>49.31</v>
      </c>
      <c r="J86" s="286">
        <v>43</v>
      </c>
      <c r="K86" s="304">
        <v>707.25</v>
      </c>
    </row>
    <row r="87" spans="1:22" ht="14.25" x14ac:dyDescent="0.2">
      <c r="A87" s="301"/>
      <c r="B87" s="302"/>
      <c r="C87" s="302" t="s">
        <v>188</v>
      </c>
      <c r="D87" s="303" t="s">
        <v>187</v>
      </c>
      <c r="E87" s="286">
        <v>175</v>
      </c>
      <c r="F87" s="304"/>
      <c r="G87" s="305"/>
      <c r="H87" s="286"/>
      <c r="I87" s="304">
        <v>7.09</v>
      </c>
      <c r="J87" s="286">
        <v>157</v>
      </c>
      <c r="K87" s="304">
        <v>148.47</v>
      </c>
    </row>
    <row r="88" spans="1:22" ht="14.25" x14ac:dyDescent="0.2">
      <c r="A88" s="307"/>
      <c r="B88" s="308"/>
      <c r="C88" s="308" t="s">
        <v>192</v>
      </c>
      <c r="D88" s="309" t="s">
        <v>191</v>
      </c>
      <c r="E88" s="310">
        <v>2.1</v>
      </c>
      <c r="F88" s="311"/>
      <c r="G88" s="312" t="s">
        <v>195</v>
      </c>
      <c r="H88" s="310">
        <v>1</v>
      </c>
      <c r="I88" s="311">
        <v>6.3</v>
      </c>
      <c r="J88" s="310"/>
      <c r="K88" s="311"/>
    </row>
    <row r="89" spans="1:22" ht="15" x14ac:dyDescent="0.25">
      <c r="A89" s="313"/>
      <c r="B89" s="313"/>
      <c r="C89" s="314" t="s">
        <v>183</v>
      </c>
      <c r="D89" s="313"/>
      <c r="E89" s="313"/>
      <c r="F89" s="313"/>
      <c r="G89" s="313"/>
      <c r="H89" s="472">
        <v>5305.31</v>
      </c>
      <c r="I89" s="472"/>
      <c r="J89" s="472">
        <v>31692.17</v>
      </c>
      <c r="K89" s="472"/>
      <c r="O89" s="284">
        <f>I80+I81+I83+I85+I86+I87+SUM(I84:I84)</f>
        <v>5305.31</v>
      </c>
      <c r="P89" s="284">
        <f>K80+K81+K83+K85+K86+K87+SUM(K84:K84)</f>
        <v>31692.17</v>
      </c>
    </row>
    <row r="91" spans="1:22" ht="28.5" x14ac:dyDescent="0.2">
      <c r="A91" s="301" t="s">
        <v>105</v>
      </c>
      <c r="B91" s="302" t="s">
        <v>3539</v>
      </c>
      <c r="C91" s="302" t="s">
        <v>1142</v>
      </c>
      <c r="D91" s="303" t="s">
        <v>1903</v>
      </c>
      <c r="E91" s="286">
        <v>1</v>
      </c>
      <c r="F91" s="304"/>
      <c r="G91" s="305"/>
      <c r="H91" s="286"/>
      <c r="I91" s="304"/>
      <c r="J91" s="286"/>
      <c r="K91" s="304"/>
      <c r="Q91" s="281">
        <f>[14]Source!X58</f>
        <v>151.44999999999999</v>
      </c>
      <c r="R91" s="281">
        <f>[14]Source!X59</f>
        <v>2841.65</v>
      </c>
      <c r="S91" s="281">
        <f>[14]Source!Y58</f>
        <v>94.65</v>
      </c>
      <c r="T91" s="281">
        <f>[14]Source!Y59</f>
        <v>1357.68</v>
      </c>
      <c r="U91" s="281">
        <f>ROUND((175/100)*ROUND([14]Source!R58, 2), 2)</f>
        <v>11.83</v>
      </c>
      <c r="V91" s="281">
        <f>ROUND((157/100)*ROUND([14]Source!R59, 2), 2)</f>
        <v>247.82</v>
      </c>
    </row>
    <row r="92" spans="1:22" ht="14.25" x14ac:dyDescent="0.2">
      <c r="A92" s="301"/>
      <c r="B92" s="302"/>
      <c r="C92" s="302" t="s">
        <v>197</v>
      </c>
      <c r="D92" s="303"/>
      <c r="E92" s="286"/>
      <c r="F92" s="304">
        <v>135.22</v>
      </c>
      <c r="G92" s="305" t="s">
        <v>195</v>
      </c>
      <c r="H92" s="286">
        <v>1</v>
      </c>
      <c r="I92" s="304">
        <v>135.22</v>
      </c>
      <c r="J92" s="286">
        <v>23.35</v>
      </c>
      <c r="K92" s="304">
        <v>3157.39</v>
      </c>
    </row>
    <row r="93" spans="1:22" ht="14.25" x14ac:dyDescent="0.2">
      <c r="A93" s="301"/>
      <c r="B93" s="302"/>
      <c r="C93" s="302" t="s">
        <v>184</v>
      </c>
      <c r="D93" s="303"/>
      <c r="E93" s="286"/>
      <c r="F93" s="304">
        <v>29.2</v>
      </c>
      <c r="G93" s="305" t="s">
        <v>195</v>
      </c>
      <c r="H93" s="286">
        <v>1</v>
      </c>
      <c r="I93" s="304">
        <v>29.2</v>
      </c>
      <c r="J93" s="286">
        <v>9.52</v>
      </c>
      <c r="K93" s="304">
        <v>277.98</v>
      </c>
    </row>
    <row r="94" spans="1:22" ht="14.25" x14ac:dyDescent="0.2">
      <c r="A94" s="301"/>
      <c r="B94" s="302"/>
      <c r="C94" s="302" t="s">
        <v>189</v>
      </c>
      <c r="D94" s="303"/>
      <c r="E94" s="286"/>
      <c r="F94" s="304">
        <v>6.76</v>
      </c>
      <c r="G94" s="305" t="s">
        <v>195</v>
      </c>
      <c r="H94" s="286">
        <v>1</v>
      </c>
      <c r="I94" s="306">
        <v>6.76</v>
      </c>
      <c r="J94" s="286">
        <v>23.35</v>
      </c>
      <c r="K94" s="306">
        <v>157.85</v>
      </c>
    </row>
    <row r="95" spans="1:22" ht="14.25" x14ac:dyDescent="0.2">
      <c r="A95" s="301"/>
      <c r="B95" s="302"/>
      <c r="C95" s="302" t="s">
        <v>205</v>
      </c>
      <c r="D95" s="303"/>
      <c r="E95" s="286"/>
      <c r="F95" s="304">
        <v>5.1100000000000003</v>
      </c>
      <c r="G95" s="305" t="s">
        <v>195</v>
      </c>
      <c r="H95" s="286">
        <v>1</v>
      </c>
      <c r="I95" s="304">
        <v>5.1100000000000003</v>
      </c>
      <c r="J95" s="286">
        <v>5.42</v>
      </c>
      <c r="K95" s="304">
        <v>27.7</v>
      </c>
    </row>
    <row r="96" spans="1:22" ht="14.25" x14ac:dyDescent="0.2">
      <c r="A96" s="301"/>
      <c r="B96" s="302"/>
      <c r="C96" s="302" t="s">
        <v>194</v>
      </c>
      <c r="D96" s="303" t="s">
        <v>187</v>
      </c>
      <c r="E96" s="286">
        <v>112</v>
      </c>
      <c r="F96" s="304"/>
      <c r="G96" s="305"/>
      <c r="H96" s="286"/>
      <c r="I96" s="304">
        <v>151.44999999999999</v>
      </c>
      <c r="J96" s="286">
        <v>90</v>
      </c>
      <c r="K96" s="304">
        <v>2841.65</v>
      </c>
    </row>
    <row r="97" spans="1:22" ht="14.25" x14ac:dyDescent="0.2">
      <c r="A97" s="301"/>
      <c r="B97" s="302"/>
      <c r="C97" s="302" t="s">
        <v>193</v>
      </c>
      <c r="D97" s="303" t="s">
        <v>187</v>
      </c>
      <c r="E97" s="286">
        <v>70</v>
      </c>
      <c r="F97" s="304"/>
      <c r="G97" s="305"/>
      <c r="H97" s="286"/>
      <c r="I97" s="304">
        <v>94.65</v>
      </c>
      <c r="J97" s="286">
        <v>43</v>
      </c>
      <c r="K97" s="304">
        <v>1357.68</v>
      </c>
    </row>
    <row r="98" spans="1:22" ht="14.25" x14ac:dyDescent="0.2">
      <c r="A98" s="301"/>
      <c r="B98" s="302"/>
      <c r="C98" s="302" t="s">
        <v>188</v>
      </c>
      <c r="D98" s="303" t="s">
        <v>187</v>
      </c>
      <c r="E98" s="286">
        <v>175</v>
      </c>
      <c r="F98" s="304"/>
      <c r="G98" s="305"/>
      <c r="H98" s="286"/>
      <c r="I98" s="304">
        <v>11.83</v>
      </c>
      <c r="J98" s="286">
        <v>157</v>
      </c>
      <c r="K98" s="304">
        <v>247.82</v>
      </c>
    </row>
    <row r="99" spans="1:22" ht="14.25" x14ac:dyDescent="0.2">
      <c r="A99" s="307"/>
      <c r="B99" s="308"/>
      <c r="C99" s="308" t="s">
        <v>192</v>
      </c>
      <c r="D99" s="309" t="s">
        <v>191</v>
      </c>
      <c r="E99" s="310">
        <v>9.3000000000000007</v>
      </c>
      <c r="F99" s="311"/>
      <c r="G99" s="312" t="s">
        <v>195</v>
      </c>
      <c r="H99" s="310">
        <v>1</v>
      </c>
      <c r="I99" s="311">
        <v>9.3000000000000007</v>
      </c>
      <c r="J99" s="310"/>
      <c r="K99" s="311"/>
    </row>
    <row r="100" spans="1:22" ht="15" x14ac:dyDescent="0.25">
      <c r="A100" s="313"/>
      <c r="B100" s="313"/>
      <c r="C100" s="314" t="s">
        <v>183</v>
      </c>
      <c r="D100" s="313"/>
      <c r="E100" s="313"/>
      <c r="F100" s="313"/>
      <c r="G100" s="313"/>
      <c r="H100" s="472">
        <v>427.46</v>
      </c>
      <c r="I100" s="472"/>
      <c r="J100" s="472">
        <v>7910.22</v>
      </c>
      <c r="K100" s="472"/>
      <c r="O100" s="284">
        <f>I92+I93+I95+I96+I97+I98</f>
        <v>427.46</v>
      </c>
      <c r="P100" s="284">
        <f>K92+K93+K95+K96+K97+K98</f>
        <v>7910.22</v>
      </c>
    </row>
    <row r="102" spans="1:22" ht="57" x14ac:dyDescent="0.2">
      <c r="A102" s="301" t="s">
        <v>1560</v>
      </c>
      <c r="B102" s="302" t="s">
        <v>3442</v>
      </c>
      <c r="C102" s="302" t="s">
        <v>1141</v>
      </c>
      <c r="D102" s="303" t="s">
        <v>1903</v>
      </c>
      <c r="E102" s="286">
        <v>4</v>
      </c>
      <c r="F102" s="304"/>
      <c r="G102" s="305"/>
      <c r="H102" s="286"/>
      <c r="I102" s="304"/>
      <c r="J102" s="286"/>
      <c r="K102" s="304"/>
      <c r="Q102" s="281">
        <f>[14]Source!X60</f>
        <v>105.19</v>
      </c>
      <c r="R102" s="281">
        <f>[14]Source!X61</f>
        <v>1973.73</v>
      </c>
      <c r="S102" s="281">
        <f>[14]Source!Y60</f>
        <v>65.739999999999995</v>
      </c>
      <c r="T102" s="281">
        <f>[14]Source!Y61</f>
        <v>943</v>
      </c>
      <c r="U102" s="281">
        <f>ROUND((175/100)*ROUND([14]Source!R60, 2), 2)</f>
        <v>9.4499999999999993</v>
      </c>
      <c r="V102" s="281">
        <f>ROUND((157/100)*ROUND([14]Source!R61, 2), 2)</f>
        <v>197.96</v>
      </c>
    </row>
    <row r="103" spans="1:22" ht="14.25" x14ac:dyDescent="0.2">
      <c r="A103" s="301"/>
      <c r="B103" s="302"/>
      <c r="C103" s="302" t="s">
        <v>197</v>
      </c>
      <c r="D103" s="303"/>
      <c r="E103" s="286"/>
      <c r="F103" s="304">
        <v>23.48</v>
      </c>
      <c r="G103" s="305" t="s">
        <v>195</v>
      </c>
      <c r="H103" s="286">
        <v>1</v>
      </c>
      <c r="I103" s="304">
        <v>93.92</v>
      </c>
      <c r="J103" s="286">
        <v>23.35</v>
      </c>
      <c r="K103" s="304">
        <v>2193.0300000000002</v>
      </c>
    </row>
    <row r="104" spans="1:22" ht="14.25" x14ac:dyDescent="0.2">
      <c r="A104" s="301"/>
      <c r="B104" s="302"/>
      <c r="C104" s="302" t="s">
        <v>184</v>
      </c>
      <c r="D104" s="303"/>
      <c r="E104" s="286"/>
      <c r="F104" s="304">
        <v>5.84</v>
      </c>
      <c r="G104" s="305" t="s">
        <v>195</v>
      </c>
      <c r="H104" s="286">
        <v>1</v>
      </c>
      <c r="I104" s="304">
        <v>23.36</v>
      </c>
      <c r="J104" s="286">
        <v>9.51</v>
      </c>
      <c r="K104" s="304">
        <v>222.15</v>
      </c>
    </row>
    <row r="105" spans="1:22" ht="14.25" x14ac:dyDescent="0.2">
      <c r="A105" s="301"/>
      <c r="B105" s="302"/>
      <c r="C105" s="302" t="s">
        <v>189</v>
      </c>
      <c r="D105" s="303"/>
      <c r="E105" s="286"/>
      <c r="F105" s="304">
        <v>1.35</v>
      </c>
      <c r="G105" s="305" t="s">
        <v>195</v>
      </c>
      <c r="H105" s="286">
        <v>1</v>
      </c>
      <c r="I105" s="306">
        <v>5.4</v>
      </c>
      <c r="J105" s="286">
        <v>23.35</v>
      </c>
      <c r="K105" s="306">
        <v>126.09</v>
      </c>
    </row>
    <row r="106" spans="1:22" ht="14.25" x14ac:dyDescent="0.2">
      <c r="A106" s="301"/>
      <c r="B106" s="302"/>
      <c r="C106" s="302" t="s">
        <v>205</v>
      </c>
      <c r="D106" s="303"/>
      <c r="E106" s="286"/>
      <c r="F106" s="304">
        <v>0.14000000000000001</v>
      </c>
      <c r="G106" s="305" t="s">
        <v>195</v>
      </c>
      <c r="H106" s="286">
        <v>1</v>
      </c>
      <c r="I106" s="304">
        <v>0.56000000000000005</v>
      </c>
      <c r="J106" s="286">
        <v>5.43</v>
      </c>
      <c r="K106" s="304">
        <v>3.04</v>
      </c>
    </row>
    <row r="107" spans="1:22" ht="14.25" x14ac:dyDescent="0.2">
      <c r="A107" s="301"/>
      <c r="B107" s="302"/>
      <c r="C107" s="302" t="s">
        <v>194</v>
      </c>
      <c r="D107" s="303" t="s">
        <v>187</v>
      </c>
      <c r="E107" s="286">
        <v>112</v>
      </c>
      <c r="F107" s="304"/>
      <c r="G107" s="305"/>
      <c r="H107" s="286"/>
      <c r="I107" s="304">
        <v>105.19</v>
      </c>
      <c r="J107" s="286">
        <v>90</v>
      </c>
      <c r="K107" s="304">
        <v>1973.73</v>
      </c>
    </row>
    <row r="108" spans="1:22" ht="14.25" x14ac:dyDescent="0.2">
      <c r="A108" s="301"/>
      <c r="B108" s="302"/>
      <c r="C108" s="302" t="s">
        <v>193</v>
      </c>
      <c r="D108" s="303" t="s">
        <v>187</v>
      </c>
      <c r="E108" s="286">
        <v>70</v>
      </c>
      <c r="F108" s="304"/>
      <c r="G108" s="305"/>
      <c r="H108" s="286"/>
      <c r="I108" s="304">
        <v>65.739999999999995</v>
      </c>
      <c r="J108" s="286">
        <v>43</v>
      </c>
      <c r="K108" s="304">
        <v>943</v>
      </c>
    </row>
    <row r="109" spans="1:22" ht="14.25" x14ac:dyDescent="0.2">
      <c r="A109" s="301"/>
      <c r="B109" s="302"/>
      <c r="C109" s="302" t="s">
        <v>188</v>
      </c>
      <c r="D109" s="303" t="s">
        <v>187</v>
      </c>
      <c r="E109" s="286">
        <v>175</v>
      </c>
      <c r="F109" s="304"/>
      <c r="G109" s="305"/>
      <c r="H109" s="286"/>
      <c r="I109" s="304">
        <v>9.4499999999999993</v>
      </c>
      <c r="J109" s="286">
        <v>157</v>
      </c>
      <c r="K109" s="304">
        <v>197.96</v>
      </c>
    </row>
    <row r="110" spans="1:22" ht="14.25" x14ac:dyDescent="0.2">
      <c r="A110" s="307"/>
      <c r="B110" s="308"/>
      <c r="C110" s="308" t="s">
        <v>192</v>
      </c>
      <c r="D110" s="309" t="s">
        <v>191</v>
      </c>
      <c r="E110" s="310">
        <v>2.1</v>
      </c>
      <c r="F110" s="311"/>
      <c r="G110" s="312" t="s">
        <v>195</v>
      </c>
      <c r="H110" s="310">
        <v>1</v>
      </c>
      <c r="I110" s="311">
        <v>8.4</v>
      </c>
      <c r="J110" s="310"/>
      <c r="K110" s="311"/>
    </row>
    <row r="111" spans="1:22" ht="15" x14ac:dyDescent="0.25">
      <c r="A111" s="313"/>
      <c r="B111" s="313"/>
      <c r="C111" s="314" t="s">
        <v>183</v>
      </c>
      <c r="D111" s="313"/>
      <c r="E111" s="313"/>
      <c r="F111" s="313"/>
      <c r="G111" s="313"/>
      <c r="H111" s="472">
        <v>298.22000000000003</v>
      </c>
      <c r="I111" s="472"/>
      <c r="J111" s="472">
        <v>5532.91</v>
      </c>
      <c r="K111" s="472"/>
      <c r="O111" s="284">
        <f>I103+I104+I106+I107+I108+I109</f>
        <v>298.22000000000003</v>
      </c>
      <c r="P111" s="284">
        <f>K103+K104+K106+K107+K108+K109</f>
        <v>5532.91</v>
      </c>
    </row>
    <row r="113" spans="1:22" ht="57" x14ac:dyDescent="0.2">
      <c r="A113" s="301" t="s">
        <v>1565</v>
      </c>
      <c r="B113" s="302" t="s">
        <v>3442</v>
      </c>
      <c r="C113" s="302" t="s">
        <v>1141</v>
      </c>
      <c r="D113" s="303" t="s">
        <v>1903</v>
      </c>
      <c r="E113" s="286">
        <v>5</v>
      </c>
      <c r="F113" s="304"/>
      <c r="G113" s="305"/>
      <c r="H113" s="286"/>
      <c r="I113" s="304"/>
      <c r="J113" s="286"/>
      <c r="K113" s="304"/>
      <c r="Q113" s="281">
        <f>[14]Source!X62</f>
        <v>131.49</v>
      </c>
      <c r="R113" s="281">
        <f>[14]Source!X63</f>
        <v>2467.16</v>
      </c>
      <c r="S113" s="281">
        <f>[14]Source!Y62</f>
        <v>82.18</v>
      </c>
      <c r="T113" s="281">
        <f>[14]Source!Y63</f>
        <v>1178.75</v>
      </c>
      <c r="U113" s="281">
        <f>ROUND((175/100)*ROUND([14]Source!R62, 2), 2)</f>
        <v>11.81</v>
      </c>
      <c r="V113" s="281">
        <f>ROUND((157/100)*ROUND([14]Source!R63, 2), 2)</f>
        <v>247.45</v>
      </c>
    </row>
    <row r="114" spans="1:22" ht="14.25" x14ac:dyDescent="0.2">
      <c r="A114" s="301"/>
      <c r="B114" s="302"/>
      <c r="C114" s="302" t="s">
        <v>197</v>
      </c>
      <c r="D114" s="303"/>
      <c r="E114" s="286"/>
      <c r="F114" s="304">
        <v>23.48</v>
      </c>
      <c r="G114" s="305" t="s">
        <v>195</v>
      </c>
      <c r="H114" s="286">
        <v>1</v>
      </c>
      <c r="I114" s="304">
        <v>117.4</v>
      </c>
      <c r="J114" s="286">
        <v>23.35</v>
      </c>
      <c r="K114" s="304">
        <v>2741.29</v>
      </c>
    </row>
    <row r="115" spans="1:22" ht="14.25" x14ac:dyDescent="0.2">
      <c r="A115" s="301"/>
      <c r="B115" s="302"/>
      <c r="C115" s="302" t="s">
        <v>184</v>
      </c>
      <c r="D115" s="303"/>
      <c r="E115" s="286"/>
      <c r="F115" s="304">
        <v>5.84</v>
      </c>
      <c r="G115" s="305" t="s">
        <v>195</v>
      </c>
      <c r="H115" s="286">
        <v>1</v>
      </c>
      <c r="I115" s="304">
        <v>29.2</v>
      </c>
      <c r="J115" s="286">
        <v>9.51</v>
      </c>
      <c r="K115" s="304">
        <v>277.69</v>
      </c>
    </row>
    <row r="116" spans="1:22" ht="14.25" x14ac:dyDescent="0.2">
      <c r="A116" s="301"/>
      <c r="B116" s="302"/>
      <c r="C116" s="302" t="s">
        <v>189</v>
      </c>
      <c r="D116" s="303"/>
      <c r="E116" s="286"/>
      <c r="F116" s="304">
        <v>1.35</v>
      </c>
      <c r="G116" s="305" t="s">
        <v>195</v>
      </c>
      <c r="H116" s="286">
        <v>1</v>
      </c>
      <c r="I116" s="306">
        <v>6.75</v>
      </c>
      <c r="J116" s="286">
        <v>23.35</v>
      </c>
      <c r="K116" s="306">
        <v>157.61000000000001</v>
      </c>
    </row>
    <row r="117" spans="1:22" ht="14.25" x14ac:dyDescent="0.2">
      <c r="A117" s="301"/>
      <c r="B117" s="302"/>
      <c r="C117" s="302" t="s">
        <v>205</v>
      </c>
      <c r="D117" s="303"/>
      <c r="E117" s="286"/>
      <c r="F117" s="304">
        <v>0.14000000000000001</v>
      </c>
      <c r="G117" s="305" t="s">
        <v>195</v>
      </c>
      <c r="H117" s="286">
        <v>1</v>
      </c>
      <c r="I117" s="304">
        <v>0.7</v>
      </c>
      <c r="J117" s="286">
        <v>5.43</v>
      </c>
      <c r="K117" s="304">
        <v>3.8</v>
      </c>
    </row>
    <row r="118" spans="1:22" ht="54" x14ac:dyDescent="0.2">
      <c r="A118" s="301" t="s">
        <v>1568</v>
      </c>
      <c r="B118" s="302" t="s">
        <v>3448</v>
      </c>
      <c r="C118" s="302" t="s">
        <v>1140</v>
      </c>
      <c r="D118" s="303" t="s">
        <v>1661</v>
      </c>
      <c r="E118" s="286">
        <v>5</v>
      </c>
      <c r="F118" s="304">
        <v>600.65</v>
      </c>
      <c r="G118" s="315" t="s">
        <v>195</v>
      </c>
      <c r="H118" s="286">
        <v>1</v>
      </c>
      <c r="I118" s="304">
        <v>3003.25</v>
      </c>
      <c r="J118" s="286">
        <v>5.42</v>
      </c>
      <c r="K118" s="304">
        <v>16277.62</v>
      </c>
      <c r="Q118" s="281">
        <f>[14]Source!X64</f>
        <v>0</v>
      </c>
      <c r="R118" s="281">
        <f>[14]Source!X65</f>
        <v>0</v>
      </c>
      <c r="S118" s="281">
        <f>[14]Source!Y64</f>
        <v>0</v>
      </c>
      <c r="T118" s="281">
        <f>[14]Source!Y65</f>
        <v>0</v>
      </c>
      <c r="U118" s="281">
        <f>ROUND((175/100)*ROUND([14]Source!R64, 2), 2)</f>
        <v>0</v>
      </c>
      <c r="V118" s="281">
        <f>ROUND((157/100)*ROUND([14]Source!R65, 2), 2)</f>
        <v>0</v>
      </c>
    </row>
    <row r="119" spans="1:22" ht="14.25" x14ac:dyDescent="0.2">
      <c r="A119" s="301"/>
      <c r="B119" s="302"/>
      <c r="C119" s="302" t="s">
        <v>194</v>
      </c>
      <c r="D119" s="303" t="s">
        <v>187</v>
      </c>
      <c r="E119" s="286">
        <v>112</v>
      </c>
      <c r="F119" s="304"/>
      <c r="G119" s="305"/>
      <c r="H119" s="286"/>
      <c r="I119" s="304">
        <v>131.49</v>
      </c>
      <c r="J119" s="286">
        <v>90</v>
      </c>
      <c r="K119" s="304">
        <v>2467.16</v>
      </c>
    </row>
    <row r="120" spans="1:22" ht="14.25" x14ac:dyDescent="0.2">
      <c r="A120" s="301"/>
      <c r="B120" s="302"/>
      <c r="C120" s="302" t="s">
        <v>193</v>
      </c>
      <c r="D120" s="303" t="s">
        <v>187</v>
      </c>
      <c r="E120" s="286">
        <v>70</v>
      </c>
      <c r="F120" s="304"/>
      <c r="G120" s="305"/>
      <c r="H120" s="286"/>
      <c r="I120" s="304">
        <v>82.18</v>
      </c>
      <c r="J120" s="286">
        <v>43</v>
      </c>
      <c r="K120" s="304">
        <v>1178.75</v>
      </c>
    </row>
    <row r="121" spans="1:22" ht="14.25" x14ac:dyDescent="0.2">
      <c r="A121" s="301"/>
      <c r="B121" s="302"/>
      <c r="C121" s="302" t="s">
        <v>188</v>
      </c>
      <c r="D121" s="303" t="s">
        <v>187</v>
      </c>
      <c r="E121" s="286">
        <v>175</v>
      </c>
      <c r="F121" s="304"/>
      <c r="G121" s="305"/>
      <c r="H121" s="286"/>
      <c r="I121" s="304">
        <v>11.81</v>
      </c>
      <c r="J121" s="286">
        <v>157</v>
      </c>
      <c r="K121" s="304">
        <v>247.45</v>
      </c>
    </row>
    <row r="122" spans="1:22" ht="14.25" x14ac:dyDescent="0.2">
      <c r="A122" s="307"/>
      <c r="B122" s="308"/>
      <c r="C122" s="308" t="s">
        <v>192</v>
      </c>
      <c r="D122" s="309" t="s">
        <v>191</v>
      </c>
      <c r="E122" s="310">
        <v>2.1</v>
      </c>
      <c r="F122" s="311"/>
      <c r="G122" s="312" t="s">
        <v>195</v>
      </c>
      <c r="H122" s="310">
        <v>1</v>
      </c>
      <c r="I122" s="311">
        <v>10.5</v>
      </c>
      <c r="J122" s="310"/>
      <c r="K122" s="311"/>
    </row>
    <row r="123" spans="1:22" ht="15" x14ac:dyDescent="0.25">
      <c r="A123" s="313"/>
      <c r="B123" s="313"/>
      <c r="C123" s="314" t="s">
        <v>183</v>
      </c>
      <c r="D123" s="313"/>
      <c r="E123" s="313"/>
      <c r="F123" s="313"/>
      <c r="G123" s="313"/>
      <c r="H123" s="472">
        <v>3376.03</v>
      </c>
      <c r="I123" s="472"/>
      <c r="J123" s="472">
        <v>23193.759999999998</v>
      </c>
      <c r="K123" s="472"/>
      <c r="O123" s="284">
        <f>I114+I115+I117+I119+I120+I121+SUM(I118:I118)</f>
        <v>3376.03</v>
      </c>
      <c r="P123" s="284">
        <f>K114+K115+K117+K119+K120+K121+SUM(K118:K118)</f>
        <v>23193.759999999998</v>
      </c>
    </row>
    <row r="125" spans="1:22" ht="57" x14ac:dyDescent="0.2">
      <c r="A125" s="301" t="s">
        <v>1572</v>
      </c>
      <c r="B125" s="302" t="s">
        <v>3442</v>
      </c>
      <c r="C125" s="302" t="s">
        <v>1139</v>
      </c>
      <c r="D125" s="303" t="s">
        <v>1903</v>
      </c>
      <c r="E125" s="286">
        <v>1</v>
      </c>
      <c r="F125" s="304"/>
      <c r="G125" s="305"/>
      <c r="H125" s="286"/>
      <c r="I125" s="304"/>
      <c r="J125" s="286"/>
      <c r="K125" s="304"/>
      <c r="Q125" s="281">
        <f>[14]Source!X66</f>
        <v>26.3</v>
      </c>
      <c r="R125" s="281">
        <f>[14]Source!X67</f>
        <v>493.43</v>
      </c>
      <c r="S125" s="281">
        <f>[14]Source!Y66</f>
        <v>16.440000000000001</v>
      </c>
      <c r="T125" s="281">
        <f>[14]Source!Y67</f>
        <v>235.75</v>
      </c>
      <c r="U125" s="281">
        <f>ROUND((175/100)*ROUND([14]Source!R66, 2), 2)</f>
        <v>2.36</v>
      </c>
      <c r="V125" s="281">
        <f>ROUND((157/100)*ROUND([14]Source!R67, 2), 2)</f>
        <v>49.49</v>
      </c>
    </row>
    <row r="126" spans="1:22" ht="14.25" x14ac:dyDescent="0.2">
      <c r="A126" s="301"/>
      <c r="B126" s="302"/>
      <c r="C126" s="302" t="s">
        <v>197</v>
      </c>
      <c r="D126" s="303"/>
      <c r="E126" s="286"/>
      <c r="F126" s="304">
        <v>23.48</v>
      </c>
      <c r="G126" s="305" t="s">
        <v>195</v>
      </c>
      <c r="H126" s="286">
        <v>1</v>
      </c>
      <c r="I126" s="304">
        <v>23.48</v>
      </c>
      <c r="J126" s="286">
        <v>23.35</v>
      </c>
      <c r="K126" s="304">
        <v>548.26</v>
      </c>
    </row>
    <row r="127" spans="1:22" ht="14.25" x14ac:dyDescent="0.2">
      <c r="A127" s="301"/>
      <c r="B127" s="302"/>
      <c r="C127" s="302" t="s">
        <v>184</v>
      </c>
      <c r="D127" s="303"/>
      <c r="E127" s="286"/>
      <c r="F127" s="304">
        <v>5.84</v>
      </c>
      <c r="G127" s="305" t="s">
        <v>195</v>
      </c>
      <c r="H127" s="286">
        <v>1</v>
      </c>
      <c r="I127" s="304">
        <v>5.84</v>
      </c>
      <c r="J127" s="286">
        <v>9.51</v>
      </c>
      <c r="K127" s="304">
        <v>55.54</v>
      </c>
    </row>
    <row r="128" spans="1:22" ht="14.25" x14ac:dyDescent="0.2">
      <c r="A128" s="301"/>
      <c r="B128" s="302"/>
      <c r="C128" s="302" t="s">
        <v>189</v>
      </c>
      <c r="D128" s="303"/>
      <c r="E128" s="286"/>
      <c r="F128" s="304">
        <v>1.35</v>
      </c>
      <c r="G128" s="305" t="s">
        <v>195</v>
      </c>
      <c r="H128" s="286">
        <v>1</v>
      </c>
      <c r="I128" s="306">
        <v>1.35</v>
      </c>
      <c r="J128" s="286">
        <v>23.35</v>
      </c>
      <c r="K128" s="306">
        <v>31.52</v>
      </c>
    </row>
    <row r="129" spans="1:22" ht="14.25" x14ac:dyDescent="0.2">
      <c r="A129" s="301"/>
      <c r="B129" s="302"/>
      <c r="C129" s="302" t="s">
        <v>205</v>
      </c>
      <c r="D129" s="303"/>
      <c r="E129" s="286"/>
      <c r="F129" s="304">
        <v>0.14000000000000001</v>
      </c>
      <c r="G129" s="305" t="s">
        <v>195</v>
      </c>
      <c r="H129" s="286">
        <v>1</v>
      </c>
      <c r="I129" s="304">
        <v>0.14000000000000001</v>
      </c>
      <c r="J129" s="286">
        <v>5.43</v>
      </c>
      <c r="K129" s="304">
        <v>0.76</v>
      </c>
    </row>
    <row r="130" spans="1:22" ht="14.25" x14ac:dyDescent="0.2">
      <c r="A130" s="301"/>
      <c r="B130" s="302"/>
      <c r="C130" s="302" t="s">
        <v>194</v>
      </c>
      <c r="D130" s="303" t="s">
        <v>187</v>
      </c>
      <c r="E130" s="286">
        <v>112</v>
      </c>
      <c r="F130" s="304"/>
      <c r="G130" s="305"/>
      <c r="H130" s="286"/>
      <c r="I130" s="304">
        <v>26.3</v>
      </c>
      <c r="J130" s="286">
        <v>90</v>
      </c>
      <c r="K130" s="304">
        <v>493.43</v>
      </c>
    </row>
    <row r="131" spans="1:22" ht="14.25" x14ac:dyDescent="0.2">
      <c r="A131" s="301"/>
      <c r="B131" s="302"/>
      <c r="C131" s="302" t="s">
        <v>193</v>
      </c>
      <c r="D131" s="303" t="s">
        <v>187</v>
      </c>
      <c r="E131" s="286">
        <v>70</v>
      </c>
      <c r="F131" s="304"/>
      <c r="G131" s="305"/>
      <c r="H131" s="286"/>
      <c r="I131" s="304">
        <v>16.440000000000001</v>
      </c>
      <c r="J131" s="286">
        <v>43</v>
      </c>
      <c r="K131" s="304">
        <v>235.75</v>
      </c>
    </row>
    <row r="132" spans="1:22" ht="14.25" x14ac:dyDescent="0.2">
      <c r="A132" s="301"/>
      <c r="B132" s="302"/>
      <c r="C132" s="302" t="s">
        <v>188</v>
      </c>
      <c r="D132" s="303" t="s">
        <v>187</v>
      </c>
      <c r="E132" s="286">
        <v>175</v>
      </c>
      <c r="F132" s="304"/>
      <c r="G132" s="305"/>
      <c r="H132" s="286"/>
      <c r="I132" s="304">
        <v>2.36</v>
      </c>
      <c r="J132" s="286">
        <v>157</v>
      </c>
      <c r="K132" s="304">
        <v>49.49</v>
      </c>
    </row>
    <row r="133" spans="1:22" ht="14.25" x14ac:dyDescent="0.2">
      <c r="A133" s="307"/>
      <c r="B133" s="308"/>
      <c r="C133" s="308" t="s">
        <v>192</v>
      </c>
      <c r="D133" s="309" t="s">
        <v>191</v>
      </c>
      <c r="E133" s="310">
        <v>2.1</v>
      </c>
      <c r="F133" s="311"/>
      <c r="G133" s="312" t="s">
        <v>195</v>
      </c>
      <c r="H133" s="310">
        <v>1</v>
      </c>
      <c r="I133" s="311">
        <v>2.1</v>
      </c>
      <c r="J133" s="310"/>
      <c r="K133" s="311"/>
    </row>
    <row r="134" spans="1:22" ht="15" x14ac:dyDescent="0.25">
      <c r="A134" s="313"/>
      <c r="B134" s="313"/>
      <c r="C134" s="314" t="s">
        <v>183</v>
      </c>
      <c r="D134" s="313"/>
      <c r="E134" s="313"/>
      <c r="F134" s="313"/>
      <c r="G134" s="313"/>
      <c r="H134" s="472">
        <v>74.56</v>
      </c>
      <c r="I134" s="472"/>
      <c r="J134" s="472">
        <v>1383.23</v>
      </c>
      <c r="K134" s="472"/>
      <c r="O134" s="284">
        <f>I126+I127+I129+I130+I131+I132</f>
        <v>74.56</v>
      </c>
      <c r="P134" s="284">
        <f>K126+K127+K129+K130+K131+K132</f>
        <v>1383.23</v>
      </c>
    </row>
    <row r="136" spans="1:22" ht="57" x14ac:dyDescent="0.2">
      <c r="A136" s="301" t="s">
        <v>1578</v>
      </c>
      <c r="B136" s="302" t="s">
        <v>3442</v>
      </c>
      <c r="C136" s="302" t="s">
        <v>1138</v>
      </c>
      <c r="D136" s="303" t="s">
        <v>1903</v>
      </c>
      <c r="E136" s="286">
        <v>1</v>
      </c>
      <c r="F136" s="304"/>
      <c r="G136" s="305"/>
      <c r="H136" s="286"/>
      <c r="I136" s="304"/>
      <c r="J136" s="286"/>
      <c r="K136" s="304"/>
      <c r="Q136" s="281">
        <f>[14]Source!X68</f>
        <v>26.3</v>
      </c>
      <c r="R136" s="281">
        <f>[14]Source!X69</f>
        <v>493.43</v>
      </c>
      <c r="S136" s="281">
        <f>[14]Source!Y68</f>
        <v>16.440000000000001</v>
      </c>
      <c r="T136" s="281">
        <f>[14]Source!Y69</f>
        <v>235.75</v>
      </c>
      <c r="U136" s="281">
        <f>ROUND((175/100)*ROUND([14]Source!R68, 2), 2)</f>
        <v>2.36</v>
      </c>
      <c r="V136" s="281">
        <f>ROUND((157/100)*ROUND([14]Source!R69, 2), 2)</f>
        <v>49.49</v>
      </c>
    </row>
    <row r="137" spans="1:22" ht="14.25" x14ac:dyDescent="0.2">
      <c r="A137" s="301"/>
      <c r="B137" s="302"/>
      <c r="C137" s="302" t="s">
        <v>197</v>
      </c>
      <c r="D137" s="303"/>
      <c r="E137" s="286"/>
      <c r="F137" s="304">
        <v>23.48</v>
      </c>
      <c r="G137" s="305" t="s">
        <v>195</v>
      </c>
      <c r="H137" s="286">
        <v>1</v>
      </c>
      <c r="I137" s="304">
        <v>23.48</v>
      </c>
      <c r="J137" s="286">
        <v>23.35</v>
      </c>
      <c r="K137" s="304">
        <v>548.26</v>
      </c>
    </row>
    <row r="138" spans="1:22" ht="14.25" x14ac:dyDescent="0.2">
      <c r="A138" s="301"/>
      <c r="B138" s="302"/>
      <c r="C138" s="302" t="s">
        <v>184</v>
      </c>
      <c r="D138" s="303"/>
      <c r="E138" s="286"/>
      <c r="F138" s="304">
        <v>5.84</v>
      </c>
      <c r="G138" s="305" t="s">
        <v>195</v>
      </c>
      <c r="H138" s="286">
        <v>1</v>
      </c>
      <c r="I138" s="304">
        <v>5.84</v>
      </c>
      <c r="J138" s="286">
        <v>9.51</v>
      </c>
      <c r="K138" s="304">
        <v>55.54</v>
      </c>
    </row>
    <row r="139" spans="1:22" ht="14.25" x14ac:dyDescent="0.2">
      <c r="A139" s="301"/>
      <c r="B139" s="302"/>
      <c r="C139" s="302" t="s">
        <v>189</v>
      </c>
      <c r="D139" s="303"/>
      <c r="E139" s="286"/>
      <c r="F139" s="304">
        <v>1.35</v>
      </c>
      <c r="G139" s="305" t="s">
        <v>195</v>
      </c>
      <c r="H139" s="286">
        <v>1</v>
      </c>
      <c r="I139" s="306">
        <v>1.35</v>
      </c>
      <c r="J139" s="286">
        <v>23.35</v>
      </c>
      <c r="K139" s="306">
        <v>31.52</v>
      </c>
    </row>
    <row r="140" spans="1:22" ht="14.25" x14ac:dyDescent="0.2">
      <c r="A140" s="301"/>
      <c r="B140" s="302"/>
      <c r="C140" s="302" t="s">
        <v>205</v>
      </c>
      <c r="D140" s="303"/>
      <c r="E140" s="286"/>
      <c r="F140" s="304">
        <v>0.14000000000000001</v>
      </c>
      <c r="G140" s="305" t="s">
        <v>195</v>
      </c>
      <c r="H140" s="286">
        <v>1</v>
      </c>
      <c r="I140" s="304">
        <v>0.14000000000000001</v>
      </c>
      <c r="J140" s="286">
        <v>5.43</v>
      </c>
      <c r="K140" s="304">
        <v>0.76</v>
      </c>
    </row>
    <row r="141" spans="1:22" ht="14.25" x14ac:dyDescent="0.2">
      <c r="A141" s="301"/>
      <c r="B141" s="302"/>
      <c r="C141" s="302" t="s">
        <v>194</v>
      </c>
      <c r="D141" s="303" t="s">
        <v>187</v>
      </c>
      <c r="E141" s="286">
        <v>112</v>
      </c>
      <c r="F141" s="304"/>
      <c r="G141" s="305"/>
      <c r="H141" s="286"/>
      <c r="I141" s="304">
        <v>26.3</v>
      </c>
      <c r="J141" s="286">
        <v>90</v>
      </c>
      <c r="K141" s="304">
        <v>493.43</v>
      </c>
    </row>
    <row r="142" spans="1:22" ht="14.25" x14ac:dyDescent="0.2">
      <c r="A142" s="301"/>
      <c r="B142" s="302"/>
      <c r="C142" s="302" t="s">
        <v>193</v>
      </c>
      <c r="D142" s="303" t="s">
        <v>187</v>
      </c>
      <c r="E142" s="286">
        <v>70</v>
      </c>
      <c r="F142" s="304"/>
      <c r="G142" s="305"/>
      <c r="H142" s="286"/>
      <c r="I142" s="304">
        <v>16.440000000000001</v>
      </c>
      <c r="J142" s="286">
        <v>43</v>
      </c>
      <c r="K142" s="304">
        <v>235.75</v>
      </c>
    </row>
    <row r="143" spans="1:22" ht="14.25" x14ac:dyDescent="0.2">
      <c r="A143" s="301"/>
      <c r="B143" s="302"/>
      <c r="C143" s="302" t="s">
        <v>188</v>
      </c>
      <c r="D143" s="303" t="s">
        <v>187</v>
      </c>
      <c r="E143" s="286">
        <v>175</v>
      </c>
      <c r="F143" s="304"/>
      <c r="G143" s="305"/>
      <c r="H143" s="286"/>
      <c r="I143" s="304">
        <v>2.36</v>
      </c>
      <c r="J143" s="286">
        <v>157</v>
      </c>
      <c r="K143" s="304">
        <v>49.49</v>
      </c>
    </row>
    <row r="144" spans="1:22" ht="14.25" x14ac:dyDescent="0.2">
      <c r="A144" s="307"/>
      <c r="B144" s="308"/>
      <c r="C144" s="308" t="s">
        <v>192</v>
      </c>
      <c r="D144" s="309" t="s">
        <v>191</v>
      </c>
      <c r="E144" s="310">
        <v>2.1</v>
      </c>
      <c r="F144" s="311"/>
      <c r="G144" s="312" t="s">
        <v>195</v>
      </c>
      <c r="H144" s="310">
        <v>1</v>
      </c>
      <c r="I144" s="311">
        <v>2.1</v>
      </c>
      <c r="J144" s="310"/>
      <c r="K144" s="311"/>
    </row>
    <row r="145" spans="1:22" ht="15" x14ac:dyDescent="0.25">
      <c r="A145" s="313"/>
      <c r="B145" s="313"/>
      <c r="C145" s="314" t="s">
        <v>183</v>
      </c>
      <c r="D145" s="313"/>
      <c r="E145" s="313"/>
      <c r="F145" s="313"/>
      <c r="G145" s="313"/>
      <c r="H145" s="472">
        <v>74.56</v>
      </c>
      <c r="I145" s="472"/>
      <c r="J145" s="472">
        <v>1383.23</v>
      </c>
      <c r="K145" s="472"/>
      <c r="O145" s="284">
        <f>I137+I138+I140+I141+I142+I143</f>
        <v>74.56</v>
      </c>
      <c r="P145" s="284">
        <f>K137+K138+K140+K141+K142+K143</f>
        <v>1383.23</v>
      </c>
    </row>
    <row r="147" spans="1:22" ht="57" x14ac:dyDescent="0.2">
      <c r="A147" s="301" t="s">
        <v>1587</v>
      </c>
      <c r="B147" s="302" t="s">
        <v>3442</v>
      </c>
      <c r="C147" s="302" t="s">
        <v>1137</v>
      </c>
      <c r="D147" s="303" t="s">
        <v>1903</v>
      </c>
      <c r="E147" s="286">
        <v>1</v>
      </c>
      <c r="F147" s="304"/>
      <c r="G147" s="305"/>
      <c r="H147" s="286"/>
      <c r="I147" s="304"/>
      <c r="J147" s="286"/>
      <c r="K147" s="304"/>
      <c r="Q147" s="281">
        <f>[14]Source!X70</f>
        <v>26.3</v>
      </c>
      <c r="R147" s="281">
        <f>[14]Source!X71</f>
        <v>493.43</v>
      </c>
      <c r="S147" s="281">
        <f>[14]Source!Y70</f>
        <v>16.440000000000001</v>
      </c>
      <c r="T147" s="281">
        <f>[14]Source!Y71</f>
        <v>235.75</v>
      </c>
      <c r="U147" s="281">
        <f>ROUND((175/100)*ROUND([14]Source!R70, 2), 2)</f>
        <v>2.36</v>
      </c>
      <c r="V147" s="281">
        <f>ROUND((157/100)*ROUND([14]Source!R71, 2), 2)</f>
        <v>49.49</v>
      </c>
    </row>
    <row r="148" spans="1:22" ht="14.25" x14ac:dyDescent="0.2">
      <c r="A148" s="301"/>
      <c r="B148" s="302"/>
      <c r="C148" s="302" t="s">
        <v>197</v>
      </c>
      <c r="D148" s="303"/>
      <c r="E148" s="286"/>
      <c r="F148" s="304">
        <v>23.48</v>
      </c>
      <c r="G148" s="305" t="s">
        <v>195</v>
      </c>
      <c r="H148" s="286">
        <v>1</v>
      </c>
      <c r="I148" s="304">
        <v>23.48</v>
      </c>
      <c r="J148" s="286">
        <v>23.35</v>
      </c>
      <c r="K148" s="304">
        <v>548.26</v>
      </c>
    </row>
    <row r="149" spans="1:22" ht="14.25" x14ac:dyDescent="0.2">
      <c r="A149" s="301"/>
      <c r="B149" s="302"/>
      <c r="C149" s="302" t="s">
        <v>184</v>
      </c>
      <c r="D149" s="303"/>
      <c r="E149" s="286"/>
      <c r="F149" s="304">
        <v>5.84</v>
      </c>
      <c r="G149" s="305" t="s">
        <v>195</v>
      </c>
      <c r="H149" s="286">
        <v>1</v>
      </c>
      <c r="I149" s="304">
        <v>5.84</v>
      </c>
      <c r="J149" s="286">
        <v>9.51</v>
      </c>
      <c r="K149" s="304">
        <v>55.54</v>
      </c>
    </row>
    <row r="150" spans="1:22" ht="14.25" x14ac:dyDescent="0.2">
      <c r="A150" s="301"/>
      <c r="B150" s="302"/>
      <c r="C150" s="302" t="s">
        <v>189</v>
      </c>
      <c r="D150" s="303"/>
      <c r="E150" s="286"/>
      <c r="F150" s="304">
        <v>1.35</v>
      </c>
      <c r="G150" s="305" t="s">
        <v>195</v>
      </c>
      <c r="H150" s="286">
        <v>1</v>
      </c>
      <c r="I150" s="306">
        <v>1.35</v>
      </c>
      <c r="J150" s="286">
        <v>23.35</v>
      </c>
      <c r="K150" s="306">
        <v>31.52</v>
      </c>
    </row>
    <row r="151" spans="1:22" ht="14.25" x14ac:dyDescent="0.2">
      <c r="A151" s="301"/>
      <c r="B151" s="302"/>
      <c r="C151" s="302" t="s">
        <v>205</v>
      </c>
      <c r="D151" s="303"/>
      <c r="E151" s="286"/>
      <c r="F151" s="304">
        <v>0.14000000000000001</v>
      </c>
      <c r="G151" s="305" t="s">
        <v>195</v>
      </c>
      <c r="H151" s="286">
        <v>1</v>
      </c>
      <c r="I151" s="304">
        <v>0.14000000000000001</v>
      </c>
      <c r="J151" s="286">
        <v>5.43</v>
      </c>
      <c r="K151" s="304">
        <v>0.76</v>
      </c>
    </row>
    <row r="152" spans="1:22" ht="14.25" x14ac:dyDescent="0.2">
      <c r="A152" s="301"/>
      <c r="B152" s="302"/>
      <c r="C152" s="302" t="s">
        <v>194</v>
      </c>
      <c r="D152" s="303" t="s">
        <v>187</v>
      </c>
      <c r="E152" s="286">
        <v>112</v>
      </c>
      <c r="F152" s="304"/>
      <c r="G152" s="305"/>
      <c r="H152" s="286"/>
      <c r="I152" s="304">
        <v>26.3</v>
      </c>
      <c r="J152" s="286">
        <v>90</v>
      </c>
      <c r="K152" s="304">
        <v>493.43</v>
      </c>
    </row>
    <row r="153" spans="1:22" ht="14.25" x14ac:dyDescent="0.2">
      <c r="A153" s="301"/>
      <c r="B153" s="302"/>
      <c r="C153" s="302" t="s">
        <v>193</v>
      </c>
      <c r="D153" s="303" t="s">
        <v>187</v>
      </c>
      <c r="E153" s="286">
        <v>70</v>
      </c>
      <c r="F153" s="304"/>
      <c r="G153" s="305"/>
      <c r="H153" s="286"/>
      <c r="I153" s="304">
        <v>16.440000000000001</v>
      </c>
      <c r="J153" s="286">
        <v>43</v>
      </c>
      <c r="K153" s="304">
        <v>235.75</v>
      </c>
    </row>
    <row r="154" spans="1:22" ht="14.25" x14ac:dyDescent="0.2">
      <c r="A154" s="301"/>
      <c r="B154" s="302"/>
      <c r="C154" s="302" t="s">
        <v>188</v>
      </c>
      <c r="D154" s="303" t="s">
        <v>187</v>
      </c>
      <c r="E154" s="286">
        <v>175</v>
      </c>
      <c r="F154" s="304"/>
      <c r="G154" s="305"/>
      <c r="H154" s="286"/>
      <c r="I154" s="304">
        <v>2.36</v>
      </c>
      <c r="J154" s="286">
        <v>157</v>
      </c>
      <c r="K154" s="304">
        <v>49.49</v>
      </c>
    </row>
    <row r="155" spans="1:22" ht="14.25" x14ac:dyDescent="0.2">
      <c r="A155" s="307"/>
      <c r="B155" s="308"/>
      <c r="C155" s="308" t="s">
        <v>192</v>
      </c>
      <c r="D155" s="309" t="s">
        <v>191</v>
      </c>
      <c r="E155" s="310">
        <v>2.1</v>
      </c>
      <c r="F155" s="311"/>
      <c r="G155" s="312" t="s">
        <v>195</v>
      </c>
      <c r="H155" s="310">
        <v>1</v>
      </c>
      <c r="I155" s="311">
        <v>2.1</v>
      </c>
      <c r="J155" s="310"/>
      <c r="K155" s="311"/>
    </row>
    <row r="156" spans="1:22" ht="15" x14ac:dyDescent="0.25">
      <c r="A156" s="313"/>
      <c r="B156" s="313"/>
      <c r="C156" s="314" t="s">
        <v>183</v>
      </c>
      <c r="D156" s="313"/>
      <c r="E156" s="313"/>
      <c r="F156" s="313"/>
      <c r="G156" s="313"/>
      <c r="H156" s="472">
        <v>74.56</v>
      </c>
      <c r="I156" s="472"/>
      <c r="J156" s="472">
        <v>1383.23</v>
      </c>
      <c r="K156" s="472"/>
      <c r="O156" s="284">
        <f>I148+I149+I151+I152+I153+I154</f>
        <v>74.56</v>
      </c>
      <c r="P156" s="284">
        <f>K148+K149+K151+K152+K153+K154</f>
        <v>1383.23</v>
      </c>
    </row>
    <row r="159" spans="1:22" ht="15" x14ac:dyDescent="0.25">
      <c r="A159" s="447" t="s">
        <v>3540</v>
      </c>
      <c r="B159" s="447"/>
      <c r="C159" s="447"/>
      <c r="D159" s="447"/>
      <c r="E159" s="447"/>
      <c r="F159" s="447"/>
      <c r="G159" s="447"/>
      <c r="H159" s="445">
        <v>20219.48</v>
      </c>
      <c r="I159" s="446"/>
      <c r="J159" s="445">
        <v>148080.49</v>
      </c>
      <c r="K159" s="446"/>
    </row>
    <row r="160" spans="1:22" hidden="1" x14ac:dyDescent="0.2">
      <c r="A160" s="281" t="s">
        <v>182</v>
      </c>
      <c r="I160" s="281">
        <v>0</v>
      </c>
      <c r="J160" s="281">
        <v>0</v>
      </c>
    </row>
    <row r="161" spans="1:22" hidden="1" x14ac:dyDescent="0.2">
      <c r="A161" s="281" t="s">
        <v>181</v>
      </c>
      <c r="I161" s="281">
        <v>0</v>
      </c>
      <c r="J161" s="281">
        <v>0</v>
      </c>
    </row>
    <row r="163" spans="1:22" ht="16.5" x14ac:dyDescent="0.25">
      <c r="A163" s="448" t="s">
        <v>3541</v>
      </c>
      <c r="B163" s="448"/>
      <c r="C163" s="448"/>
      <c r="D163" s="448"/>
      <c r="E163" s="448"/>
      <c r="F163" s="448"/>
      <c r="G163" s="448"/>
      <c r="H163" s="448"/>
      <c r="I163" s="448"/>
      <c r="J163" s="448"/>
      <c r="K163" s="448"/>
    </row>
    <row r="164" spans="1:22" ht="68.25" x14ac:dyDescent="0.2">
      <c r="A164" s="275" t="s">
        <v>719</v>
      </c>
      <c r="B164" s="276" t="s">
        <v>3522</v>
      </c>
      <c r="C164" s="276" t="s">
        <v>1136</v>
      </c>
      <c r="D164" s="277" t="s">
        <v>1661</v>
      </c>
      <c r="E164" s="278">
        <v>2</v>
      </c>
      <c r="F164" s="279">
        <v>11014.07</v>
      </c>
      <c r="G164" s="280" t="s">
        <v>195</v>
      </c>
      <c r="H164" s="278">
        <v>1</v>
      </c>
      <c r="I164" s="279">
        <v>22028.14</v>
      </c>
      <c r="J164" s="278">
        <v>4.4000000000000004</v>
      </c>
      <c r="K164" s="279">
        <v>96923.82</v>
      </c>
      <c r="Q164" s="281">
        <f>[14]Source!X147</f>
        <v>0</v>
      </c>
      <c r="R164" s="281">
        <f>[14]Source!X148</f>
        <v>0</v>
      </c>
      <c r="S164" s="281">
        <f>[14]Source!Y147</f>
        <v>0</v>
      </c>
      <c r="T164" s="281">
        <f>[14]Source!Y148</f>
        <v>0</v>
      </c>
      <c r="U164" s="281">
        <f>ROUND((175/100)*ROUND([14]Source!R147, 2), 2)</f>
        <v>0</v>
      </c>
      <c r="V164" s="281">
        <f>ROUND((157/100)*ROUND([14]Source!R148, 2), 2)</f>
        <v>0</v>
      </c>
    </row>
    <row r="165" spans="1:22" ht="15" x14ac:dyDescent="0.25">
      <c r="A165" s="282"/>
      <c r="B165" s="282"/>
      <c r="C165" s="283" t="s">
        <v>183</v>
      </c>
      <c r="D165" s="282"/>
      <c r="E165" s="282"/>
      <c r="F165" s="282"/>
      <c r="G165" s="282"/>
      <c r="H165" s="473">
        <v>22028.14</v>
      </c>
      <c r="I165" s="473"/>
      <c r="J165" s="473">
        <v>96923.82</v>
      </c>
      <c r="K165" s="473"/>
      <c r="O165" s="284">
        <f>I164</f>
        <v>22028.14</v>
      </c>
      <c r="P165" s="284">
        <f>K164</f>
        <v>96923.82</v>
      </c>
    </row>
    <row r="167" spans="1:22" ht="68.25" x14ac:dyDescent="0.2">
      <c r="A167" s="275" t="s">
        <v>1534</v>
      </c>
      <c r="B167" s="276" t="s">
        <v>3448</v>
      </c>
      <c r="C167" s="276" t="s">
        <v>1135</v>
      </c>
      <c r="D167" s="277" t="s">
        <v>1661</v>
      </c>
      <c r="E167" s="278">
        <v>1</v>
      </c>
      <c r="F167" s="279">
        <v>10002.299999999999</v>
      </c>
      <c r="G167" s="280" t="s">
        <v>195</v>
      </c>
      <c r="H167" s="278">
        <v>1</v>
      </c>
      <c r="I167" s="279">
        <v>10002.299999999999</v>
      </c>
      <c r="J167" s="278">
        <v>4.4000000000000004</v>
      </c>
      <c r="K167" s="279">
        <v>44010.12</v>
      </c>
      <c r="Q167" s="281">
        <f>[14]Source!X149</f>
        <v>0</v>
      </c>
      <c r="R167" s="281">
        <f>[14]Source!X150</f>
        <v>0</v>
      </c>
      <c r="S167" s="281">
        <f>[14]Source!Y149</f>
        <v>0</v>
      </c>
      <c r="T167" s="281">
        <f>[14]Source!Y150</f>
        <v>0</v>
      </c>
      <c r="U167" s="281">
        <f>ROUND((175/100)*ROUND([14]Source!R149, 2), 2)</f>
        <v>0</v>
      </c>
      <c r="V167" s="281">
        <f>ROUND((157/100)*ROUND([14]Source!R150, 2), 2)</f>
        <v>0</v>
      </c>
    </row>
    <row r="168" spans="1:22" ht="15" x14ac:dyDescent="0.25">
      <c r="A168" s="282"/>
      <c r="B168" s="282"/>
      <c r="C168" s="283" t="s">
        <v>183</v>
      </c>
      <c r="D168" s="282"/>
      <c r="E168" s="282"/>
      <c r="F168" s="282"/>
      <c r="G168" s="282"/>
      <c r="H168" s="473">
        <v>10002.299999999999</v>
      </c>
      <c r="I168" s="473"/>
      <c r="J168" s="473">
        <v>44010.12</v>
      </c>
      <c r="K168" s="473"/>
      <c r="O168" s="284">
        <f>I167</f>
        <v>10002.299999999999</v>
      </c>
      <c r="P168" s="284">
        <f>K167</f>
        <v>44010.12</v>
      </c>
    </row>
    <row r="170" spans="1:22" ht="54" x14ac:dyDescent="0.2">
      <c r="A170" s="275" t="s">
        <v>104</v>
      </c>
      <c r="B170" s="276" t="s">
        <v>3522</v>
      </c>
      <c r="C170" s="276" t="s">
        <v>1134</v>
      </c>
      <c r="D170" s="277" t="s">
        <v>1661</v>
      </c>
      <c r="E170" s="278">
        <v>4</v>
      </c>
      <c r="F170" s="279">
        <v>5502.99</v>
      </c>
      <c r="G170" s="280" t="s">
        <v>195</v>
      </c>
      <c r="H170" s="278">
        <v>1</v>
      </c>
      <c r="I170" s="279">
        <v>22011.96</v>
      </c>
      <c r="J170" s="278">
        <v>4.4000000000000004</v>
      </c>
      <c r="K170" s="279">
        <v>96852.62</v>
      </c>
      <c r="Q170" s="281">
        <f>[14]Source!X151</f>
        <v>0</v>
      </c>
      <c r="R170" s="281">
        <f>[14]Source!X152</f>
        <v>0</v>
      </c>
      <c r="S170" s="281">
        <f>[14]Source!Y151</f>
        <v>0</v>
      </c>
      <c r="T170" s="281">
        <f>[14]Source!Y152</f>
        <v>0</v>
      </c>
      <c r="U170" s="281">
        <f>ROUND((175/100)*ROUND([14]Source!R151, 2), 2)</f>
        <v>0</v>
      </c>
      <c r="V170" s="281">
        <f>ROUND((157/100)*ROUND([14]Source!R152, 2), 2)</f>
        <v>0</v>
      </c>
    </row>
    <row r="171" spans="1:22" ht="15" x14ac:dyDescent="0.25">
      <c r="A171" s="282"/>
      <c r="B171" s="282"/>
      <c r="C171" s="283" t="s">
        <v>183</v>
      </c>
      <c r="D171" s="282"/>
      <c r="E171" s="282"/>
      <c r="F171" s="282"/>
      <c r="G171" s="282"/>
      <c r="H171" s="473">
        <v>22011.96</v>
      </c>
      <c r="I171" s="473"/>
      <c r="J171" s="473">
        <v>96852.62</v>
      </c>
      <c r="K171" s="473"/>
      <c r="O171" s="284">
        <f>I170</f>
        <v>22011.96</v>
      </c>
      <c r="P171" s="284">
        <f>K170</f>
        <v>96852.62</v>
      </c>
    </row>
    <row r="173" spans="1:22" ht="68.25" x14ac:dyDescent="0.2">
      <c r="A173" s="275" t="s">
        <v>1546</v>
      </c>
      <c r="B173" s="276" t="s">
        <v>3448</v>
      </c>
      <c r="C173" s="276" t="s">
        <v>1133</v>
      </c>
      <c r="D173" s="277" t="s">
        <v>1661</v>
      </c>
      <c r="E173" s="278">
        <v>1</v>
      </c>
      <c r="F173" s="279">
        <v>3403.42</v>
      </c>
      <c r="G173" s="280" t="s">
        <v>195</v>
      </c>
      <c r="H173" s="278">
        <v>1</v>
      </c>
      <c r="I173" s="279">
        <v>3403.42</v>
      </c>
      <c r="J173" s="278">
        <v>4.4000000000000004</v>
      </c>
      <c r="K173" s="279">
        <v>14975.05</v>
      </c>
      <c r="Q173" s="281">
        <f>[14]Source!X153</f>
        <v>0</v>
      </c>
      <c r="R173" s="281">
        <f>[14]Source!X154</f>
        <v>0</v>
      </c>
      <c r="S173" s="281">
        <f>[14]Source!Y153</f>
        <v>0</v>
      </c>
      <c r="T173" s="281">
        <f>[14]Source!Y154</f>
        <v>0</v>
      </c>
      <c r="U173" s="281">
        <f>ROUND((175/100)*ROUND([14]Source!R153, 2), 2)</f>
        <v>0</v>
      </c>
      <c r="V173" s="281">
        <f>ROUND((157/100)*ROUND([14]Source!R154, 2), 2)</f>
        <v>0</v>
      </c>
    </row>
    <row r="174" spans="1:22" ht="15" x14ac:dyDescent="0.25">
      <c r="A174" s="282"/>
      <c r="B174" s="282"/>
      <c r="C174" s="283" t="s">
        <v>183</v>
      </c>
      <c r="D174" s="282"/>
      <c r="E174" s="282"/>
      <c r="F174" s="282"/>
      <c r="G174" s="282"/>
      <c r="H174" s="473">
        <v>3403.42</v>
      </c>
      <c r="I174" s="473"/>
      <c r="J174" s="473">
        <v>14975.05</v>
      </c>
      <c r="K174" s="473"/>
      <c r="O174" s="284">
        <f>I173</f>
        <v>3403.42</v>
      </c>
      <c r="P174" s="284">
        <f>K173</f>
        <v>14975.05</v>
      </c>
    </row>
    <row r="176" spans="1:22" ht="54" x14ac:dyDescent="0.2">
      <c r="A176" s="275" t="s">
        <v>1560</v>
      </c>
      <c r="B176" s="276" t="s">
        <v>3448</v>
      </c>
      <c r="C176" s="276" t="s">
        <v>1132</v>
      </c>
      <c r="D176" s="277" t="s">
        <v>1661</v>
      </c>
      <c r="E176" s="278">
        <v>1</v>
      </c>
      <c r="F176" s="279">
        <v>3415.12</v>
      </c>
      <c r="G176" s="280" t="s">
        <v>195</v>
      </c>
      <c r="H176" s="278">
        <v>1</v>
      </c>
      <c r="I176" s="279">
        <v>3415.12</v>
      </c>
      <c r="J176" s="278">
        <v>4.4000000000000004</v>
      </c>
      <c r="K176" s="279">
        <v>15026.53</v>
      </c>
      <c r="Q176" s="281">
        <f>[14]Source!X155</f>
        <v>0</v>
      </c>
      <c r="R176" s="281">
        <f>[14]Source!X156</f>
        <v>0</v>
      </c>
      <c r="S176" s="281">
        <f>[14]Source!Y155</f>
        <v>0</v>
      </c>
      <c r="T176" s="281">
        <f>[14]Source!Y156</f>
        <v>0</v>
      </c>
      <c r="U176" s="281">
        <f>ROUND((175/100)*ROUND([14]Source!R155, 2), 2)</f>
        <v>0</v>
      </c>
      <c r="V176" s="281">
        <f>ROUND((157/100)*ROUND([14]Source!R156, 2), 2)</f>
        <v>0</v>
      </c>
    </row>
    <row r="177" spans="1:22" ht="15" x14ac:dyDescent="0.25">
      <c r="A177" s="282"/>
      <c r="B177" s="282"/>
      <c r="C177" s="283" t="s">
        <v>183</v>
      </c>
      <c r="D177" s="282"/>
      <c r="E177" s="282"/>
      <c r="F177" s="282"/>
      <c r="G177" s="282"/>
      <c r="H177" s="473">
        <v>3415.12</v>
      </c>
      <c r="I177" s="473"/>
      <c r="J177" s="473">
        <v>15026.53</v>
      </c>
      <c r="K177" s="473"/>
      <c r="O177" s="284">
        <f>I176</f>
        <v>3415.12</v>
      </c>
      <c r="P177" s="284">
        <f>K176</f>
        <v>15026.53</v>
      </c>
    </row>
    <row r="179" spans="1:22" ht="54" x14ac:dyDescent="0.2">
      <c r="A179" s="275" t="s">
        <v>1565</v>
      </c>
      <c r="B179" s="276" t="s">
        <v>3522</v>
      </c>
      <c r="C179" s="276" t="s">
        <v>1131</v>
      </c>
      <c r="D179" s="277" t="s">
        <v>1661</v>
      </c>
      <c r="E179" s="278">
        <v>1</v>
      </c>
      <c r="F179" s="279">
        <v>9844.98</v>
      </c>
      <c r="G179" s="280" t="s">
        <v>195</v>
      </c>
      <c r="H179" s="278">
        <v>1</v>
      </c>
      <c r="I179" s="279">
        <v>9844.98</v>
      </c>
      <c r="J179" s="278">
        <v>4.4000000000000004</v>
      </c>
      <c r="K179" s="279">
        <v>43317.91</v>
      </c>
      <c r="Q179" s="281">
        <f>[14]Source!X157</f>
        <v>0</v>
      </c>
      <c r="R179" s="281">
        <f>[14]Source!X158</f>
        <v>0</v>
      </c>
      <c r="S179" s="281">
        <f>[14]Source!Y157</f>
        <v>0</v>
      </c>
      <c r="T179" s="281">
        <f>[14]Source!Y158</f>
        <v>0</v>
      </c>
      <c r="U179" s="281">
        <f>ROUND((175/100)*ROUND([14]Source!R157, 2), 2)</f>
        <v>0</v>
      </c>
      <c r="V179" s="281">
        <f>ROUND((157/100)*ROUND([14]Source!R158, 2), 2)</f>
        <v>0</v>
      </c>
    </row>
    <row r="180" spans="1:22" ht="15" x14ac:dyDescent="0.25">
      <c r="A180" s="282"/>
      <c r="B180" s="282"/>
      <c r="C180" s="283" t="s">
        <v>183</v>
      </c>
      <c r="D180" s="282"/>
      <c r="E180" s="282"/>
      <c r="F180" s="282"/>
      <c r="G180" s="282"/>
      <c r="H180" s="473">
        <v>9844.98</v>
      </c>
      <c r="I180" s="473"/>
      <c r="J180" s="473">
        <v>43317.91</v>
      </c>
      <c r="K180" s="473"/>
      <c r="O180" s="284">
        <f>I179</f>
        <v>9844.98</v>
      </c>
      <c r="P180" s="284">
        <f>K179</f>
        <v>43317.91</v>
      </c>
    </row>
    <row r="183" spans="1:22" ht="15" x14ac:dyDescent="0.25">
      <c r="A183" s="447" t="s">
        <v>3542</v>
      </c>
      <c r="B183" s="447"/>
      <c r="C183" s="447"/>
      <c r="D183" s="447"/>
      <c r="E183" s="447"/>
      <c r="F183" s="447"/>
      <c r="G183" s="447"/>
      <c r="H183" s="445">
        <v>70705.919999999998</v>
      </c>
      <c r="I183" s="446"/>
      <c r="J183" s="445">
        <v>311106.05</v>
      </c>
      <c r="K183" s="446"/>
    </row>
    <row r="184" spans="1:22" hidden="1" x14ac:dyDescent="0.2">
      <c r="A184" s="281" t="s">
        <v>182</v>
      </c>
      <c r="I184" s="281">
        <v>0</v>
      </c>
      <c r="J184" s="281">
        <v>0</v>
      </c>
    </row>
    <row r="185" spans="1:22" hidden="1" x14ac:dyDescent="0.2">
      <c r="A185" s="281" t="s">
        <v>181</v>
      </c>
      <c r="I185" s="281">
        <v>0</v>
      </c>
      <c r="J185" s="281">
        <v>0</v>
      </c>
    </row>
    <row r="187" spans="1:22" ht="16.5" x14ac:dyDescent="0.25">
      <c r="A187" s="448" t="s">
        <v>3543</v>
      </c>
      <c r="B187" s="448"/>
      <c r="C187" s="448"/>
      <c r="D187" s="448"/>
      <c r="E187" s="448"/>
      <c r="F187" s="448"/>
      <c r="G187" s="448"/>
      <c r="H187" s="448"/>
      <c r="I187" s="448"/>
      <c r="J187" s="448"/>
      <c r="K187" s="448"/>
    </row>
    <row r="188" spans="1:22" ht="28.5" x14ac:dyDescent="0.2">
      <c r="A188" s="301" t="s">
        <v>719</v>
      </c>
      <c r="B188" s="302" t="s">
        <v>3544</v>
      </c>
      <c r="C188" s="302" t="s">
        <v>1130</v>
      </c>
      <c r="D188" s="303" t="s">
        <v>1903</v>
      </c>
      <c r="E188" s="286">
        <v>1</v>
      </c>
      <c r="F188" s="304"/>
      <c r="G188" s="305"/>
      <c r="H188" s="286"/>
      <c r="I188" s="304"/>
      <c r="J188" s="286"/>
      <c r="K188" s="304"/>
      <c r="Q188" s="281">
        <f>[14]Source!X194</f>
        <v>98.94</v>
      </c>
      <c r="R188" s="281">
        <f>[14]Source!X195</f>
        <v>1856.47</v>
      </c>
      <c r="S188" s="281">
        <f>[14]Source!Y194</f>
        <v>61.84</v>
      </c>
      <c r="T188" s="281">
        <f>[14]Source!Y195</f>
        <v>886.98</v>
      </c>
      <c r="U188" s="281">
        <f>ROUND((175/100)*ROUND([14]Source!R194, 2), 2)</f>
        <v>0</v>
      </c>
      <c r="V188" s="281">
        <f>ROUND((157/100)*ROUND([14]Source!R195, 2), 2)</f>
        <v>0</v>
      </c>
    </row>
    <row r="189" spans="1:22" ht="14.25" x14ac:dyDescent="0.2">
      <c r="A189" s="301"/>
      <c r="B189" s="302"/>
      <c r="C189" s="302" t="s">
        <v>197</v>
      </c>
      <c r="D189" s="303"/>
      <c r="E189" s="286"/>
      <c r="F189" s="304">
        <v>88.34</v>
      </c>
      <c r="G189" s="305" t="s">
        <v>195</v>
      </c>
      <c r="H189" s="286">
        <v>1</v>
      </c>
      <c r="I189" s="304">
        <v>88.34</v>
      </c>
      <c r="J189" s="286">
        <v>23.35</v>
      </c>
      <c r="K189" s="304">
        <v>2062.7399999999998</v>
      </c>
    </row>
    <row r="190" spans="1:22" ht="14.25" x14ac:dyDescent="0.2">
      <c r="A190" s="301"/>
      <c r="B190" s="302"/>
      <c r="C190" s="302" t="s">
        <v>205</v>
      </c>
      <c r="D190" s="303"/>
      <c r="E190" s="286"/>
      <c r="F190" s="304">
        <v>3.01</v>
      </c>
      <c r="G190" s="305" t="s">
        <v>195</v>
      </c>
      <c r="H190" s="286">
        <v>1</v>
      </c>
      <c r="I190" s="304">
        <v>3.01</v>
      </c>
      <c r="J190" s="286">
        <v>5.42</v>
      </c>
      <c r="K190" s="304">
        <v>16.309999999999999</v>
      </c>
    </row>
    <row r="191" spans="1:22" ht="14.25" x14ac:dyDescent="0.2">
      <c r="A191" s="301"/>
      <c r="B191" s="302"/>
      <c r="C191" s="302" t="s">
        <v>194</v>
      </c>
      <c r="D191" s="303" t="s">
        <v>187</v>
      </c>
      <c r="E191" s="286">
        <v>112</v>
      </c>
      <c r="F191" s="304"/>
      <c r="G191" s="305"/>
      <c r="H191" s="286"/>
      <c r="I191" s="304">
        <v>98.94</v>
      </c>
      <c r="J191" s="286">
        <v>90</v>
      </c>
      <c r="K191" s="304">
        <v>1856.47</v>
      </c>
    </row>
    <row r="192" spans="1:22" ht="14.25" x14ac:dyDescent="0.2">
      <c r="A192" s="301"/>
      <c r="B192" s="302"/>
      <c r="C192" s="302" t="s">
        <v>193</v>
      </c>
      <c r="D192" s="303" t="s">
        <v>187</v>
      </c>
      <c r="E192" s="286">
        <v>70</v>
      </c>
      <c r="F192" s="304"/>
      <c r="G192" s="305"/>
      <c r="H192" s="286"/>
      <c r="I192" s="304">
        <v>61.84</v>
      </c>
      <c r="J192" s="286">
        <v>43</v>
      </c>
      <c r="K192" s="304">
        <v>886.98</v>
      </c>
    </row>
    <row r="193" spans="1:22" ht="14.25" x14ac:dyDescent="0.2">
      <c r="A193" s="307"/>
      <c r="B193" s="308"/>
      <c r="C193" s="308" t="s">
        <v>192</v>
      </c>
      <c r="D193" s="309" t="s">
        <v>191</v>
      </c>
      <c r="E193" s="310">
        <v>7</v>
      </c>
      <c r="F193" s="311"/>
      <c r="G193" s="312" t="s">
        <v>195</v>
      </c>
      <c r="H193" s="310">
        <v>1</v>
      </c>
      <c r="I193" s="311">
        <v>7</v>
      </c>
      <c r="J193" s="310"/>
      <c r="K193" s="311"/>
    </row>
    <row r="194" spans="1:22" ht="15" x14ac:dyDescent="0.25">
      <c r="A194" s="313"/>
      <c r="B194" s="313"/>
      <c r="C194" s="314" t="s">
        <v>183</v>
      </c>
      <c r="D194" s="313"/>
      <c r="E194" s="313"/>
      <c r="F194" s="313"/>
      <c r="G194" s="313"/>
      <c r="H194" s="472">
        <v>252.13</v>
      </c>
      <c r="I194" s="472"/>
      <c r="J194" s="472">
        <v>4822.5</v>
      </c>
      <c r="K194" s="472"/>
      <c r="O194" s="284">
        <f>I189+I190+I191+I192</f>
        <v>252.13</v>
      </c>
      <c r="P194" s="284">
        <f>K189+K190+K191+K192</f>
        <v>4822.5</v>
      </c>
    </row>
    <row r="196" spans="1:22" ht="28.5" x14ac:dyDescent="0.2">
      <c r="A196" s="301" t="s">
        <v>1534</v>
      </c>
      <c r="B196" s="302" t="s">
        <v>3408</v>
      </c>
      <c r="C196" s="302" t="s">
        <v>1129</v>
      </c>
      <c r="D196" s="303" t="s">
        <v>1903</v>
      </c>
      <c r="E196" s="286">
        <v>1</v>
      </c>
      <c r="F196" s="304"/>
      <c r="G196" s="305"/>
      <c r="H196" s="286"/>
      <c r="I196" s="304"/>
      <c r="J196" s="286"/>
      <c r="K196" s="304"/>
      <c r="Q196" s="281">
        <f>[14]Source!X196</f>
        <v>21.21</v>
      </c>
      <c r="R196" s="281">
        <f>[14]Source!X197</f>
        <v>398.03</v>
      </c>
      <c r="S196" s="281">
        <f>[14]Source!Y196</f>
        <v>13.26</v>
      </c>
      <c r="T196" s="281">
        <f>[14]Source!Y197</f>
        <v>190.17</v>
      </c>
      <c r="U196" s="281">
        <f>ROUND((175/100)*ROUND([14]Source!R196, 2), 2)</f>
        <v>0</v>
      </c>
      <c r="V196" s="281">
        <f>ROUND((157/100)*ROUND([14]Source!R197, 2), 2)</f>
        <v>0</v>
      </c>
    </row>
    <row r="197" spans="1:22" ht="14.25" x14ac:dyDescent="0.2">
      <c r="A197" s="301"/>
      <c r="B197" s="302"/>
      <c r="C197" s="302" t="s">
        <v>197</v>
      </c>
      <c r="D197" s="303"/>
      <c r="E197" s="286"/>
      <c r="F197" s="304">
        <v>18.940000000000001</v>
      </c>
      <c r="G197" s="305" t="s">
        <v>195</v>
      </c>
      <c r="H197" s="286">
        <v>1</v>
      </c>
      <c r="I197" s="304">
        <v>18.940000000000001</v>
      </c>
      <c r="J197" s="286">
        <v>23.35</v>
      </c>
      <c r="K197" s="304">
        <v>442.25</v>
      </c>
    </row>
    <row r="198" spans="1:22" ht="14.25" x14ac:dyDescent="0.2">
      <c r="A198" s="301"/>
      <c r="B198" s="302"/>
      <c r="C198" s="302" t="s">
        <v>184</v>
      </c>
      <c r="D198" s="303"/>
      <c r="E198" s="286"/>
      <c r="F198" s="304">
        <v>0.05</v>
      </c>
      <c r="G198" s="305" t="s">
        <v>195</v>
      </c>
      <c r="H198" s="286">
        <v>1</v>
      </c>
      <c r="I198" s="304">
        <v>0.05</v>
      </c>
      <c r="J198" s="286">
        <v>5.4</v>
      </c>
      <c r="K198" s="304">
        <v>0.27</v>
      </c>
    </row>
    <row r="199" spans="1:22" ht="14.25" x14ac:dyDescent="0.2">
      <c r="A199" s="301"/>
      <c r="B199" s="302"/>
      <c r="C199" s="302" t="s">
        <v>205</v>
      </c>
      <c r="D199" s="303"/>
      <c r="E199" s="286"/>
      <c r="F199" s="304">
        <v>1.5</v>
      </c>
      <c r="G199" s="305" t="s">
        <v>195</v>
      </c>
      <c r="H199" s="286">
        <v>1</v>
      </c>
      <c r="I199" s="304">
        <v>1.5</v>
      </c>
      <c r="J199" s="286">
        <v>5.42</v>
      </c>
      <c r="K199" s="304">
        <v>8.1300000000000008</v>
      </c>
    </row>
    <row r="200" spans="1:22" ht="14.25" x14ac:dyDescent="0.2">
      <c r="A200" s="301"/>
      <c r="B200" s="302"/>
      <c r="C200" s="302" t="s">
        <v>194</v>
      </c>
      <c r="D200" s="303" t="s">
        <v>187</v>
      </c>
      <c r="E200" s="286">
        <v>112</v>
      </c>
      <c r="F200" s="304"/>
      <c r="G200" s="305"/>
      <c r="H200" s="286"/>
      <c r="I200" s="304">
        <v>21.21</v>
      </c>
      <c r="J200" s="286">
        <v>90</v>
      </c>
      <c r="K200" s="304">
        <v>398.03</v>
      </c>
    </row>
    <row r="201" spans="1:22" ht="14.25" x14ac:dyDescent="0.2">
      <c r="A201" s="301"/>
      <c r="B201" s="302"/>
      <c r="C201" s="302" t="s">
        <v>193</v>
      </c>
      <c r="D201" s="303" t="s">
        <v>187</v>
      </c>
      <c r="E201" s="286">
        <v>70</v>
      </c>
      <c r="F201" s="304"/>
      <c r="G201" s="305"/>
      <c r="H201" s="286"/>
      <c r="I201" s="304">
        <v>13.26</v>
      </c>
      <c r="J201" s="286">
        <v>43</v>
      </c>
      <c r="K201" s="304">
        <v>190.17</v>
      </c>
    </row>
    <row r="202" spans="1:22" ht="14.25" x14ac:dyDescent="0.2">
      <c r="A202" s="307"/>
      <c r="B202" s="308"/>
      <c r="C202" s="308" t="s">
        <v>192</v>
      </c>
      <c r="D202" s="309" t="s">
        <v>191</v>
      </c>
      <c r="E202" s="310">
        <v>1.36</v>
      </c>
      <c r="F202" s="311"/>
      <c r="G202" s="312" t="s">
        <v>195</v>
      </c>
      <c r="H202" s="310">
        <v>1</v>
      </c>
      <c r="I202" s="311">
        <v>1.36</v>
      </c>
      <c r="J202" s="310"/>
      <c r="K202" s="311"/>
    </row>
    <row r="203" spans="1:22" ht="15" x14ac:dyDescent="0.25">
      <c r="A203" s="313"/>
      <c r="B203" s="313"/>
      <c r="C203" s="314" t="s">
        <v>183</v>
      </c>
      <c r="D203" s="313"/>
      <c r="E203" s="313"/>
      <c r="F203" s="313"/>
      <c r="G203" s="313"/>
      <c r="H203" s="472">
        <v>54.96</v>
      </c>
      <c r="I203" s="472"/>
      <c r="J203" s="472">
        <v>1038.8499999999999</v>
      </c>
      <c r="K203" s="472"/>
      <c r="O203" s="284">
        <f>I197+I198+I199+I200+I201</f>
        <v>54.96</v>
      </c>
      <c r="P203" s="284">
        <f>K197+K198+K199+K200+K201</f>
        <v>1038.8499999999999</v>
      </c>
    </row>
    <row r="206" spans="1:22" ht="15" x14ac:dyDescent="0.25">
      <c r="A206" s="447" t="s">
        <v>3545</v>
      </c>
      <c r="B206" s="447"/>
      <c r="C206" s="447"/>
      <c r="D206" s="447"/>
      <c r="E206" s="447"/>
      <c r="F206" s="447"/>
      <c r="G206" s="447"/>
      <c r="H206" s="445">
        <v>307.08999999999997</v>
      </c>
      <c r="I206" s="446"/>
      <c r="J206" s="445">
        <v>5861.35</v>
      </c>
      <c r="K206" s="446"/>
    </row>
    <row r="207" spans="1:22" hidden="1" x14ac:dyDescent="0.2">
      <c r="A207" s="281" t="s">
        <v>182</v>
      </c>
      <c r="I207" s="281">
        <v>0</v>
      </c>
      <c r="J207" s="281">
        <v>0</v>
      </c>
    </row>
    <row r="208" spans="1:22" hidden="1" x14ac:dyDescent="0.2">
      <c r="A208" s="281" t="s">
        <v>181</v>
      </c>
      <c r="I208" s="281">
        <v>0</v>
      </c>
      <c r="J208" s="281">
        <v>0</v>
      </c>
    </row>
    <row r="210" spans="1:22" ht="16.5" x14ac:dyDescent="0.25">
      <c r="A210" s="448" t="s">
        <v>3546</v>
      </c>
      <c r="B210" s="448"/>
      <c r="C210" s="448"/>
      <c r="D210" s="448"/>
      <c r="E210" s="448"/>
      <c r="F210" s="448"/>
      <c r="G210" s="448"/>
      <c r="H210" s="448"/>
      <c r="I210" s="448"/>
      <c r="J210" s="448"/>
      <c r="K210" s="448"/>
    </row>
    <row r="211" spans="1:22" ht="54" x14ac:dyDescent="0.2">
      <c r="A211" s="275" t="s">
        <v>719</v>
      </c>
      <c r="B211" s="276" t="s">
        <v>3448</v>
      </c>
      <c r="C211" s="276" t="s">
        <v>1128</v>
      </c>
      <c r="D211" s="277" t="s">
        <v>1661</v>
      </c>
      <c r="E211" s="278">
        <v>1</v>
      </c>
      <c r="F211" s="279">
        <v>2507.19</v>
      </c>
      <c r="G211" s="280" t="s">
        <v>195</v>
      </c>
      <c r="H211" s="278">
        <v>1</v>
      </c>
      <c r="I211" s="279">
        <v>2507.19</v>
      </c>
      <c r="J211" s="278">
        <v>4.4000000000000004</v>
      </c>
      <c r="K211" s="279">
        <v>11031.64</v>
      </c>
      <c r="Q211" s="281">
        <f>[14]Source!X233</f>
        <v>0</v>
      </c>
      <c r="R211" s="281">
        <f>[14]Source!X234</f>
        <v>0</v>
      </c>
      <c r="S211" s="281">
        <f>[14]Source!Y233</f>
        <v>0</v>
      </c>
      <c r="T211" s="281">
        <f>[14]Source!Y234</f>
        <v>0</v>
      </c>
      <c r="U211" s="281">
        <f>ROUND((175/100)*ROUND([14]Source!R233, 2), 2)</f>
        <v>0</v>
      </c>
      <c r="V211" s="281">
        <f>ROUND((157/100)*ROUND([14]Source!R234, 2), 2)</f>
        <v>0</v>
      </c>
    </row>
    <row r="212" spans="1:22" ht="15" x14ac:dyDescent="0.25">
      <c r="A212" s="282"/>
      <c r="B212" s="282"/>
      <c r="C212" s="283" t="s">
        <v>183</v>
      </c>
      <c r="D212" s="282"/>
      <c r="E212" s="282"/>
      <c r="F212" s="282"/>
      <c r="G212" s="282"/>
      <c r="H212" s="473">
        <v>2507.19</v>
      </c>
      <c r="I212" s="473"/>
      <c r="J212" s="473">
        <v>11031.64</v>
      </c>
      <c r="K212" s="473"/>
      <c r="O212" s="284">
        <f>I211</f>
        <v>2507.19</v>
      </c>
      <c r="P212" s="284">
        <f>K211</f>
        <v>11031.64</v>
      </c>
    </row>
    <row r="214" spans="1:22" ht="54" x14ac:dyDescent="0.2">
      <c r="A214" s="275" t="s">
        <v>1534</v>
      </c>
      <c r="B214" s="276" t="s">
        <v>3522</v>
      </c>
      <c r="C214" s="276" t="s">
        <v>1127</v>
      </c>
      <c r="D214" s="277" t="s">
        <v>1661</v>
      </c>
      <c r="E214" s="278">
        <v>2</v>
      </c>
      <c r="F214" s="279">
        <v>12219.3</v>
      </c>
      <c r="G214" s="280" t="s">
        <v>195</v>
      </c>
      <c r="H214" s="278">
        <v>1</v>
      </c>
      <c r="I214" s="279">
        <v>24438.6</v>
      </c>
      <c r="J214" s="278">
        <v>4.4000000000000004</v>
      </c>
      <c r="K214" s="279">
        <v>107529.84</v>
      </c>
      <c r="Q214" s="281">
        <f>[14]Source!X235</f>
        <v>0</v>
      </c>
      <c r="R214" s="281">
        <f>[14]Source!X236</f>
        <v>0</v>
      </c>
      <c r="S214" s="281">
        <f>[14]Source!Y235</f>
        <v>0</v>
      </c>
      <c r="T214" s="281">
        <f>[14]Source!Y236</f>
        <v>0</v>
      </c>
      <c r="U214" s="281">
        <f>ROUND((175/100)*ROUND([14]Source!R235, 2), 2)</f>
        <v>0</v>
      </c>
      <c r="V214" s="281">
        <f>ROUND((157/100)*ROUND([14]Source!R236, 2), 2)</f>
        <v>0</v>
      </c>
    </row>
    <row r="215" spans="1:22" ht="15" x14ac:dyDescent="0.25">
      <c r="A215" s="282"/>
      <c r="B215" s="282"/>
      <c r="C215" s="283" t="s">
        <v>183</v>
      </c>
      <c r="D215" s="282"/>
      <c r="E215" s="282"/>
      <c r="F215" s="282"/>
      <c r="G215" s="282"/>
      <c r="H215" s="473">
        <v>24438.6</v>
      </c>
      <c r="I215" s="473"/>
      <c r="J215" s="473">
        <v>107529.84</v>
      </c>
      <c r="K215" s="473"/>
      <c r="O215" s="284">
        <f>I214</f>
        <v>24438.6</v>
      </c>
      <c r="P215" s="284">
        <f>K214</f>
        <v>107529.84</v>
      </c>
    </row>
    <row r="217" spans="1:22" ht="242.25" x14ac:dyDescent="0.2">
      <c r="A217" s="275" t="s">
        <v>104</v>
      </c>
      <c r="B217" s="276" t="s">
        <v>3547</v>
      </c>
      <c r="C217" s="276" t="s">
        <v>1126</v>
      </c>
      <c r="D217" s="277" t="s">
        <v>1661</v>
      </c>
      <c r="E217" s="278">
        <v>1</v>
      </c>
      <c r="F217" s="279">
        <v>7959</v>
      </c>
      <c r="G217" s="280" t="s">
        <v>195</v>
      </c>
      <c r="H217" s="278">
        <v>1</v>
      </c>
      <c r="I217" s="279">
        <v>7959</v>
      </c>
      <c r="J217" s="278">
        <v>3.23</v>
      </c>
      <c r="K217" s="279">
        <v>25707.57</v>
      </c>
      <c r="Q217" s="281">
        <f>[14]Source!X237</f>
        <v>0</v>
      </c>
      <c r="R217" s="281">
        <f>[14]Source!X238</f>
        <v>0</v>
      </c>
      <c r="S217" s="281">
        <f>[14]Source!Y237</f>
        <v>0</v>
      </c>
      <c r="T217" s="281">
        <f>[14]Source!Y238</f>
        <v>0</v>
      </c>
      <c r="U217" s="281">
        <f>ROUND((175/100)*ROUND([14]Source!R237, 2), 2)</f>
        <v>0</v>
      </c>
      <c r="V217" s="281">
        <f>ROUND((157/100)*ROUND([14]Source!R238, 2), 2)</f>
        <v>0</v>
      </c>
    </row>
    <row r="218" spans="1:22" ht="15" x14ac:dyDescent="0.25">
      <c r="A218" s="282"/>
      <c r="B218" s="282"/>
      <c r="C218" s="283" t="s">
        <v>183</v>
      </c>
      <c r="D218" s="282"/>
      <c r="E218" s="282"/>
      <c r="F218" s="282"/>
      <c r="G218" s="282"/>
      <c r="H218" s="473">
        <v>7959</v>
      </c>
      <c r="I218" s="473"/>
      <c r="J218" s="473">
        <v>25707.57</v>
      </c>
      <c r="K218" s="473"/>
      <c r="O218" s="284">
        <f>I217</f>
        <v>7959</v>
      </c>
      <c r="P218" s="284">
        <f>K217</f>
        <v>25707.57</v>
      </c>
    </row>
    <row r="220" spans="1:22" ht="42.75" x14ac:dyDescent="0.2">
      <c r="A220" s="275" t="s">
        <v>1546</v>
      </c>
      <c r="B220" s="276" t="s">
        <v>3548</v>
      </c>
      <c r="C220" s="276" t="s">
        <v>1125</v>
      </c>
      <c r="D220" s="277" t="s">
        <v>1661</v>
      </c>
      <c r="E220" s="278">
        <v>1</v>
      </c>
      <c r="F220" s="279">
        <v>148.71</v>
      </c>
      <c r="G220" s="280" t="s">
        <v>195</v>
      </c>
      <c r="H220" s="278">
        <v>1</v>
      </c>
      <c r="I220" s="279">
        <v>148.71</v>
      </c>
      <c r="J220" s="278">
        <v>3.5</v>
      </c>
      <c r="K220" s="279">
        <v>520.49</v>
      </c>
      <c r="Q220" s="281">
        <f>[14]Source!X239</f>
        <v>0</v>
      </c>
      <c r="R220" s="281">
        <f>[14]Source!X240</f>
        <v>0</v>
      </c>
      <c r="S220" s="281">
        <f>[14]Source!Y239</f>
        <v>0</v>
      </c>
      <c r="T220" s="281">
        <f>[14]Source!Y240</f>
        <v>0</v>
      </c>
      <c r="U220" s="281">
        <f>ROUND((175/100)*ROUND([14]Source!R239, 2), 2)</f>
        <v>0</v>
      </c>
      <c r="V220" s="281">
        <f>ROUND((157/100)*ROUND([14]Source!R240, 2), 2)</f>
        <v>0</v>
      </c>
    </row>
    <row r="221" spans="1:22" ht="15" x14ac:dyDescent="0.25">
      <c r="A221" s="282"/>
      <c r="B221" s="282"/>
      <c r="C221" s="283" t="s">
        <v>183</v>
      </c>
      <c r="D221" s="282"/>
      <c r="E221" s="282"/>
      <c r="F221" s="282"/>
      <c r="G221" s="282"/>
      <c r="H221" s="473">
        <v>148.71</v>
      </c>
      <c r="I221" s="473"/>
      <c r="J221" s="473">
        <v>520.49</v>
      </c>
      <c r="K221" s="473"/>
      <c r="O221" s="284">
        <f>I220</f>
        <v>148.71</v>
      </c>
      <c r="P221" s="284">
        <f>K220</f>
        <v>520.49</v>
      </c>
    </row>
    <row r="223" spans="1:22" ht="42.75" x14ac:dyDescent="0.2">
      <c r="A223" s="275" t="s">
        <v>105</v>
      </c>
      <c r="B223" s="276" t="s">
        <v>3549</v>
      </c>
      <c r="C223" s="276" t="s">
        <v>1124</v>
      </c>
      <c r="D223" s="277" t="s">
        <v>1661</v>
      </c>
      <c r="E223" s="278">
        <v>1</v>
      </c>
      <c r="F223" s="279">
        <v>77.11</v>
      </c>
      <c r="G223" s="280" t="s">
        <v>195</v>
      </c>
      <c r="H223" s="278">
        <v>1</v>
      </c>
      <c r="I223" s="279">
        <v>77.11</v>
      </c>
      <c r="J223" s="278">
        <v>4.6399999999999997</v>
      </c>
      <c r="K223" s="279">
        <v>357.79</v>
      </c>
      <c r="Q223" s="281">
        <f>[14]Source!X241</f>
        <v>0</v>
      </c>
      <c r="R223" s="281">
        <f>[14]Source!X242</f>
        <v>0</v>
      </c>
      <c r="S223" s="281">
        <f>[14]Source!Y241</f>
        <v>0</v>
      </c>
      <c r="T223" s="281">
        <f>[14]Source!Y242</f>
        <v>0</v>
      </c>
      <c r="U223" s="281">
        <f>ROUND((175/100)*ROUND([14]Source!R241, 2), 2)</f>
        <v>0</v>
      </c>
      <c r="V223" s="281">
        <f>ROUND((157/100)*ROUND([14]Source!R242, 2), 2)</f>
        <v>0</v>
      </c>
    </row>
    <row r="224" spans="1:22" ht="15" x14ac:dyDescent="0.25">
      <c r="A224" s="282"/>
      <c r="B224" s="282"/>
      <c r="C224" s="283" t="s">
        <v>183</v>
      </c>
      <c r="D224" s="282"/>
      <c r="E224" s="282"/>
      <c r="F224" s="282"/>
      <c r="G224" s="282"/>
      <c r="H224" s="473">
        <v>77.11</v>
      </c>
      <c r="I224" s="473"/>
      <c r="J224" s="473">
        <v>357.79</v>
      </c>
      <c r="K224" s="473"/>
      <c r="O224" s="284">
        <f>I223</f>
        <v>77.11</v>
      </c>
      <c r="P224" s="284">
        <f>K223</f>
        <v>357.79</v>
      </c>
    </row>
    <row r="226" spans="1:22" ht="82.5" x14ac:dyDescent="0.2">
      <c r="A226" s="275" t="s">
        <v>1560</v>
      </c>
      <c r="B226" s="276" t="s">
        <v>3522</v>
      </c>
      <c r="C226" s="276" t="s">
        <v>1123</v>
      </c>
      <c r="D226" s="277" t="s">
        <v>1661</v>
      </c>
      <c r="E226" s="278">
        <v>1</v>
      </c>
      <c r="F226" s="279">
        <v>7274.81</v>
      </c>
      <c r="G226" s="280" t="s">
        <v>195</v>
      </c>
      <c r="H226" s="278">
        <v>1</v>
      </c>
      <c r="I226" s="279">
        <v>7274.81</v>
      </c>
      <c r="J226" s="278">
        <v>4.4000000000000004</v>
      </c>
      <c r="K226" s="279">
        <v>32009.16</v>
      </c>
      <c r="Q226" s="281">
        <f>[14]Source!X243</f>
        <v>0</v>
      </c>
      <c r="R226" s="281">
        <f>[14]Source!X244</f>
        <v>0</v>
      </c>
      <c r="S226" s="281">
        <f>[14]Source!Y243</f>
        <v>0</v>
      </c>
      <c r="T226" s="281">
        <f>[14]Source!Y244</f>
        <v>0</v>
      </c>
      <c r="U226" s="281">
        <f>ROUND((175/100)*ROUND([14]Source!R243, 2), 2)</f>
        <v>0</v>
      </c>
      <c r="V226" s="281">
        <f>ROUND((157/100)*ROUND([14]Source!R244, 2), 2)</f>
        <v>0</v>
      </c>
    </row>
    <row r="227" spans="1:22" ht="15" x14ac:dyDescent="0.25">
      <c r="A227" s="282"/>
      <c r="B227" s="282"/>
      <c r="C227" s="283" t="s">
        <v>183</v>
      </c>
      <c r="D227" s="282"/>
      <c r="E227" s="282"/>
      <c r="F227" s="282"/>
      <c r="G227" s="282"/>
      <c r="H227" s="473">
        <v>7274.81</v>
      </c>
      <c r="I227" s="473"/>
      <c r="J227" s="473">
        <v>32009.16</v>
      </c>
      <c r="K227" s="473"/>
      <c r="O227" s="284">
        <f>I226</f>
        <v>7274.81</v>
      </c>
      <c r="P227" s="284">
        <f>K226</f>
        <v>32009.16</v>
      </c>
    </row>
    <row r="230" spans="1:22" ht="15" x14ac:dyDescent="0.25">
      <c r="A230" s="447" t="s">
        <v>3550</v>
      </c>
      <c r="B230" s="447"/>
      <c r="C230" s="447"/>
      <c r="D230" s="447"/>
      <c r="E230" s="447"/>
      <c r="F230" s="447"/>
      <c r="G230" s="447"/>
      <c r="H230" s="445">
        <v>42405.42</v>
      </c>
      <c r="I230" s="446"/>
      <c r="J230" s="445">
        <v>177156.49</v>
      </c>
      <c r="K230" s="446"/>
    </row>
    <row r="231" spans="1:22" hidden="1" x14ac:dyDescent="0.2">
      <c r="A231" s="281" t="s">
        <v>182</v>
      </c>
      <c r="I231" s="281">
        <v>0</v>
      </c>
      <c r="J231" s="281">
        <v>0</v>
      </c>
    </row>
    <row r="232" spans="1:22" hidden="1" x14ac:dyDescent="0.2">
      <c r="A232" s="281" t="s">
        <v>181</v>
      </c>
      <c r="I232" s="281">
        <v>0</v>
      </c>
      <c r="J232" s="281">
        <v>0</v>
      </c>
    </row>
    <row r="234" spans="1:22" ht="16.5" x14ac:dyDescent="0.25">
      <c r="A234" s="448" t="s">
        <v>3551</v>
      </c>
      <c r="B234" s="448"/>
      <c r="C234" s="448"/>
      <c r="D234" s="448"/>
      <c r="E234" s="448"/>
      <c r="F234" s="448"/>
      <c r="G234" s="448"/>
      <c r="H234" s="448"/>
      <c r="I234" s="448"/>
      <c r="J234" s="448"/>
      <c r="K234" s="448"/>
    </row>
    <row r="235" spans="1:22" ht="28.5" x14ac:dyDescent="0.2">
      <c r="A235" s="301" t="s">
        <v>719</v>
      </c>
      <c r="B235" s="302" t="s">
        <v>3470</v>
      </c>
      <c r="C235" s="302" t="s">
        <v>1122</v>
      </c>
      <c r="D235" s="303" t="s">
        <v>1890</v>
      </c>
      <c r="E235" s="286">
        <v>0.3</v>
      </c>
      <c r="F235" s="304"/>
      <c r="G235" s="305"/>
      <c r="H235" s="286"/>
      <c r="I235" s="304"/>
      <c r="J235" s="286"/>
      <c r="K235" s="304"/>
      <c r="Q235" s="281">
        <f>[14]Source!X280</f>
        <v>76.44</v>
      </c>
      <c r="R235" s="281">
        <f>[14]Source!X281</f>
        <v>1434.28</v>
      </c>
      <c r="S235" s="281">
        <f>[14]Source!Y280</f>
        <v>47.78</v>
      </c>
      <c r="T235" s="281">
        <f>[14]Source!Y281</f>
        <v>685.27</v>
      </c>
      <c r="U235" s="281">
        <f>ROUND((175/100)*ROUND([14]Source!R280, 2), 2)</f>
        <v>0.61</v>
      </c>
      <c r="V235" s="281">
        <f>ROUND((157/100)*ROUND([14]Source!R281, 2), 2)</f>
        <v>12.83</v>
      </c>
    </row>
    <row r="236" spans="1:22" x14ac:dyDescent="0.2">
      <c r="C236" s="316" t="s">
        <v>3552</v>
      </c>
    </row>
    <row r="237" spans="1:22" ht="14.25" x14ac:dyDescent="0.2">
      <c r="A237" s="301"/>
      <c r="B237" s="302"/>
      <c r="C237" s="302" t="s">
        <v>197</v>
      </c>
      <c r="D237" s="303"/>
      <c r="E237" s="286"/>
      <c r="F237" s="304">
        <v>227.49</v>
      </c>
      <c r="G237" s="305" t="s">
        <v>195</v>
      </c>
      <c r="H237" s="286">
        <v>1</v>
      </c>
      <c r="I237" s="304">
        <v>68.25</v>
      </c>
      <c r="J237" s="286">
        <v>23.35</v>
      </c>
      <c r="K237" s="304">
        <v>1593.64</v>
      </c>
    </row>
    <row r="238" spans="1:22" ht="14.25" x14ac:dyDescent="0.2">
      <c r="A238" s="301"/>
      <c r="B238" s="302"/>
      <c r="C238" s="302" t="s">
        <v>184</v>
      </c>
      <c r="D238" s="303"/>
      <c r="E238" s="286"/>
      <c r="F238" s="304">
        <v>6.98</v>
      </c>
      <c r="G238" s="305" t="s">
        <v>195</v>
      </c>
      <c r="H238" s="286">
        <v>1</v>
      </c>
      <c r="I238" s="304">
        <v>2.09</v>
      </c>
      <c r="J238" s="286">
        <v>8.39</v>
      </c>
      <c r="K238" s="304">
        <v>17.54</v>
      </c>
    </row>
    <row r="239" spans="1:22" ht="14.25" x14ac:dyDescent="0.2">
      <c r="A239" s="301"/>
      <c r="B239" s="302"/>
      <c r="C239" s="302" t="s">
        <v>189</v>
      </c>
      <c r="D239" s="303"/>
      <c r="E239" s="286"/>
      <c r="F239" s="304">
        <v>1.18</v>
      </c>
      <c r="G239" s="305" t="s">
        <v>195</v>
      </c>
      <c r="H239" s="286">
        <v>1</v>
      </c>
      <c r="I239" s="306">
        <v>0.35</v>
      </c>
      <c r="J239" s="286">
        <v>23.35</v>
      </c>
      <c r="K239" s="306">
        <v>8.17</v>
      </c>
    </row>
    <row r="240" spans="1:22" ht="14.25" x14ac:dyDescent="0.2">
      <c r="A240" s="301"/>
      <c r="B240" s="302"/>
      <c r="C240" s="302" t="s">
        <v>205</v>
      </c>
      <c r="D240" s="303"/>
      <c r="E240" s="286"/>
      <c r="F240" s="304">
        <v>2.4700000000000002</v>
      </c>
      <c r="G240" s="305" t="s">
        <v>195</v>
      </c>
      <c r="H240" s="286">
        <v>1</v>
      </c>
      <c r="I240" s="304">
        <v>0.74</v>
      </c>
      <c r="J240" s="286">
        <v>5.42</v>
      </c>
      <c r="K240" s="304">
        <v>4.01</v>
      </c>
    </row>
    <row r="241" spans="1:22" ht="14.25" x14ac:dyDescent="0.2">
      <c r="A241" s="301"/>
      <c r="B241" s="302"/>
      <c r="C241" s="302" t="s">
        <v>194</v>
      </c>
      <c r="D241" s="303" t="s">
        <v>187</v>
      </c>
      <c r="E241" s="286">
        <v>112</v>
      </c>
      <c r="F241" s="304"/>
      <c r="G241" s="305"/>
      <c r="H241" s="286"/>
      <c r="I241" s="304">
        <v>76.44</v>
      </c>
      <c r="J241" s="286">
        <v>90</v>
      </c>
      <c r="K241" s="304">
        <v>1434.28</v>
      </c>
    </row>
    <row r="242" spans="1:22" ht="14.25" x14ac:dyDescent="0.2">
      <c r="A242" s="301"/>
      <c r="B242" s="302"/>
      <c r="C242" s="302" t="s">
        <v>193</v>
      </c>
      <c r="D242" s="303" t="s">
        <v>187</v>
      </c>
      <c r="E242" s="286">
        <v>70</v>
      </c>
      <c r="F242" s="304"/>
      <c r="G242" s="305"/>
      <c r="H242" s="286"/>
      <c r="I242" s="304">
        <v>47.78</v>
      </c>
      <c r="J242" s="286">
        <v>43</v>
      </c>
      <c r="K242" s="304">
        <v>685.27</v>
      </c>
    </row>
    <row r="243" spans="1:22" ht="14.25" x14ac:dyDescent="0.2">
      <c r="A243" s="301"/>
      <c r="B243" s="302"/>
      <c r="C243" s="302" t="s">
        <v>188</v>
      </c>
      <c r="D243" s="303" t="s">
        <v>187</v>
      </c>
      <c r="E243" s="286">
        <v>175</v>
      </c>
      <c r="F243" s="304"/>
      <c r="G243" s="305"/>
      <c r="H243" s="286"/>
      <c r="I243" s="304">
        <v>0.61</v>
      </c>
      <c r="J243" s="286">
        <v>157</v>
      </c>
      <c r="K243" s="304">
        <v>12.83</v>
      </c>
    </row>
    <row r="244" spans="1:22" ht="14.25" x14ac:dyDescent="0.2">
      <c r="A244" s="307"/>
      <c r="B244" s="308"/>
      <c r="C244" s="308" t="s">
        <v>192</v>
      </c>
      <c r="D244" s="309" t="s">
        <v>191</v>
      </c>
      <c r="E244" s="310">
        <v>14.64</v>
      </c>
      <c r="F244" s="311"/>
      <c r="G244" s="312" t="s">
        <v>195</v>
      </c>
      <c r="H244" s="310">
        <v>1</v>
      </c>
      <c r="I244" s="311">
        <v>4.3899999999999997</v>
      </c>
      <c r="J244" s="310"/>
      <c r="K244" s="311"/>
    </row>
    <row r="245" spans="1:22" ht="15" x14ac:dyDescent="0.25">
      <c r="A245" s="313"/>
      <c r="B245" s="313"/>
      <c r="C245" s="314" t="s">
        <v>183</v>
      </c>
      <c r="D245" s="313"/>
      <c r="E245" s="313"/>
      <c r="F245" s="313"/>
      <c r="G245" s="313"/>
      <c r="H245" s="472">
        <v>195.91</v>
      </c>
      <c r="I245" s="472"/>
      <c r="J245" s="472">
        <v>3747.57</v>
      </c>
      <c r="K245" s="472"/>
      <c r="O245" s="284">
        <f>I237+I238+I240+I241+I242+I243</f>
        <v>195.91</v>
      </c>
      <c r="P245" s="284">
        <f>K237+K238+K240+K241+K242+K243</f>
        <v>3747.57</v>
      </c>
    </row>
    <row r="247" spans="1:22" ht="14.25" x14ac:dyDescent="0.2">
      <c r="A247" s="301" t="s">
        <v>1534</v>
      </c>
      <c r="B247" s="302" t="s">
        <v>3553</v>
      </c>
      <c r="C247" s="302" t="s">
        <v>1121</v>
      </c>
      <c r="D247" s="303" t="s">
        <v>1890</v>
      </c>
      <c r="E247" s="286">
        <v>2</v>
      </c>
      <c r="F247" s="304"/>
      <c r="G247" s="305"/>
      <c r="H247" s="286"/>
      <c r="I247" s="304"/>
      <c r="J247" s="286"/>
      <c r="K247" s="304"/>
      <c r="Q247" s="281">
        <f>[14]Source!X282</f>
        <v>907.4</v>
      </c>
      <c r="R247" s="281">
        <f>[14]Source!X283</f>
        <v>17025.93</v>
      </c>
      <c r="S247" s="281">
        <f>[14]Source!Y282</f>
        <v>567.13</v>
      </c>
      <c r="T247" s="281">
        <f>[14]Source!Y283</f>
        <v>8134.61</v>
      </c>
      <c r="U247" s="281">
        <f>ROUND((175/100)*ROUND([14]Source!R282, 2), 2)</f>
        <v>1.23</v>
      </c>
      <c r="V247" s="281">
        <f>ROUND((157/100)*ROUND([14]Source!R283, 2), 2)</f>
        <v>25.67</v>
      </c>
    </row>
    <row r="248" spans="1:22" x14ac:dyDescent="0.2">
      <c r="C248" s="316" t="s">
        <v>3554</v>
      </c>
    </row>
    <row r="249" spans="1:22" ht="14.25" x14ac:dyDescent="0.2">
      <c r="A249" s="301"/>
      <c r="B249" s="302"/>
      <c r="C249" s="302" t="s">
        <v>197</v>
      </c>
      <c r="D249" s="303"/>
      <c r="E249" s="286"/>
      <c r="F249" s="304">
        <v>405.09</v>
      </c>
      <c r="G249" s="305" t="s">
        <v>195</v>
      </c>
      <c r="H249" s="286">
        <v>1</v>
      </c>
      <c r="I249" s="304">
        <v>810.18</v>
      </c>
      <c r="J249" s="286">
        <v>23.35</v>
      </c>
      <c r="K249" s="304">
        <v>18917.7</v>
      </c>
    </row>
    <row r="250" spans="1:22" ht="14.25" x14ac:dyDescent="0.2">
      <c r="A250" s="301"/>
      <c r="B250" s="302"/>
      <c r="C250" s="302" t="s">
        <v>184</v>
      </c>
      <c r="D250" s="303"/>
      <c r="E250" s="286"/>
      <c r="F250" s="304">
        <v>3.84</v>
      </c>
      <c r="G250" s="305" t="s">
        <v>195</v>
      </c>
      <c r="H250" s="286">
        <v>1</v>
      </c>
      <c r="I250" s="304">
        <v>7.68</v>
      </c>
      <c r="J250" s="286">
        <v>6.99</v>
      </c>
      <c r="K250" s="304">
        <v>53.68</v>
      </c>
    </row>
    <row r="251" spans="1:22" ht="14.25" x14ac:dyDescent="0.2">
      <c r="A251" s="301"/>
      <c r="B251" s="302"/>
      <c r="C251" s="302" t="s">
        <v>189</v>
      </c>
      <c r="D251" s="303"/>
      <c r="E251" s="286"/>
      <c r="F251" s="304">
        <v>0.35</v>
      </c>
      <c r="G251" s="305" t="s">
        <v>195</v>
      </c>
      <c r="H251" s="286">
        <v>1</v>
      </c>
      <c r="I251" s="306">
        <v>0.7</v>
      </c>
      <c r="J251" s="286">
        <v>23.35</v>
      </c>
      <c r="K251" s="306">
        <v>16.350000000000001</v>
      </c>
    </row>
    <row r="252" spans="1:22" ht="14.25" x14ac:dyDescent="0.2">
      <c r="A252" s="301"/>
      <c r="B252" s="302"/>
      <c r="C252" s="302" t="s">
        <v>205</v>
      </c>
      <c r="D252" s="303"/>
      <c r="E252" s="286"/>
      <c r="F252" s="304">
        <v>42.51</v>
      </c>
      <c r="G252" s="305" t="s">
        <v>195</v>
      </c>
      <c r="H252" s="286">
        <v>1</v>
      </c>
      <c r="I252" s="304">
        <v>85.02</v>
      </c>
      <c r="J252" s="286">
        <v>5.42</v>
      </c>
      <c r="K252" s="304">
        <v>460.81</v>
      </c>
    </row>
    <row r="253" spans="1:22" ht="54" x14ac:dyDescent="0.2">
      <c r="A253" s="301" t="s">
        <v>1538</v>
      </c>
      <c r="B253" s="302" t="s">
        <v>3448</v>
      </c>
      <c r="C253" s="302" t="s">
        <v>1120</v>
      </c>
      <c r="D253" s="303" t="s">
        <v>1661</v>
      </c>
      <c r="E253" s="286">
        <v>20</v>
      </c>
      <c r="F253" s="304">
        <v>175.33</v>
      </c>
      <c r="G253" s="315" t="s">
        <v>195</v>
      </c>
      <c r="H253" s="286">
        <v>1</v>
      </c>
      <c r="I253" s="304">
        <v>3506.6</v>
      </c>
      <c r="J253" s="286">
        <v>5.42</v>
      </c>
      <c r="K253" s="304">
        <v>19005.77</v>
      </c>
      <c r="Q253" s="281">
        <f>[14]Source!X284</f>
        <v>0</v>
      </c>
      <c r="R253" s="281">
        <f>[14]Source!X285</f>
        <v>0</v>
      </c>
      <c r="S253" s="281">
        <f>[14]Source!Y284</f>
        <v>0</v>
      </c>
      <c r="T253" s="281">
        <f>[14]Source!Y285</f>
        <v>0</v>
      </c>
      <c r="U253" s="281">
        <f>ROUND((175/100)*ROUND([14]Source!R284, 2), 2)</f>
        <v>0</v>
      </c>
      <c r="V253" s="281">
        <f>ROUND((157/100)*ROUND([14]Source!R285, 2), 2)</f>
        <v>0</v>
      </c>
    </row>
    <row r="254" spans="1:22" ht="14.25" x14ac:dyDescent="0.2">
      <c r="A254" s="301"/>
      <c r="B254" s="302"/>
      <c r="C254" s="302" t="s">
        <v>194</v>
      </c>
      <c r="D254" s="303" t="s">
        <v>187</v>
      </c>
      <c r="E254" s="286">
        <v>112</v>
      </c>
      <c r="F254" s="304"/>
      <c r="G254" s="305"/>
      <c r="H254" s="286"/>
      <c r="I254" s="304">
        <v>907.4</v>
      </c>
      <c r="J254" s="286">
        <v>90</v>
      </c>
      <c r="K254" s="304">
        <v>17025.93</v>
      </c>
    </row>
    <row r="255" spans="1:22" ht="14.25" x14ac:dyDescent="0.2">
      <c r="A255" s="301"/>
      <c r="B255" s="302"/>
      <c r="C255" s="302" t="s">
        <v>193</v>
      </c>
      <c r="D255" s="303" t="s">
        <v>187</v>
      </c>
      <c r="E255" s="286">
        <v>70</v>
      </c>
      <c r="F255" s="304"/>
      <c r="G255" s="305"/>
      <c r="H255" s="286"/>
      <c r="I255" s="304">
        <v>567.13</v>
      </c>
      <c r="J255" s="286">
        <v>43</v>
      </c>
      <c r="K255" s="304">
        <v>8134.61</v>
      </c>
    </row>
    <row r="256" spans="1:22" ht="14.25" x14ac:dyDescent="0.2">
      <c r="A256" s="301"/>
      <c r="B256" s="302"/>
      <c r="C256" s="302" t="s">
        <v>188</v>
      </c>
      <c r="D256" s="303" t="s">
        <v>187</v>
      </c>
      <c r="E256" s="286">
        <v>175</v>
      </c>
      <c r="F256" s="304"/>
      <c r="G256" s="305"/>
      <c r="H256" s="286"/>
      <c r="I256" s="304">
        <v>1.23</v>
      </c>
      <c r="J256" s="286">
        <v>157</v>
      </c>
      <c r="K256" s="304">
        <v>25.67</v>
      </c>
    </row>
    <row r="257" spans="1:22" ht="14.25" x14ac:dyDescent="0.2">
      <c r="A257" s="307"/>
      <c r="B257" s="308"/>
      <c r="C257" s="308" t="s">
        <v>192</v>
      </c>
      <c r="D257" s="309" t="s">
        <v>191</v>
      </c>
      <c r="E257" s="310">
        <v>25.56</v>
      </c>
      <c r="F257" s="311"/>
      <c r="G257" s="312" t="s">
        <v>195</v>
      </c>
      <c r="H257" s="310">
        <v>1</v>
      </c>
      <c r="I257" s="311">
        <v>51.12</v>
      </c>
      <c r="J257" s="310"/>
      <c r="K257" s="311"/>
    </row>
    <row r="258" spans="1:22" ht="15" x14ac:dyDescent="0.25">
      <c r="A258" s="313"/>
      <c r="B258" s="313"/>
      <c r="C258" s="314" t="s">
        <v>183</v>
      </c>
      <c r="D258" s="313"/>
      <c r="E258" s="313"/>
      <c r="F258" s="313"/>
      <c r="G258" s="313"/>
      <c r="H258" s="472">
        <v>5885.24</v>
      </c>
      <c r="I258" s="472"/>
      <c r="J258" s="472">
        <v>63624.17</v>
      </c>
      <c r="K258" s="472"/>
      <c r="O258" s="284">
        <f>I249+I250+I252+I254+I255+I256+SUM(I253:I253)</f>
        <v>5885.24</v>
      </c>
      <c r="P258" s="284">
        <f>K249+K250+K252+K254+K255+K256+SUM(K253:K253)</f>
        <v>63624.17</v>
      </c>
    </row>
    <row r="260" spans="1:22" ht="14.25" x14ac:dyDescent="0.2">
      <c r="A260" s="301" t="s">
        <v>104</v>
      </c>
      <c r="B260" s="302" t="s">
        <v>3555</v>
      </c>
      <c r="C260" s="302" t="s">
        <v>1119</v>
      </c>
      <c r="D260" s="303" t="s">
        <v>1890</v>
      </c>
      <c r="E260" s="286">
        <v>2.4</v>
      </c>
      <c r="F260" s="304"/>
      <c r="G260" s="305"/>
      <c r="H260" s="286"/>
      <c r="I260" s="304"/>
      <c r="J260" s="286"/>
      <c r="K260" s="304"/>
      <c r="Q260" s="281">
        <f>[14]Source!X286</f>
        <v>675.52</v>
      </c>
      <c r="R260" s="281">
        <f>[14]Source!X287</f>
        <v>12674.99</v>
      </c>
      <c r="S260" s="281">
        <f>[14]Source!Y286</f>
        <v>422.2</v>
      </c>
      <c r="T260" s="281">
        <f>[14]Source!Y287</f>
        <v>6055.83</v>
      </c>
      <c r="U260" s="281">
        <f>ROUND((175/100)*ROUND([14]Source!R286, 2), 2)</f>
        <v>1.47</v>
      </c>
      <c r="V260" s="281">
        <f>ROUND((157/100)*ROUND([14]Source!R287, 2), 2)</f>
        <v>30.79</v>
      </c>
    </row>
    <row r="261" spans="1:22" x14ac:dyDescent="0.2">
      <c r="C261" s="316" t="s">
        <v>3556</v>
      </c>
    </row>
    <row r="262" spans="1:22" ht="14.25" x14ac:dyDescent="0.2">
      <c r="A262" s="301"/>
      <c r="B262" s="302"/>
      <c r="C262" s="302" t="s">
        <v>197</v>
      </c>
      <c r="D262" s="303"/>
      <c r="E262" s="286"/>
      <c r="F262" s="304">
        <v>251.31</v>
      </c>
      <c r="G262" s="305" t="s">
        <v>195</v>
      </c>
      <c r="H262" s="286">
        <v>1</v>
      </c>
      <c r="I262" s="304">
        <v>603.14</v>
      </c>
      <c r="J262" s="286">
        <v>23.35</v>
      </c>
      <c r="K262" s="304">
        <v>14083.32</v>
      </c>
    </row>
    <row r="263" spans="1:22" ht="14.25" x14ac:dyDescent="0.2">
      <c r="A263" s="301"/>
      <c r="B263" s="302"/>
      <c r="C263" s="302" t="s">
        <v>184</v>
      </c>
      <c r="D263" s="303"/>
      <c r="E263" s="286"/>
      <c r="F263" s="304">
        <v>3.84</v>
      </c>
      <c r="G263" s="305" t="s">
        <v>195</v>
      </c>
      <c r="H263" s="286">
        <v>1</v>
      </c>
      <c r="I263" s="304">
        <v>9.2200000000000006</v>
      </c>
      <c r="J263" s="286">
        <v>6.99</v>
      </c>
      <c r="K263" s="304">
        <v>64.45</v>
      </c>
    </row>
    <row r="264" spans="1:22" ht="14.25" x14ac:dyDescent="0.2">
      <c r="A264" s="301"/>
      <c r="B264" s="302"/>
      <c r="C264" s="302" t="s">
        <v>189</v>
      </c>
      <c r="D264" s="303"/>
      <c r="E264" s="286"/>
      <c r="F264" s="304">
        <v>0.35</v>
      </c>
      <c r="G264" s="305" t="s">
        <v>195</v>
      </c>
      <c r="H264" s="286">
        <v>1</v>
      </c>
      <c r="I264" s="306">
        <v>0.84</v>
      </c>
      <c r="J264" s="286">
        <v>23.35</v>
      </c>
      <c r="K264" s="306">
        <v>19.61</v>
      </c>
    </row>
    <row r="265" spans="1:22" ht="14.25" x14ac:dyDescent="0.2">
      <c r="A265" s="301"/>
      <c r="B265" s="302"/>
      <c r="C265" s="302" t="s">
        <v>205</v>
      </c>
      <c r="D265" s="303"/>
      <c r="E265" s="286"/>
      <c r="F265" s="304">
        <v>42.51</v>
      </c>
      <c r="G265" s="305" t="s">
        <v>195</v>
      </c>
      <c r="H265" s="286">
        <v>1</v>
      </c>
      <c r="I265" s="304">
        <v>102.02</v>
      </c>
      <c r="J265" s="286">
        <v>5.42</v>
      </c>
      <c r="K265" s="304">
        <v>552.95000000000005</v>
      </c>
    </row>
    <row r="266" spans="1:22" ht="14.25" x14ac:dyDescent="0.2">
      <c r="A266" s="301"/>
      <c r="B266" s="302"/>
      <c r="C266" s="302" t="s">
        <v>194</v>
      </c>
      <c r="D266" s="303" t="s">
        <v>187</v>
      </c>
      <c r="E266" s="286">
        <v>112</v>
      </c>
      <c r="F266" s="304"/>
      <c r="G266" s="305"/>
      <c r="H266" s="286"/>
      <c r="I266" s="304">
        <v>675.52</v>
      </c>
      <c r="J266" s="286">
        <v>90</v>
      </c>
      <c r="K266" s="304">
        <v>12674.99</v>
      </c>
    </row>
    <row r="267" spans="1:22" ht="14.25" x14ac:dyDescent="0.2">
      <c r="A267" s="301"/>
      <c r="B267" s="302"/>
      <c r="C267" s="302" t="s">
        <v>193</v>
      </c>
      <c r="D267" s="303" t="s">
        <v>187</v>
      </c>
      <c r="E267" s="286">
        <v>70</v>
      </c>
      <c r="F267" s="304"/>
      <c r="G267" s="305"/>
      <c r="H267" s="286"/>
      <c r="I267" s="304">
        <v>422.2</v>
      </c>
      <c r="J267" s="286">
        <v>43</v>
      </c>
      <c r="K267" s="304">
        <v>6055.83</v>
      </c>
    </row>
    <row r="268" spans="1:22" ht="14.25" x14ac:dyDescent="0.2">
      <c r="A268" s="301"/>
      <c r="B268" s="302"/>
      <c r="C268" s="302" t="s">
        <v>188</v>
      </c>
      <c r="D268" s="303" t="s">
        <v>187</v>
      </c>
      <c r="E268" s="286">
        <v>175</v>
      </c>
      <c r="F268" s="304"/>
      <c r="G268" s="305"/>
      <c r="H268" s="286"/>
      <c r="I268" s="304">
        <v>1.47</v>
      </c>
      <c r="J268" s="286">
        <v>157</v>
      </c>
      <c r="K268" s="304">
        <v>30.79</v>
      </c>
    </row>
    <row r="269" spans="1:22" ht="14.25" x14ac:dyDescent="0.2">
      <c r="A269" s="307"/>
      <c r="B269" s="308"/>
      <c r="C269" s="308" t="s">
        <v>192</v>
      </c>
      <c r="D269" s="309" t="s">
        <v>191</v>
      </c>
      <c r="E269" s="310">
        <v>15.78</v>
      </c>
      <c r="F269" s="311"/>
      <c r="G269" s="312" t="s">
        <v>195</v>
      </c>
      <c r="H269" s="310">
        <v>1</v>
      </c>
      <c r="I269" s="311">
        <v>37.869999999999997</v>
      </c>
      <c r="J269" s="310"/>
      <c r="K269" s="311"/>
    </row>
    <row r="270" spans="1:22" ht="15" x14ac:dyDescent="0.25">
      <c r="A270" s="313"/>
      <c r="B270" s="313"/>
      <c r="C270" s="314" t="s">
        <v>183</v>
      </c>
      <c r="D270" s="313"/>
      <c r="E270" s="313"/>
      <c r="F270" s="313"/>
      <c r="G270" s="313"/>
      <c r="H270" s="472">
        <v>1813.57</v>
      </c>
      <c r="I270" s="472"/>
      <c r="J270" s="472">
        <v>33462.33</v>
      </c>
      <c r="K270" s="472"/>
      <c r="O270" s="284">
        <f>I262+I263+I265+I266+I267+I268</f>
        <v>1813.57</v>
      </c>
      <c r="P270" s="284">
        <f>K262+K263+K265+K266+K267+K268</f>
        <v>33462.33</v>
      </c>
    </row>
    <row r="273" spans="1:22" ht="15" x14ac:dyDescent="0.25">
      <c r="A273" s="447" t="s">
        <v>3557</v>
      </c>
      <c r="B273" s="447"/>
      <c r="C273" s="447"/>
      <c r="D273" s="447"/>
      <c r="E273" s="447"/>
      <c r="F273" s="447"/>
      <c r="G273" s="447"/>
      <c r="H273" s="445">
        <v>7894.72</v>
      </c>
      <c r="I273" s="446"/>
      <c r="J273" s="445">
        <v>100834.07</v>
      </c>
      <c r="K273" s="446"/>
    </row>
    <row r="274" spans="1:22" hidden="1" x14ac:dyDescent="0.2">
      <c r="A274" s="281" t="s">
        <v>182</v>
      </c>
      <c r="I274" s="281">
        <v>0</v>
      </c>
      <c r="J274" s="281">
        <v>0</v>
      </c>
    </row>
    <row r="275" spans="1:22" hidden="1" x14ac:dyDescent="0.2">
      <c r="A275" s="281" t="s">
        <v>181</v>
      </c>
      <c r="I275" s="281">
        <v>0</v>
      </c>
      <c r="J275" s="281">
        <v>0</v>
      </c>
    </row>
    <row r="277" spans="1:22" ht="16.5" x14ac:dyDescent="0.25">
      <c r="A277" s="448" t="s">
        <v>3447</v>
      </c>
      <c r="B277" s="448"/>
      <c r="C277" s="448"/>
      <c r="D277" s="448"/>
      <c r="E277" s="448"/>
      <c r="F277" s="448"/>
      <c r="G277" s="448"/>
      <c r="H277" s="448"/>
      <c r="I277" s="448"/>
      <c r="J277" s="448"/>
      <c r="K277" s="448"/>
    </row>
    <row r="278" spans="1:22" ht="68.25" x14ac:dyDescent="0.2">
      <c r="A278" s="275" t="s">
        <v>719</v>
      </c>
      <c r="B278" s="276" t="s">
        <v>3448</v>
      </c>
      <c r="C278" s="276" t="s">
        <v>1118</v>
      </c>
      <c r="D278" s="277" t="s">
        <v>1661</v>
      </c>
      <c r="E278" s="278">
        <v>3</v>
      </c>
      <c r="F278" s="279">
        <v>769.93</v>
      </c>
      <c r="G278" s="280" t="s">
        <v>195</v>
      </c>
      <c r="H278" s="278">
        <v>1</v>
      </c>
      <c r="I278" s="279">
        <v>2309.79</v>
      </c>
      <c r="J278" s="278">
        <v>4.4000000000000004</v>
      </c>
      <c r="K278" s="279">
        <v>10163.08</v>
      </c>
      <c r="Q278" s="281">
        <f>[14]Source!X323</f>
        <v>0</v>
      </c>
      <c r="R278" s="281">
        <f>[14]Source!X324</f>
        <v>0</v>
      </c>
      <c r="S278" s="281">
        <f>[14]Source!Y323</f>
        <v>0</v>
      </c>
      <c r="T278" s="281">
        <f>[14]Source!Y324</f>
        <v>0</v>
      </c>
      <c r="U278" s="281">
        <f>ROUND((175/100)*ROUND([14]Source!R323, 2), 2)</f>
        <v>0</v>
      </c>
      <c r="V278" s="281">
        <f>ROUND((157/100)*ROUND([14]Source!R324, 2), 2)</f>
        <v>0</v>
      </c>
    </row>
    <row r="279" spans="1:22" ht="15" x14ac:dyDescent="0.25">
      <c r="A279" s="282"/>
      <c r="B279" s="282"/>
      <c r="C279" s="283" t="s">
        <v>183</v>
      </c>
      <c r="D279" s="282"/>
      <c r="E279" s="282"/>
      <c r="F279" s="282"/>
      <c r="G279" s="282"/>
      <c r="H279" s="473">
        <v>2309.79</v>
      </c>
      <c r="I279" s="473"/>
      <c r="J279" s="473">
        <v>10163.08</v>
      </c>
      <c r="K279" s="473"/>
      <c r="O279" s="284">
        <f>I278</f>
        <v>2309.79</v>
      </c>
      <c r="P279" s="284">
        <f>K278</f>
        <v>10163.08</v>
      </c>
    </row>
    <row r="281" spans="1:22" ht="68.25" x14ac:dyDescent="0.2">
      <c r="A281" s="275" t="s">
        <v>1589</v>
      </c>
      <c r="B281" s="276" t="s">
        <v>3448</v>
      </c>
      <c r="C281" s="276" t="s">
        <v>1117</v>
      </c>
      <c r="D281" s="277" t="s">
        <v>1661</v>
      </c>
      <c r="E281" s="278">
        <v>20</v>
      </c>
      <c r="F281" s="279">
        <v>5111.71</v>
      </c>
      <c r="G281" s="280" t="s">
        <v>195</v>
      </c>
      <c r="H281" s="278">
        <v>1</v>
      </c>
      <c r="I281" s="279">
        <v>102234.2</v>
      </c>
      <c r="J281" s="278">
        <v>4.4000000000000004</v>
      </c>
      <c r="K281" s="279">
        <v>449830.48</v>
      </c>
      <c r="Q281" s="281">
        <f>[14]Source!X325</f>
        <v>0</v>
      </c>
      <c r="R281" s="281">
        <f>[14]Source!X326</f>
        <v>0</v>
      </c>
      <c r="S281" s="281">
        <f>[14]Source!Y325</f>
        <v>0</v>
      </c>
      <c r="T281" s="281">
        <f>[14]Source!Y326</f>
        <v>0</v>
      </c>
      <c r="U281" s="281">
        <f>ROUND((175/100)*ROUND([14]Source!R325, 2), 2)</f>
        <v>0</v>
      </c>
      <c r="V281" s="281">
        <f>ROUND((157/100)*ROUND([14]Source!R326, 2), 2)</f>
        <v>0</v>
      </c>
    </row>
    <row r="282" spans="1:22" ht="15" x14ac:dyDescent="0.25">
      <c r="A282" s="282"/>
      <c r="B282" s="282"/>
      <c r="C282" s="283" t="s">
        <v>183</v>
      </c>
      <c r="D282" s="282"/>
      <c r="E282" s="282"/>
      <c r="F282" s="282"/>
      <c r="G282" s="282"/>
      <c r="H282" s="473">
        <v>102234.2</v>
      </c>
      <c r="I282" s="473"/>
      <c r="J282" s="473">
        <v>449830.48</v>
      </c>
      <c r="K282" s="473"/>
      <c r="O282" s="284">
        <f>I281</f>
        <v>102234.2</v>
      </c>
      <c r="P282" s="284">
        <f>K281</f>
        <v>449830.48</v>
      </c>
    </row>
    <row r="284" spans="1:22" ht="54" x14ac:dyDescent="0.2">
      <c r="A284" s="275" t="s">
        <v>1599</v>
      </c>
      <c r="B284" s="276" t="s">
        <v>3448</v>
      </c>
      <c r="C284" s="276" t="s">
        <v>1116</v>
      </c>
      <c r="D284" s="277" t="s">
        <v>1661</v>
      </c>
      <c r="E284" s="278">
        <v>24</v>
      </c>
      <c r="F284" s="279">
        <v>2900.06</v>
      </c>
      <c r="G284" s="280" t="s">
        <v>195</v>
      </c>
      <c r="H284" s="278">
        <v>1</v>
      </c>
      <c r="I284" s="279">
        <v>69601.440000000002</v>
      </c>
      <c r="J284" s="278">
        <v>4.4000000000000004</v>
      </c>
      <c r="K284" s="279">
        <v>306246.34000000003</v>
      </c>
      <c r="Q284" s="281">
        <f>[14]Source!X327</f>
        <v>0</v>
      </c>
      <c r="R284" s="281">
        <f>[14]Source!X328</f>
        <v>0</v>
      </c>
      <c r="S284" s="281">
        <f>[14]Source!Y327</f>
        <v>0</v>
      </c>
      <c r="T284" s="281">
        <f>[14]Source!Y328</f>
        <v>0</v>
      </c>
      <c r="U284" s="281">
        <f>ROUND((175/100)*ROUND([14]Source!R327, 2), 2)</f>
        <v>0</v>
      </c>
      <c r="V284" s="281">
        <f>ROUND((157/100)*ROUND([14]Source!R328, 2), 2)</f>
        <v>0</v>
      </c>
    </row>
    <row r="285" spans="1:22" ht="15" x14ac:dyDescent="0.25">
      <c r="A285" s="282"/>
      <c r="B285" s="282"/>
      <c r="C285" s="283" t="s">
        <v>183</v>
      </c>
      <c r="D285" s="282"/>
      <c r="E285" s="282"/>
      <c r="F285" s="282"/>
      <c r="G285" s="282"/>
      <c r="H285" s="473">
        <v>69601.440000000002</v>
      </c>
      <c r="I285" s="473"/>
      <c r="J285" s="473">
        <v>306246.34000000003</v>
      </c>
      <c r="K285" s="473"/>
      <c r="O285" s="284">
        <f>I284</f>
        <v>69601.440000000002</v>
      </c>
      <c r="P285" s="284">
        <f>K284</f>
        <v>306246.34000000003</v>
      </c>
    </row>
    <row r="288" spans="1:22" ht="15" x14ac:dyDescent="0.25">
      <c r="A288" s="447" t="s">
        <v>3449</v>
      </c>
      <c r="B288" s="447"/>
      <c r="C288" s="447"/>
      <c r="D288" s="447"/>
      <c r="E288" s="447"/>
      <c r="F288" s="447"/>
      <c r="G288" s="447"/>
      <c r="H288" s="445">
        <v>174145.43</v>
      </c>
      <c r="I288" s="446"/>
      <c r="J288" s="445">
        <v>766239.9</v>
      </c>
      <c r="K288" s="446"/>
    </row>
    <row r="289" spans="1:22" hidden="1" x14ac:dyDescent="0.2">
      <c r="A289" s="281" t="s">
        <v>182</v>
      </c>
      <c r="I289" s="281">
        <v>0</v>
      </c>
      <c r="J289" s="281">
        <v>0</v>
      </c>
    </row>
    <row r="290" spans="1:22" hidden="1" x14ac:dyDescent="0.2">
      <c r="A290" s="281" t="s">
        <v>181</v>
      </c>
      <c r="I290" s="281">
        <v>0</v>
      </c>
      <c r="J290" s="281">
        <v>0</v>
      </c>
    </row>
    <row r="292" spans="1:22" ht="16.5" x14ac:dyDescent="0.25">
      <c r="A292" s="448" t="s">
        <v>3558</v>
      </c>
      <c r="B292" s="448"/>
      <c r="C292" s="448"/>
      <c r="D292" s="448"/>
      <c r="E292" s="448"/>
      <c r="F292" s="448"/>
      <c r="G292" s="448"/>
      <c r="H292" s="448"/>
      <c r="I292" s="448"/>
      <c r="J292" s="448"/>
      <c r="K292" s="448"/>
    </row>
    <row r="293" spans="1:22" ht="71.25" x14ac:dyDescent="0.2">
      <c r="A293" s="301" t="s">
        <v>719</v>
      </c>
      <c r="B293" s="302" t="s">
        <v>3477</v>
      </c>
      <c r="C293" s="302" t="s">
        <v>1115</v>
      </c>
      <c r="D293" s="303" t="s">
        <v>1686</v>
      </c>
      <c r="E293" s="286">
        <v>28</v>
      </c>
      <c r="F293" s="304"/>
      <c r="G293" s="305"/>
      <c r="H293" s="286"/>
      <c r="I293" s="304"/>
      <c r="J293" s="286"/>
      <c r="K293" s="304"/>
      <c r="Q293" s="281">
        <f>[14]Source!X376</f>
        <v>5804.42</v>
      </c>
      <c r="R293" s="281">
        <f>[14]Source!X377</f>
        <v>108910.66</v>
      </c>
      <c r="S293" s="281">
        <f>[14]Source!Y376</f>
        <v>3627.76</v>
      </c>
      <c r="T293" s="281">
        <f>[14]Source!Y377</f>
        <v>52035.09</v>
      </c>
      <c r="U293" s="281">
        <f>ROUND((175/100)*ROUND([14]Source!R376, 2), 2)</f>
        <v>267.54000000000002</v>
      </c>
      <c r="V293" s="281">
        <f>ROUND((157/100)*ROUND([14]Source!R377, 2), 2)</f>
        <v>5604.51</v>
      </c>
    </row>
    <row r="294" spans="1:22" x14ac:dyDescent="0.2">
      <c r="C294" s="316" t="s">
        <v>3559</v>
      </c>
    </row>
    <row r="295" spans="1:22" ht="14.25" x14ac:dyDescent="0.2">
      <c r="A295" s="301"/>
      <c r="B295" s="302"/>
      <c r="C295" s="302" t="s">
        <v>197</v>
      </c>
      <c r="D295" s="303"/>
      <c r="E295" s="286"/>
      <c r="F295" s="304">
        <v>185.09</v>
      </c>
      <c r="G295" s="305" t="s">
        <v>195</v>
      </c>
      <c r="H295" s="286">
        <v>1</v>
      </c>
      <c r="I295" s="304">
        <v>5182.5200000000004</v>
      </c>
      <c r="J295" s="286">
        <v>23.35</v>
      </c>
      <c r="K295" s="304">
        <v>121011.84</v>
      </c>
    </row>
    <row r="296" spans="1:22" ht="14.25" x14ac:dyDescent="0.2">
      <c r="A296" s="301"/>
      <c r="B296" s="302"/>
      <c r="C296" s="302" t="s">
        <v>184</v>
      </c>
      <c r="D296" s="303"/>
      <c r="E296" s="286"/>
      <c r="F296" s="304">
        <v>32.74</v>
      </c>
      <c r="G296" s="305" t="s">
        <v>195</v>
      </c>
      <c r="H296" s="286">
        <v>1</v>
      </c>
      <c r="I296" s="304">
        <v>916.72</v>
      </c>
      <c r="J296" s="286">
        <v>8.35</v>
      </c>
      <c r="K296" s="304">
        <v>7654.61</v>
      </c>
    </row>
    <row r="297" spans="1:22" ht="14.25" x14ac:dyDescent="0.2">
      <c r="A297" s="301"/>
      <c r="B297" s="302"/>
      <c r="C297" s="302" t="s">
        <v>189</v>
      </c>
      <c r="D297" s="303"/>
      <c r="E297" s="286"/>
      <c r="F297" s="304">
        <v>5.46</v>
      </c>
      <c r="G297" s="305" t="s">
        <v>195</v>
      </c>
      <c r="H297" s="286">
        <v>1</v>
      </c>
      <c r="I297" s="306">
        <v>152.88</v>
      </c>
      <c r="J297" s="286">
        <v>23.35</v>
      </c>
      <c r="K297" s="306">
        <v>3569.75</v>
      </c>
    </row>
    <row r="298" spans="1:22" ht="14.25" x14ac:dyDescent="0.2">
      <c r="A298" s="301"/>
      <c r="B298" s="302"/>
      <c r="C298" s="302" t="s">
        <v>205</v>
      </c>
      <c r="D298" s="303"/>
      <c r="E298" s="286"/>
      <c r="F298" s="304">
        <v>343.03</v>
      </c>
      <c r="G298" s="305" t="s">
        <v>195</v>
      </c>
      <c r="H298" s="286">
        <v>1</v>
      </c>
      <c r="I298" s="304">
        <v>9604.84</v>
      </c>
      <c r="J298" s="286">
        <v>5.42</v>
      </c>
      <c r="K298" s="304">
        <v>52058.23</v>
      </c>
    </row>
    <row r="299" spans="1:22" ht="57" x14ac:dyDescent="0.2">
      <c r="A299" s="301" t="s">
        <v>1531</v>
      </c>
      <c r="B299" s="302" t="s">
        <v>3479</v>
      </c>
      <c r="C299" s="302" t="s">
        <v>1114</v>
      </c>
      <c r="D299" s="303" t="s">
        <v>1552</v>
      </c>
      <c r="E299" s="286">
        <v>2856</v>
      </c>
      <c r="F299" s="304">
        <v>2.67</v>
      </c>
      <c r="G299" s="315" t="s">
        <v>195</v>
      </c>
      <c r="H299" s="286">
        <v>1</v>
      </c>
      <c r="I299" s="304">
        <v>7625.52</v>
      </c>
      <c r="J299" s="286">
        <v>6.27</v>
      </c>
      <c r="K299" s="304">
        <v>47812.01</v>
      </c>
      <c r="Q299" s="281">
        <f>[14]Source!X378</f>
        <v>0</v>
      </c>
      <c r="R299" s="281">
        <f>[14]Source!X379</f>
        <v>0</v>
      </c>
      <c r="S299" s="281">
        <f>[14]Source!Y378</f>
        <v>0</v>
      </c>
      <c r="T299" s="281">
        <f>[14]Source!Y379</f>
        <v>0</v>
      </c>
      <c r="U299" s="281">
        <f>ROUND((175/100)*ROUND([14]Source!R378, 2), 2)</f>
        <v>0</v>
      </c>
      <c r="V299" s="281">
        <f>ROUND((157/100)*ROUND([14]Source!R379, 2), 2)</f>
        <v>0</v>
      </c>
    </row>
    <row r="300" spans="1:22" ht="71.25" x14ac:dyDescent="0.2">
      <c r="A300" s="301" t="s">
        <v>3138</v>
      </c>
      <c r="B300" s="302" t="s">
        <v>3560</v>
      </c>
      <c r="C300" s="302" t="s">
        <v>1113</v>
      </c>
      <c r="D300" s="303" t="s">
        <v>1661</v>
      </c>
      <c r="E300" s="286">
        <v>27</v>
      </c>
      <c r="F300" s="304">
        <v>16.260000000000002</v>
      </c>
      <c r="G300" s="315" t="s">
        <v>195</v>
      </c>
      <c r="H300" s="286">
        <v>1</v>
      </c>
      <c r="I300" s="304">
        <v>439.02</v>
      </c>
      <c r="J300" s="286">
        <v>5.32</v>
      </c>
      <c r="K300" s="304">
        <v>2335.59</v>
      </c>
      <c r="Q300" s="281">
        <f>[14]Source!X380</f>
        <v>0</v>
      </c>
      <c r="R300" s="281">
        <f>[14]Source!X381</f>
        <v>0</v>
      </c>
      <c r="S300" s="281">
        <f>[14]Source!Y380</f>
        <v>0</v>
      </c>
      <c r="T300" s="281">
        <f>[14]Source!Y381</f>
        <v>0</v>
      </c>
      <c r="U300" s="281">
        <f>ROUND((175/100)*ROUND([14]Source!R380, 2), 2)</f>
        <v>0</v>
      </c>
      <c r="V300" s="281">
        <f>ROUND((157/100)*ROUND([14]Source!R381, 2), 2)</f>
        <v>0</v>
      </c>
    </row>
    <row r="301" spans="1:22" ht="42.75" x14ac:dyDescent="0.2">
      <c r="A301" s="301" t="s">
        <v>3140</v>
      </c>
      <c r="B301" s="302" t="s">
        <v>3507</v>
      </c>
      <c r="C301" s="302" t="s">
        <v>1112</v>
      </c>
      <c r="D301" s="303" t="s">
        <v>1536</v>
      </c>
      <c r="E301" s="286">
        <v>200</v>
      </c>
      <c r="F301" s="304">
        <v>135.68</v>
      </c>
      <c r="G301" s="315" t="s">
        <v>195</v>
      </c>
      <c r="H301" s="286">
        <v>1</v>
      </c>
      <c r="I301" s="304">
        <v>27136</v>
      </c>
      <c r="J301" s="286">
        <v>1.2</v>
      </c>
      <c r="K301" s="304">
        <v>32563.200000000001</v>
      </c>
      <c r="Q301" s="281">
        <f>[14]Source!X382</f>
        <v>0</v>
      </c>
      <c r="R301" s="281">
        <f>[14]Source!X383</f>
        <v>0</v>
      </c>
      <c r="S301" s="281">
        <f>[14]Source!Y382</f>
        <v>0</v>
      </c>
      <c r="T301" s="281">
        <f>[14]Source!Y383</f>
        <v>0</v>
      </c>
      <c r="U301" s="281">
        <f>ROUND((175/100)*ROUND([14]Source!R382, 2), 2)</f>
        <v>0</v>
      </c>
      <c r="V301" s="281">
        <f>ROUND((157/100)*ROUND([14]Source!R383, 2), 2)</f>
        <v>0</v>
      </c>
    </row>
    <row r="302" spans="1:22" ht="14.25" x14ac:dyDescent="0.2">
      <c r="A302" s="301"/>
      <c r="B302" s="302"/>
      <c r="C302" s="302" t="s">
        <v>194</v>
      </c>
      <c r="D302" s="303" t="s">
        <v>187</v>
      </c>
      <c r="E302" s="286">
        <v>112</v>
      </c>
      <c r="F302" s="304"/>
      <c r="G302" s="305"/>
      <c r="H302" s="286"/>
      <c r="I302" s="304">
        <v>5804.42</v>
      </c>
      <c r="J302" s="286">
        <v>90</v>
      </c>
      <c r="K302" s="304">
        <v>108910.66</v>
      </c>
    </row>
    <row r="303" spans="1:22" ht="14.25" x14ac:dyDescent="0.2">
      <c r="A303" s="301"/>
      <c r="B303" s="302"/>
      <c r="C303" s="302" t="s">
        <v>193</v>
      </c>
      <c r="D303" s="303" t="s">
        <v>187</v>
      </c>
      <c r="E303" s="286">
        <v>70</v>
      </c>
      <c r="F303" s="304"/>
      <c r="G303" s="305"/>
      <c r="H303" s="286"/>
      <c r="I303" s="304">
        <v>3627.76</v>
      </c>
      <c r="J303" s="286">
        <v>43</v>
      </c>
      <c r="K303" s="304">
        <v>52035.09</v>
      </c>
    </row>
    <row r="304" spans="1:22" ht="14.25" x14ac:dyDescent="0.2">
      <c r="A304" s="301"/>
      <c r="B304" s="302"/>
      <c r="C304" s="302" t="s">
        <v>188</v>
      </c>
      <c r="D304" s="303" t="s">
        <v>187</v>
      </c>
      <c r="E304" s="286">
        <v>175</v>
      </c>
      <c r="F304" s="304"/>
      <c r="G304" s="305"/>
      <c r="H304" s="286"/>
      <c r="I304" s="304">
        <v>267.54000000000002</v>
      </c>
      <c r="J304" s="286">
        <v>157</v>
      </c>
      <c r="K304" s="304">
        <v>5604.51</v>
      </c>
    </row>
    <row r="305" spans="1:22" ht="14.25" x14ac:dyDescent="0.2">
      <c r="A305" s="307"/>
      <c r="B305" s="308"/>
      <c r="C305" s="308" t="s">
        <v>192</v>
      </c>
      <c r="D305" s="309" t="s">
        <v>191</v>
      </c>
      <c r="E305" s="310">
        <v>14.37</v>
      </c>
      <c r="F305" s="311"/>
      <c r="G305" s="312" t="s">
        <v>195</v>
      </c>
      <c r="H305" s="310">
        <v>1</v>
      </c>
      <c r="I305" s="311">
        <v>402.36</v>
      </c>
      <c r="J305" s="310"/>
      <c r="K305" s="311"/>
    </row>
    <row r="306" spans="1:22" ht="15" x14ac:dyDescent="0.25">
      <c r="A306" s="313"/>
      <c r="B306" s="313"/>
      <c r="C306" s="314" t="s">
        <v>183</v>
      </c>
      <c r="D306" s="313"/>
      <c r="E306" s="313"/>
      <c r="F306" s="313"/>
      <c r="G306" s="313"/>
      <c r="H306" s="472">
        <v>60604.34</v>
      </c>
      <c r="I306" s="472"/>
      <c r="J306" s="472">
        <v>429985.74</v>
      </c>
      <c r="K306" s="472"/>
      <c r="O306" s="284">
        <f>I295+I296+I298+I302+I303+I304+SUM(I299:I301)</f>
        <v>60604.34</v>
      </c>
      <c r="P306" s="284">
        <f>K295+K296+K298+K302+K303+K304+SUM(K299:K301)</f>
        <v>429985.74</v>
      </c>
    </row>
    <row r="308" spans="1:22" ht="71.25" x14ac:dyDescent="0.2">
      <c r="A308" s="301" t="s">
        <v>1534</v>
      </c>
      <c r="B308" s="302" t="s">
        <v>3354</v>
      </c>
      <c r="C308" s="302" t="s">
        <v>1111</v>
      </c>
      <c r="D308" s="303" t="s">
        <v>1686</v>
      </c>
      <c r="E308" s="286">
        <v>28</v>
      </c>
      <c r="F308" s="304"/>
      <c r="G308" s="305"/>
      <c r="H308" s="286"/>
      <c r="I308" s="304"/>
      <c r="J308" s="286"/>
      <c r="K308" s="304"/>
      <c r="Q308" s="281">
        <f>[14]Source!X384</f>
        <v>2389.63</v>
      </c>
      <c r="R308" s="281">
        <f>[14]Source!X385</f>
        <v>44837.599999999999</v>
      </c>
      <c r="S308" s="281">
        <f>[14]Source!Y384</f>
        <v>1493.52</v>
      </c>
      <c r="T308" s="281">
        <f>[14]Source!Y385</f>
        <v>21422.41</v>
      </c>
      <c r="U308" s="281">
        <f>ROUND((175/100)*ROUND([14]Source!R384, 2), 2)</f>
        <v>19.11</v>
      </c>
      <c r="V308" s="281">
        <f>ROUND((157/100)*ROUND([14]Source!R385, 2), 2)</f>
        <v>400.32</v>
      </c>
    </row>
    <row r="309" spans="1:22" x14ac:dyDescent="0.2">
      <c r="C309" s="316" t="s">
        <v>3559</v>
      </c>
    </row>
    <row r="310" spans="1:22" ht="14.25" x14ac:dyDescent="0.2">
      <c r="A310" s="301"/>
      <c r="B310" s="302"/>
      <c r="C310" s="302" t="s">
        <v>197</v>
      </c>
      <c r="D310" s="303"/>
      <c r="E310" s="286"/>
      <c r="F310" s="304">
        <v>76.2</v>
      </c>
      <c r="G310" s="305" t="s">
        <v>195</v>
      </c>
      <c r="H310" s="286">
        <v>1</v>
      </c>
      <c r="I310" s="304">
        <v>2133.6</v>
      </c>
      <c r="J310" s="286">
        <v>23.35</v>
      </c>
      <c r="K310" s="304">
        <v>49819.56</v>
      </c>
    </row>
    <row r="311" spans="1:22" ht="14.25" x14ac:dyDescent="0.2">
      <c r="A311" s="301"/>
      <c r="B311" s="302"/>
      <c r="C311" s="302" t="s">
        <v>184</v>
      </c>
      <c r="D311" s="303"/>
      <c r="E311" s="286"/>
      <c r="F311" s="304">
        <v>1.69</v>
      </c>
      <c r="G311" s="305" t="s">
        <v>195</v>
      </c>
      <c r="H311" s="286">
        <v>1</v>
      </c>
      <c r="I311" s="304">
        <v>47.32</v>
      </c>
      <c r="J311" s="286">
        <v>9.5</v>
      </c>
      <c r="K311" s="304">
        <v>449.54</v>
      </c>
    </row>
    <row r="312" spans="1:22" ht="14.25" x14ac:dyDescent="0.2">
      <c r="A312" s="301"/>
      <c r="B312" s="302"/>
      <c r="C312" s="302" t="s">
        <v>189</v>
      </c>
      <c r="D312" s="303"/>
      <c r="E312" s="286"/>
      <c r="F312" s="304">
        <v>0.39</v>
      </c>
      <c r="G312" s="305" t="s">
        <v>195</v>
      </c>
      <c r="H312" s="286">
        <v>1</v>
      </c>
      <c r="I312" s="306">
        <v>10.92</v>
      </c>
      <c r="J312" s="286">
        <v>23.35</v>
      </c>
      <c r="K312" s="306">
        <v>254.98</v>
      </c>
    </row>
    <row r="313" spans="1:22" ht="14.25" x14ac:dyDescent="0.2">
      <c r="A313" s="301"/>
      <c r="B313" s="302"/>
      <c r="C313" s="302" t="s">
        <v>205</v>
      </c>
      <c r="D313" s="303"/>
      <c r="E313" s="286"/>
      <c r="F313" s="304">
        <v>9.94</v>
      </c>
      <c r="G313" s="305" t="s">
        <v>195</v>
      </c>
      <c r="H313" s="286">
        <v>1</v>
      </c>
      <c r="I313" s="304">
        <v>278.32</v>
      </c>
      <c r="J313" s="286">
        <v>5.42</v>
      </c>
      <c r="K313" s="304">
        <v>1508.49</v>
      </c>
    </row>
    <row r="314" spans="1:22" ht="85.5" x14ac:dyDescent="0.2">
      <c r="A314" s="301" t="s">
        <v>1538</v>
      </c>
      <c r="B314" s="302" t="s">
        <v>3456</v>
      </c>
      <c r="C314" s="302" t="s">
        <v>1110</v>
      </c>
      <c r="D314" s="303" t="s">
        <v>3367</v>
      </c>
      <c r="E314" s="286">
        <v>2.8559999999999999</v>
      </c>
      <c r="F314" s="304">
        <v>4941.13</v>
      </c>
      <c r="G314" s="315" t="s">
        <v>195</v>
      </c>
      <c r="H314" s="286">
        <v>1</v>
      </c>
      <c r="I314" s="304">
        <v>14111.87</v>
      </c>
      <c r="J314" s="286">
        <v>5.58</v>
      </c>
      <c r="K314" s="304">
        <v>78744.23</v>
      </c>
      <c r="Q314" s="281">
        <f>[14]Source!X386</f>
        <v>0</v>
      </c>
      <c r="R314" s="281">
        <f>[14]Source!X387</f>
        <v>0</v>
      </c>
      <c r="S314" s="281">
        <f>[14]Source!Y386</f>
        <v>0</v>
      </c>
      <c r="T314" s="281">
        <f>[14]Source!Y387</f>
        <v>0</v>
      </c>
      <c r="U314" s="281">
        <f>ROUND((175/100)*ROUND([14]Source!R386, 2), 2)</f>
        <v>0</v>
      </c>
      <c r="V314" s="281">
        <f>ROUND((157/100)*ROUND([14]Source!R387, 2), 2)</f>
        <v>0</v>
      </c>
    </row>
    <row r="315" spans="1:22" ht="14.25" x14ac:dyDescent="0.2">
      <c r="A315" s="301"/>
      <c r="B315" s="302"/>
      <c r="C315" s="302" t="s">
        <v>194</v>
      </c>
      <c r="D315" s="303" t="s">
        <v>187</v>
      </c>
      <c r="E315" s="286">
        <v>112</v>
      </c>
      <c r="F315" s="304"/>
      <c r="G315" s="305"/>
      <c r="H315" s="286"/>
      <c r="I315" s="304">
        <v>2389.63</v>
      </c>
      <c r="J315" s="286">
        <v>90</v>
      </c>
      <c r="K315" s="304">
        <v>44837.599999999999</v>
      </c>
    </row>
    <row r="316" spans="1:22" ht="14.25" x14ac:dyDescent="0.2">
      <c r="A316" s="301"/>
      <c r="B316" s="302"/>
      <c r="C316" s="302" t="s">
        <v>193</v>
      </c>
      <c r="D316" s="303" t="s">
        <v>187</v>
      </c>
      <c r="E316" s="286">
        <v>70</v>
      </c>
      <c r="F316" s="304"/>
      <c r="G316" s="305"/>
      <c r="H316" s="286"/>
      <c r="I316" s="304">
        <v>1493.52</v>
      </c>
      <c r="J316" s="286">
        <v>43</v>
      </c>
      <c r="K316" s="304">
        <v>21422.41</v>
      </c>
    </row>
    <row r="317" spans="1:22" ht="14.25" x14ac:dyDescent="0.2">
      <c r="A317" s="301"/>
      <c r="B317" s="302"/>
      <c r="C317" s="302" t="s">
        <v>188</v>
      </c>
      <c r="D317" s="303" t="s">
        <v>187</v>
      </c>
      <c r="E317" s="286">
        <v>175</v>
      </c>
      <c r="F317" s="304"/>
      <c r="G317" s="305"/>
      <c r="H317" s="286"/>
      <c r="I317" s="304">
        <v>19.11</v>
      </c>
      <c r="J317" s="286">
        <v>157</v>
      </c>
      <c r="K317" s="304">
        <v>400.32</v>
      </c>
    </row>
    <row r="318" spans="1:22" ht="14.25" x14ac:dyDescent="0.2">
      <c r="A318" s="307"/>
      <c r="B318" s="308"/>
      <c r="C318" s="308" t="s">
        <v>192</v>
      </c>
      <c r="D318" s="309" t="s">
        <v>191</v>
      </c>
      <c r="E318" s="310">
        <v>6.18</v>
      </c>
      <c r="F318" s="311"/>
      <c r="G318" s="312" t="s">
        <v>195</v>
      </c>
      <c r="H318" s="310">
        <v>1</v>
      </c>
      <c r="I318" s="311">
        <v>173.04</v>
      </c>
      <c r="J318" s="310"/>
      <c r="K318" s="311"/>
    </row>
    <row r="319" spans="1:22" ht="15" x14ac:dyDescent="0.25">
      <c r="A319" s="313"/>
      <c r="B319" s="313"/>
      <c r="C319" s="314" t="s">
        <v>183</v>
      </c>
      <c r="D319" s="313"/>
      <c r="E319" s="313"/>
      <c r="F319" s="313"/>
      <c r="G319" s="313"/>
      <c r="H319" s="472">
        <v>20473.37</v>
      </c>
      <c r="I319" s="472"/>
      <c r="J319" s="472">
        <v>197182.15</v>
      </c>
      <c r="K319" s="472"/>
      <c r="O319" s="284">
        <f>I310+I311+I313+I315+I316+I317+SUM(I314:I314)</f>
        <v>20473.37</v>
      </c>
      <c r="P319" s="284">
        <f>K310+K311+K313+K315+K316+K317+SUM(K314:K314)</f>
        <v>197182.15</v>
      </c>
    </row>
    <row r="322" spans="1:22" ht="15" x14ac:dyDescent="0.25">
      <c r="A322" s="447" t="s">
        <v>3561</v>
      </c>
      <c r="B322" s="447"/>
      <c r="C322" s="447"/>
      <c r="D322" s="447"/>
      <c r="E322" s="447"/>
      <c r="F322" s="447"/>
      <c r="G322" s="447"/>
      <c r="H322" s="445">
        <v>81077.710000000006</v>
      </c>
      <c r="I322" s="446"/>
      <c r="J322" s="445">
        <v>627167.89</v>
      </c>
      <c r="K322" s="446"/>
    </row>
    <row r="323" spans="1:22" hidden="1" x14ac:dyDescent="0.2">
      <c r="A323" s="281" t="s">
        <v>182</v>
      </c>
      <c r="I323" s="281">
        <v>0</v>
      </c>
      <c r="J323" s="281">
        <v>0</v>
      </c>
    </row>
    <row r="324" spans="1:22" hidden="1" x14ac:dyDescent="0.2">
      <c r="A324" s="281" t="s">
        <v>181</v>
      </c>
      <c r="I324" s="281">
        <v>0</v>
      </c>
      <c r="J324" s="281">
        <v>0</v>
      </c>
    </row>
    <row r="326" spans="1:22" ht="15" x14ac:dyDescent="0.25">
      <c r="A326" s="447" t="s">
        <v>3562</v>
      </c>
      <c r="B326" s="447"/>
      <c r="C326" s="447"/>
      <c r="D326" s="447"/>
      <c r="E326" s="447"/>
      <c r="F326" s="447"/>
      <c r="G326" s="447"/>
      <c r="H326" s="445">
        <v>396755.77</v>
      </c>
      <c r="I326" s="446"/>
      <c r="J326" s="445">
        <v>2136446.2400000002</v>
      </c>
      <c r="K326" s="446"/>
    </row>
    <row r="327" spans="1:22" hidden="1" x14ac:dyDescent="0.2">
      <c r="A327" s="281" t="s">
        <v>182</v>
      </c>
      <c r="I327" s="281">
        <v>0</v>
      </c>
      <c r="J327" s="281">
        <v>0</v>
      </c>
    </row>
    <row r="328" spans="1:22" hidden="1" x14ac:dyDescent="0.2">
      <c r="A328" s="281" t="s">
        <v>181</v>
      </c>
      <c r="I328" s="281">
        <v>0</v>
      </c>
      <c r="J328" s="281">
        <v>0</v>
      </c>
    </row>
    <row r="330" spans="1:22" ht="16.5" x14ac:dyDescent="0.25">
      <c r="A330" s="448" t="s">
        <v>3563</v>
      </c>
      <c r="B330" s="448"/>
      <c r="C330" s="448"/>
      <c r="D330" s="448"/>
      <c r="E330" s="448"/>
      <c r="F330" s="448"/>
      <c r="G330" s="448"/>
      <c r="H330" s="448"/>
      <c r="I330" s="448"/>
      <c r="J330" s="448"/>
      <c r="K330" s="448"/>
    </row>
    <row r="331" spans="1:22" ht="42.75" x14ac:dyDescent="0.2">
      <c r="A331" s="301" t="s">
        <v>3564</v>
      </c>
      <c r="B331" s="302" t="s">
        <v>3565</v>
      </c>
      <c r="C331" s="302" t="s">
        <v>1109</v>
      </c>
      <c r="D331" s="303" t="s">
        <v>3566</v>
      </c>
      <c r="E331" s="286">
        <v>1</v>
      </c>
      <c r="F331" s="304"/>
      <c r="G331" s="305"/>
      <c r="H331" s="286"/>
      <c r="I331" s="304"/>
      <c r="J331" s="286"/>
      <c r="K331" s="304"/>
      <c r="Q331" s="281">
        <f>[14]Source!X457</f>
        <v>651.98</v>
      </c>
      <c r="R331" s="281">
        <f>[14]Source!X458</f>
        <v>13802.75</v>
      </c>
      <c r="S331" s="281">
        <f>[14]Source!Y457</f>
        <v>608.51</v>
      </c>
      <c r="T331" s="281">
        <f>[14]Source!Y458</f>
        <v>8322.25</v>
      </c>
      <c r="U331" s="281">
        <f>ROUND((175/100)*ROUND([14]Source!R457, 2), 2)</f>
        <v>0</v>
      </c>
      <c r="V331" s="281">
        <f>ROUND((157/100)*ROUND([14]Source!R458, 2), 2)</f>
        <v>0</v>
      </c>
    </row>
    <row r="332" spans="1:22" ht="14.25" x14ac:dyDescent="0.2">
      <c r="A332" s="301"/>
      <c r="B332" s="302"/>
      <c r="C332" s="302" t="s">
        <v>197</v>
      </c>
      <c r="D332" s="303"/>
      <c r="E332" s="286"/>
      <c r="F332" s="304">
        <v>1086.6199999999999</v>
      </c>
      <c r="G332" s="305" t="s">
        <v>2922</v>
      </c>
      <c r="H332" s="286">
        <v>1</v>
      </c>
      <c r="I332" s="304">
        <v>869.3</v>
      </c>
      <c r="J332" s="286">
        <v>23.35</v>
      </c>
      <c r="K332" s="304">
        <v>20298.16</v>
      </c>
    </row>
    <row r="333" spans="1:22" ht="14.25" x14ac:dyDescent="0.2">
      <c r="A333" s="301"/>
      <c r="B333" s="302"/>
      <c r="C333" s="302" t="s">
        <v>194</v>
      </c>
      <c r="D333" s="303" t="s">
        <v>187</v>
      </c>
      <c r="E333" s="286">
        <v>75</v>
      </c>
      <c r="F333" s="304"/>
      <c r="G333" s="305"/>
      <c r="H333" s="286"/>
      <c r="I333" s="304">
        <v>651.98</v>
      </c>
      <c r="J333" s="286">
        <v>68</v>
      </c>
      <c r="K333" s="304">
        <v>13802.75</v>
      </c>
    </row>
    <row r="334" spans="1:22" ht="14.25" x14ac:dyDescent="0.2">
      <c r="A334" s="301"/>
      <c r="B334" s="302"/>
      <c r="C334" s="302" t="s">
        <v>193</v>
      </c>
      <c r="D334" s="303" t="s">
        <v>187</v>
      </c>
      <c r="E334" s="286">
        <v>70</v>
      </c>
      <c r="F334" s="304"/>
      <c r="G334" s="305"/>
      <c r="H334" s="286"/>
      <c r="I334" s="304">
        <v>608.51</v>
      </c>
      <c r="J334" s="286">
        <v>41</v>
      </c>
      <c r="K334" s="304">
        <v>8322.25</v>
      </c>
    </row>
    <row r="335" spans="1:22" ht="14.25" x14ac:dyDescent="0.2">
      <c r="A335" s="307"/>
      <c r="B335" s="308"/>
      <c r="C335" s="308" t="s">
        <v>192</v>
      </c>
      <c r="D335" s="309" t="s">
        <v>191</v>
      </c>
      <c r="E335" s="310">
        <v>56</v>
      </c>
      <c r="F335" s="311"/>
      <c r="G335" s="312" t="s">
        <v>2922</v>
      </c>
      <c r="H335" s="310">
        <v>1</v>
      </c>
      <c r="I335" s="311">
        <v>44.8</v>
      </c>
      <c r="J335" s="310"/>
      <c r="K335" s="311"/>
    </row>
    <row r="336" spans="1:22" ht="15" x14ac:dyDescent="0.25">
      <c r="A336" s="313"/>
      <c r="B336" s="313"/>
      <c r="C336" s="314" t="s">
        <v>183</v>
      </c>
      <c r="D336" s="313"/>
      <c r="E336" s="313"/>
      <c r="F336" s="313"/>
      <c r="G336" s="313"/>
      <c r="H336" s="472">
        <v>2129.79</v>
      </c>
      <c r="I336" s="472"/>
      <c r="J336" s="472">
        <v>42423.16</v>
      </c>
      <c r="K336" s="472"/>
      <c r="O336" s="284">
        <f>I332+I333+I334</f>
        <v>2129.79</v>
      </c>
      <c r="P336" s="284">
        <f>K332+K333+K334</f>
        <v>42423.16</v>
      </c>
    </row>
    <row r="339" spans="1:11" ht="15" x14ac:dyDescent="0.25">
      <c r="A339" s="447" t="s">
        <v>3567</v>
      </c>
      <c r="B339" s="447"/>
      <c r="C339" s="447"/>
      <c r="D339" s="447"/>
      <c r="E339" s="447"/>
      <c r="F339" s="447"/>
      <c r="G339" s="447"/>
      <c r="H339" s="445">
        <v>2129.79</v>
      </c>
      <c r="I339" s="446"/>
      <c r="J339" s="445">
        <v>42423.16</v>
      </c>
      <c r="K339" s="446"/>
    </row>
    <row r="340" spans="1:11" hidden="1" x14ac:dyDescent="0.2">
      <c r="A340" s="281" t="s">
        <v>182</v>
      </c>
      <c r="I340" s="281">
        <v>0</v>
      </c>
      <c r="J340" s="281">
        <v>0</v>
      </c>
    </row>
    <row r="341" spans="1:11" hidden="1" x14ac:dyDescent="0.2">
      <c r="A341" s="281" t="s">
        <v>181</v>
      </c>
      <c r="I341" s="281">
        <v>0</v>
      </c>
      <c r="J341" s="281">
        <v>0</v>
      </c>
    </row>
    <row r="343" spans="1:11" ht="15" x14ac:dyDescent="0.25">
      <c r="A343" s="447" t="s">
        <v>3568</v>
      </c>
      <c r="B343" s="447"/>
      <c r="C343" s="447"/>
      <c r="D343" s="447"/>
      <c r="E343" s="447"/>
      <c r="F343" s="447"/>
      <c r="G343" s="447"/>
      <c r="H343" s="445">
        <v>398885.56</v>
      </c>
      <c r="I343" s="446"/>
      <c r="J343" s="445">
        <v>2178869.4</v>
      </c>
      <c r="K343" s="446"/>
    </row>
    <row r="344" spans="1:11" hidden="1" x14ac:dyDescent="0.2">
      <c r="A344" s="281" t="s">
        <v>182</v>
      </c>
      <c r="I344" s="281">
        <v>0</v>
      </c>
      <c r="J344" s="281">
        <v>0</v>
      </c>
    </row>
    <row r="345" spans="1:11" hidden="1" x14ac:dyDescent="0.2">
      <c r="A345" s="281" t="s">
        <v>181</v>
      </c>
      <c r="I345" s="281">
        <v>0</v>
      </c>
      <c r="J345" s="281">
        <v>0</v>
      </c>
    </row>
    <row r="346" spans="1:11" ht="14.25" x14ac:dyDescent="0.2">
      <c r="C346" s="442" t="s">
        <v>1920</v>
      </c>
      <c r="D346" s="442"/>
      <c r="E346" s="442"/>
      <c r="F346" s="442"/>
      <c r="G346" s="442"/>
      <c r="H346" s="443">
        <v>379355.16</v>
      </c>
      <c r="I346" s="443"/>
      <c r="J346" s="443">
        <v>1843512.04</v>
      </c>
      <c r="K346" s="443"/>
    </row>
    <row r="347" spans="1:11" ht="14.25" x14ac:dyDescent="0.2">
      <c r="C347" s="442" t="s">
        <v>1934</v>
      </c>
      <c r="D347" s="442"/>
      <c r="E347" s="442"/>
      <c r="F347" s="442"/>
      <c r="G347" s="442"/>
      <c r="H347" s="443">
        <v>80191.81</v>
      </c>
      <c r="I347" s="443"/>
      <c r="J347" s="443">
        <v>328821.40000000002</v>
      </c>
      <c r="K347" s="443"/>
    </row>
    <row r="348" spans="1:11" ht="14.25" x14ac:dyDescent="0.2">
      <c r="C348" s="442" t="s">
        <v>1935</v>
      </c>
      <c r="D348" s="442"/>
      <c r="E348" s="442"/>
      <c r="F348" s="442"/>
      <c r="G348" s="442"/>
      <c r="H348" s="443">
        <v>287256.77</v>
      </c>
      <c r="I348" s="443"/>
      <c r="J348" s="443">
        <v>1254502.44</v>
      </c>
      <c r="K348" s="443"/>
    </row>
    <row r="349" spans="1:11" ht="14.25" x14ac:dyDescent="0.2">
      <c r="C349" s="442" t="s">
        <v>1938</v>
      </c>
      <c r="D349" s="442"/>
      <c r="E349" s="442"/>
      <c r="F349" s="442"/>
      <c r="G349" s="442"/>
      <c r="H349" s="443">
        <v>10697.69</v>
      </c>
      <c r="I349" s="443"/>
      <c r="J349" s="443">
        <v>249791.07</v>
      </c>
      <c r="K349" s="443"/>
    </row>
    <row r="350" spans="1:11" ht="14.25" x14ac:dyDescent="0.2">
      <c r="C350" s="442" t="s">
        <v>1939</v>
      </c>
      <c r="D350" s="442"/>
      <c r="E350" s="442"/>
      <c r="F350" s="442"/>
      <c r="G350" s="442"/>
      <c r="H350" s="443">
        <v>0</v>
      </c>
      <c r="I350" s="443"/>
      <c r="J350" s="443">
        <v>0</v>
      </c>
      <c r="K350" s="443"/>
    </row>
    <row r="351" spans="1:11" ht="14.25" x14ac:dyDescent="0.2">
      <c r="C351" s="442" t="s">
        <v>1940</v>
      </c>
      <c r="D351" s="442"/>
      <c r="E351" s="442"/>
      <c r="F351" s="442"/>
      <c r="G351" s="442"/>
      <c r="H351" s="443">
        <v>109499</v>
      </c>
      <c r="I351" s="443"/>
      <c r="J351" s="443">
        <v>881943.8</v>
      </c>
      <c r="K351" s="443"/>
    </row>
    <row r="352" spans="1:11" ht="14.25" x14ac:dyDescent="0.2">
      <c r="C352" s="442" t="s">
        <v>1941</v>
      </c>
      <c r="D352" s="442"/>
      <c r="E352" s="442"/>
      <c r="F352" s="442"/>
      <c r="G352" s="442"/>
      <c r="H352" s="443">
        <v>2129.79</v>
      </c>
      <c r="I352" s="443"/>
      <c r="J352" s="443">
        <v>42423.16</v>
      </c>
      <c r="K352" s="443"/>
    </row>
    <row r="353" spans="1:11" ht="14.25" x14ac:dyDescent="0.2">
      <c r="C353" s="442" t="s">
        <v>1942</v>
      </c>
      <c r="D353" s="442"/>
      <c r="E353" s="442"/>
      <c r="F353" s="442"/>
      <c r="G353" s="442"/>
      <c r="H353" s="443">
        <v>11659.78</v>
      </c>
      <c r="I353" s="443"/>
      <c r="J353" s="443">
        <v>220346.37</v>
      </c>
      <c r="K353" s="443"/>
    </row>
    <row r="354" spans="1:11" ht="14.25" x14ac:dyDescent="0.2">
      <c r="C354" s="442" t="s">
        <v>1943</v>
      </c>
      <c r="D354" s="442"/>
      <c r="E354" s="442"/>
      <c r="F354" s="442"/>
      <c r="G354" s="442"/>
      <c r="H354" s="443">
        <v>7488.41</v>
      </c>
      <c r="I354" s="443"/>
      <c r="J354" s="443">
        <v>107004.2</v>
      </c>
      <c r="K354" s="443"/>
    </row>
    <row r="355" spans="1:11" ht="14.25" x14ac:dyDescent="0.2">
      <c r="C355" s="442" t="s">
        <v>1944</v>
      </c>
      <c r="D355" s="442"/>
      <c r="E355" s="442"/>
      <c r="F355" s="442"/>
      <c r="G355" s="442"/>
      <c r="H355" s="443">
        <v>398885.56</v>
      </c>
      <c r="I355" s="443"/>
      <c r="J355" s="443">
        <v>2178869.4</v>
      </c>
      <c r="K355" s="443"/>
    </row>
    <row r="358" spans="1:11" ht="14.25" x14ac:dyDescent="0.2">
      <c r="A358" s="440" t="s">
        <v>180</v>
      </c>
      <c r="B358" s="440"/>
      <c r="C358" s="317" t="s">
        <v>107</v>
      </c>
      <c r="D358" s="317"/>
      <c r="E358" s="317"/>
      <c r="F358" s="317"/>
      <c r="G358" s="317"/>
      <c r="H358" s="287" t="s">
        <v>107</v>
      </c>
      <c r="I358" s="287"/>
      <c r="J358" s="287"/>
      <c r="K358" s="287"/>
    </row>
    <row r="359" spans="1:11" ht="14.25" x14ac:dyDescent="0.2">
      <c r="A359" s="287"/>
      <c r="B359" s="287"/>
      <c r="C359" s="468" t="s">
        <v>72</v>
      </c>
      <c r="D359" s="468"/>
      <c r="E359" s="468"/>
      <c r="F359" s="468"/>
      <c r="G359" s="468"/>
      <c r="H359" s="287"/>
      <c r="I359" s="287"/>
      <c r="J359" s="287"/>
      <c r="K359" s="287"/>
    </row>
    <row r="360" spans="1:11" ht="14.25" x14ac:dyDescent="0.2">
      <c r="A360" s="287"/>
      <c r="B360" s="287"/>
      <c r="C360" s="287"/>
      <c r="D360" s="287"/>
      <c r="E360" s="287"/>
      <c r="F360" s="287"/>
      <c r="G360" s="287"/>
      <c r="H360" s="287"/>
      <c r="I360" s="287"/>
      <c r="J360" s="287"/>
      <c r="K360" s="287"/>
    </row>
    <row r="361" spans="1:11" ht="14.25" x14ac:dyDescent="0.2">
      <c r="A361" s="440" t="s">
        <v>179</v>
      </c>
      <c r="B361" s="440"/>
      <c r="C361" s="317" t="s">
        <v>107</v>
      </c>
      <c r="D361" s="317"/>
      <c r="E361" s="317"/>
      <c r="F361" s="317"/>
      <c r="G361" s="317"/>
      <c r="H361" s="287" t="s">
        <v>107</v>
      </c>
      <c r="I361" s="287"/>
      <c r="J361" s="287"/>
      <c r="K361" s="287"/>
    </row>
    <row r="362" spans="1:11" ht="14.25" x14ac:dyDescent="0.2">
      <c r="A362" s="287"/>
      <c r="B362" s="287"/>
      <c r="C362" s="468" t="s">
        <v>72</v>
      </c>
      <c r="D362" s="468"/>
      <c r="E362" s="468"/>
      <c r="F362" s="468"/>
      <c r="G362" s="468"/>
      <c r="H362" s="287"/>
      <c r="I362" s="287"/>
      <c r="J362" s="287"/>
      <c r="K362" s="287"/>
    </row>
  </sheetData>
  <mergeCells count="162">
    <mergeCell ref="A358:B358"/>
    <mergeCell ref="C359:G359"/>
    <mergeCell ref="A361:B361"/>
    <mergeCell ref="C362:G362"/>
    <mergeCell ref="C354:G354"/>
    <mergeCell ref="H354:I354"/>
    <mergeCell ref="J354:K354"/>
    <mergeCell ref="C355:G355"/>
    <mergeCell ref="H355:I355"/>
    <mergeCell ref="J355:K355"/>
    <mergeCell ref="C352:G352"/>
    <mergeCell ref="H352:I352"/>
    <mergeCell ref="J352:K352"/>
    <mergeCell ref="C353:G353"/>
    <mergeCell ref="H353:I353"/>
    <mergeCell ref="J353:K353"/>
    <mergeCell ref="C349:G349"/>
    <mergeCell ref="H349:I349"/>
    <mergeCell ref="J349:K349"/>
    <mergeCell ref="C350:G350"/>
    <mergeCell ref="H350:I350"/>
    <mergeCell ref="J350:K350"/>
    <mergeCell ref="C351:G351"/>
    <mergeCell ref="H351:I351"/>
    <mergeCell ref="J351:K351"/>
    <mergeCell ref="C346:G346"/>
    <mergeCell ref="H346:I346"/>
    <mergeCell ref="J346:K346"/>
    <mergeCell ref="C347:G347"/>
    <mergeCell ref="H347:I347"/>
    <mergeCell ref="J347:K347"/>
    <mergeCell ref="C348:G348"/>
    <mergeCell ref="H348:I348"/>
    <mergeCell ref="J348:K348"/>
    <mergeCell ref="A330:K330"/>
    <mergeCell ref="J336:K336"/>
    <mergeCell ref="H336:I336"/>
    <mergeCell ref="J339:K339"/>
    <mergeCell ref="H339:I339"/>
    <mergeCell ref="A339:G339"/>
    <mergeCell ref="J343:K343"/>
    <mergeCell ref="H343:I343"/>
    <mergeCell ref="A343:G343"/>
    <mergeCell ref="A292:K292"/>
    <mergeCell ref="J306:K306"/>
    <mergeCell ref="H306:I306"/>
    <mergeCell ref="J319:K319"/>
    <mergeCell ref="H319:I319"/>
    <mergeCell ref="J322:K322"/>
    <mergeCell ref="H322:I322"/>
    <mergeCell ref="A322:G322"/>
    <mergeCell ref="J326:K326"/>
    <mergeCell ref="H326:I326"/>
    <mergeCell ref="A326:G326"/>
    <mergeCell ref="A277:K277"/>
    <mergeCell ref="J279:K279"/>
    <mergeCell ref="H279:I279"/>
    <mergeCell ref="J282:K282"/>
    <mergeCell ref="H282:I282"/>
    <mergeCell ref="J285:K285"/>
    <mergeCell ref="H285:I285"/>
    <mergeCell ref="J288:K288"/>
    <mergeCell ref="H288:I288"/>
    <mergeCell ref="A288:G288"/>
    <mergeCell ref="A230:G230"/>
    <mergeCell ref="A234:K234"/>
    <mergeCell ref="J245:K245"/>
    <mergeCell ref="H245:I245"/>
    <mergeCell ref="J258:K258"/>
    <mergeCell ref="H258:I258"/>
    <mergeCell ref="J270:K270"/>
    <mergeCell ref="H270:I270"/>
    <mergeCell ref="J273:K273"/>
    <mergeCell ref="H273:I273"/>
    <mergeCell ref="A273:G273"/>
    <mergeCell ref="J218:K218"/>
    <mergeCell ref="H218:I218"/>
    <mergeCell ref="J221:K221"/>
    <mergeCell ref="H221:I221"/>
    <mergeCell ref="J224:K224"/>
    <mergeCell ref="H224:I224"/>
    <mergeCell ref="J227:K227"/>
    <mergeCell ref="H227:I227"/>
    <mergeCell ref="J230:K230"/>
    <mergeCell ref="H230:I230"/>
    <mergeCell ref="J203:K203"/>
    <mergeCell ref="H203:I203"/>
    <mergeCell ref="J206:K206"/>
    <mergeCell ref="H206:I206"/>
    <mergeCell ref="A206:G206"/>
    <mergeCell ref="A210:K210"/>
    <mergeCell ref="J212:K212"/>
    <mergeCell ref="H212:I212"/>
    <mergeCell ref="J215:K215"/>
    <mergeCell ref="H215:I215"/>
    <mergeCell ref="J177:K177"/>
    <mergeCell ref="H177:I177"/>
    <mergeCell ref="J180:K180"/>
    <mergeCell ref="H180:I180"/>
    <mergeCell ref="J183:K183"/>
    <mergeCell ref="H183:I183"/>
    <mergeCell ref="A183:G183"/>
    <mergeCell ref="A187:K187"/>
    <mergeCell ref="J194:K194"/>
    <mergeCell ref="H194:I194"/>
    <mergeCell ref="A159:G159"/>
    <mergeCell ref="A163:K163"/>
    <mergeCell ref="J165:K165"/>
    <mergeCell ref="H165:I165"/>
    <mergeCell ref="J168:K168"/>
    <mergeCell ref="H168:I168"/>
    <mergeCell ref="J171:K171"/>
    <mergeCell ref="H171:I171"/>
    <mergeCell ref="J174:K174"/>
    <mergeCell ref="H174:I174"/>
    <mergeCell ref="J123:K123"/>
    <mergeCell ref="H123:I123"/>
    <mergeCell ref="J134:K134"/>
    <mergeCell ref="H134:I134"/>
    <mergeCell ref="J145:K145"/>
    <mergeCell ref="H145:I145"/>
    <mergeCell ref="J156:K156"/>
    <mergeCell ref="H156:I156"/>
    <mergeCell ref="J159:K159"/>
    <mergeCell ref="H159:I159"/>
    <mergeCell ref="J66:K66"/>
    <mergeCell ref="H66:I66"/>
    <mergeCell ref="J77:K77"/>
    <mergeCell ref="H77:I77"/>
    <mergeCell ref="J89:K89"/>
    <mergeCell ref="H89:I89"/>
    <mergeCell ref="J100:K100"/>
    <mergeCell ref="H100:I100"/>
    <mergeCell ref="J111:K111"/>
    <mergeCell ref="H111:I111"/>
    <mergeCell ref="F25:H25"/>
    <mergeCell ref="F26:H26"/>
    <mergeCell ref="F27:H27"/>
    <mergeCell ref="F29:H29"/>
    <mergeCell ref="A32:K32"/>
    <mergeCell ref="A36:K36"/>
    <mergeCell ref="A38:K38"/>
    <mergeCell ref="J54:K54"/>
    <mergeCell ref="H54:I54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B3:E3"/>
    <mergeCell ref="G3:K3"/>
    <mergeCell ref="B4:E4"/>
    <mergeCell ref="G4:K4"/>
    <mergeCell ref="B6:E6"/>
    <mergeCell ref="G6:K6"/>
    <mergeCell ref="B7:E7"/>
    <mergeCell ref="G7:K7"/>
    <mergeCell ref="A10:K10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N288"/>
  <sheetViews>
    <sheetView zoomScaleNormal="100" workbookViewId="0">
      <selection sqref="A1:AN1048576"/>
    </sheetView>
  </sheetViews>
  <sheetFormatPr defaultColWidth="9.140625" defaultRowHeight="12.75" x14ac:dyDescent="0.2"/>
  <cols>
    <col min="1" max="1" width="5.7109375" style="281" customWidth="1"/>
    <col min="2" max="2" width="11.7109375" style="281" customWidth="1"/>
    <col min="3" max="3" width="40.7109375" style="281" customWidth="1"/>
    <col min="4" max="6" width="11.7109375" style="281" customWidth="1"/>
    <col min="7" max="7" width="12.7109375" style="281" customWidth="1"/>
    <col min="8" max="8" width="10.7109375" style="281" customWidth="1"/>
    <col min="9" max="11" width="12.7109375" style="281" customWidth="1"/>
    <col min="12" max="14" width="9.140625" style="281"/>
    <col min="15" max="30" width="0" style="281" hidden="1" customWidth="1"/>
    <col min="31" max="31" width="150.7109375" style="281" hidden="1" customWidth="1"/>
    <col min="32" max="36" width="0" style="281" hidden="1" customWidth="1"/>
    <col min="37" max="40" width="9.140625" style="281"/>
    <col min="41" max="16384" width="9.140625" style="160"/>
  </cols>
  <sheetData>
    <row r="1" spans="1:31" x14ac:dyDescent="0.2">
      <c r="A1" s="285" t="s">
        <v>1523</v>
      </c>
    </row>
    <row r="2" spans="1:31" ht="14.25" x14ac:dyDescent="0.2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7" t="s">
        <v>381</v>
      </c>
    </row>
    <row r="3" spans="1:31" ht="16.5" x14ac:dyDescent="0.25">
      <c r="A3" s="288"/>
      <c r="B3" s="458" t="s">
        <v>380</v>
      </c>
      <c r="C3" s="458"/>
      <c r="D3" s="458"/>
      <c r="E3" s="458"/>
      <c r="F3" s="287"/>
      <c r="G3" s="458" t="s">
        <v>0</v>
      </c>
      <c r="H3" s="458"/>
      <c r="I3" s="458"/>
      <c r="J3" s="458"/>
      <c r="K3" s="458"/>
    </row>
    <row r="4" spans="1:31" ht="14.25" x14ac:dyDescent="0.2">
      <c r="A4" s="287"/>
      <c r="B4" s="450"/>
      <c r="C4" s="450"/>
      <c r="D4" s="450"/>
      <c r="E4" s="450"/>
      <c r="F4" s="287"/>
      <c r="G4" s="450"/>
      <c r="H4" s="450"/>
      <c r="I4" s="450"/>
      <c r="J4" s="450"/>
      <c r="K4" s="450"/>
    </row>
    <row r="5" spans="1:31" ht="14.25" x14ac:dyDescent="0.2">
      <c r="A5" s="289"/>
      <c r="B5" s="289"/>
      <c r="C5" s="290"/>
      <c r="D5" s="290"/>
      <c r="E5" s="290"/>
      <c r="F5" s="287"/>
      <c r="G5" s="188"/>
      <c r="H5" s="290"/>
      <c r="I5" s="290"/>
      <c r="J5" s="290"/>
      <c r="K5" s="188"/>
    </row>
    <row r="6" spans="1:31" ht="14.25" x14ac:dyDescent="0.2">
      <c r="A6" s="188"/>
      <c r="B6" s="450" t="s">
        <v>1524</v>
      </c>
      <c r="C6" s="450"/>
      <c r="D6" s="450"/>
      <c r="E6" s="450"/>
      <c r="F6" s="287"/>
      <c r="G6" s="450" t="s">
        <v>1524</v>
      </c>
      <c r="H6" s="450"/>
      <c r="I6" s="450"/>
      <c r="J6" s="450"/>
      <c r="K6" s="450"/>
    </row>
    <row r="7" spans="1:31" ht="14.25" x14ac:dyDescent="0.2">
      <c r="A7" s="291"/>
      <c r="B7" s="459" t="s">
        <v>379</v>
      </c>
      <c r="C7" s="459"/>
      <c r="D7" s="459"/>
      <c r="E7" s="459"/>
      <c r="F7" s="287"/>
      <c r="G7" s="459" t="s">
        <v>379</v>
      </c>
      <c r="H7" s="459"/>
      <c r="I7" s="459"/>
      <c r="J7" s="459"/>
      <c r="K7" s="459"/>
    </row>
    <row r="9" spans="1:31" ht="14.25" x14ac:dyDescent="0.2">
      <c r="A9" s="287"/>
      <c r="B9" s="287"/>
      <c r="C9" s="287"/>
      <c r="D9" s="287"/>
      <c r="E9" s="287"/>
      <c r="F9" s="287"/>
      <c r="G9" s="287"/>
      <c r="H9" s="287"/>
      <c r="I9" s="287"/>
      <c r="J9" s="287"/>
      <c r="K9" s="287"/>
    </row>
    <row r="10" spans="1:31" ht="47.25" x14ac:dyDescent="0.25">
      <c r="A10" s="464" t="s">
        <v>3850</v>
      </c>
      <c r="B10" s="464"/>
      <c r="C10" s="464"/>
      <c r="D10" s="464"/>
      <c r="E10" s="464"/>
      <c r="F10" s="464"/>
      <c r="G10" s="464"/>
      <c r="H10" s="464"/>
      <c r="I10" s="464"/>
      <c r="J10" s="464"/>
      <c r="K10" s="464"/>
      <c r="AE10" s="319" t="str">
        <f>IF([15]Source!G12&lt;&gt;"Новый объект", [15]Source!G12,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60" t="s">
        <v>75</v>
      </c>
      <c r="B11" s="460"/>
      <c r="C11" s="460"/>
      <c r="D11" s="460"/>
      <c r="E11" s="460"/>
      <c r="F11" s="460"/>
      <c r="G11" s="460"/>
      <c r="H11" s="460"/>
      <c r="I11" s="460"/>
      <c r="J11" s="460"/>
      <c r="K11" s="460"/>
    </row>
    <row r="12" spans="1:31" ht="14.25" x14ac:dyDescent="0.2">
      <c r="A12" s="287"/>
      <c r="B12" s="287"/>
      <c r="C12" s="287"/>
      <c r="D12" s="287"/>
      <c r="E12" s="287"/>
      <c r="F12" s="287"/>
      <c r="G12" s="287"/>
      <c r="H12" s="287"/>
      <c r="I12" s="287"/>
      <c r="J12" s="287"/>
      <c r="K12" s="287"/>
    </row>
    <row r="13" spans="1:31" ht="15.75" x14ac:dyDescent="0.25">
      <c r="A13" s="464" t="s">
        <v>3894</v>
      </c>
      <c r="B13" s="465"/>
      <c r="C13" s="465"/>
      <c r="D13" s="465"/>
      <c r="E13" s="465"/>
      <c r="F13" s="465"/>
      <c r="G13" s="465"/>
      <c r="H13" s="465"/>
      <c r="I13" s="465"/>
      <c r="J13" s="465"/>
      <c r="K13" s="465"/>
    </row>
    <row r="14" spans="1:31" ht="14.25" x14ac:dyDescent="0.2">
      <c r="A14" s="287"/>
      <c r="B14" s="287"/>
      <c r="C14" s="287"/>
      <c r="D14" s="287"/>
      <c r="E14" s="287"/>
      <c r="F14" s="287"/>
      <c r="G14" s="287"/>
      <c r="H14" s="287"/>
      <c r="I14" s="287"/>
      <c r="J14" s="287"/>
      <c r="K14" s="287"/>
    </row>
    <row r="15" spans="1:31" ht="18" x14ac:dyDescent="0.25">
      <c r="A15" s="466" t="s">
        <v>175</v>
      </c>
      <c r="B15" s="466"/>
      <c r="C15" s="466"/>
      <c r="D15" s="466"/>
      <c r="E15" s="466"/>
      <c r="F15" s="466"/>
      <c r="G15" s="466"/>
      <c r="H15" s="466"/>
      <c r="I15" s="466"/>
      <c r="J15" s="466"/>
      <c r="K15" s="466"/>
    </row>
    <row r="16" spans="1:31" x14ac:dyDescent="0.2">
      <c r="A16" s="455" t="s">
        <v>378</v>
      </c>
      <c r="B16" s="456"/>
      <c r="C16" s="456"/>
      <c r="D16" s="456"/>
      <c r="E16" s="456"/>
      <c r="F16" s="456"/>
      <c r="G16" s="456"/>
      <c r="H16" s="456"/>
      <c r="I16" s="456"/>
      <c r="J16" s="456"/>
      <c r="K16" s="456"/>
    </row>
    <row r="17" spans="1:31" ht="14.25" x14ac:dyDescent="0.2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</row>
    <row r="18" spans="1:31" ht="14.25" x14ac:dyDescent="0.2">
      <c r="A18" s="463" t="s">
        <v>3569</v>
      </c>
      <c r="B18" s="463"/>
      <c r="C18" s="463"/>
      <c r="D18" s="463"/>
      <c r="E18" s="463"/>
      <c r="F18" s="463"/>
      <c r="G18" s="463"/>
      <c r="H18" s="463"/>
      <c r="I18" s="463"/>
      <c r="J18" s="463"/>
      <c r="K18" s="463"/>
    </row>
    <row r="19" spans="1:31" ht="14.25" x14ac:dyDescent="0.2">
      <c r="A19" s="293"/>
      <c r="B19" s="293"/>
      <c r="C19" s="293"/>
      <c r="D19" s="293"/>
      <c r="E19" s="293"/>
      <c r="F19" s="293"/>
      <c r="G19" s="293"/>
      <c r="H19" s="293"/>
      <c r="I19" s="293"/>
      <c r="J19" s="293"/>
      <c r="K19" s="293"/>
    </row>
    <row r="20" spans="1:31" ht="28.5" x14ac:dyDescent="0.2">
      <c r="A20" s="287"/>
      <c r="B20" s="287"/>
      <c r="C20" s="287"/>
      <c r="D20" s="287"/>
      <c r="E20" s="287"/>
      <c r="F20" s="287"/>
      <c r="G20" s="287"/>
      <c r="H20" s="287"/>
      <c r="I20" s="294" t="s">
        <v>377</v>
      </c>
      <c r="J20" s="294" t="s">
        <v>376</v>
      </c>
      <c r="K20" s="287"/>
    </row>
    <row r="21" spans="1:31" ht="15" x14ac:dyDescent="0.25">
      <c r="A21" s="287"/>
      <c r="B21" s="287"/>
      <c r="C21" s="287"/>
      <c r="D21" s="287"/>
      <c r="E21" s="287"/>
      <c r="F21" s="457" t="s">
        <v>375</v>
      </c>
      <c r="G21" s="457"/>
      <c r="H21" s="457"/>
      <c r="I21" s="295">
        <v>80.3</v>
      </c>
      <c r="J21" s="295">
        <v>487.46</v>
      </c>
      <c r="K21" s="296" t="s">
        <v>366</v>
      </c>
    </row>
    <row r="22" spans="1:31" ht="14.25" x14ac:dyDescent="0.2">
      <c r="A22" s="287"/>
      <c r="B22" s="287"/>
      <c r="C22" s="287"/>
      <c r="D22" s="287"/>
      <c r="E22" s="287"/>
      <c r="F22" s="450" t="s">
        <v>374</v>
      </c>
      <c r="G22" s="450"/>
      <c r="H22" s="450"/>
      <c r="I22" s="297">
        <v>4.8899999999999997</v>
      </c>
      <c r="J22" s="297">
        <v>11.99</v>
      </c>
      <c r="K22" s="287" t="s">
        <v>366</v>
      </c>
    </row>
    <row r="23" spans="1:31" ht="14.25" x14ac:dyDescent="0.2">
      <c r="A23" s="287"/>
      <c r="B23" s="287"/>
      <c r="C23" s="287"/>
      <c r="D23" s="287"/>
      <c r="E23" s="287"/>
      <c r="F23" s="450" t="s">
        <v>373</v>
      </c>
      <c r="G23" s="450"/>
      <c r="H23" s="450"/>
      <c r="I23" s="297">
        <v>56.04</v>
      </c>
      <c r="J23" s="297">
        <v>399.65</v>
      </c>
      <c r="K23" s="287" t="s">
        <v>366</v>
      </c>
    </row>
    <row r="24" spans="1:31" ht="14.25" x14ac:dyDescent="0.2">
      <c r="A24" s="287"/>
      <c r="B24" s="287"/>
      <c r="C24" s="287"/>
      <c r="D24" s="287"/>
      <c r="E24" s="287"/>
      <c r="F24" s="450" t="s">
        <v>106</v>
      </c>
      <c r="G24" s="450"/>
      <c r="H24" s="450"/>
      <c r="I24" s="297">
        <v>19.12</v>
      </c>
      <c r="J24" s="297">
        <v>70.75</v>
      </c>
      <c r="K24" s="287" t="s">
        <v>366</v>
      </c>
    </row>
    <row r="25" spans="1:31" ht="14.25" x14ac:dyDescent="0.2">
      <c r="A25" s="287"/>
      <c r="B25" s="287"/>
      <c r="C25" s="287"/>
      <c r="D25" s="287"/>
      <c r="E25" s="287"/>
      <c r="F25" s="450" t="s">
        <v>372</v>
      </c>
      <c r="G25" s="450"/>
      <c r="H25" s="450"/>
      <c r="I25" s="297">
        <v>0.25</v>
      </c>
      <c r="J25" s="297">
        <v>5.07</v>
      </c>
      <c r="K25" s="287" t="s">
        <v>366</v>
      </c>
    </row>
    <row r="26" spans="1:31" ht="14.25" x14ac:dyDescent="0.2">
      <c r="A26" s="287"/>
      <c r="B26" s="287"/>
      <c r="C26" s="287"/>
      <c r="D26" s="287"/>
      <c r="E26" s="287"/>
      <c r="F26" s="450" t="s">
        <v>371</v>
      </c>
      <c r="G26" s="450"/>
      <c r="H26" s="450"/>
      <c r="I26" s="297">
        <v>5.12</v>
      </c>
      <c r="J26" s="297">
        <v>119.58</v>
      </c>
      <c r="K26" s="287" t="s">
        <v>366</v>
      </c>
    </row>
    <row r="27" spans="1:31" ht="14.25" x14ac:dyDescent="0.2">
      <c r="A27" s="287"/>
      <c r="B27" s="287"/>
      <c r="C27" s="287"/>
      <c r="D27" s="287"/>
      <c r="E27" s="287"/>
      <c r="F27" s="450" t="s">
        <v>370</v>
      </c>
      <c r="G27" s="450"/>
      <c r="H27" s="450"/>
      <c r="I27" s="297">
        <v>393.21</v>
      </c>
      <c r="J27" s="297"/>
      <c r="K27" s="287" t="s">
        <v>369</v>
      </c>
    </row>
    <row r="28" spans="1:31" ht="14.25" hidden="1" x14ac:dyDescent="0.2">
      <c r="A28" s="287"/>
      <c r="B28" s="287"/>
      <c r="C28" s="287"/>
      <c r="D28" s="287"/>
      <c r="E28" s="287"/>
      <c r="F28" s="188" t="s">
        <v>368</v>
      </c>
      <c r="G28" s="188"/>
      <c r="H28" s="188"/>
      <c r="I28" s="297"/>
      <c r="J28" s="297"/>
      <c r="K28" s="287"/>
    </row>
    <row r="29" spans="1:31" ht="14.25" hidden="1" x14ac:dyDescent="0.2">
      <c r="A29" s="287"/>
      <c r="B29" s="287"/>
      <c r="C29" s="287"/>
      <c r="D29" s="287"/>
      <c r="E29" s="287"/>
      <c r="F29" s="419" t="s">
        <v>367</v>
      </c>
      <c r="G29" s="420"/>
      <c r="H29" s="420"/>
      <c r="I29" s="297">
        <v>0</v>
      </c>
      <c r="J29" s="297">
        <v>0</v>
      </c>
      <c r="K29" s="287" t="s">
        <v>366</v>
      </c>
    </row>
    <row r="30" spans="1:31" ht="14.25" x14ac:dyDescent="0.2">
      <c r="A30" s="287"/>
      <c r="B30" s="287"/>
      <c r="C30" s="287"/>
      <c r="D30" s="287"/>
      <c r="E30" s="287"/>
      <c r="F30" s="188"/>
      <c r="G30" s="188"/>
      <c r="H30" s="188"/>
      <c r="I30" s="297"/>
      <c r="J30" s="297"/>
      <c r="K30" s="287"/>
    </row>
    <row r="31" spans="1:31" ht="14.25" x14ac:dyDescent="0.2">
      <c r="A31" s="287" t="s">
        <v>365</v>
      </c>
      <c r="B31" s="287"/>
      <c r="C31" s="287"/>
      <c r="D31" s="287"/>
      <c r="E31" s="287"/>
      <c r="F31" s="188"/>
      <c r="G31" s="188"/>
      <c r="H31" s="188"/>
      <c r="I31" s="297"/>
      <c r="J31" s="297"/>
      <c r="K31" s="287"/>
    </row>
    <row r="32" spans="1:31" ht="14.25" x14ac:dyDescent="0.2">
      <c r="A32" s="463" t="s">
        <v>1249</v>
      </c>
      <c r="B32" s="463"/>
      <c r="C32" s="463"/>
      <c r="D32" s="463"/>
      <c r="E32" s="463"/>
      <c r="F32" s="463"/>
      <c r="G32" s="463"/>
      <c r="H32" s="463"/>
      <c r="I32" s="463"/>
      <c r="J32" s="463"/>
      <c r="K32" s="463"/>
      <c r="AE32" s="320" t="s">
        <v>1249</v>
      </c>
    </row>
    <row r="33" spans="1:22" ht="85.5" x14ac:dyDescent="0.2">
      <c r="A33" s="299" t="s">
        <v>81</v>
      </c>
      <c r="B33" s="299" t="s">
        <v>363</v>
      </c>
      <c r="C33" s="299" t="s">
        <v>83</v>
      </c>
      <c r="D33" s="299" t="s">
        <v>362</v>
      </c>
      <c r="E33" s="299" t="s">
        <v>361</v>
      </c>
      <c r="F33" s="299" t="s">
        <v>360</v>
      </c>
      <c r="G33" s="300" t="s">
        <v>359</v>
      </c>
      <c r="H33" s="300" t="s">
        <v>358</v>
      </c>
      <c r="I33" s="299" t="s">
        <v>357</v>
      </c>
      <c r="J33" s="299" t="s">
        <v>356</v>
      </c>
      <c r="K33" s="299" t="s">
        <v>355</v>
      </c>
    </row>
    <row r="34" spans="1:22" ht="14.25" x14ac:dyDescent="0.2">
      <c r="A34" s="299">
        <v>1</v>
      </c>
      <c r="B34" s="299">
        <v>2</v>
      </c>
      <c r="C34" s="299">
        <v>3</v>
      </c>
      <c r="D34" s="299">
        <v>4</v>
      </c>
      <c r="E34" s="299">
        <v>5</v>
      </c>
      <c r="F34" s="299">
        <v>6</v>
      </c>
      <c r="G34" s="299">
        <v>7</v>
      </c>
      <c r="H34" s="299">
        <v>8</v>
      </c>
      <c r="I34" s="299">
        <v>9</v>
      </c>
      <c r="J34" s="299">
        <v>10</v>
      </c>
      <c r="K34" s="299">
        <v>11</v>
      </c>
    </row>
    <row r="36" spans="1:22" ht="16.5" x14ac:dyDescent="0.25">
      <c r="A36" s="448" t="s">
        <v>3570</v>
      </c>
      <c r="B36" s="448"/>
      <c r="C36" s="448"/>
      <c r="D36" s="448"/>
      <c r="E36" s="448"/>
      <c r="F36" s="448"/>
      <c r="G36" s="448"/>
      <c r="H36" s="448"/>
      <c r="I36" s="448"/>
      <c r="J36" s="448"/>
      <c r="K36" s="448"/>
    </row>
    <row r="37" spans="1:22" ht="28.5" x14ac:dyDescent="0.2">
      <c r="A37" s="301" t="s">
        <v>1748</v>
      </c>
      <c r="B37" s="302" t="s">
        <v>3571</v>
      </c>
      <c r="C37" s="302" t="s">
        <v>1398</v>
      </c>
      <c r="D37" s="303" t="s">
        <v>1903</v>
      </c>
      <c r="E37" s="286">
        <v>1</v>
      </c>
      <c r="F37" s="321"/>
      <c r="G37" s="305"/>
      <c r="H37" s="286"/>
      <c r="I37" s="304"/>
      <c r="J37" s="286"/>
      <c r="K37" s="304"/>
      <c r="Q37" s="281">
        <f>[15]Source!X28</f>
        <v>67.349999999999994</v>
      </c>
      <c r="R37" s="281">
        <f>[15]Source!X29</f>
        <v>1062.23</v>
      </c>
      <c r="S37" s="281">
        <f>[15]Source!Y28</f>
        <v>39.58</v>
      </c>
      <c r="T37" s="281">
        <f>[15]Source!Y29</f>
        <v>565.6</v>
      </c>
      <c r="U37" s="281">
        <f>ROUND((175/100)*ROUND([15]Source!R28, 2), 2)</f>
        <v>0.11</v>
      </c>
      <c r="V37" s="281">
        <f>ROUND((157/100)*ROUND([15]Source!R29, 2), 2)</f>
        <v>2.2000000000000002</v>
      </c>
    </row>
    <row r="38" spans="1:22" ht="14.25" x14ac:dyDescent="0.2">
      <c r="A38" s="301"/>
      <c r="B38" s="302"/>
      <c r="C38" s="302" t="s">
        <v>197</v>
      </c>
      <c r="D38" s="303"/>
      <c r="E38" s="286"/>
      <c r="F38" s="321">
        <v>59.08</v>
      </c>
      <c r="G38" s="305" t="s">
        <v>195</v>
      </c>
      <c r="H38" s="286">
        <v>1</v>
      </c>
      <c r="I38" s="304">
        <v>59.08</v>
      </c>
      <c r="J38" s="286">
        <v>23.35</v>
      </c>
      <c r="K38" s="304">
        <v>1379.52</v>
      </c>
    </row>
    <row r="39" spans="1:22" ht="14.25" x14ac:dyDescent="0.2">
      <c r="A39" s="301"/>
      <c r="B39" s="302"/>
      <c r="C39" s="302" t="s">
        <v>184</v>
      </c>
      <c r="D39" s="303"/>
      <c r="E39" s="286"/>
      <c r="F39" s="321">
        <v>3.52</v>
      </c>
      <c r="G39" s="305" t="s">
        <v>195</v>
      </c>
      <c r="H39" s="286">
        <v>1</v>
      </c>
      <c r="I39" s="304">
        <v>3.52</v>
      </c>
      <c r="J39" s="286">
        <v>5.66</v>
      </c>
      <c r="K39" s="304">
        <v>19.920000000000002</v>
      </c>
    </row>
    <row r="40" spans="1:22" ht="14.25" x14ac:dyDescent="0.2">
      <c r="A40" s="301"/>
      <c r="B40" s="302"/>
      <c r="C40" s="302" t="s">
        <v>189</v>
      </c>
      <c r="D40" s="303"/>
      <c r="E40" s="286"/>
      <c r="F40" s="321">
        <v>0.06</v>
      </c>
      <c r="G40" s="305" t="s">
        <v>195</v>
      </c>
      <c r="H40" s="286">
        <v>1</v>
      </c>
      <c r="I40" s="306">
        <v>0.06</v>
      </c>
      <c r="J40" s="286">
        <v>23.35</v>
      </c>
      <c r="K40" s="306">
        <v>1.4</v>
      </c>
    </row>
    <row r="41" spans="1:22" ht="14.25" x14ac:dyDescent="0.2">
      <c r="A41" s="301"/>
      <c r="B41" s="302"/>
      <c r="C41" s="302" t="s">
        <v>205</v>
      </c>
      <c r="D41" s="303"/>
      <c r="E41" s="286"/>
      <c r="F41" s="321">
        <v>11.87</v>
      </c>
      <c r="G41" s="305" t="s">
        <v>195</v>
      </c>
      <c r="H41" s="286">
        <v>1</v>
      </c>
      <c r="I41" s="304">
        <v>11.87</v>
      </c>
      <c r="J41" s="286">
        <v>5.42</v>
      </c>
      <c r="K41" s="304">
        <v>64.34</v>
      </c>
    </row>
    <row r="42" spans="1:22" ht="54" x14ac:dyDescent="0.2">
      <c r="A42" s="322" t="s">
        <v>1751</v>
      </c>
      <c r="B42" s="323" t="s">
        <v>3441</v>
      </c>
      <c r="C42" s="323" t="s">
        <v>1401</v>
      </c>
      <c r="D42" s="324" t="s">
        <v>1661</v>
      </c>
      <c r="E42" s="325">
        <v>1</v>
      </c>
      <c r="F42" s="326">
        <v>1277.48</v>
      </c>
      <c r="G42" s="327" t="s">
        <v>195</v>
      </c>
      <c r="H42" s="325">
        <v>1</v>
      </c>
      <c r="I42" s="328">
        <v>1277.48</v>
      </c>
      <c r="J42" s="325">
        <v>4.4000000000000004</v>
      </c>
      <c r="K42" s="328">
        <v>5620.91</v>
      </c>
      <c r="Q42" s="281">
        <f>[15]Source!X30</f>
        <v>0</v>
      </c>
      <c r="R42" s="281">
        <f>[15]Source!X31</f>
        <v>0</v>
      </c>
      <c r="S42" s="281">
        <f>[15]Source!Y30</f>
        <v>0</v>
      </c>
      <c r="T42" s="281">
        <f>[15]Source!Y31</f>
        <v>0</v>
      </c>
      <c r="U42" s="281">
        <f>ROUND((175/100)*ROUND([15]Source!R30, 2), 2)</f>
        <v>0</v>
      </c>
      <c r="V42" s="281">
        <f>ROUND((157/100)*ROUND([15]Source!R31, 2), 2)</f>
        <v>0</v>
      </c>
    </row>
    <row r="43" spans="1:22" ht="14.25" x14ac:dyDescent="0.2">
      <c r="A43" s="301"/>
      <c r="B43" s="302"/>
      <c r="C43" s="302" t="s">
        <v>194</v>
      </c>
      <c r="D43" s="303" t="s">
        <v>187</v>
      </c>
      <c r="E43" s="286">
        <v>112</v>
      </c>
      <c r="F43" s="321"/>
      <c r="G43" s="305"/>
      <c r="H43" s="286"/>
      <c r="I43" s="304">
        <v>67.349999999999994</v>
      </c>
      <c r="J43" s="286">
        <v>77</v>
      </c>
      <c r="K43" s="304">
        <v>1062.23</v>
      </c>
    </row>
    <row r="44" spans="1:22" ht="14.25" x14ac:dyDescent="0.2">
      <c r="A44" s="301"/>
      <c r="B44" s="302"/>
      <c r="C44" s="302" t="s">
        <v>193</v>
      </c>
      <c r="D44" s="303" t="s">
        <v>187</v>
      </c>
      <c r="E44" s="286">
        <v>70</v>
      </c>
      <c r="F44" s="321"/>
      <c r="G44" s="305"/>
      <c r="H44" s="286"/>
      <c r="I44" s="304">
        <v>39.58</v>
      </c>
      <c r="J44" s="286">
        <v>41</v>
      </c>
      <c r="K44" s="304">
        <v>565.6</v>
      </c>
    </row>
    <row r="45" spans="1:22" ht="14.25" x14ac:dyDescent="0.2">
      <c r="A45" s="301"/>
      <c r="B45" s="302"/>
      <c r="C45" s="302" t="s">
        <v>188</v>
      </c>
      <c r="D45" s="303" t="s">
        <v>187</v>
      </c>
      <c r="E45" s="286">
        <v>175</v>
      </c>
      <c r="F45" s="321"/>
      <c r="G45" s="305"/>
      <c r="H45" s="286"/>
      <c r="I45" s="304">
        <v>0.11</v>
      </c>
      <c r="J45" s="286">
        <v>157</v>
      </c>
      <c r="K45" s="304">
        <v>2.2000000000000002</v>
      </c>
    </row>
    <row r="46" spans="1:22" ht="14.25" x14ac:dyDescent="0.2">
      <c r="A46" s="329"/>
      <c r="B46" s="330"/>
      <c r="C46" s="330" t="s">
        <v>192</v>
      </c>
      <c r="D46" s="331" t="s">
        <v>191</v>
      </c>
      <c r="E46" s="332">
        <v>4.68</v>
      </c>
      <c r="F46" s="333"/>
      <c r="G46" s="334" t="s">
        <v>195</v>
      </c>
      <c r="H46" s="332">
        <v>1</v>
      </c>
      <c r="I46" s="335">
        <v>4.68</v>
      </c>
      <c r="J46" s="332"/>
      <c r="K46" s="335"/>
    </row>
    <row r="47" spans="1:22" ht="15" x14ac:dyDescent="0.25">
      <c r="A47" s="336"/>
      <c r="B47" s="336"/>
      <c r="C47" s="337" t="s">
        <v>183</v>
      </c>
      <c r="D47" s="336"/>
      <c r="E47" s="336"/>
      <c r="F47" s="336"/>
      <c r="G47" s="336"/>
      <c r="H47" s="461">
        <v>1458.99</v>
      </c>
      <c r="I47" s="461"/>
      <c r="J47" s="461">
        <v>8714.7199999999993</v>
      </c>
      <c r="K47" s="461"/>
      <c r="O47" s="284">
        <f>I38+I39+I41+I43+I44+I45+SUM(I42:I42)</f>
        <v>1458.99</v>
      </c>
      <c r="P47" s="284">
        <f>K38+K39+K41+K43+K44+K45+SUM(K42:K42)</f>
        <v>8714.7199999999993</v>
      </c>
    </row>
    <row r="49" spans="1:22" ht="14.25" x14ac:dyDescent="0.2">
      <c r="A49" s="301" t="s">
        <v>1753</v>
      </c>
      <c r="B49" s="302" t="s">
        <v>3572</v>
      </c>
      <c r="C49" s="302" t="s">
        <v>1178</v>
      </c>
      <c r="D49" s="303" t="s">
        <v>1890</v>
      </c>
      <c r="E49" s="286">
        <v>0.8</v>
      </c>
      <c r="F49" s="321"/>
      <c r="G49" s="305"/>
      <c r="H49" s="286"/>
      <c r="I49" s="304"/>
      <c r="J49" s="286"/>
      <c r="K49" s="304"/>
      <c r="Q49" s="281">
        <f>[15]Source!X32</f>
        <v>429.53</v>
      </c>
      <c r="R49" s="281">
        <f>[15]Source!X33</f>
        <v>6774.31</v>
      </c>
      <c r="S49" s="281">
        <f>[15]Source!Y32</f>
        <v>252.44</v>
      </c>
      <c r="T49" s="281">
        <f>[15]Source!Y33</f>
        <v>3607.1</v>
      </c>
      <c r="U49" s="281">
        <f>ROUND((175/100)*ROUND([15]Source!R32, 2), 2)</f>
        <v>0.28000000000000003</v>
      </c>
      <c r="V49" s="281">
        <f>ROUND((157/100)*ROUND([15]Source!R33, 2), 2)</f>
        <v>5.87</v>
      </c>
    </row>
    <row r="50" spans="1:22" x14ac:dyDescent="0.2">
      <c r="C50" s="316" t="s">
        <v>3573</v>
      </c>
    </row>
    <row r="51" spans="1:22" ht="14.25" x14ac:dyDescent="0.2">
      <c r="A51" s="301"/>
      <c r="B51" s="302"/>
      <c r="C51" s="302" t="s">
        <v>197</v>
      </c>
      <c r="D51" s="303"/>
      <c r="E51" s="286"/>
      <c r="F51" s="321">
        <v>470.98</v>
      </c>
      <c r="G51" s="305" t="s">
        <v>195</v>
      </c>
      <c r="H51" s="286">
        <v>1</v>
      </c>
      <c r="I51" s="304">
        <v>376.78</v>
      </c>
      <c r="J51" s="286">
        <v>23.35</v>
      </c>
      <c r="K51" s="304">
        <v>8797.81</v>
      </c>
    </row>
    <row r="52" spans="1:22" ht="14.25" x14ac:dyDescent="0.2">
      <c r="A52" s="301"/>
      <c r="B52" s="302"/>
      <c r="C52" s="302" t="s">
        <v>184</v>
      </c>
      <c r="D52" s="303"/>
      <c r="E52" s="286"/>
      <c r="F52" s="321">
        <v>1.1100000000000001</v>
      </c>
      <c r="G52" s="305" t="s">
        <v>195</v>
      </c>
      <c r="H52" s="286">
        <v>1</v>
      </c>
      <c r="I52" s="304">
        <v>0.89</v>
      </c>
      <c r="J52" s="286">
        <v>8.59</v>
      </c>
      <c r="K52" s="304">
        <v>7.65</v>
      </c>
    </row>
    <row r="53" spans="1:22" ht="14.25" x14ac:dyDescent="0.2">
      <c r="A53" s="301"/>
      <c r="B53" s="302"/>
      <c r="C53" s="302" t="s">
        <v>189</v>
      </c>
      <c r="D53" s="303"/>
      <c r="E53" s="286"/>
      <c r="F53" s="321">
        <v>0.2</v>
      </c>
      <c r="G53" s="305" t="s">
        <v>195</v>
      </c>
      <c r="H53" s="286">
        <v>1</v>
      </c>
      <c r="I53" s="306">
        <v>0.16</v>
      </c>
      <c r="J53" s="286">
        <v>23.35</v>
      </c>
      <c r="K53" s="306">
        <v>3.74</v>
      </c>
    </row>
    <row r="54" spans="1:22" ht="14.25" x14ac:dyDescent="0.2">
      <c r="A54" s="301"/>
      <c r="B54" s="302"/>
      <c r="C54" s="302" t="s">
        <v>205</v>
      </c>
      <c r="D54" s="303"/>
      <c r="E54" s="286"/>
      <c r="F54" s="321">
        <v>1.23</v>
      </c>
      <c r="G54" s="305" t="s">
        <v>195</v>
      </c>
      <c r="H54" s="286">
        <v>1</v>
      </c>
      <c r="I54" s="304">
        <v>0.98</v>
      </c>
      <c r="J54" s="286">
        <v>5.42</v>
      </c>
      <c r="K54" s="304">
        <v>5.31</v>
      </c>
    </row>
    <row r="55" spans="1:22" ht="14.25" x14ac:dyDescent="0.2">
      <c r="A55" s="301"/>
      <c r="B55" s="302"/>
      <c r="C55" s="302" t="s">
        <v>194</v>
      </c>
      <c r="D55" s="303" t="s">
        <v>187</v>
      </c>
      <c r="E55" s="286">
        <v>112</v>
      </c>
      <c r="F55" s="321"/>
      <c r="G55" s="305"/>
      <c r="H55" s="286"/>
      <c r="I55" s="304">
        <v>429.53</v>
      </c>
      <c r="J55" s="286">
        <v>77</v>
      </c>
      <c r="K55" s="304">
        <v>6774.31</v>
      </c>
    </row>
    <row r="56" spans="1:22" ht="14.25" x14ac:dyDescent="0.2">
      <c r="A56" s="301"/>
      <c r="B56" s="302"/>
      <c r="C56" s="302" t="s">
        <v>193</v>
      </c>
      <c r="D56" s="303" t="s">
        <v>187</v>
      </c>
      <c r="E56" s="286">
        <v>70</v>
      </c>
      <c r="F56" s="321"/>
      <c r="G56" s="305"/>
      <c r="H56" s="286"/>
      <c r="I56" s="304">
        <v>252.44</v>
      </c>
      <c r="J56" s="286">
        <v>41</v>
      </c>
      <c r="K56" s="304">
        <v>3607.1</v>
      </c>
    </row>
    <row r="57" spans="1:22" ht="14.25" x14ac:dyDescent="0.2">
      <c r="A57" s="301"/>
      <c r="B57" s="302"/>
      <c r="C57" s="302" t="s">
        <v>188</v>
      </c>
      <c r="D57" s="303" t="s">
        <v>187</v>
      </c>
      <c r="E57" s="286">
        <v>175</v>
      </c>
      <c r="F57" s="321"/>
      <c r="G57" s="305"/>
      <c r="H57" s="286"/>
      <c r="I57" s="304">
        <v>0.28000000000000003</v>
      </c>
      <c r="J57" s="286">
        <v>157</v>
      </c>
      <c r="K57" s="304">
        <v>5.87</v>
      </c>
    </row>
    <row r="58" spans="1:22" ht="14.25" x14ac:dyDescent="0.2">
      <c r="A58" s="329"/>
      <c r="B58" s="330"/>
      <c r="C58" s="330" t="s">
        <v>192</v>
      </c>
      <c r="D58" s="331" t="s">
        <v>191</v>
      </c>
      <c r="E58" s="332">
        <v>29.96</v>
      </c>
      <c r="F58" s="333"/>
      <c r="G58" s="334" t="s">
        <v>195</v>
      </c>
      <c r="H58" s="332">
        <v>1</v>
      </c>
      <c r="I58" s="335">
        <v>23.97</v>
      </c>
      <c r="J58" s="332"/>
      <c r="K58" s="335"/>
    </row>
    <row r="59" spans="1:22" ht="15" x14ac:dyDescent="0.25">
      <c r="A59" s="336"/>
      <c r="B59" s="336"/>
      <c r="C59" s="337" t="s">
        <v>183</v>
      </c>
      <c r="D59" s="336"/>
      <c r="E59" s="336"/>
      <c r="F59" s="336"/>
      <c r="G59" s="336"/>
      <c r="H59" s="461">
        <v>1060.9000000000001</v>
      </c>
      <c r="I59" s="461"/>
      <c r="J59" s="461">
        <v>19198.05</v>
      </c>
      <c r="K59" s="461"/>
      <c r="O59" s="284">
        <f>I51+I52+I54+I55+I56+I57</f>
        <v>1060.9000000000001</v>
      </c>
      <c r="P59" s="284">
        <f>K51+K52+K54+K55+K56+K57</f>
        <v>19198.05</v>
      </c>
    </row>
    <row r="61" spans="1:22" ht="114" x14ac:dyDescent="0.2">
      <c r="A61" s="338" t="s">
        <v>1756</v>
      </c>
      <c r="B61" s="339" t="s">
        <v>3574</v>
      </c>
      <c r="C61" s="339" t="s">
        <v>1400</v>
      </c>
      <c r="D61" s="340" t="s">
        <v>1913</v>
      </c>
      <c r="E61" s="341">
        <v>8</v>
      </c>
      <c r="F61" s="342">
        <v>1024.44</v>
      </c>
      <c r="G61" s="343" t="s">
        <v>195</v>
      </c>
      <c r="H61" s="341">
        <v>1</v>
      </c>
      <c r="I61" s="344">
        <v>8195.52</v>
      </c>
      <c r="J61" s="341">
        <v>2.67</v>
      </c>
      <c r="K61" s="344">
        <v>21882.04</v>
      </c>
      <c r="Q61" s="281">
        <f>[15]Source!X34</f>
        <v>0</v>
      </c>
      <c r="R61" s="281">
        <f>[15]Source!X35</f>
        <v>0</v>
      </c>
      <c r="S61" s="281">
        <f>[15]Source!Y34</f>
        <v>0</v>
      </c>
      <c r="T61" s="281">
        <f>[15]Source!Y35</f>
        <v>0</v>
      </c>
      <c r="U61" s="281">
        <f>ROUND((175/100)*ROUND([15]Source!R34, 2), 2)</f>
        <v>0</v>
      </c>
      <c r="V61" s="281">
        <f>ROUND((157/100)*ROUND([15]Source!R35, 2), 2)</f>
        <v>0</v>
      </c>
    </row>
    <row r="62" spans="1:22" ht="15" x14ac:dyDescent="0.25">
      <c r="A62" s="345"/>
      <c r="B62" s="345"/>
      <c r="C62" s="346" t="s">
        <v>183</v>
      </c>
      <c r="D62" s="345"/>
      <c r="E62" s="345"/>
      <c r="F62" s="345"/>
      <c r="G62" s="345"/>
      <c r="H62" s="462">
        <v>8195.52</v>
      </c>
      <c r="I62" s="462"/>
      <c r="J62" s="462">
        <v>21882.04</v>
      </c>
      <c r="K62" s="462"/>
      <c r="O62" s="284">
        <f>I61</f>
        <v>8195.52</v>
      </c>
      <c r="P62" s="284">
        <f>K61</f>
        <v>21882.04</v>
      </c>
    </row>
    <row r="64" spans="1:22" ht="28.5" x14ac:dyDescent="0.2">
      <c r="A64" s="301" t="s">
        <v>1768</v>
      </c>
      <c r="B64" s="302" t="s">
        <v>3408</v>
      </c>
      <c r="C64" s="302" t="s">
        <v>1129</v>
      </c>
      <c r="D64" s="303" t="s">
        <v>1903</v>
      </c>
      <c r="E64" s="286">
        <v>8</v>
      </c>
      <c r="F64" s="321"/>
      <c r="G64" s="305"/>
      <c r="H64" s="286"/>
      <c r="I64" s="304"/>
      <c r="J64" s="286"/>
      <c r="K64" s="304"/>
      <c r="Q64" s="281">
        <f>[15]Source!X40</f>
        <v>169.7</v>
      </c>
      <c r="R64" s="281">
        <f>[15]Source!X41</f>
        <v>2724.25</v>
      </c>
      <c r="S64" s="281">
        <f>[15]Source!Y40</f>
        <v>106.06</v>
      </c>
      <c r="T64" s="281">
        <f>[15]Source!Y41</f>
        <v>1450.58</v>
      </c>
      <c r="U64" s="281">
        <f>ROUND((175/100)*ROUND([15]Source!R40, 2), 2)</f>
        <v>0</v>
      </c>
      <c r="V64" s="281">
        <f>ROUND((157/100)*ROUND([15]Source!R41, 2), 2)</f>
        <v>0</v>
      </c>
    </row>
    <row r="65" spans="1:22" ht="14.25" x14ac:dyDescent="0.2">
      <c r="A65" s="301"/>
      <c r="B65" s="302"/>
      <c r="C65" s="302" t="s">
        <v>197</v>
      </c>
      <c r="D65" s="303"/>
      <c r="E65" s="286"/>
      <c r="F65" s="321">
        <v>18.940000000000001</v>
      </c>
      <c r="G65" s="305" t="s">
        <v>195</v>
      </c>
      <c r="H65" s="286">
        <v>1</v>
      </c>
      <c r="I65" s="304">
        <v>151.52000000000001</v>
      </c>
      <c r="J65" s="286">
        <v>23.35</v>
      </c>
      <c r="K65" s="304">
        <v>3537.99</v>
      </c>
    </row>
    <row r="66" spans="1:22" ht="14.25" x14ac:dyDescent="0.2">
      <c r="A66" s="301"/>
      <c r="B66" s="302"/>
      <c r="C66" s="302" t="s">
        <v>184</v>
      </c>
      <c r="D66" s="303"/>
      <c r="E66" s="286"/>
      <c r="F66" s="321">
        <v>0.05</v>
      </c>
      <c r="G66" s="305" t="s">
        <v>195</v>
      </c>
      <c r="H66" s="286">
        <v>1</v>
      </c>
      <c r="I66" s="304">
        <v>0.4</v>
      </c>
      <c r="J66" s="286">
        <v>5.4</v>
      </c>
      <c r="K66" s="304">
        <v>2.16</v>
      </c>
    </row>
    <row r="67" spans="1:22" ht="14.25" x14ac:dyDescent="0.2">
      <c r="A67" s="301"/>
      <c r="B67" s="302"/>
      <c r="C67" s="302" t="s">
        <v>205</v>
      </c>
      <c r="D67" s="303"/>
      <c r="E67" s="286"/>
      <c r="F67" s="321">
        <v>1.5</v>
      </c>
      <c r="G67" s="305" t="s">
        <v>195</v>
      </c>
      <c r="H67" s="286">
        <v>1</v>
      </c>
      <c r="I67" s="304">
        <v>12</v>
      </c>
      <c r="J67" s="286">
        <v>5.42</v>
      </c>
      <c r="K67" s="304">
        <v>65.040000000000006</v>
      </c>
    </row>
    <row r="68" spans="1:22" ht="42.75" x14ac:dyDescent="0.2">
      <c r="A68" s="322" t="s">
        <v>1770</v>
      </c>
      <c r="B68" s="323" t="s">
        <v>3575</v>
      </c>
      <c r="C68" s="323" t="s">
        <v>1399</v>
      </c>
      <c r="D68" s="324" t="s">
        <v>1661</v>
      </c>
      <c r="E68" s="325">
        <v>8</v>
      </c>
      <c r="F68" s="326">
        <v>667.24</v>
      </c>
      <c r="G68" s="327" t="s">
        <v>195</v>
      </c>
      <c r="H68" s="325">
        <v>1</v>
      </c>
      <c r="I68" s="328">
        <v>5337.92</v>
      </c>
      <c r="J68" s="325">
        <v>4.47</v>
      </c>
      <c r="K68" s="328">
        <v>23860.5</v>
      </c>
      <c r="Q68" s="281">
        <f>[15]Source!X42</f>
        <v>0</v>
      </c>
      <c r="R68" s="281">
        <f>[15]Source!X43</f>
        <v>0</v>
      </c>
      <c r="S68" s="281">
        <f>[15]Source!Y42</f>
        <v>0</v>
      </c>
      <c r="T68" s="281">
        <f>[15]Source!Y43</f>
        <v>0</v>
      </c>
      <c r="U68" s="281">
        <f>ROUND((175/100)*ROUND([15]Source!R42, 2), 2)</f>
        <v>0</v>
      </c>
      <c r="V68" s="281">
        <f>ROUND((157/100)*ROUND([15]Source!R43, 2), 2)</f>
        <v>0</v>
      </c>
    </row>
    <row r="69" spans="1:22" ht="42.75" x14ac:dyDescent="0.2">
      <c r="A69" s="322" t="s">
        <v>3576</v>
      </c>
      <c r="B69" s="323" t="s">
        <v>3468</v>
      </c>
      <c r="C69" s="323" t="s">
        <v>1353</v>
      </c>
      <c r="D69" s="324" t="s">
        <v>1661</v>
      </c>
      <c r="E69" s="325">
        <v>8</v>
      </c>
      <c r="F69" s="326">
        <v>89.39</v>
      </c>
      <c r="G69" s="327" t="s">
        <v>195</v>
      </c>
      <c r="H69" s="325">
        <v>1</v>
      </c>
      <c r="I69" s="328">
        <v>715.12</v>
      </c>
      <c r="J69" s="325">
        <v>4.96</v>
      </c>
      <c r="K69" s="328">
        <v>3547</v>
      </c>
      <c r="Q69" s="281">
        <f>[15]Source!X44</f>
        <v>0</v>
      </c>
      <c r="R69" s="281">
        <f>[15]Source!X45</f>
        <v>0</v>
      </c>
      <c r="S69" s="281">
        <f>[15]Source!Y44</f>
        <v>0</v>
      </c>
      <c r="T69" s="281">
        <f>[15]Source!Y45</f>
        <v>0</v>
      </c>
      <c r="U69" s="281">
        <f>ROUND((175/100)*ROUND([15]Source!R44, 2), 2)</f>
        <v>0</v>
      </c>
      <c r="V69" s="281">
        <f>ROUND((157/100)*ROUND([15]Source!R45, 2), 2)</f>
        <v>0</v>
      </c>
    </row>
    <row r="70" spans="1:22" ht="14.25" x14ac:dyDescent="0.2">
      <c r="A70" s="301"/>
      <c r="B70" s="302"/>
      <c r="C70" s="302" t="s">
        <v>194</v>
      </c>
      <c r="D70" s="303" t="s">
        <v>187</v>
      </c>
      <c r="E70" s="286">
        <v>112</v>
      </c>
      <c r="F70" s="321"/>
      <c r="G70" s="305"/>
      <c r="H70" s="286"/>
      <c r="I70" s="304">
        <v>169.7</v>
      </c>
      <c r="J70" s="286">
        <v>77</v>
      </c>
      <c r="K70" s="304">
        <v>2724.25</v>
      </c>
    </row>
    <row r="71" spans="1:22" ht="14.25" x14ac:dyDescent="0.2">
      <c r="A71" s="301"/>
      <c r="B71" s="302"/>
      <c r="C71" s="302" t="s">
        <v>193</v>
      </c>
      <c r="D71" s="303" t="s">
        <v>187</v>
      </c>
      <c r="E71" s="286">
        <v>70</v>
      </c>
      <c r="F71" s="321"/>
      <c r="G71" s="305"/>
      <c r="H71" s="286"/>
      <c r="I71" s="304">
        <v>106.06</v>
      </c>
      <c r="J71" s="286">
        <v>41</v>
      </c>
      <c r="K71" s="304">
        <v>1450.58</v>
      </c>
    </row>
    <row r="72" spans="1:22" ht="14.25" x14ac:dyDescent="0.2">
      <c r="A72" s="329"/>
      <c r="B72" s="330"/>
      <c r="C72" s="330" t="s">
        <v>192</v>
      </c>
      <c r="D72" s="331" t="s">
        <v>191</v>
      </c>
      <c r="E72" s="332">
        <v>1.36</v>
      </c>
      <c r="F72" s="333"/>
      <c r="G72" s="334" t="s">
        <v>195</v>
      </c>
      <c r="H72" s="332">
        <v>1</v>
      </c>
      <c r="I72" s="335">
        <v>10.88</v>
      </c>
      <c r="J72" s="332"/>
      <c r="K72" s="335"/>
    </row>
    <row r="73" spans="1:22" ht="15" x14ac:dyDescent="0.25">
      <c r="A73" s="336"/>
      <c r="B73" s="336"/>
      <c r="C73" s="337" t="s">
        <v>183</v>
      </c>
      <c r="D73" s="336"/>
      <c r="E73" s="336"/>
      <c r="F73" s="336"/>
      <c r="G73" s="336"/>
      <c r="H73" s="461">
        <v>6492.72</v>
      </c>
      <c r="I73" s="461"/>
      <c r="J73" s="461">
        <v>35187.519999999997</v>
      </c>
      <c r="K73" s="461"/>
      <c r="O73" s="284">
        <f>I65+I66+I67+I70+I71+SUM(I68:I69)</f>
        <v>6492.72</v>
      </c>
      <c r="P73" s="284">
        <f>K65+K66+K67+K70+K71+SUM(K68:K69)</f>
        <v>35187.519999999997</v>
      </c>
    </row>
    <row r="75" spans="1:22" ht="28.5" x14ac:dyDescent="0.2">
      <c r="A75" s="301" t="s">
        <v>1771</v>
      </c>
      <c r="B75" s="302" t="s">
        <v>3571</v>
      </c>
      <c r="C75" s="302" t="s">
        <v>1398</v>
      </c>
      <c r="D75" s="303" t="s">
        <v>1903</v>
      </c>
      <c r="E75" s="286">
        <v>8</v>
      </c>
      <c r="F75" s="321"/>
      <c r="G75" s="305"/>
      <c r="H75" s="286"/>
      <c r="I75" s="304"/>
      <c r="J75" s="286"/>
      <c r="K75" s="304"/>
      <c r="Q75" s="281">
        <f>[15]Source!X46</f>
        <v>538.80999999999995</v>
      </c>
      <c r="R75" s="281">
        <f>[15]Source!X47</f>
        <v>8497.83</v>
      </c>
      <c r="S75" s="281">
        <f>[15]Source!Y46</f>
        <v>316.67</v>
      </c>
      <c r="T75" s="281">
        <f>[15]Source!Y47</f>
        <v>4524.82</v>
      </c>
      <c r="U75" s="281">
        <f>ROUND((175/100)*ROUND([15]Source!R46, 2), 2)</f>
        <v>0.84</v>
      </c>
      <c r="V75" s="281">
        <f>ROUND((157/100)*ROUND([15]Source!R47, 2), 2)</f>
        <v>17.600000000000001</v>
      </c>
    </row>
    <row r="76" spans="1:22" ht="14.25" x14ac:dyDescent="0.2">
      <c r="A76" s="301"/>
      <c r="B76" s="302"/>
      <c r="C76" s="302" t="s">
        <v>197</v>
      </c>
      <c r="D76" s="303"/>
      <c r="E76" s="286"/>
      <c r="F76" s="321">
        <v>59.08</v>
      </c>
      <c r="G76" s="305" t="s">
        <v>195</v>
      </c>
      <c r="H76" s="286">
        <v>1</v>
      </c>
      <c r="I76" s="304">
        <v>472.64</v>
      </c>
      <c r="J76" s="286">
        <v>23.35</v>
      </c>
      <c r="K76" s="304">
        <v>11036.14</v>
      </c>
    </row>
    <row r="77" spans="1:22" ht="14.25" x14ac:dyDescent="0.2">
      <c r="A77" s="301"/>
      <c r="B77" s="302"/>
      <c r="C77" s="302" t="s">
        <v>184</v>
      </c>
      <c r="D77" s="303"/>
      <c r="E77" s="286"/>
      <c r="F77" s="321">
        <v>3.52</v>
      </c>
      <c r="G77" s="305" t="s">
        <v>195</v>
      </c>
      <c r="H77" s="286">
        <v>1</v>
      </c>
      <c r="I77" s="304">
        <v>28.16</v>
      </c>
      <c r="J77" s="286">
        <v>5.66</v>
      </c>
      <c r="K77" s="304">
        <v>159.38999999999999</v>
      </c>
    </row>
    <row r="78" spans="1:22" ht="14.25" x14ac:dyDescent="0.2">
      <c r="A78" s="301"/>
      <c r="B78" s="302"/>
      <c r="C78" s="302" t="s">
        <v>189</v>
      </c>
      <c r="D78" s="303"/>
      <c r="E78" s="286"/>
      <c r="F78" s="321">
        <v>0.06</v>
      </c>
      <c r="G78" s="305" t="s">
        <v>195</v>
      </c>
      <c r="H78" s="286">
        <v>1</v>
      </c>
      <c r="I78" s="306">
        <v>0.48</v>
      </c>
      <c r="J78" s="286">
        <v>23.35</v>
      </c>
      <c r="K78" s="306">
        <v>11.21</v>
      </c>
    </row>
    <row r="79" spans="1:22" ht="14.25" x14ac:dyDescent="0.2">
      <c r="A79" s="301"/>
      <c r="B79" s="302"/>
      <c r="C79" s="302" t="s">
        <v>205</v>
      </c>
      <c r="D79" s="303"/>
      <c r="E79" s="286"/>
      <c r="F79" s="321">
        <v>11.87</v>
      </c>
      <c r="G79" s="305" t="s">
        <v>195</v>
      </c>
      <c r="H79" s="286">
        <v>1</v>
      </c>
      <c r="I79" s="304">
        <v>94.96</v>
      </c>
      <c r="J79" s="286">
        <v>5.42</v>
      </c>
      <c r="K79" s="304">
        <v>514.67999999999995</v>
      </c>
    </row>
    <row r="80" spans="1:22" ht="39.75" x14ac:dyDescent="0.2">
      <c r="A80" s="301" t="s">
        <v>1774</v>
      </c>
      <c r="B80" s="302" t="s">
        <v>3441</v>
      </c>
      <c r="C80" s="302" t="s">
        <v>1397</v>
      </c>
      <c r="D80" s="303" t="s">
        <v>1661</v>
      </c>
      <c r="E80" s="286">
        <v>8</v>
      </c>
      <c r="F80" s="321">
        <v>399.13</v>
      </c>
      <c r="G80" s="315" t="s">
        <v>195</v>
      </c>
      <c r="H80" s="286">
        <v>1</v>
      </c>
      <c r="I80" s="304">
        <v>3193.04</v>
      </c>
      <c r="J80" s="286">
        <v>5.42</v>
      </c>
      <c r="K80" s="304">
        <v>17306.28</v>
      </c>
      <c r="Q80" s="281">
        <f>[15]Source!X48</f>
        <v>0</v>
      </c>
      <c r="R80" s="281">
        <f>[15]Source!X49</f>
        <v>0</v>
      </c>
      <c r="S80" s="281">
        <f>[15]Source!Y48</f>
        <v>0</v>
      </c>
      <c r="T80" s="281">
        <f>[15]Source!Y49</f>
        <v>0</v>
      </c>
      <c r="U80" s="281">
        <f>ROUND((175/100)*ROUND([15]Source!R48, 2), 2)</f>
        <v>0</v>
      </c>
      <c r="V80" s="281">
        <f>ROUND((157/100)*ROUND([15]Source!R49, 2), 2)</f>
        <v>0</v>
      </c>
    </row>
    <row r="81" spans="1:22" ht="14.25" x14ac:dyDescent="0.2">
      <c r="A81" s="301"/>
      <c r="B81" s="302"/>
      <c r="C81" s="302" t="s">
        <v>194</v>
      </c>
      <c r="D81" s="303" t="s">
        <v>187</v>
      </c>
      <c r="E81" s="286">
        <v>112</v>
      </c>
      <c r="F81" s="321"/>
      <c r="G81" s="305"/>
      <c r="H81" s="286"/>
      <c r="I81" s="304">
        <v>538.80999999999995</v>
      </c>
      <c r="J81" s="286">
        <v>77</v>
      </c>
      <c r="K81" s="304">
        <v>8497.83</v>
      </c>
    </row>
    <row r="82" spans="1:22" ht="14.25" x14ac:dyDescent="0.2">
      <c r="A82" s="301"/>
      <c r="B82" s="302"/>
      <c r="C82" s="302" t="s">
        <v>193</v>
      </c>
      <c r="D82" s="303" t="s">
        <v>187</v>
      </c>
      <c r="E82" s="286">
        <v>70</v>
      </c>
      <c r="F82" s="321"/>
      <c r="G82" s="305"/>
      <c r="H82" s="286"/>
      <c r="I82" s="304">
        <v>316.67</v>
      </c>
      <c r="J82" s="286">
        <v>41</v>
      </c>
      <c r="K82" s="304">
        <v>4524.82</v>
      </c>
    </row>
    <row r="83" spans="1:22" ht="14.25" x14ac:dyDescent="0.2">
      <c r="A83" s="301"/>
      <c r="B83" s="302"/>
      <c r="C83" s="302" t="s">
        <v>188</v>
      </c>
      <c r="D83" s="303" t="s">
        <v>187</v>
      </c>
      <c r="E83" s="286">
        <v>175</v>
      </c>
      <c r="F83" s="321"/>
      <c r="G83" s="305"/>
      <c r="H83" s="286"/>
      <c r="I83" s="304">
        <v>0.84</v>
      </c>
      <c r="J83" s="286">
        <v>157</v>
      </c>
      <c r="K83" s="304">
        <v>17.600000000000001</v>
      </c>
    </row>
    <row r="84" spans="1:22" ht="14.25" x14ac:dyDescent="0.2">
      <c r="A84" s="329"/>
      <c r="B84" s="330"/>
      <c r="C84" s="330" t="s">
        <v>192</v>
      </c>
      <c r="D84" s="331" t="s">
        <v>191</v>
      </c>
      <c r="E84" s="332">
        <v>4.68</v>
      </c>
      <c r="F84" s="333"/>
      <c r="G84" s="334" t="s">
        <v>195</v>
      </c>
      <c r="H84" s="332">
        <v>1</v>
      </c>
      <c r="I84" s="335">
        <v>37.44</v>
      </c>
      <c r="J84" s="332"/>
      <c r="K84" s="335"/>
    </row>
    <row r="85" spans="1:22" ht="15" x14ac:dyDescent="0.25">
      <c r="A85" s="336"/>
      <c r="B85" s="336"/>
      <c r="C85" s="337" t="s">
        <v>183</v>
      </c>
      <c r="D85" s="336"/>
      <c r="E85" s="336"/>
      <c r="F85" s="336"/>
      <c r="G85" s="336"/>
      <c r="H85" s="461">
        <v>4645.12</v>
      </c>
      <c r="I85" s="461"/>
      <c r="J85" s="461">
        <v>42056.74</v>
      </c>
      <c r="K85" s="461"/>
      <c r="O85" s="284">
        <f>I76+I77+I79+I81+I82+I83+SUM(I80:I80)</f>
        <v>4645.12</v>
      </c>
      <c r="P85" s="284">
        <f>K76+K77+K79+K81+K82+K83+SUM(K80:K80)</f>
        <v>42056.74</v>
      </c>
    </row>
    <row r="87" spans="1:22" ht="14.25" x14ac:dyDescent="0.2">
      <c r="A87" s="301" t="s">
        <v>1775</v>
      </c>
      <c r="B87" s="302" t="s">
        <v>3471</v>
      </c>
      <c r="C87" s="302" t="s">
        <v>718</v>
      </c>
      <c r="D87" s="303" t="s">
        <v>1903</v>
      </c>
      <c r="E87" s="286">
        <v>8</v>
      </c>
      <c r="F87" s="321"/>
      <c r="G87" s="305"/>
      <c r="H87" s="286"/>
      <c r="I87" s="304"/>
      <c r="J87" s="286"/>
      <c r="K87" s="304"/>
      <c r="Q87" s="281">
        <f>[15]Source!X50</f>
        <v>108.53</v>
      </c>
      <c r="R87" s="281">
        <f>[15]Source!X51</f>
        <v>1711.65</v>
      </c>
      <c r="S87" s="281">
        <f>[15]Source!Y50</f>
        <v>63.78</v>
      </c>
      <c r="T87" s="281">
        <f>[15]Source!Y51</f>
        <v>911.4</v>
      </c>
      <c r="U87" s="281">
        <f>ROUND((175/100)*ROUND([15]Source!R50, 2), 2)</f>
        <v>0</v>
      </c>
      <c r="V87" s="281">
        <f>ROUND((157/100)*ROUND([15]Source!R51, 2), 2)</f>
        <v>0</v>
      </c>
    </row>
    <row r="88" spans="1:22" ht="14.25" x14ac:dyDescent="0.2">
      <c r="A88" s="301"/>
      <c r="B88" s="302"/>
      <c r="C88" s="302" t="s">
        <v>197</v>
      </c>
      <c r="D88" s="303"/>
      <c r="E88" s="286"/>
      <c r="F88" s="321">
        <v>11.9</v>
      </c>
      <c r="G88" s="305" t="s">
        <v>195</v>
      </c>
      <c r="H88" s="286">
        <v>1</v>
      </c>
      <c r="I88" s="304">
        <v>95.2</v>
      </c>
      <c r="J88" s="286">
        <v>23.35</v>
      </c>
      <c r="K88" s="304">
        <v>2222.92</v>
      </c>
    </row>
    <row r="89" spans="1:22" ht="14.25" x14ac:dyDescent="0.2">
      <c r="A89" s="301"/>
      <c r="B89" s="302"/>
      <c r="C89" s="302" t="s">
        <v>205</v>
      </c>
      <c r="D89" s="303"/>
      <c r="E89" s="286"/>
      <c r="F89" s="321">
        <v>1.75</v>
      </c>
      <c r="G89" s="305" t="s">
        <v>195</v>
      </c>
      <c r="H89" s="286">
        <v>1</v>
      </c>
      <c r="I89" s="304">
        <v>14</v>
      </c>
      <c r="J89" s="286">
        <v>5.42</v>
      </c>
      <c r="K89" s="304">
        <v>75.88</v>
      </c>
    </row>
    <row r="90" spans="1:22" ht="39.75" x14ac:dyDescent="0.2">
      <c r="A90" s="301" t="s">
        <v>1776</v>
      </c>
      <c r="B90" s="302" t="s">
        <v>3441</v>
      </c>
      <c r="C90" s="302" t="s">
        <v>1396</v>
      </c>
      <c r="D90" s="303" t="s">
        <v>1661</v>
      </c>
      <c r="E90" s="286">
        <v>8</v>
      </c>
      <c r="F90" s="321">
        <v>31.37</v>
      </c>
      <c r="G90" s="315" t="s">
        <v>195</v>
      </c>
      <c r="H90" s="286">
        <v>1</v>
      </c>
      <c r="I90" s="304">
        <v>250.96</v>
      </c>
      <c r="J90" s="286">
        <v>5.42</v>
      </c>
      <c r="K90" s="304">
        <v>1360.2</v>
      </c>
      <c r="Q90" s="281">
        <f>[15]Source!X52</f>
        <v>0</v>
      </c>
      <c r="R90" s="281">
        <f>[15]Source!X53</f>
        <v>0</v>
      </c>
      <c r="S90" s="281">
        <f>[15]Source!Y52</f>
        <v>0</v>
      </c>
      <c r="T90" s="281">
        <f>[15]Source!Y53</f>
        <v>0</v>
      </c>
      <c r="U90" s="281">
        <f>ROUND((175/100)*ROUND([15]Source!R52, 2), 2)</f>
        <v>0</v>
      </c>
      <c r="V90" s="281">
        <f>ROUND((157/100)*ROUND([15]Source!R53, 2), 2)</f>
        <v>0</v>
      </c>
    </row>
    <row r="91" spans="1:22" ht="14.25" x14ac:dyDescent="0.2">
      <c r="A91" s="301"/>
      <c r="B91" s="302"/>
      <c r="C91" s="302" t="s">
        <v>194</v>
      </c>
      <c r="D91" s="303" t="s">
        <v>187</v>
      </c>
      <c r="E91" s="286">
        <v>112</v>
      </c>
      <c r="F91" s="321"/>
      <c r="G91" s="305"/>
      <c r="H91" s="286"/>
      <c r="I91" s="304">
        <v>108.53</v>
      </c>
      <c r="J91" s="286">
        <v>77</v>
      </c>
      <c r="K91" s="304">
        <v>1711.65</v>
      </c>
    </row>
    <row r="92" spans="1:22" ht="14.25" x14ac:dyDescent="0.2">
      <c r="A92" s="301"/>
      <c r="B92" s="302"/>
      <c r="C92" s="302" t="s">
        <v>193</v>
      </c>
      <c r="D92" s="303" t="s">
        <v>187</v>
      </c>
      <c r="E92" s="286">
        <v>70</v>
      </c>
      <c r="F92" s="321"/>
      <c r="G92" s="305"/>
      <c r="H92" s="286"/>
      <c r="I92" s="304">
        <v>63.78</v>
      </c>
      <c r="J92" s="286">
        <v>41</v>
      </c>
      <c r="K92" s="304">
        <v>911.4</v>
      </c>
    </row>
    <row r="93" spans="1:22" ht="14.25" x14ac:dyDescent="0.2">
      <c r="A93" s="329"/>
      <c r="B93" s="330"/>
      <c r="C93" s="330" t="s">
        <v>192</v>
      </c>
      <c r="D93" s="331" t="s">
        <v>191</v>
      </c>
      <c r="E93" s="332">
        <v>1</v>
      </c>
      <c r="F93" s="333"/>
      <c r="G93" s="334" t="s">
        <v>195</v>
      </c>
      <c r="H93" s="332">
        <v>1</v>
      </c>
      <c r="I93" s="335">
        <v>8</v>
      </c>
      <c r="J93" s="332"/>
      <c r="K93" s="335"/>
    </row>
    <row r="94" spans="1:22" ht="15" x14ac:dyDescent="0.25">
      <c r="A94" s="336"/>
      <c r="B94" s="336"/>
      <c r="C94" s="337" t="s">
        <v>183</v>
      </c>
      <c r="D94" s="336"/>
      <c r="E94" s="336"/>
      <c r="F94" s="336"/>
      <c r="G94" s="336"/>
      <c r="H94" s="461">
        <v>532.47</v>
      </c>
      <c r="I94" s="461"/>
      <c r="J94" s="461">
        <v>6282.05</v>
      </c>
      <c r="K94" s="461"/>
      <c r="O94" s="284">
        <f>I88+I89+I91+I92+SUM(I90:I90)</f>
        <v>532.47</v>
      </c>
      <c r="P94" s="284">
        <f>K88+K89+K91+K92+SUM(K90:K90)</f>
        <v>6282.05</v>
      </c>
    </row>
    <row r="96" spans="1:22" ht="42.75" x14ac:dyDescent="0.2">
      <c r="A96" s="301" t="s">
        <v>1778</v>
      </c>
      <c r="B96" s="302" t="s">
        <v>3577</v>
      </c>
      <c r="C96" s="302" t="s">
        <v>1395</v>
      </c>
      <c r="D96" s="303" t="s">
        <v>1903</v>
      </c>
      <c r="E96" s="286">
        <v>8</v>
      </c>
      <c r="F96" s="321"/>
      <c r="G96" s="305"/>
      <c r="H96" s="286"/>
      <c r="I96" s="304"/>
      <c r="J96" s="286"/>
      <c r="K96" s="304"/>
      <c r="Q96" s="281">
        <f>[15]Source!X54</f>
        <v>329.14</v>
      </c>
      <c r="R96" s="281">
        <f>[15]Source!X55</f>
        <v>5191.04</v>
      </c>
      <c r="S96" s="281">
        <f>[15]Source!Y54</f>
        <v>193.44</v>
      </c>
      <c r="T96" s="281">
        <f>[15]Source!Y55</f>
        <v>2764.06</v>
      </c>
      <c r="U96" s="281">
        <f>ROUND((175/100)*ROUND([15]Source!R54, 2), 2)</f>
        <v>5.04</v>
      </c>
      <c r="V96" s="281">
        <f>ROUND((157/100)*ROUND([15]Source!R55, 2), 2)</f>
        <v>105.58</v>
      </c>
    </row>
    <row r="97" spans="1:22" ht="14.25" x14ac:dyDescent="0.2">
      <c r="A97" s="301"/>
      <c r="B97" s="302"/>
      <c r="C97" s="302" t="s">
        <v>197</v>
      </c>
      <c r="D97" s="303"/>
      <c r="E97" s="286"/>
      <c r="F97" s="321">
        <v>36.090000000000003</v>
      </c>
      <c r="G97" s="305" t="s">
        <v>195</v>
      </c>
      <c r="H97" s="286">
        <v>1</v>
      </c>
      <c r="I97" s="304">
        <v>288.72000000000003</v>
      </c>
      <c r="J97" s="286">
        <v>23.35</v>
      </c>
      <c r="K97" s="304">
        <v>6741.61</v>
      </c>
    </row>
    <row r="98" spans="1:22" ht="14.25" x14ac:dyDescent="0.2">
      <c r="A98" s="301"/>
      <c r="B98" s="302"/>
      <c r="C98" s="302" t="s">
        <v>184</v>
      </c>
      <c r="D98" s="303"/>
      <c r="E98" s="286"/>
      <c r="F98" s="321">
        <v>4.13</v>
      </c>
      <c r="G98" s="305" t="s">
        <v>195</v>
      </c>
      <c r="H98" s="286">
        <v>1</v>
      </c>
      <c r="I98" s="304">
        <v>33.04</v>
      </c>
      <c r="J98" s="286">
        <v>6.92</v>
      </c>
      <c r="K98" s="304">
        <v>228.64</v>
      </c>
    </row>
    <row r="99" spans="1:22" ht="14.25" x14ac:dyDescent="0.2">
      <c r="A99" s="301"/>
      <c r="B99" s="302"/>
      <c r="C99" s="302" t="s">
        <v>189</v>
      </c>
      <c r="D99" s="303"/>
      <c r="E99" s="286"/>
      <c r="F99" s="321">
        <v>0.36</v>
      </c>
      <c r="G99" s="305" t="s">
        <v>195</v>
      </c>
      <c r="H99" s="286">
        <v>1</v>
      </c>
      <c r="I99" s="306">
        <v>2.88</v>
      </c>
      <c r="J99" s="286">
        <v>23.35</v>
      </c>
      <c r="K99" s="306">
        <v>67.25</v>
      </c>
    </row>
    <row r="100" spans="1:22" ht="14.25" x14ac:dyDescent="0.2">
      <c r="A100" s="301"/>
      <c r="B100" s="302"/>
      <c r="C100" s="302" t="s">
        <v>205</v>
      </c>
      <c r="D100" s="303"/>
      <c r="E100" s="286"/>
      <c r="F100" s="321">
        <v>13.37</v>
      </c>
      <c r="G100" s="305" t="s">
        <v>195</v>
      </c>
      <c r="H100" s="286">
        <v>1</v>
      </c>
      <c r="I100" s="304">
        <v>106.96</v>
      </c>
      <c r="J100" s="286">
        <v>5.42</v>
      </c>
      <c r="K100" s="304">
        <v>579.72</v>
      </c>
    </row>
    <row r="101" spans="1:22" ht="14.25" x14ac:dyDescent="0.2">
      <c r="A101" s="301"/>
      <c r="B101" s="302"/>
      <c r="C101" s="302" t="s">
        <v>194</v>
      </c>
      <c r="D101" s="303" t="s">
        <v>187</v>
      </c>
      <c r="E101" s="286">
        <v>112</v>
      </c>
      <c r="F101" s="321"/>
      <c r="G101" s="305"/>
      <c r="H101" s="286"/>
      <c r="I101" s="304">
        <v>329.14</v>
      </c>
      <c r="J101" s="286">
        <v>77</v>
      </c>
      <c r="K101" s="304">
        <v>5191.04</v>
      </c>
    </row>
    <row r="102" spans="1:22" ht="14.25" x14ac:dyDescent="0.2">
      <c r="A102" s="301"/>
      <c r="B102" s="302"/>
      <c r="C102" s="302" t="s">
        <v>193</v>
      </c>
      <c r="D102" s="303" t="s">
        <v>187</v>
      </c>
      <c r="E102" s="286">
        <v>70</v>
      </c>
      <c r="F102" s="321"/>
      <c r="G102" s="305"/>
      <c r="H102" s="286"/>
      <c r="I102" s="304">
        <v>193.44</v>
      </c>
      <c r="J102" s="286">
        <v>41</v>
      </c>
      <c r="K102" s="304">
        <v>2764.06</v>
      </c>
    </row>
    <row r="103" spans="1:22" ht="14.25" x14ac:dyDescent="0.2">
      <c r="A103" s="301"/>
      <c r="B103" s="302"/>
      <c r="C103" s="302" t="s">
        <v>188</v>
      </c>
      <c r="D103" s="303" t="s">
        <v>187</v>
      </c>
      <c r="E103" s="286">
        <v>175</v>
      </c>
      <c r="F103" s="321"/>
      <c r="G103" s="305"/>
      <c r="H103" s="286"/>
      <c r="I103" s="304">
        <v>5.04</v>
      </c>
      <c r="J103" s="286">
        <v>157</v>
      </c>
      <c r="K103" s="304">
        <v>105.58</v>
      </c>
    </row>
    <row r="104" spans="1:22" ht="14.25" x14ac:dyDescent="0.2">
      <c r="A104" s="329"/>
      <c r="B104" s="330"/>
      <c r="C104" s="330" t="s">
        <v>192</v>
      </c>
      <c r="D104" s="331" t="s">
        <v>191</v>
      </c>
      <c r="E104" s="332">
        <v>3</v>
      </c>
      <c r="F104" s="333"/>
      <c r="G104" s="334" t="s">
        <v>195</v>
      </c>
      <c r="H104" s="332">
        <v>1</v>
      </c>
      <c r="I104" s="335">
        <v>24</v>
      </c>
      <c r="J104" s="332"/>
      <c r="K104" s="335"/>
    </row>
    <row r="105" spans="1:22" ht="15" x14ac:dyDescent="0.25">
      <c r="A105" s="336"/>
      <c r="B105" s="336"/>
      <c r="C105" s="337" t="s">
        <v>183</v>
      </c>
      <c r="D105" s="336"/>
      <c r="E105" s="336"/>
      <c r="F105" s="336"/>
      <c r="G105" s="336"/>
      <c r="H105" s="461">
        <v>956.34</v>
      </c>
      <c r="I105" s="461"/>
      <c r="J105" s="461">
        <v>15610.65</v>
      </c>
      <c r="K105" s="461"/>
      <c r="O105" s="284">
        <f>I97+I98+I100+I101+I102+I103</f>
        <v>956.34</v>
      </c>
      <c r="P105" s="284">
        <f>K97+K98+K100+K101+K102+K103</f>
        <v>15610.65</v>
      </c>
    </row>
    <row r="107" spans="1:22" ht="42.75" x14ac:dyDescent="0.2">
      <c r="A107" s="329" t="s">
        <v>1780</v>
      </c>
      <c r="B107" s="330" t="s">
        <v>3578</v>
      </c>
      <c r="C107" s="330" t="s">
        <v>1394</v>
      </c>
      <c r="D107" s="331" t="s">
        <v>1661</v>
      </c>
      <c r="E107" s="332">
        <v>8</v>
      </c>
      <c r="F107" s="333">
        <v>747.08</v>
      </c>
      <c r="G107" s="334" t="s">
        <v>195</v>
      </c>
      <c r="H107" s="332">
        <v>1</v>
      </c>
      <c r="I107" s="335">
        <v>5976.64</v>
      </c>
      <c r="J107" s="332">
        <v>2.4300000000000002</v>
      </c>
      <c r="K107" s="335">
        <v>14523.24</v>
      </c>
      <c r="Q107" s="281">
        <f>[15]Source!X56</f>
        <v>0</v>
      </c>
      <c r="R107" s="281">
        <f>[15]Source!X57</f>
        <v>0</v>
      </c>
      <c r="S107" s="281">
        <f>[15]Source!Y56</f>
        <v>0</v>
      </c>
      <c r="T107" s="281">
        <f>[15]Source!Y57</f>
        <v>0</v>
      </c>
      <c r="U107" s="281">
        <f>ROUND((175/100)*ROUND([15]Source!R56, 2), 2)</f>
        <v>0</v>
      </c>
      <c r="V107" s="281">
        <f>ROUND((157/100)*ROUND([15]Source!R57, 2), 2)</f>
        <v>0</v>
      </c>
    </row>
    <row r="108" spans="1:22" ht="15" x14ac:dyDescent="0.25">
      <c r="A108" s="336"/>
      <c r="B108" s="336"/>
      <c r="C108" s="337" t="s">
        <v>183</v>
      </c>
      <c r="D108" s="336"/>
      <c r="E108" s="336"/>
      <c r="F108" s="336"/>
      <c r="G108" s="336"/>
      <c r="H108" s="461">
        <v>5976.64</v>
      </c>
      <c r="I108" s="461"/>
      <c r="J108" s="461">
        <v>14523.24</v>
      </c>
      <c r="K108" s="461"/>
      <c r="O108" s="284">
        <f>I107</f>
        <v>5976.64</v>
      </c>
      <c r="P108" s="284">
        <f>K107</f>
        <v>14523.24</v>
      </c>
    </row>
    <row r="110" spans="1:22" ht="42.75" x14ac:dyDescent="0.2">
      <c r="A110" s="329" t="s">
        <v>1784</v>
      </c>
      <c r="B110" s="330" t="s">
        <v>3579</v>
      </c>
      <c r="C110" s="330" t="s">
        <v>1393</v>
      </c>
      <c r="D110" s="331" t="s">
        <v>1913</v>
      </c>
      <c r="E110" s="332">
        <v>8</v>
      </c>
      <c r="F110" s="333">
        <v>108.98</v>
      </c>
      <c r="G110" s="334" t="s">
        <v>195</v>
      </c>
      <c r="H110" s="332">
        <v>1</v>
      </c>
      <c r="I110" s="335">
        <v>871.84</v>
      </c>
      <c r="J110" s="332">
        <v>2.64</v>
      </c>
      <c r="K110" s="335">
        <v>2301.66</v>
      </c>
      <c r="Q110" s="281">
        <f>[15]Source!X58</f>
        <v>0</v>
      </c>
      <c r="R110" s="281">
        <f>[15]Source!X59</f>
        <v>0</v>
      </c>
      <c r="S110" s="281">
        <f>[15]Source!Y58</f>
        <v>0</v>
      </c>
      <c r="T110" s="281">
        <f>[15]Source!Y59</f>
        <v>0</v>
      </c>
      <c r="U110" s="281">
        <f>ROUND((175/100)*ROUND([15]Source!R58, 2), 2)</f>
        <v>0</v>
      </c>
      <c r="V110" s="281">
        <f>ROUND((157/100)*ROUND([15]Source!R59, 2), 2)</f>
        <v>0</v>
      </c>
    </row>
    <row r="111" spans="1:22" ht="15" x14ac:dyDescent="0.25">
      <c r="A111" s="336"/>
      <c r="B111" s="336"/>
      <c r="C111" s="337" t="s">
        <v>183</v>
      </c>
      <c r="D111" s="336"/>
      <c r="E111" s="336"/>
      <c r="F111" s="336"/>
      <c r="G111" s="336"/>
      <c r="H111" s="461">
        <v>871.84</v>
      </c>
      <c r="I111" s="461"/>
      <c r="J111" s="461">
        <v>2301.66</v>
      </c>
      <c r="K111" s="461"/>
      <c r="O111" s="284">
        <f>I110</f>
        <v>871.84</v>
      </c>
      <c r="P111" s="284">
        <f>K110</f>
        <v>2301.66</v>
      </c>
    </row>
    <row r="113" spans="1:22" ht="42.75" x14ac:dyDescent="0.2">
      <c r="A113" s="301" t="s">
        <v>1789</v>
      </c>
      <c r="B113" s="302" t="s">
        <v>2999</v>
      </c>
      <c r="C113" s="302" t="s">
        <v>965</v>
      </c>
      <c r="D113" s="303" t="s">
        <v>1903</v>
      </c>
      <c r="E113" s="286">
        <v>8</v>
      </c>
      <c r="F113" s="321"/>
      <c r="G113" s="305"/>
      <c r="H113" s="286"/>
      <c r="I113" s="304"/>
      <c r="J113" s="286"/>
      <c r="K113" s="304"/>
      <c r="Q113" s="281">
        <f>[15]Source!X60</f>
        <v>61.65</v>
      </c>
      <c r="R113" s="281">
        <f>[15]Source!X61</f>
        <v>972.33</v>
      </c>
      <c r="S113" s="281">
        <f>[15]Source!Y60</f>
        <v>36.229999999999997</v>
      </c>
      <c r="T113" s="281">
        <f>[15]Source!Y61</f>
        <v>517.74</v>
      </c>
      <c r="U113" s="281">
        <f>ROUND((175/100)*ROUND([15]Source!R60, 2), 2)</f>
        <v>0</v>
      </c>
      <c r="V113" s="281">
        <f>ROUND((157/100)*ROUND([15]Source!R61, 2), 2)</f>
        <v>0</v>
      </c>
    </row>
    <row r="114" spans="1:22" ht="14.25" x14ac:dyDescent="0.2">
      <c r="A114" s="301"/>
      <c r="B114" s="302"/>
      <c r="C114" s="302" t="s">
        <v>197</v>
      </c>
      <c r="D114" s="303"/>
      <c r="E114" s="286"/>
      <c r="F114" s="321">
        <v>6.76</v>
      </c>
      <c r="G114" s="305" t="s">
        <v>195</v>
      </c>
      <c r="H114" s="286">
        <v>1</v>
      </c>
      <c r="I114" s="304">
        <v>54.08</v>
      </c>
      <c r="J114" s="286">
        <v>23.35</v>
      </c>
      <c r="K114" s="304">
        <v>1262.77</v>
      </c>
    </row>
    <row r="115" spans="1:22" ht="14.25" x14ac:dyDescent="0.2">
      <c r="A115" s="301"/>
      <c r="B115" s="302"/>
      <c r="C115" s="302" t="s">
        <v>205</v>
      </c>
      <c r="D115" s="303"/>
      <c r="E115" s="286"/>
      <c r="F115" s="321">
        <v>0.35</v>
      </c>
      <c r="G115" s="305" t="s">
        <v>195</v>
      </c>
      <c r="H115" s="286">
        <v>1</v>
      </c>
      <c r="I115" s="304">
        <v>2.8</v>
      </c>
      <c r="J115" s="286">
        <v>5.43</v>
      </c>
      <c r="K115" s="304">
        <v>15.2</v>
      </c>
    </row>
    <row r="116" spans="1:22" ht="68.25" x14ac:dyDescent="0.2">
      <c r="A116" s="301" t="s">
        <v>1790</v>
      </c>
      <c r="B116" s="302" t="s">
        <v>3441</v>
      </c>
      <c r="C116" s="302" t="s">
        <v>1392</v>
      </c>
      <c r="D116" s="303" t="s">
        <v>1661</v>
      </c>
      <c r="E116" s="286">
        <v>8</v>
      </c>
      <c r="F116" s="321">
        <v>95.45</v>
      </c>
      <c r="G116" s="315" t="s">
        <v>195</v>
      </c>
      <c r="H116" s="286">
        <v>1</v>
      </c>
      <c r="I116" s="304">
        <v>763.6</v>
      </c>
      <c r="J116" s="286">
        <v>5.42</v>
      </c>
      <c r="K116" s="304">
        <v>4138.71</v>
      </c>
      <c r="Q116" s="281">
        <f>[15]Source!X62</f>
        <v>0</v>
      </c>
      <c r="R116" s="281">
        <f>[15]Source!X63</f>
        <v>0</v>
      </c>
      <c r="S116" s="281">
        <f>[15]Source!Y62</f>
        <v>0</v>
      </c>
      <c r="T116" s="281">
        <f>[15]Source!Y63</f>
        <v>0</v>
      </c>
      <c r="U116" s="281">
        <f>ROUND((175/100)*ROUND([15]Source!R62, 2), 2)</f>
        <v>0</v>
      </c>
      <c r="V116" s="281">
        <f>ROUND((157/100)*ROUND([15]Source!R63, 2), 2)</f>
        <v>0</v>
      </c>
    </row>
    <row r="117" spans="1:22" ht="14.25" x14ac:dyDescent="0.2">
      <c r="A117" s="301"/>
      <c r="B117" s="302"/>
      <c r="C117" s="302" t="s">
        <v>194</v>
      </c>
      <c r="D117" s="303" t="s">
        <v>187</v>
      </c>
      <c r="E117" s="286">
        <v>112</v>
      </c>
      <c r="F117" s="321"/>
      <c r="G117" s="305"/>
      <c r="H117" s="286"/>
      <c r="I117" s="304">
        <v>61.65</v>
      </c>
      <c r="J117" s="286">
        <v>77</v>
      </c>
      <c r="K117" s="304">
        <v>972.33</v>
      </c>
    </row>
    <row r="118" spans="1:22" ht="14.25" x14ac:dyDescent="0.2">
      <c r="A118" s="301"/>
      <c r="B118" s="302"/>
      <c r="C118" s="302" t="s">
        <v>193</v>
      </c>
      <c r="D118" s="303" t="s">
        <v>187</v>
      </c>
      <c r="E118" s="286">
        <v>70</v>
      </c>
      <c r="F118" s="321"/>
      <c r="G118" s="305"/>
      <c r="H118" s="286"/>
      <c r="I118" s="304">
        <v>36.229999999999997</v>
      </c>
      <c r="J118" s="286">
        <v>41</v>
      </c>
      <c r="K118" s="304">
        <v>517.74</v>
      </c>
    </row>
    <row r="119" spans="1:22" ht="14.25" x14ac:dyDescent="0.2">
      <c r="A119" s="329"/>
      <c r="B119" s="330"/>
      <c r="C119" s="330" t="s">
        <v>192</v>
      </c>
      <c r="D119" s="331" t="s">
        <v>191</v>
      </c>
      <c r="E119" s="332">
        <v>0.52</v>
      </c>
      <c r="F119" s="333"/>
      <c r="G119" s="334" t="s">
        <v>195</v>
      </c>
      <c r="H119" s="332">
        <v>1</v>
      </c>
      <c r="I119" s="335">
        <v>4.16</v>
      </c>
      <c r="J119" s="332"/>
      <c r="K119" s="335"/>
    </row>
    <row r="120" spans="1:22" ht="15" x14ac:dyDescent="0.25">
      <c r="A120" s="336"/>
      <c r="B120" s="336"/>
      <c r="C120" s="337" t="s">
        <v>183</v>
      </c>
      <c r="D120" s="336"/>
      <c r="E120" s="336"/>
      <c r="F120" s="336"/>
      <c r="G120" s="336"/>
      <c r="H120" s="461">
        <v>918.36</v>
      </c>
      <c r="I120" s="461"/>
      <c r="J120" s="461">
        <v>6906.75</v>
      </c>
      <c r="K120" s="461"/>
      <c r="O120" s="284">
        <f>I114+I115+I117+I118+SUM(I116:I116)</f>
        <v>918.36</v>
      </c>
      <c r="P120" s="284">
        <f>K114+K115+K117+K118+SUM(K116:K116)</f>
        <v>6906.75</v>
      </c>
    </row>
    <row r="122" spans="1:22" ht="28.5" x14ac:dyDescent="0.2">
      <c r="A122" s="301" t="s">
        <v>1795</v>
      </c>
      <c r="B122" s="302" t="s">
        <v>3580</v>
      </c>
      <c r="C122" s="302" t="s">
        <v>206</v>
      </c>
      <c r="D122" s="303" t="s">
        <v>1903</v>
      </c>
      <c r="E122" s="286">
        <v>8</v>
      </c>
      <c r="F122" s="321"/>
      <c r="G122" s="305"/>
      <c r="H122" s="286"/>
      <c r="I122" s="304"/>
      <c r="J122" s="286"/>
      <c r="K122" s="304"/>
      <c r="Q122" s="281">
        <f>[15]Source!X64</f>
        <v>124.99</v>
      </c>
      <c r="R122" s="281">
        <f>[15]Source!X65</f>
        <v>2029.09</v>
      </c>
      <c r="S122" s="281">
        <f>[15]Source!Y64</f>
        <v>91.66</v>
      </c>
      <c r="T122" s="281">
        <f>[15]Source!Y65</f>
        <v>1139.6300000000001</v>
      </c>
      <c r="U122" s="281">
        <f>ROUND((175/100)*ROUND([15]Source!R64, 2), 2)</f>
        <v>1.26</v>
      </c>
      <c r="V122" s="281">
        <f>ROUND((157/100)*ROUND([15]Source!R65, 2), 2)</f>
        <v>26.39</v>
      </c>
    </row>
    <row r="123" spans="1:22" ht="14.25" x14ac:dyDescent="0.2">
      <c r="A123" s="301"/>
      <c r="B123" s="302"/>
      <c r="C123" s="302" t="s">
        <v>197</v>
      </c>
      <c r="D123" s="303"/>
      <c r="E123" s="286"/>
      <c r="F123" s="321">
        <v>14.88</v>
      </c>
      <c r="G123" s="305" t="s">
        <v>195</v>
      </c>
      <c r="H123" s="286">
        <v>1</v>
      </c>
      <c r="I123" s="304">
        <v>119.04</v>
      </c>
      <c r="J123" s="286">
        <v>23.35</v>
      </c>
      <c r="K123" s="304">
        <v>2779.58</v>
      </c>
    </row>
    <row r="124" spans="1:22" ht="14.25" x14ac:dyDescent="0.2">
      <c r="A124" s="301"/>
      <c r="B124" s="302"/>
      <c r="C124" s="302" t="s">
        <v>184</v>
      </c>
      <c r="D124" s="303"/>
      <c r="E124" s="286"/>
      <c r="F124" s="321">
        <v>1.99</v>
      </c>
      <c r="G124" s="305" t="s">
        <v>195</v>
      </c>
      <c r="H124" s="286">
        <v>1</v>
      </c>
      <c r="I124" s="304">
        <v>15.92</v>
      </c>
      <c r="J124" s="286">
        <v>7.23</v>
      </c>
      <c r="K124" s="304">
        <v>115.1</v>
      </c>
    </row>
    <row r="125" spans="1:22" ht="14.25" x14ac:dyDescent="0.2">
      <c r="A125" s="301"/>
      <c r="B125" s="302"/>
      <c r="C125" s="302" t="s">
        <v>189</v>
      </c>
      <c r="D125" s="303"/>
      <c r="E125" s="286"/>
      <c r="F125" s="321">
        <v>0.09</v>
      </c>
      <c r="G125" s="305" t="s">
        <v>195</v>
      </c>
      <c r="H125" s="286">
        <v>1</v>
      </c>
      <c r="I125" s="306">
        <v>0.72</v>
      </c>
      <c r="J125" s="286">
        <v>23.35</v>
      </c>
      <c r="K125" s="306">
        <v>16.809999999999999</v>
      </c>
    </row>
    <row r="126" spans="1:22" ht="14.25" x14ac:dyDescent="0.2">
      <c r="A126" s="301"/>
      <c r="B126" s="302"/>
      <c r="C126" s="302" t="s">
        <v>205</v>
      </c>
      <c r="D126" s="303"/>
      <c r="E126" s="286"/>
      <c r="F126" s="321">
        <v>0.41</v>
      </c>
      <c r="G126" s="305" t="s">
        <v>195</v>
      </c>
      <c r="H126" s="286">
        <v>1</v>
      </c>
      <c r="I126" s="304">
        <v>3.28</v>
      </c>
      <c r="J126" s="286">
        <v>4.71</v>
      </c>
      <c r="K126" s="304">
        <v>15.45</v>
      </c>
    </row>
    <row r="127" spans="1:22" ht="28.5" x14ac:dyDescent="0.2">
      <c r="A127" s="301" t="s">
        <v>1797</v>
      </c>
      <c r="B127" s="302" t="s">
        <v>3581</v>
      </c>
      <c r="C127" s="302" t="s">
        <v>1391</v>
      </c>
      <c r="D127" s="303" t="s">
        <v>1661</v>
      </c>
      <c r="E127" s="286">
        <v>8</v>
      </c>
      <c r="F127" s="321">
        <v>566.04</v>
      </c>
      <c r="G127" s="315" t="s">
        <v>195</v>
      </c>
      <c r="H127" s="286">
        <v>1</v>
      </c>
      <c r="I127" s="304">
        <v>4528.32</v>
      </c>
      <c r="J127" s="286">
        <v>1.3</v>
      </c>
      <c r="K127" s="304">
        <v>5886.82</v>
      </c>
      <c r="Q127" s="281">
        <f>[15]Source!X66</f>
        <v>0</v>
      </c>
      <c r="R127" s="281">
        <f>[15]Source!X67</f>
        <v>0</v>
      </c>
      <c r="S127" s="281">
        <f>[15]Source!Y66</f>
        <v>0</v>
      </c>
      <c r="T127" s="281">
        <f>[15]Source!Y67</f>
        <v>0</v>
      </c>
      <c r="U127" s="281">
        <f>ROUND((175/100)*ROUND([15]Source!R66, 2), 2)</f>
        <v>0</v>
      </c>
      <c r="V127" s="281">
        <f>ROUND((157/100)*ROUND([15]Source!R67, 2), 2)</f>
        <v>0</v>
      </c>
    </row>
    <row r="128" spans="1:22" ht="14.25" x14ac:dyDescent="0.2">
      <c r="A128" s="301"/>
      <c r="B128" s="302"/>
      <c r="C128" s="302" t="s">
        <v>194</v>
      </c>
      <c r="D128" s="303" t="s">
        <v>187</v>
      </c>
      <c r="E128" s="286">
        <v>105</v>
      </c>
      <c r="F128" s="321"/>
      <c r="G128" s="305"/>
      <c r="H128" s="286"/>
      <c r="I128" s="304">
        <v>124.99</v>
      </c>
      <c r="J128" s="286">
        <v>73</v>
      </c>
      <c r="K128" s="304">
        <v>2029.09</v>
      </c>
    </row>
    <row r="129" spans="1:22" ht="14.25" x14ac:dyDescent="0.2">
      <c r="A129" s="301"/>
      <c r="B129" s="302"/>
      <c r="C129" s="302" t="s">
        <v>193</v>
      </c>
      <c r="D129" s="303" t="s">
        <v>187</v>
      </c>
      <c r="E129" s="286">
        <v>77</v>
      </c>
      <c r="F129" s="321"/>
      <c r="G129" s="305"/>
      <c r="H129" s="286"/>
      <c r="I129" s="304">
        <v>91.66</v>
      </c>
      <c r="J129" s="286">
        <v>41</v>
      </c>
      <c r="K129" s="304">
        <v>1139.6300000000001</v>
      </c>
    </row>
    <row r="130" spans="1:22" ht="14.25" x14ac:dyDescent="0.2">
      <c r="A130" s="301"/>
      <c r="B130" s="302"/>
      <c r="C130" s="302" t="s">
        <v>188</v>
      </c>
      <c r="D130" s="303" t="s">
        <v>187</v>
      </c>
      <c r="E130" s="286">
        <v>175</v>
      </c>
      <c r="F130" s="321"/>
      <c r="G130" s="305"/>
      <c r="H130" s="286"/>
      <c r="I130" s="304">
        <v>1.26</v>
      </c>
      <c r="J130" s="286">
        <v>157</v>
      </c>
      <c r="K130" s="304">
        <v>26.39</v>
      </c>
    </row>
    <row r="131" spans="1:22" ht="14.25" x14ac:dyDescent="0.2">
      <c r="A131" s="329"/>
      <c r="B131" s="330"/>
      <c r="C131" s="330" t="s">
        <v>192</v>
      </c>
      <c r="D131" s="331" t="s">
        <v>191</v>
      </c>
      <c r="E131" s="332">
        <v>1.1100000000000001</v>
      </c>
      <c r="F131" s="333"/>
      <c r="G131" s="334" t="s">
        <v>195</v>
      </c>
      <c r="H131" s="332">
        <v>1</v>
      </c>
      <c r="I131" s="335">
        <v>8.8800000000000008</v>
      </c>
      <c r="J131" s="332"/>
      <c r="K131" s="335"/>
    </row>
    <row r="132" spans="1:22" ht="15" x14ac:dyDescent="0.25">
      <c r="A132" s="336"/>
      <c r="B132" s="336"/>
      <c r="C132" s="337" t="s">
        <v>183</v>
      </c>
      <c r="D132" s="336"/>
      <c r="E132" s="336"/>
      <c r="F132" s="336"/>
      <c r="G132" s="336"/>
      <c r="H132" s="461">
        <v>4884.47</v>
      </c>
      <c r="I132" s="461"/>
      <c r="J132" s="461">
        <v>11992.06</v>
      </c>
      <c r="K132" s="461"/>
      <c r="O132" s="284">
        <f>I123+I124+I126+I128+I129+I130+SUM(I127:I127)</f>
        <v>4884.47</v>
      </c>
      <c r="P132" s="284">
        <f>K123+K124+K126+K128+K129+K130+SUM(K127:K127)</f>
        <v>11992.06</v>
      </c>
    </row>
    <row r="134" spans="1:22" ht="28.5" x14ac:dyDescent="0.2">
      <c r="A134" s="301" t="s">
        <v>1798</v>
      </c>
      <c r="B134" s="302" t="s">
        <v>3582</v>
      </c>
      <c r="C134" s="302" t="s">
        <v>1390</v>
      </c>
      <c r="D134" s="303" t="s">
        <v>1903</v>
      </c>
      <c r="E134" s="286">
        <v>1</v>
      </c>
      <c r="F134" s="321"/>
      <c r="G134" s="305"/>
      <c r="H134" s="286"/>
      <c r="I134" s="304"/>
      <c r="J134" s="286"/>
      <c r="K134" s="304"/>
      <c r="Q134" s="281">
        <f>[15]Source!X68</f>
        <v>33.15</v>
      </c>
      <c r="R134" s="281">
        <f>[15]Source!X69</f>
        <v>522.85</v>
      </c>
      <c r="S134" s="281">
        <f>[15]Source!Y68</f>
        <v>19.48</v>
      </c>
      <c r="T134" s="281">
        <f>[15]Source!Y69</f>
        <v>278.39999999999998</v>
      </c>
      <c r="U134" s="281">
        <f>ROUND((175/100)*ROUND([15]Source!R68, 2), 2)</f>
        <v>0.3</v>
      </c>
      <c r="V134" s="281">
        <f>ROUND((157/100)*ROUND([15]Source!R69, 2), 2)</f>
        <v>6.23</v>
      </c>
    </row>
    <row r="135" spans="1:22" ht="14.25" x14ac:dyDescent="0.2">
      <c r="A135" s="301"/>
      <c r="B135" s="302"/>
      <c r="C135" s="302" t="s">
        <v>197</v>
      </c>
      <c r="D135" s="303"/>
      <c r="E135" s="286"/>
      <c r="F135" s="321">
        <v>29.08</v>
      </c>
      <c r="G135" s="305" t="s">
        <v>195</v>
      </c>
      <c r="H135" s="286">
        <v>1</v>
      </c>
      <c r="I135" s="304">
        <v>29.08</v>
      </c>
      <c r="J135" s="286">
        <v>23.35</v>
      </c>
      <c r="K135" s="304">
        <v>679.02</v>
      </c>
    </row>
    <row r="136" spans="1:22" ht="14.25" x14ac:dyDescent="0.2">
      <c r="A136" s="301"/>
      <c r="B136" s="302"/>
      <c r="C136" s="302" t="s">
        <v>184</v>
      </c>
      <c r="D136" s="303"/>
      <c r="E136" s="286"/>
      <c r="F136" s="321">
        <v>0.73</v>
      </c>
      <c r="G136" s="305" t="s">
        <v>195</v>
      </c>
      <c r="H136" s="286">
        <v>1</v>
      </c>
      <c r="I136" s="304">
        <v>0.73</v>
      </c>
      <c r="J136" s="286">
        <v>9.5500000000000007</v>
      </c>
      <c r="K136" s="304">
        <v>6.97</v>
      </c>
    </row>
    <row r="137" spans="1:22" ht="14.25" x14ac:dyDescent="0.2">
      <c r="A137" s="301"/>
      <c r="B137" s="302"/>
      <c r="C137" s="302" t="s">
        <v>189</v>
      </c>
      <c r="D137" s="303"/>
      <c r="E137" s="286"/>
      <c r="F137" s="321">
        <v>0.17</v>
      </c>
      <c r="G137" s="305" t="s">
        <v>195</v>
      </c>
      <c r="H137" s="286">
        <v>1</v>
      </c>
      <c r="I137" s="306">
        <v>0.17</v>
      </c>
      <c r="J137" s="286">
        <v>23.35</v>
      </c>
      <c r="K137" s="306">
        <v>3.97</v>
      </c>
    </row>
    <row r="138" spans="1:22" ht="14.25" x14ac:dyDescent="0.2">
      <c r="A138" s="301"/>
      <c r="B138" s="302"/>
      <c r="C138" s="302" t="s">
        <v>205</v>
      </c>
      <c r="D138" s="303"/>
      <c r="E138" s="286"/>
      <c r="F138" s="321">
        <v>0.28000000000000003</v>
      </c>
      <c r="G138" s="305" t="s">
        <v>195</v>
      </c>
      <c r="H138" s="286">
        <v>1</v>
      </c>
      <c r="I138" s="304">
        <v>0.28000000000000003</v>
      </c>
      <c r="J138" s="286">
        <v>5.43</v>
      </c>
      <c r="K138" s="304">
        <v>1.52</v>
      </c>
    </row>
    <row r="139" spans="1:22" ht="68.25" x14ac:dyDescent="0.2">
      <c r="A139" s="322" t="s">
        <v>1801</v>
      </c>
      <c r="B139" s="323" t="s">
        <v>3441</v>
      </c>
      <c r="C139" s="323" t="s">
        <v>1389</v>
      </c>
      <c r="D139" s="324" t="s">
        <v>1661</v>
      </c>
      <c r="E139" s="325">
        <v>1</v>
      </c>
      <c r="F139" s="326">
        <v>1672.13</v>
      </c>
      <c r="G139" s="327" t="s">
        <v>195</v>
      </c>
      <c r="H139" s="325">
        <v>1</v>
      </c>
      <c r="I139" s="328">
        <v>1672.13</v>
      </c>
      <c r="J139" s="325">
        <v>4.4000000000000004</v>
      </c>
      <c r="K139" s="328">
        <v>7357.37</v>
      </c>
      <c r="Q139" s="281">
        <f>[15]Source!X70</f>
        <v>0</v>
      </c>
      <c r="R139" s="281">
        <f>[15]Source!X71</f>
        <v>0</v>
      </c>
      <c r="S139" s="281">
        <f>[15]Source!Y70</f>
        <v>0</v>
      </c>
      <c r="T139" s="281">
        <f>[15]Source!Y71</f>
        <v>0</v>
      </c>
      <c r="U139" s="281">
        <f>ROUND((175/100)*ROUND([15]Source!R70, 2), 2)</f>
        <v>0</v>
      </c>
      <c r="V139" s="281">
        <f>ROUND((157/100)*ROUND([15]Source!R71, 2), 2)</f>
        <v>0</v>
      </c>
    </row>
    <row r="140" spans="1:22" ht="14.25" x14ac:dyDescent="0.2">
      <c r="A140" s="301"/>
      <c r="B140" s="302"/>
      <c r="C140" s="302" t="s">
        <v>194</v>
      </c>
      <c r="D140" s="303" t="s">
        <v>187</v>
      </c>
      <c r="E140" s="286">
        <v>112</v>
      </c>
      <c r="F140" s="321"/>
      <c r="G140" s="305"/>
      <c r="H140" s="286"/>
      <c r="I140" s="304">
        <v>33.15</v>
      </c>
      <c r="J140" s="286">
        <v>77</v>
      </c>
      <c r="K140" s="304">
        <v>522.85</v>
      </c>
    </row>
    <row r="141" spans="1:22" ht="14.25" x14ac:dyDescent="0.2">
      <c r="A141" s="301"/>
      <c r="B141" s="302"/>
      <c r="C141" s="302" t="s">
        <v>193</v>
      </c>
      <c r="D141" s="303" t="s">
        <v>187</v>
      </c>
      <c r="E141" s="286">
        <v>70</v>
      </c>
      <c r="F141" s="321"/>
      <c r="G141" s="305"/>
      <c r="H141" s="286"/>
      <c r="I141" s="304">
        <v>19.48</v>
      </c>
      <c r="J141" s="286">
        <v>41</v>
      </c>
      <c r="K141" s="304">
        <v>278.39999999999998</v>
      </c>
    </row>
    <row r="142" spans="1:22" ht="14.25" x14ac:dyDescent="0.2">
      <c r="A142" s="301"/>
      <c r="B142" s="302"/>
      <c r="C142" s="302" t="s">
        <v>188</v>
      </c>
      <c r="D142" s="303" t="s">
        <v>187</v>
      </c>
      <c r="E142" s="286">
        <v>175</v>
      </c>
      <c r="F142" s="321"/>
      <c r="G142" s="305"/>
      <c r="H142" s="286"/>
      <c r="I142" s="304">
        <v>0.3</v>
      </c>
      <c r="J142" s="286">
        <v>157</v>
      </c>
      <c r="K142" s="304">
        <v>6.23</v>
      </c>
    </row>
    <row r="143" spans="1:22" ht="14.25" x14ac:dyDescent="0.2">
      <c r="A143" s="329"/>
      <c r="B143" s="330"/>
      <c r="C143" s="330" t="s">
        <v>192</v>
      </c>
      <c r="D143" s="331" t="s">
        <v>191</v>
      </c>
      <c r="E143" s="332">
        <v>2</v>
      </c>
      <c r="F143" s="333"/>
      <c r="G143" s="334" t="s">
        <v>195</v>
      </c>
      <c r="H143" s="332">
        <v>1</v>
      </c>
      <c r="I143" s="335">
        <v>2</v>
      </c>
      <c r="J143" s="332"/>
      <c r="K143" s="335"/>
    </row>
    <row r="144" spans="1:22" ht="15" x14ac:dyDescent="0.25">
      <c r="A144" s="336"/>
      <c r="B144" s="336"/>
      <c r="C144" s="337" t="s">
        <v>183</v>
      </c>
      <c r="D144" s="336"/>
      <c r="E144" s="336"/>
      <c r="F144" s="336"/>
      <c r="G144" s="336"/>
      <c r="H144" s="461">
        <v>1755.15</v>
      </c>
      <c r="I144" s="461"/>
      <c r="J144" s="461">
        <v>8852.36</v>
      </c>
      <c r="K144" s="461"/>
      <c r="O144" s="284">
        <f>I135+I136+I138+I140+I141+I142+SUM(I139:I139)</f>
        <v>1755.15</v>
      </c>
      <c r="P144" s="284">
        <f>K135+K136+K138+K140+K141+K142+SUM(K139:K139)</f>
        <v>8852.36</v>
      </c>
    </row>
    <row r="146" spans="1:22" ht="28.5" x14ac:dyDescent="0.2">
      <c r="A146" s="301" t="s">
        <v>1802</v>
      </c>
      <c r="B146" s="302" t="s">
        <v>3470</v>
      </c>
      <c r="C146" s="302" t="s">
        <v>1122</v>
      </c>
      <c r="D146" s="303" t="s">
        <v>1890</v>
      </c>
      <c r="E146" s="286">
        <v>0.2</v>
      </c>
      <c r="F146" s="321"/>
      <c r="G146" s="305"/>
      <c r="H146" s="286"/>
      <c r="I146" s="304"/>
      <c r="J146" s="286"/>
      <c r="K146" s="304"/>
      <c r="Q146" s="281">
        <f>[15]Source!X72</f>
        <v>51.87</v>
      </c>
      <c r="R146" s="281">
        <f>[15]Source!X73</f>
        <v>818.07</v>
      </c>
      <c r="S146" s="281">
        <f>[15]Source!Y72</f>
        <v>30.49</v>
      </c>
      <c r="T146" s="281">
        <f>[15]Source!Y73</f>
        <v>435.6</v>
      </c>
      <c r="U146" s="281">
        <f>ROUND((175/100)*ROUND([15]Source!R72, 2), 2)</f>
        <v>0.42</v>
      </c>
      <c r="V146" s="281">
        <f>ROUND((157/100)*ROUND([15]Source!R73, 2), 2)</f>
        <v>8.7899999999999991</v>
      </c>
    </row>
    <row r="147" spans="1:22" x14ac:dyDescent="0.2">
      <c r="C147" s="316" t="s">
        <v>3583</v>
      </c>
    </row>
    <row r="148" spans="1:22" ht="14.25" x14ac:dyDescent="0.2">
      <c r="A148" s="301"/>
      <c r="B148" s="302"/>
      <c r="C148" s="302" t="s">
        <v>197</v>
      </c>
      <c r="D148" s="303"/>
      <c r="E148" s="286"/>
      <c r="F148" s="321">
        <v>227.49</v>
      </c>
      <c r="G148" s="305" t="s">
        <v>195</v>
      </c>
      <c r="H148" s="286">
        <v>1</v>
      </c>
      <c r="I148" s="304">
        <v>45.5</v>
      </c>
      <c r="J148" s="286">
        <v>23.35</v>
      </c>
      <c r="K148" s="304">
        <v>1062.43</v>
      </c>
    </row>
    <row r="149" spans="1:22" ht="14.25" x14ac:dyDescent="0.2">
      <c r="A149" s="301"/>
      <c r="B149" s="302"/>
      <c r="C149" s="302" t="s">
        <v>184</v>
      </c>
      <c r="D149" s="303"/>
      <c r="E149" s="286"/>
      <c r="F149" s="321">
        <v>6.98</v>
      </c>
      <c r="G149" s="305" t="s">
        <v>195</v>
      </c>
      <c r="H149" s="286">
        <v>1</v>
      </c>
      <c r="I149" s="304">
        <v>1.4</v>
      </c>
      <c r="J149" s="286">
        <v>8.39</v>
      </c>
      <c r="K149" s="304">
        <v>11.75</v>
      </c>
    </row>
    <row r="150" spans="1:22" ht="14.25" x14ac:dyDescent="0.2">
      <c r="A150" s="301"/>
      <c r="B150" s="302"/>
      <c r="C150" s="302" t="s">
        <v>189</v>
      </c>
      <c r="D150" s="303"/>
      <c r="E150" s="286"/>
      <c r="F150" s="321">
        <v>1.18</v>
      </c>
      <c r="G150" s="305" t="s">
        <v>195</v>
      </c>
      <c r="H150" s="286">
        <v>1</v>
      </c>
      <c r="I150" s="306">
        <v>0.24</v>
      </c>
      <c r="J150" s="286">
        <v>23.35</v>
      </c>
      <c r="K150" s="306">
        <v>5.6</v>
      </c>
    </row>
    <row r="151" spans="1:22" ht="14.25" x14ac:dyDescent="0.2">
      <c r="A151" s="301"/>
      <c r="B151" s="302"/>
      <c r="C151" s="302" t="s">
        <v>205</v>
      </c>
      <c r="D151" s="303"/>
      <c r="E151" s="286"/>
      <c r="F151" s="321">
        <v>2.4700000000000002</v>
      </c>
      <c r="G151" s="305" t="s">
        <v>195</v>
      </c>
      <c r="H151" s="286">
        <v>1</v>
      </c>
      <c r="I151" s="304">
        <v>0.49</v>
      </c>
      <c r="J151" s="286">
        <v>5.42</v>
      </c>
      <c r="K151" s="304">
        <v>2.66</v>
      </c>
    </row>
    <row r="152" spans="1:22" ht="68.25" x14ac:dyDescent="0.2">
      <c r="A152" s="322" t="s">
        <v>1803</v>
      </c>
      <c r="B152" s="323" t="s">
        <v>3441</v>
      </c>
      <c r="C152" s="323" t="s">
        <v>1388</v>
      </c>
      <c r="D152" s="324" t="s">
        <v>1661</v>
      </c>
      <c r="E152" s="325">
        <v>2</v>
      </c>
      <c r="F152" s="326">
        <v>963.39</v>
      </c>
      <c r="G152" s="327" t="s">
        <v>195</v>
      </c>
      <c r="H152" s="325">
        <v>1</v>
      </c>
      <c r="I152" s="328">
        <v>1926.78</v>
      </c>
      <c r="J152" s="325">
        <v>4.4000000000000004</v>
      </c>
      <c r="K152" s="328">
        <v>8477.83</v>
      </c>
      <c r="Q152" s="281">
        <f>[15]Source!X74</f>
        <v>0</v>
      </c>
      <c r="R152" s="281">
        <f>[15]Source!X75</f>
        <v>0</v>
      </c>
      <c r="S152" s="281">
        <f>[15]Source!Y74</f>
        <v>0</v>
      </c>
      <c r="T152" s="281">
        <f>[15]Source!Y75</f>
        <v>0</v>
      </c>
      <c r="U152" s="281">
        <f>ROUND((175/100)*ROUND([15]Source!R74, 2), 2)</f>
        <v>0</v>
      </c>
      <c r="V152" s="281">
        <f>ROUND((157/100)*ROUND([15]Source!R75, 2), 2)</f>
        <v>0</v>
      </c>
    </row>
    <row r="153" spans="1:22" ht="39.75" x14ac:dyDescent="0.2">
      <c r="A153" s="301" t="s">
        <v>3584</v>
      </c>
      <c r="B153" s="302" t="s">
        <v>3441</v>
      </c>
      <c r="C153" s="302" t="s">
        <v>1387</v>
      </c>
      <c r="D153" s="303" t="s">
        <v>1661</v>
      </c>
      <c r="E153" s="286">
        <v>2</v>
      </c>
      <c r="F153" s="321">
        <v>141.24</v>
      </c>
      <c r="G153" s="315" t="s">
        <v>195</v>
      </c>
      <c r="H153" s="286">
        <v>1</v>
      </c>
      <c r="I153" s="304">
        <v>282.48</v>
      </c>
      <c r="J153" s="286">
        <v>5.42</v>
      </c>
      <c r="K153" s="304">
        <v>1531.04</v>
      </c>
      <c r="Q153" s="281">
        <f>[15]Source!X76</f>
        <v>0</v>
      </c>
      <c r="R153" s="281">
        <f>[15]Source!X77</f>
        <v>0</v>
      </c>
      <c r="S153" s="281">
        <f>[15]Source!Y76</f>
        <v>0</v>
      </c>
      <c r="T153" s="281">
        <f>[15]Source!Y77</f>
        <v>0</v>
      </c>
      <c r="U153" s="281">
        <f>ROUND((175/100)*ROUND([15]Source!R76, 2), 2)</f>
        <v>0</v>
      </c>
      <c r="V153" s="281">
        <f>ROUND((157/100)*ROUND([15]Source!R77, 2), 2)</f>
        <v>0</v>
      </c>
    </row>
    <row r="154" spans="1:22" ht="14.25" x14ac:dyDescent="0.2">
      <c r="A154" s="301"/>
      <c r="B154" s="302"/>
      <c r="C154" s="302" t="s">
        <v>194</v>
      </c>
      <c r="D154" s="303" t="s">
        <v>187</v>
      </c>
      <c r="E154" s="286">
        <v>112</v>
      </c>
      <c r="F154" s="321"/>
      <c r="G154" s="305"/>
      <c r="H154" s="286"/>
      <c r="I154" s="304">
        <v>51.87</v>
      </c>
      <c r="J154" s="286">
        <v>77</v>
      </c>
      <c r="K154" s="304">
        <v>818.07</v>
      </c>
    </row>
    <row r="155" spans="1:22" ht="14.25" x14ac:dyDescent="0.2">
      <c r="A155" s="301"/>
      <c r="B155" s="302"/>
      <c r="C155" s="302" t="s">
        <v>193</v>
      </c>
      <c r="D155" s="303" t="s">
        <v>187</v>
      </c>
      <c r="E155" s="286">
        <v>70</v>
      </c>
      <c r="F155" s="321"/>
      <c r="G155" s="305"/>
      <c r="H155" s="286"/>
      <c r="I155" s="304">
        <v>30.49</v>
      </c>
      <c r="J155" s="286">
        <v>41</v>
      </c>
      <c r="K155" s="304">
        <v>435.6</v>
      </c>
    </row>
    <row r="156" spans="1:22" ht="14.25" x14ac:dyDescent="0.2">
      <c r="A156" s="301"/>
      <c r="B156" s="302"/>
      <c r="C156" s="302" t="s">
        <v>188</v>
      </c>
      <c r="D156" s="303" t="s">
        <v>187</v>
      </c>
      <c r="E156" s="286">
        <v>175</v>
      </c>
      <c r="F156" s="321"/>
      <c r="G156" s="305"/>
      <c r="H156" s="286"/>
      <c r="I156" s="304">
        <v>0.42</v>
      </c>
      <c r="J156" s="286">
        <v>157</v>
      </c>
      <c r="K156" s="304">
        <v>8.7899999999999991</v>
      </c>
    </row>
    <row r="157" spans="1:22" ht="14.25" x14ac:dyDescent="0.2">
      <c r="A157" s="329"/>
      <c r="B157" s="330"/>
      <c r="C157" s="330" t="s">
        <v>192</v>
      </c>
      <c r="D157" s="331" t="s">
        <v>191</v>
      </c>
      <c r="E157" s="332">
        <v>14.64</v>
      </c>
      <c r="F157" s="333"/>
      <c r="G157" s="334" t="s">
        <v>195</v>
      </c>
      <c r="H157" s="332">
        <v>1</v>
      </c>
      <c r="I157" s="335">
        <v>2.93</v>
      </c>
      <c r="J157" s="332"/>
      <c r="K157" s="335"/>
    </row>
    <row r="158" spans="1:22" ht="15" x14ac:dyDescent="0.25">
      <c r="A158" s="336"/>
      <c r="B158" s="336"/>
      <c r="C158" s="337" t="s">
        <v>183</v>
      </c>
      <c r="D158" s="336"/>
      <c r="E158" s="336"/>
      <c r="F158" s="336"/>
      <c r="G158" s="336"/>
      <c r="H158" s="461">
        <v>2339.4299999999998</v>
      </c>
      <c r="I158" s="461"/>
      <c r="J158" s="461">
        <v>12348.17</v>
      </c>
      <c r="K158" s="461"/>
      <c r="O158" s="284">
        <f>I148+I149+I151+I154+I155+I156+SUM(I152:I153)</f>
        <v>2339.4299999999998</v>
      </c>
      <c r="P158" s="284">
        <f>K148+K149+K151+K154+K155+K156+SUM(K152:K153)</f>
        <v>12348.17</v>
      </c>
    </row>
    <row r="160" spans="1:22" ht="71.25" x14ac:dyDescent="0.2">
      <c r="A160" s="301" t="s">
        <v>1804</v>
      </c>
      <c r="B160" s="302" t="s">
        <v>3347</v>
      </c>
      <c r="C160" s="302" t="s">
        <v>1171</v>
      </c>
      <c r="D160" s="303" t="s">
        <v>1686</v>
      </c>
      <c r="E160" s="286">
        <v>8</v>
      </c>
      <c r="F160" s="321"/>
      <c r="G160" s="305"/>
      <c r="H160" s="286"/>
      <c r="I160" s="304"/>
      <c r="J160" s="286"/>
      <c r="K160" s="304"/>
      <c r="Q160" s="281">
        <f>[15]Source!X78</f>
        <v>1753.41</v>
      </c>
      <c r="R160" s="281">
        <f>[15]Source!X79</f>
        <v>27653.91</v>
      </c>
      <c r="S160" s="281">
        <f>[15]Source!Y78</f>
        <v>1030.51</v>
      </c>
      <c r="T160" s="281">
        <f>[15]Source!Y79</f>
        <v>14724.81</v>
      </c>
      <c r="U160" s="281">
        <f>ROUND((175/100)*ROUND([15]Source!R78, 2), 2)</f>
        <v>79.94</v>
      </c>
      <c r="V160" s="281">
        <f>ROUND((157/100)*ROUND([15]Source!R79, 2), 2)</f>
        <v>1674.61</v>
      </c>
    </row>
    <row r="161" spans="1:22" x14ac:dyDescent="0.2">
      <c r="C161" s="316" t="s">
        <v>3585</v>
      </c>
    </row>
    <row r="162" spans="1:22" ht="14.25" x14ac:dyDescent="0.2">
      <c r="A162" s="301"/>
      <c r="B162" s="302"/>
      <c r="C162" s="302" t="s">
        <v>197</v>
      </c>
      <c r="D162" s="303"/>
      <c r="E162" s="286"/>
      <c r="F162" s="321">
        <v>192.26</v>
      </c>
      <c r="G162" s="305" t="s">
        <v>195</v>
      </c>
      <c r="H162" s="286">
        <v>1</v>
      </c>
      <c r="I162" s="304">
        <v>1538.08</v>
      </c>
      <c r="J162" s="286">
        <v>23.35</v>
      </c>
      <c r="K162" s="304">
        <v>35914.17</v>
      </c>
    </row>
    <row r="163" spans="1:22" ht="14.25" x14ac:dyDescent="0.2">
      <c r="A163" s="301"/>
      <c r="B163" s="302"/>
      <c r="C163" s="302" t="s">
        <v>184</v>
      </c>
      <c r="D163" s="303"/>
      <c r="E163" s="286"/>
      <c r="F163" s="321">
        <v>32.869999999999997</v>
      </c>
      <c r="G163" s="305" t="s">
        <v>195</v>
      </c>
      <c r="H163" s="286">
        <v>1</v>
      </c>
      <c r="I163" s="304">
        <v>262.95999999999998</v>
      </c>
      <c r="J163" s="286">
        <v>8.48</v>
      </c>
      <c r="K163" s="304">
        <v>2229.9</v>
      </c>
    </row>
    <row r="164" spans="1:22" ht="14.25" x14ac:dyDescent="0.2">
      <c r="A164" s="301"/>
      <c r="B164" s="302"/>
      <c r="C164" s="302" t="s">
        <v>189</v>
      </c>
      <c r="D164" s="303"/>
      <c r="E164" s="286"/>
      <c r="F164" s="321">
        <v>5.71</v>
      </c>
      <c r="G164" s="305" t="s">
        <v>195</v>
      </c>
      <c r="H164" s="286">
        <v>1</v>
      </c>
      <c r="I164" s="306">
        <v>45.68</v>
      </c>
      <c r="J164" s="286">
        <v>23.35</v>
      </c>
      <c r="K164" s="306">
        <v>1066.6300000000001</v>
      </c>
    </row>
    <row r="165" spans="1:22" ht="14.25" x14ac:dyDescent="0.2">
      <c r="A165" s="301"/>
      <c r="B165" s="302"/>
      <c r="C165" s="302" t="s">
        <v>205</v>
      </c>
      <c r="D165" s="303"/>
      <c r="E165" s="286"/>
      <c r="F165" s="321">
        <v>314.29000000000002</v>
      </c>
      <c r="G165" s="305" t="s">
        <v>195</v>
      </c>
      <c r="H165" s="286">
        <v>1</v>
      </c>
      <c r="I165" s="304">
        <v>2514.3200000000002</v>
      </c>
      <c r="J165" s="286">
        <v>5.42</v>
      </c>
      <c r="K165" s="304">
        <v>13627.61</v>
      </c>
    </row>
    <row r="166" spans="1:22" ht="57" x14ac:dyDescent="0.2">
      <c r="A166" s="301" t="s">
        <v>1805</v>
      </c>
      <c r="B166" s="302" t="s">
        <v>3349</v>
      </c>
      <c r="C166" s="302" t="s">
        <v>1232</v>
      </c>
      <c r="D166" s="303" t="s">
        <v>1552</v>
      </c>
      <c r="E166" s="286">
        <v>816</v>
      </c>
      <c r="F166" s="321">
        <v>3.45</v>
      </c>
      <c r="G166" s="315" t="s">
        <v>195</v>
      </c>
      <c r="H166" s="286">
        <v>1</v>
      </c>
      <c r="I166" s="304">
        <v>2815.2</v>
      </c>
      <c r="J166" s="286">
        <v>6.37</v>
      </c>
      <c r="K166" s="304">
        <v>17932.82</v>
      </c>
      <c r="Q166" s="281">
        <f>[15]Source!X80</f>
        <v>0</v>
      </c>
      <c r="R166" s="281">
        <f>[15]Source!X81</f>
        <v>0</v>
      </c>
      <c r="S166" s="281">
        <f>[15]Source!Y80</f>
        <v>0</v>
      </c>
      <c r="T166" s="281">
        <f>[15]Source!Y81</f>
        <v>0</v>
      </c>
      <c r="U166" s="281">
        <f>ROUND((175/100)*ROUND([15]Source!R80, 2), 2)</f>
        <v>0</v>
      </c>
      <c r="V166" s="281">
        <f>ROUND((157/100)*ROUND([15]Source!R81, 2), 2)</f>
        <v>0</v>
      </c>
    </row>
    <row r="167" spans="1:22" ht="42.75" x14ac:dyDescent="0.2">
      <c r="A167" s="301" t="s">
        <v>3586</v>
      </c>
      <c r="B167" s="302" t="s">
        <v>3350</v>
      </c>
      <c r="C167" s="302" t="s">
        <v>1169</v>
      </c>
      <c r="D167" s="303" t="s">
        <v>1536</v>
      </c>
      <c r="E167" s="286">
        <v>20</v>
      </c>
      <c r="F167" s="321">
        <v>146.88999999999999</v>
      </c>
      <c r="G167" s="315" t="s">
        <v>195</v>
      </c>
      <c r="H167" s="286">
        <v>1</v>
      </c>
      <c r="I167" s="304">
        <v>2937.8</v>
      </c>
      <c r="J167" s="286">
        <v>1.19</v>
      </c>
      <c r="K167" s="304">
        <v>3495.98</v>
      </c>
      <c r="Q167" s="281">
        <f>[15]Source!X82</f>
        <v>0</v>
      </c>
      <c r="R167" s="281">
        <f>[15]Source!X83</f>
        <v>0</v>
      </c>
      <c r="S167" s="281">
        <f>[15]Source!Y82</f>
        <v>0</v>
      </c>
      <c r="T167" s="281">
        <f>[15]Source!Y83</f>
        <v>0</v>
      </c>
      <c r="U167" s="281">
        <f>ROUND((175/100)*ROUND([15]Source!R82, 2), 2)</f>
        <v>0</v>
      </c>
      <c r="V167" s="281">
        <f>ROUND((157/100)*ROUND([15]Source!R83, 2), 2)</f>
        <v>0</v>
      </c>
    </row>
    <row r="168" spans="1:22" ht="14.25" x14ac:dyDescent="0.2">
      <c r="A168" s="301"/>
      <c r="B168" s="302"/>
      <c r="C168" s="302" t="s">
        <v>194</v>
      </c>
      <c r="D168" s="303" t="s">
        <v>187</v>
      </c>
      <c r="E168" s="286">
        <v>112</v>
      </c>
      <c r="F168" s="321"/>
      <c r="G168" s="305"/>
      <c r="H168" s="286"/>
      <c r="I168" s="304">
        <v>1753.41</v>
      </c>
      <c r="J168" s="286">
        <v>77</v>
      </c>
      <c r="K168" s="304">
        <v>27653.91</v>
      </c>
    </row>
    <row r="169" spans="1:22" ht="14.25" x14ac:dyDescent="0.2">
      <c r="A169" s="301"/>
      <c r="B169" s="302"/>
      <c r="C169" s="302" t="s">
        <v>193</v>
      </c>
      <c r="D169" s="303" t="s">
        <v>187</v>
      </c>
      <c r="E169" s="286">
        <v>70</v>
      </c>
      <c r="F169" s="321"/>
      <c r="G169" s="305"/>
      <c r="H169" s="286"/>
      <c r="I169" s="304">
        <v>1030.51</v>
      </c>
      <c r="J169" s="286">
        <v>41</v>
      </c>
      <c r="K169" s="304">
        <v>14724.81</v>
      </c>
    </row>
    <row r="170" spans="1:22" ht="14.25" x14ac:dyDescent="0.2">
      <c r="A170" s="301"/>
      <c r="B170" s="302"/>
      <c r="C170" s="302" t="s">
        <v>188</v>
      </c>
      <c r="D170" s="303" t="s">
        <v>187</v>
      </c>
      <c r="E170" s="286">
        <v>175</v>
      </c>
      <c r="F170" s="321"/>
      <c r="G170" s="305"/>
      <c r="H170" s="286"/>
      <c r="I170" s="304">
        <v>79.94</v>
      </c>
      <c r="J170" s="286">
        <v>157</v>
      </c>
      <c r="K170" s="304">
        <v>1674.61</v>
      </c>
    </row>
    <row r="171" spans="1:22" ht="14.25" x14ac:dyDescent="0.2">
      <c r="A171" s="329"/>
      <c r="B171" s="330"/>
      <c r="C171" s="330" t="s">
        <v>192</v>
      </c>
      <c r="D171" s="331" t="s">
        <v>191</v>
      </c>
      <c r="E171" s="332">
        <v>15</v>
      </c>
      <c r="F171" s="333"/>
      <c r="G171" s="334" t="s">
        <v>195</v>
      </c>
      <c r="H171" s="332">
        <v>1</v>
      </c>
      <c r="I171" s="335">
        <v>120</v>
      </c>
      <c r="J171" s="332"/>
      <c r="K171" s="335"/>
    </row>
    <row r="172" spans="1:22" ht="15" x14ac:dyDescent="0.25">
      <c r="A172" s="336"/>
      <c r="B172" s="336"/>
      <c r="C172" s="337" t="s">
        <v>183</v>
      </c>
      <c r="D172" s="336"/>
      <c r="E172" s="336"/>
      <c r="F172" s="336"/>
      <c r="G172" s="336"/>
      <c r="H172" s="461">
        <v>12932.22</v>
      </c>
      <c r="I172" s="461"/>
      <c r="J172" s="461">
        <v>117253.81</v>
      </c>
      <c r="K172" s="461"/>
      <c r="O172" s="284">
        <f>I162+I163+I165+I168+I169+I170+SUM(I166:I167)</f>
        <v>12932.22</v>
      </c>
      <c r="P172" s="284">
        <f>K162+K163+K165+K168+K169+K170+SUM(K166:K167)</f>
        <v>117253.81</v>
      </c>
    </row>
    <row r="174" spans="1:22" ht="71.25" x14ac:dyDescent="0.2">
      <c r="A174" s="301" t="s">
        <v>1806</v>
      </c>
      <c r="B174" s="302" t="s">
        <v>3354</v>
      </c>
      <c r="C174" s="302" t="s">
        <v>1111</v>
      </c>
      <c r="D174" s="303" t="s">
        <v>1686</v>
      </c>
      <c r="E174" s="286">
        <v>5</v>
      </c>
      <c r="F174" s="321"/>
      <c r="G174" s="305"/>
      <c r="H174" s="286"/>
      <c r="I174" s="304"/>
      <c r="J174" s="286"/>
      <c r="K174" s="304"/>
      <c r="Q174" s="281">
        <f>[15]Source!X84</f>
        <v>434.34</v>
      </c>
      <c r="R174" s="281">
        <f>[15]Source!X85</f>
        <v>6850.19</v>
      </c>
      <c r="S174" s="281">
        <f>[15]Source!Y84</f>
        <v>255.27</v>
      </c>
      <c r="T174" s="281">
        <f>[15]Source!Y85</f>
        <v>3647.5</v>
      </c>
      <c r="U174" s="281">
        <f>ROUND((175/100)*ROUND([15]Source!R84, 2), 2)</f>
        <v>3.41</v>
      </c>
      <c r="V174" s="281">
        <f>ROUND((157/100)*ROUND([15]Source!R85, 2), 2)</f>
        <v>71.48</v>
      </c>
    </row>
    <row r="175" spans="1:22" x14ac:dyDescent="0.2">
      <c r="C175" s="316" t="s">
        <v>3478</v>
      </c>
    </row>
    <row r="176" spans="1:22" ht="14.25" x14ac:dyDescent="0.2">
      <c r="A176" s="301"/>
      <c r="B176" s="302"/>
      <c r="C176" s="302" t="s">
        <v>197</v>
      </c>
      <c r="D176" s="303"/>
      <c r="E176" s="286"/>
      <c r="F176" s="321">
        <v>76.2</v>
      </c>
      <c r="G176" s="305" t="s">
        <v>195</v>
      </c>
      <c r="H176" s="286">
        <v>1</v>
      </c>
      <c r="I176" s="304">
        <v>381</v>
      </c>
      <c r="J176" s="286">
        <v>23.35</v>
      </c>
      <c r="K176" s="304">
        <v>8896.35</v>
      </c>
    </row>
    <row r="177" spans="1:22" ht="14.25" x14ac:dyDescent="0.2">
      <c r="A177" s="301"/>
      <c r="B177" s="302"/>
      <c r="C177" s="302" t="s">
        <v>184</v>
      </c>
      <c r="D177" s="303"/>
      <c r="E177" s="286"/>
      <c r="F177" s="321">
        <v>1.69</v>
      </c>
      <c r="G177" s="305" t="s">
        <v>195</v>
      </c>
      <c r="H177" s="286">
        <v>1</v>
      </c>
      <c r="I177" s="304">
        <v>8.4499999999999993</v>
      </c>
      <c r="J177" s="286">
        <v>9.5</v>
      </c>
      <c r="K177" s="304">
        <v>80.28</v>
      </c>
    </row>
    <row r="178" spans="1:22" ht="14.25" x14ac:dyDescent="0.2">
      <c r="A178" s="301"/>
      <c r="B178" s="302"/>
      <c r="C178" s="302" t="s">
        <v>189</v>
      </c>
      <c r="D178" s="303"/>
      <c r="E178" s="286"/>
      <c r="F178" s="321">
        <v>0.39</v>
      </c>
      <c r="G178" s="305" t="s">
        <v>195</v>
      </c>
      <c r="H178" s="286">
        <v>1</v>
      </c>
      <c r="I178" s="306">
        <v>1.95</v>
      </c>
      <c r="J178" s="286">
        <v>23.35</v>
      </c>
      <c r="K178" s="306">
        <v>45.53</v>
      </c>
    </row>
    <row r="179" spans="1:22" ht="14.25" x14ac:dyDescent="0.2">
      <c r="A179" s="301"/>
      <c r="B179" s="302"/>
      <c r="C179" s="302" t="s">
        <v>205</v>
      </c>
      <c r="D179" s="303"/>
      <c r="E179" s="286"/>
      <c r="F179" s="321">
        <v>9.94</v>
      </c>
      <c r="G179" s="305" t="s">
        <v>195</v>
      </c>
      <c r="H179" s="286">
        <v>1</v>
      </c>
      <c r="I179" s="304">
        <v>49.7</v>
      </c>
      <c r="J179" s="286">
        <v>5.42</v>
      </c>
      <c r="K179" s="304">
        <v>269.37</v>
      </c>
    </row>
    <row r="180" spans="1:22" ht="71.25" x14ac:dyDescent="0.2">
      <c r="A180" s="301" t="s">
        <v>1808</v>
      </c>
      <c r="B180" s="302" t="s">
        <v>3587</v>
      </c>
      <c r="C180" s="302" t="s">
        <v>1386</v>
      </c>
      <c r="D180" s="303" t="s">
        <v>3367</v>
      </c>
      <c r="E180" s="286">
        <v>0.51</v>
      </c>
      <c r="F180" s="321">
        <v>22478</v>
      </c>
      <c r="G180" s="315" t="s">
        <v>195</v>
      </c>
      <c r="H180" s="286">
        <v>1</v>
      </c>
      <c r="I180" s="304">
        <v>11463.78</v>
      </c>
      <c r="J180" s="286">
        <v>1.71</v>
      </c>
      <c r="K180" s="304">
        <v>19603.060000000001</v>
      </c>
      <c r="Q180" s="281">
        <f>[15]Source!X86</f>
        <v>0</v>
      </c>
      <c r="R180" s="281">
        <f>[15]Source!X87</f>
        <v>0</v>
      </c>
      <c r="S180" s="281">
        <f>[15]Source!Y86</f>
        <v>0</v>
      </c>
      <c r="T180" s="281">
        <f>[15]Source!Y87</f>
        <v>0</v>
      </c>
      <c r="U180" s="281">
        <f>ROUND((175/100)*ROUND([15]Source!R86, 2), 2)</f>
        <v>0</v>
      </c>
      <c r="V180" s="281">
        <f>ROUND((157/100)*ROUND([15]Source!R87, 2), 2)</f>
        <v>0</v>
      </c>
    </row>
    <row r="181" spans="1:22" ht="14.25" x14ac:dyDescent="0.2">
      <c r="A181" s="301"/>
      <c r="B181" s="302"/>
      <c r="C181" s="302" t="s">
        <v>194</v>
      </c>
      <c r="D181" s="303" t="s">
        <v>187</v>
      </c>
      <c r="E181" s="286">
        <v>112</v>
      </c>
      <c r="F181" s="321"/>
      <c r="G181" s="305"/>
      <c r="H181" s="286"/>
      <c r="I181" s="304">
        <v>434.34</v>
      </c>
      <c r="J181" s="286">
        <v>77</v>
      </c>
      <c r="K181" s="304">
        <v>6850.19</v>
      </c>
    </row>
    <row r="182" spans="1:22" ht="14.25" x14ac:dyDescent="0.2">
      <c r="A182" s="301"/>
      <c r="B182" s="302"/>
      <c r="C182" s="302" t="s">
        <v>193</v>
      </c>
      <c r="D182" s="303" t="s">
        <v>187</v>
      </c>
      <c r="E182" s="286">
        <v>70</v>
      </c>
      <c r="F182" s="321"/>
      <c r="G182" s="305"/>
      <c r="H182" s="286"/>
      <c r="I182" s="304">
        <v>255.27</v>
      </c>
      <c r="J182" s="286">
        <v>41</v>
      </c>
      <c r="K182" s="304">
        <v>3647.5</v>
      </c>
    </row>
    <row r="183" spans="1:22" ht="14.25" x14ac:dyDescent="0.2">
      <c r="A183" s="301"/>
      <c r="B183" s="302"/>
      <c r="C183" s="302" t="s">
        <v>188</v>
      </c>
      <c r="D183" s="303" t="s">
        <v>187</v>
      </c>
      <c r="E183" s="286">
        <v>175</v>
      </c>
      <c r="F183" s="321"/>
      <c r="G183" s="305"/>
      <c r="H183" s="286"/>
      <c r="I183" s="304">
        <v>3.41</v>
      </c>
      <c r="J183" s="286">
        <v>157</v>
      </c>
      <c r="K183" s="304">
        <v>71.48</v>
      </c>
    </row>
    <row r="184" spans="1:22" ht="14.25" x14ac:dyDescent="0.2">
      <c r="A184" s="329"/>
      <c r="B184" s="330"/>
      <c r="C184" s="330" t="s">
        <v>192</v>
      </c>
      <c r="D184" s="331" t="s">
        <v>191</v>
      </c>
      <c r="E184" s="332">
        <v>6.18</v>
      </c>
      <c r="F184" s="333"/>
      <c r="G184" s="334" t="s">
        <v>195</v>
      </c>
      <c r="H184" s="332">
        <v>1</v>
      </c>
      <c r="I184" s="335">
        <v>30.9</v>
      </c>
      <c r="J184" s="332"/>
      <c r="K184" s="335"/>
    </row>
    <row r="185" spans="1:22" ht="15" x14ac:dyDescent="0.25">
      <c r="A185" s="336"/>
      <c r="B185" s="336"/>
      <c r="C185" s="337" t="s">
        <v>183</v>
      </c>
      <c r="D185" s="336"/>
      <c r="E185" s="336"/>
      <c r="F185" s="336"/>
      <c r="G185" s="336"/>
      <c r="H185" s="461">
        <v>12595.95</v>
      </c>
      <c r="I185" s="461"/>
      <c r="J185" s="461">
        <v>39418.230000000003</v>
      </c>
      <c r="K185" s="461"/>
      <c r="O185" s="284">
        <f>I176+I177+I179+I181+I182+I183+SUM(I180:I180)</f>
        <v>12595.95</v>
      </c>
      <c r="P185" s="284">
        <f>K176+K177+K179+K181+K182+K183+SUM(K180:K180)</f>
        <v>39418.230000000003</v>
      </c>
    </row>
    <row r="187" spans="1:22" ht="71.25" x14ac:dyDescent="0.2">
      <c r="A187" s="301" t="s">
        <v>1809</v>
      </c>
      <c r="B187" s="302" t="s">
        <v>3354</v>
      </c>
      <c r="C187" s="302" t="s">
        <v>1111</v>
      </c>
      <c r="D187" s="303" t="s">
        <v>1686</v>
      </c>
      <c r="E187" s="286">
        <v>3</v>
      </c>
      <c r="F187" s="321"/>
      <c r="G187" s="305"/>
      <c r="H187" s="286"/>
      <c r="I187" s="304"/>
      <c r="J187" s="286"/>
      <c r="K187" s="304"/>
      <c r="Q187" s="281">
        <f>[15]Source!X88</f>
        <v>260.60000000000002</v>
      </c>
      <c r="R187" s="281">
        <f>[15]Source!X89</f>
        <v>4110.1099999999997</v>
      </c>
      <c r="S187" s="281">
        <f>[15]Source!Y88</f>
        <v>153.16</v>
      </c>
      <c r="T187" s="281">
        <f>[15]Source!Y89</f>
        <v>2188.5</v>
      </c>
      <c r="U187" s="281">
        <f>ROUND((175/100)*ROUND([15]Source!R88, 2), 2)</f>
        <v>2.0499999999999998</v>
      </c>
      <c r="V187" s="281">
        <f>ROUND((157/100)*ROUND([15]Source!R89, 2), 2)</f>
        <v>42.89</v>
      </c>
    </row>
    <row r="188" spans="1:22" x14ac:dyDescent="0.2">
      <c r="C188" s="316" t="s">
        <v>3588</v>
      </c>
    </row>
    <row r="189" spans="1:22" ht="14.25" x14ac:dyDescent="0.2">
      <c r="A189" s="301"/>
      <c r="B189" s="302"/>
      <c r="C189" s="302" t="s">
        <v>197</v>
      </c>
      <c r="D189" s="303"/>
      <c r="E189" s="286"/>
      <c r="F189" s="321">
        <v>76.2</v>
      </c>
      <c r="G189" s="305" t="s">
        <v>195</v>
      </c>
      <c r="H189" s="286">
        <v>1</v>
      </c>
      <c r="I189" s="304">
        <v>228.6</v>
      </c>
      <c r="J189" s="286">
        <v>23.35</v>
      </c>
      <c r="K189" s="304">
        <v>5337.81</v>
      </c>
    </row>
    <row r="190" spans="1:22" ht="14.25" x14ac:dyDescent="0.2">
      <c r="A190" s="301"/>
      <c r="B190" s="302"/>
      <c r="C190" s="302" t="s">
        <v>184</v>
      </c>
      <c r="D190" s="303"/>
      <c r="E190" s="286"/>
      <c r="F190" s="321">
        <v>1.69</v>
      </c>
      <c r="G190" s="305" t="s">
        <v>195</v>
      </c>
      <c r="H190" s="286">
        <v>1</v>
      </c>
      <c r="I190" s="304">
        <v>5.07</v>
      </c>
      <c r="J190" s="286">
        <v>9.5</v>
      </c>
      <c r="K190" s="304">
        <v>48.17</v>
      </c>
    </row>
    <row r="191" spans="1:22" ht="14.25" x14ac:dyDescent="0.2">
      <c r="A191" s="301"/>
      <c r="B191" s="302"/>
      <c r="C191" s="302" t="s">
        <v>189</v>
      </c>
      <c r="D191" s="303"/>
      <c r="E191" s="286"/>
      <c r="F191" s="321">
        <v>0.39</v>
      </c>
      <c r="G191" s="305" t="s">
        <v>195</v>
      </c>
      <c r="H191" s="286">
        <v>1</v>
      </c>
      <c r="I191" s="306">
        <v>1.17</v>
      </c>
      <c r="J191" s="286">
        <v>23.35</v>
      </c>
      <c r="K191" s="306">
        <v>27.32</v>
      </c>
    </row>
    <row r="192" spans="1:22" ht="14.25" x14ac:dyDescent="0.2">
      <c r="A192" s="301"/>
      <c r="B192" s="302"/>
      <c r="C192" s="302" t="s">
        <v>205</v>
      </c>
      <c r="D192" s="303"/>
      <c r="E192" s="286"/>
      <c r="F192" s="321">
        <v>9.94</v>
      </c>
      <c r="G192" s="305" t="s">
        <v>195</v>
      </c>
      <c r="H192" s="286">
        <v>1</v>
      </c>
      <c r="I192" s="304">
        <v>29.82</v>
      </c>
      <c r="J192" s="286">
        <v>5.42</v>
      </c>
      <c r="K192" s="304">
        <v>161.62</v>
      </c>
    </row>
    <row r="193" spans="1:22" ht="85.5" x14ac:dyDescent="0.2">
      <c r="A193" s="301" t="s">
        <v>1810</v>
      </c>
      <c r="B193" s="302" t="s">
        <v>3456</v>
      </c>
      <c r="C193" s="302" t="s">
        <v>1110</v>
      </c>
      <c r="D193" s="303" t="s">
        <v>3367</v>
      </c>
      <c r="E193" s="286">
        <v>0.30599999999999999</v>
      </c>
      <c r="F193" s="321">
        <v>4941.13</v>
      </c>
      <c r="G193" s="315" t="s">
        <v>195</v>
      </c>
      <c r="H193" s="286">
        <v>1</v>
      </c>
      <c r="I193" s="304">
        <v>1511.99</v>
      </c>
      <c r="J193" s="286">
        <v>5.58</v>
      </c>
      <c r="K193" s="304">
        <v>8436.9</v>
      </c>
      <c r="Q193" s="281">
        <f>[15]Source!X90</f>
        <v>0</v>
      </c>
      <c r="R193" s="281">
        <f>[15]Source!X91</f>
        <v>0</v>
      </c>
      <c r="S193" s="281">
        <f>[15]Source!Y90</f>
        <v>0</v>
      </c>
      <c r="T193" s="281">
        <f>[15]Source!Y91</f>
        <v>0</v>
      </c>
      <c r="U193" s="281">
        <f>ROUND((175/100)*ROUND([15]Source!R90, 2), 2)</f>
        <v>0</v>
      </c>
      <c r="V193" s="281">
        <f>ROUND((157/100)*ROUND([15]Source!R91, 2), 2)</f>
        <v>0</v>
      </c>
    </row>
    <row r="194" spans="1:22" ht="14.25" x14ac:dyDescent="0.2">
      <c r="A194" s="301"/>
      <c r="B194" s="302"/>
      <c r="C194" s="302" t="s">
        <v>194</v>
      </c>
      <c r="D194" s="303" t="s">
        <v>187</v>
      </c>
      <c r="E194" s="286">
        <v>112</v>
      </c>
      <c r="F194" s="321"/>
      <c r="G194" s="305"/>
      <c r="H194" s="286"/>
      <c r="I194" s="304">
        <v>260.60000000000002</v>
      </c>
      <c r="J194" s="286">
        <v>77</v>
      </c>
      <c r="K194" s="304">
        <v>4110.1099999999997</v>
      </c>
    </row>
    <row r="195" spans="1:22" ht="14.25" x14ac:dyDescent="0.2">
      <c r="A195" s="301"/>
      <c r="B195" s="302"/>
      <c r="C195" s="302" t="s">
        <v>193</v>
      </c>
      <c r="D195" s="303" t="s">
        <v>187</v>
      </c>
      <c r="E195" s="286">
        <v>70</v>
      </c>
      <c r="F195" s="321"/>
      <c r="G195" s="305"/>
      <c r="H195" s="286"/>
      <c r="I195" s="304">
        <v>153.16</v>
      </c>
      <c r="J195" s="286">
        <v>41</v>
      </c>
      <c r="K195" s="304">
        <v>2188.5</v>
      </c>
    </row>
    <row r="196" spans="1:22" ht="14.25" x14ac:dyDescent="0.2">
      <c r="A196" s="301"/>
      <c r="B196" s="302"/>
      <c r="C196" s="302" t="s">
        <v>188</v>
      </c>
      <c r="D196" s="303" t="s">
        <v>187</v>
      </c>
      <c r="E196" s="286">
        <v>175</v>
      </c>
      <c r="F196" s="321"/>
      <c r="G196" s="305"/>
      <c r="H196" s="286"/>
      <c r="I196" s="304">
        <v>2.0499999999999998</v>
      </c>
      <c r="J196" s="286">
        <v>157</v>
      </c>
      <c r="K196" s="304">
        <v>42.89</v>
      </c>
    </row>
    <row r="197" spans="1:22" ht="14.25" x14ac:dyDescent="0.2">
      <c r="A197" s="329"/>
      <c r="B197" s="330"/>
      <c r="C197" s="330" t="s">
        <v>192</v>
      </c>
      <c r="D197" s="331" t="s">
        <v>191</v>
      </c>
      <c r="E197" s="332">
        <v>6.18</v>
      </c>
      <c r="F197" s="333"/>
      <c r="G197" s="334" t="s">
        <v>195</v>
      </c>
      <c r="H197" s="332">
        <v>1</v>
      </c>
      <c r="I197" s="335">
        <v>18.54</v>
      </c>
      <c r="J197" s="332"/>
      <c r="K197" s="335"/>
    </row>
    <row r="198" spans="1:22" ht="15" x14ac:dyDescent="0.25">
      <c r="A198" s="336"/>
      <c r="B198" s="336"/>
      <c r="C198" s="337" t="s">
        <v>183</v>
      </c>
      <c r="D198" s="336"/>
      <c r="E198" s="336"/>
      <c r="F198" s="336"/>
      <c r="G198" s="336"/>
      <c r="H198" s="461">
        <v>2191.29</v>
      </c>
      <c r="I198" s="461"/>
      <c r="J198" s="461">
        <v>20326</v>
      </c>
      <c r="K198" s="461"/>
      <c r="O198" s="284">
        <f>I189+I190+I192+I194+I195+I196+SUM(I193:I193)</f>
        <v>2191.29</v>
      </c>
      <c r="P198" s="284">
        <f>K189+K190+K192+K194+K195+K196+SUM(K193:K193)</f>
        <v>20326</v>
      </c>
    </row>
    <row r="200" spans="1:22" ht="85.5" x14ac:dyDescent="0.2">
      <c r="A200" s="301" t="s">
        <v>1814</v>
      </c>
      <c r="B200" s="302" t="s">
        <v>3355</v>
      </c>
      <c r="C200" s="302" t="s">
        <v>1228</v>
      </c>
      <c r="D200" s="303" t="s">
        <v>1686</v>
      </c>
      <c r="E200" s="286">
        <v>3</v>
      </c>
      <c r="F200" s="321"/>
      <c r="G200" s="305"/>
      <c r="H200" s="286"/>
      <c r="I200" s="304"/>
      <c r="J200" s="286"/>
      <c r="K200" s="304"/>
      <c r="Q200" s="281">
        <f>[15]Source!X92</f>
        <v>86.99</v>
      </c>
      <c r="R200" s="281">
        <f>[15]Source!X93</f>
        <v>1396.46</v>
      </c>
      <c r="S200" s="281">
        <f>[15]Source!Y92</f>
        <v>54.37</v>
      </c>
      <c r="T200" s="281">
        <f>[15]Source!Y93</f>
        <v>743.57</v>
      </c>
      <c r="U200" s="281">
        <f>ROUND((175/100)*ROUND([15]Source!R92, 2), 2)</f>
        <v>1.05</v>
      </c>
      <c r="V200" s="281">
        <f>ROUND((157/100)*ROUND([15]Source!R93, 2), 2)</f>
        <v>22</v>
      </c>
    </row>
    <row r="201" spans="1:22" x14ac:dyDescent="0.2">
      <c r="C201" s="316" t="s">
        <v>3588</v>
      </c>
    </row>
    <row r="202" spans="1:22" ht="14.25" x14ac:dyDescent="0.2">
      <c r="A202" s="301"/>
      <c r="B202" s="302"/>
      <c r="C202" s="302" t="s">
        <v>197</v>
      </c>
      <c r="D202" s="303"/>
      <c r="E202" s="286"/>
      <c r="F202" s="321">
        <v>25.89</v>
      </c>
      <c r="G202" s="305" t="s">
        <v>195</v>
      </c>
      <c r="H202" s="286">
        <v>1</v>
      </c>
      <c r="I202" s="304">
        <v>77.67</v>
      </c>
      <c r="J202" s="286">
        <v>23.35</v>
      </c>
      <c r="K202" s="304">
        <v>1813.59</v>
      </c>
    </row>
    <row r="203" spans="1:22" ht="14.25" x14ac:dyDescent="0.2">
      <c r="A203" s="301"/>
      <c r="B203" s="302"/>
      <c r="C203" s="302" t="s">
        <v>184</v>
      </c>
      <c r="D203" s="303"/>
      <c r="E203" s="286"/>
      <c r="F203" s="321">
        <v>0.85</v>
      </c>
      <c r="G203" s="305" t="s">
        <v>195</v>
      </c>
      <c r="H203" s="286">
        <v>1</v>
      </c>
      <c r="I203" s="304">
        <v>2.5499999999999998</v>
      </c>
      <c r="J203" s="286">
        <v>9.59</v>
      </c>
      <c r="K203" s="304">
        <v>24.45</v>
      </c>
    </row>
    <row r="204" spans="1:22" ht="14.25" x14ac:dyDescent="0.2">
      <c r="A204" s="301"/>
      <c r="B204" s="302"/>
      <c r="C204" s="302" t="s">
        <v>189</v>
      </c>
      <c r="D204" s="303"/>
      <c r="E204" s="286"/>
      <c r="F204" s="321">
        <v>0.2</v>
      </c>
      <c r="G204" s="305" t="s">
        <v>195</v>
      </c>
      <c r="H204" s="286">
        <v>1</v>
      </c>
      <c r="I204" s="306">
        <v>0.6</v>
      </c>
      <c r="J204" s="286">
        <v>23.35</v>
      </c>
      <c r="K204" s="306">
        <v>14.01</v>
      </c>
    </row>
    <row r="205" spans="1:22" ht="14.25" x14ac:dyDescent="0.2">
      <c r="A205" s="301"/>
      <c r="B205" s="302"/>
      <c r="C205" s="302" t="s">
        <v>205</v>
      </c>
      <c r="D205" s="303"/>
      <c r="E205" s="286"/>
      <c r="F205" s="321">
        <v>9.59</v>
      </c>
      <c r="G205" s="305" t="s">
        <v>195</v>
      </c>
      <c r="H205" s="286">
        <v>1</v>
      </c>
      <c r="I205" s="304">
        <v>28.77</v>
      </c>
      <c r="J205" s="286">
        <v>5.42</v>
      </c>
      <c r="K205" s="304">
        <v>155.93</v>
      </c>
    </row>
    <row r="206" spans="1:22" ht="85.5" x14ac:dyDescent="0.2">
      <c r="A206" s="301" t="s">
        <v>1816</v>
      </c>
      <c r="B206" s="302" t="s">
        <v>3456</v>
      </c>
      <c r="C206" s="302" t="s">
        <v>1110</v>
      </c>
      <c r="D206" s="303" t="s">
        <v>3367</v>
      </c>
      <c r="E206" s="286">
        <v>0.30599999999999999</v>
      </c>
      <c r="F206" s="321">
        <v>4941.13</v>
      </c>
      <c r="G206" s="315" t="s">
        <v>195</v>
      </c>
      <c r="H206" s="286">
        <v>1</v>
      </c>
      <c r="I206" s="304">
        <v>1511.99</v>
      </c>
      <c r="J206" s="286">
        <v>5.58</v>
      </c>
      <c r="K206" s="304">
        <v>8436.9</v>
      </c>
      <c r="Q206" s="281">
        <f>[15]Source!X94</f>
        <v>0</v>
      </c>
      <c r="R206" s="281">
        <f>[15]Source!X95</f>
        <v>0</v>
      </c>
      <c r="S206" s="281">
        <f>[15]Source!Y94</f>
        <v>0</v>
      </c>
      <c r="T206" s="281">
        <f>[15]Source!Y95</f>
        <v>0</v>
      </c>
      <c r="U206" s="281">
        <f>ROUND((175/100)*ROUND([15]Source!R94, 2), 2)</f>
        <v>0</v>
      </c>
      <c r="V206" s="281">
        <f>ROUND((157/100)*ROUND([15]Source!R95, 2), 2)</f>
        <v>0</v>
      </c>
    </row>
    <row r="207" spans="1:22" ht="14.25" x14ac:dyDescent="0.2">
      <c r="A207" s="301"/>
      <c r="B207" s="302"/>
      <c r="C207" s="302" t="s">
        <v>194</v>
      </c>
      <c r="D207" s="303" t="s">
        <v>187</v>
      </c>
      <c r="E207" s="286">
        <v>112</v>
      </c>
      <c r="F207" s="321"/>
      <c r="G207" s="305"/>
      <c r="H207" s="286"/>
      <c r="I207" s="304">
        <v>86.99</v>
      </c>
      <c r="J207" s="286">
        <v>77</v>
      </c>
      <c r="K207" s="304">
        <v>1396.46</v>
      </c>
    </row>
    <row r="208" spans="1:22" ht="14.25" x14ac:dyDescent="0.2">
      <c r="A208" s="301"/>
      <c r="B208" s="302"/>
      <c r="C208" s="302" t="s">
        <v>193</v>
      </c>
      <c r="D208" s="303" t="s">
        <v>187</v>
      </c>
      <c r="E208" s="286">
        <v>70</v>
      </c>
      <c r="F208" s="321"/>
      <c r="G208" s="305"/>
      <c r="H208" s="286"/>
      <c r="I208" s="304">
        <v>54.37</v>
      </c>
      <c r="J208" s="286">
        <v>41</v>
      </c>
      <c r="K208" s="304">
        <v>743.57</v>
      </c>
    </row>
    <row r="209" spans="1:22" ht="14.25" x14ac:dyDescent="0.2">
      <c r="A209" s="301"/>
      <c r="B209" s="302"/>
      <c r="C209" s="302" t="s">
        <v>188</v>
      </c>
      <c r="D209" s="303" t="s">
        <v>187</v>
      </c>
      <c r="E209" s="286">
        <v>175</v>
      </c>
      <c r="F209" s="321"/>
      <c r="G209" s="305"/>
      <c r="H209" s="286"/>
      <c r="I209" s="304">
        <v>1.05</v>
      </c>
      <c r="J209" s="286">
        <v>157</v>
      </c>
      <c r="K209" s="304">
        <v>22</v>
      </c>
    </row>
    <row r="210" spans="1:22" ht="14.25" x14ac:dyDescent="0.2">
      <c r="A210" s="329"/>
      <c r="B210" s="330"/>
      <c r="C210" s="330" t="s">
        <v>192</v>
      </c>
      <c r="D210" s="331" t="s">
        <v>191</v>
      </c>
      <c r="E210" s="332">
        <v>2.1</v>
      </c>
      <c r="F210" s="333"/>
      <c r="G210" s="334" t="s">
        <v>195</v>
      </c>
      <c r="H210" s="332">
        <v>1</v>
      </c>
      <c r="I210" s="335">
        <v>6.3</v>
      </c>
      <c r="J210" s="332"/>
      <c r="K210" s="335"/>
    </row>
    <row r="211" spans="1:22" ht="15" x14ac:dyDescent="0.25">
      <c r="A211" s="336"/>
      <c r="B211" s="336"/>
      <c r="C211" s="337" t="s">
        <v>183</v>
      </c>
      <c r="D211" s="336"/>
      <c r="E211" s="336"/>
      <c r="F211" s="336"/>
      <c r="G211" s="336"/>
      <c r="H211" s="461">
        <v>1763.39</v>
      </c>
      <c r="I211" s="461"/>
      <c r="J211" s="461">
        <v>12592.9</v>
      </c>
      <c r="K211" s="461"/>
      <c r="O211" s="284">
        <f>I202+I203+I205+I207+I208+I209+SUM(I206:I206)</f>
        <v>1763.39</v>
      </c>
      <c r="P211" s="284">
        <f>K202+K203+K205+K207+K208+K209+SUM(K206:K206)</f>
        <v>12592.9</v>
      </c>
    </row>
    <row r="213" spans="1:22" ht="28.5" x14ac:dyDescent="0.2">
      <c r="A213" s="301" t="s">
        <v>1817</v>
      </c>
      <c r="B213" s="302" t="s">
        <v>3341</v>
      </c>
      <c r="C213" s="302" t="s">
        <v>1167</v>
      </c>
      <c r="D213" s="303" t="s">
        <v>1686</v>
      </c>
      <c r="E213" s="286">
        <v>2</v>
      </c>
      <c r="F213" s="321"/>
      <c r="G213" s="305"/>
      <c r="H213" s="286"/>
      <c r="I213" s="304"/>
      <c r="J213" s="286"/>
      <c r="K213" s="304"/>
      <c r="Q213" s="281">
        <f>[15]Source!X96</f>
        <v>1120.28</v>
      </c>
      <c r="R213" s="281">
        <f>[15]Source!X97</f>
        <v>17668.46</v>
      </c>
      <c r="S213" s="281">
        <f>[15]Source!Y96</f>
        <v>658.41</v>
      </c>
      <c r="T213" s="281">
        <f>[15]Source!Y97</f>
        <v>9407.8799999999992</v>
      </c>
      <c r="U213" s="281">
        <f>ROUND((175/100)*ROUND([15]Source!R96, 2), 2)</f>
        <v>13.79</v>
      </c>
      <c r="V213" s="281">
        <f>ROUND((157/100)*ROUND([15]Source!R97, 2), 2)</f>
        <v>288.88</v>
      </c>
    </row>
    <row r="214" spans="1:22" x14ac:dyDescent="0.2">
      <c r="C214" s="316" t="s">
        <v>3076</v>
      </c>
    </row>
    <row r="215" spans="1:22" ht="14.25" x14ac:dyDescent="0.2">
      <c r="A215" s="301"/>
      <c r="B215" s="302"/>
      <c r="C215" s="302" t="s">
        <v>197</v>
      </c>
      <c r="D215" s="303"/>
      <c r="E215" s="286"/>
      <c r="F215" s="321">
        <v>491.35</v>
      </c>
      <c r="G215" s="305" t="s">
        <v>195</v>
      </c>
      <c r="H215" s="286">
        <v>1</v>
      </c>
      <c r="I215" s="304">
        <v>982.7</v>
      </c>
      <c r="J215" s="286">
        <v>23.35</v>
      </c>
      <c r="K215" s="304">
        <v>22946.05</v>
      </c>
    </row>
    <row r="216" spans="1:22" ht="14.25" x14ac:dyDescent="0.2">
      <c r="A216" s="301"/>
      <c r="B216" s="302"/>
      <c r="C216" s="302" t="s">
        <v>184</v>
      </c>
      <c r="D216" s="303"/>
      <c r="E216" s="286"/>
      <c r="F216" s="321">
        <v>29.47</v>
      </c>
      <c r="G216" s="305" t="s">
        <v>195</v>
      </c>
      <c r="H216" s="286">
        <v>1</v>
      </c>
      <c r="I216" s="304">
        <v>58.94</v>
      </c>
      <c r="J216" s="286">
        <v>7.76</v>
      </c>
      <c r="K216" s="304">
        <v>457.37</v>
      </c>
    </row>
    <row r="217" spans="1:22" ht="14.25" x14ac:dyDescent="0.2">
      <c r="A217" s="301"/>
      <c r="B217" s="302"/>
      <c r="C217" s="302" t="s">
        <v>189</v>
      </c>
      <c r="D217" s="303"/>
      <c r="E217" s="286"/>
      <c r="F217" s="321">
        <v>3.94</v>
      </c>
      <c r="G217" s="305" t="s">
        <v>195</v>
      </c>
      <c r="H217" s="286">
        <v>1</v>
      </c>
      <c r="I217" s="306">
        <v>7.88</v>
      </c>
      <c r="J217" s="286">
        <v>23.35</v>
      </c>
      <c r="K217" s="306">
        <v>184</v>
      </c>
    </row>
    <row r="218" spans="1:22" ht="14.25" x14ac:dyDescent="0.2">
      <c r="A218" s="301"/>
      <c r="B218" s="302"/>
      <c r="C218" s="302" t="s">
        <v>205</v>
      </c>
      <c r="D218" s="303"/>
      <c r="E218" s="286"/>
      <c r="F218" s="321">
        <v>1844.59</v>
      </c>
      <c r="G218" s="305" t="s">
        <v>195</v>
      </c>
      <c r="H218" s="286">
        <v>1</v>
      </c>
      <c r="I218" s="304">
        <v>3689.18</v>
      </c>
      <c r="J218" s="286">
        <v>5.42</v>
      </c>
      <c r="K218" s="304">
        <v>19995.36</v>
      </c>
    </row>
    <row r="219" spans="1:22" ht="28.5" x14ac:dyDescent="0.2">
      <c r="A219" s="301" t="s">
        <v>1818</v>
      </c>
      <c r="B219" s="302" t="s">
        <v>3589</v>
      </c>
      <c r="C219" s="302" t="s">
        <v>1385</v>
      </c>
      <c r="D219" s="303" t="s">
        <v>1552</v>
      </c>
      <c r="E219" s="286">
        <v>204</v>
      </c>
      <c r="F219" s="321">
        <v>6.22</v>
      </c>
      <c r="G219" s="315" t="s">
        <v>195</v>
      </c>
      <c r="H219" s="286">
        <v>1</v>
      </c>
      <c r="I219" s="304">
        <v>1268.8800000000001</v>
      </c>
      <c r="J219" s="286">
        <v>2.2000000000000002</v>
      </c>
      <c r="K219" s="304">
        <v>2791.54</v>
      </c>
      <c r="Q219" s="281">
        <f>[15]Source!X98</f>
        <v>0</v>
      </c>
      <c r="R219" s="281">
        <f>[15]Source!X99</f>
        <v>0</v>
      </c>
      <c r="S219" s="281">
        <f>[15]Source!Y98</f>
        <v>0</v>
      </c>
      <c r="T219" s="281">
        <f>[15]Source!Y99</f>
        <v>0</v>
      </c>
      <c r="U219" s="281">
        <f>ROUND((175/100)*ROUND([15]Source!R98, 2), 2)</f>
        <v>0</v>
      </c>
      <c r="V219" s="281">
        <f>ROUND((157/100)*ROUND([15]Source!R99, 2), 2)</f>
        <v>0</v>
      </c>
    </row>
    <row r="220" spans="1:22" ht="14.25" x14ac:dyDescent="0.2">
      <c r="A220" s="301"/>
      <c r="B220" s="302"/>
      <c r="C220" s="302" t="s">
        <v>194</v>
      </c>
      <c r="D220" s="303" t="s">
        <v>187</v>
      </c>
      <c r="E220" s="286">
        <v>112</v>
      </c>
      <c r="F220" s="321"/>
      <c r="G220" s="305"/>
      <c r="H220" s="286"/>
      <c r="I220" s="304">
        <v>1120.28</v>
      </c>
      <c r="J220" s="286">
        <v>77</v>
      </c>
      <c r="K220" s="304">
        <v>17668.46</v>
      </c>
    </row>
    <row r="221" spans="1:22" ht="14.25" x14ac:dyDescent="0.2">
      <c r="A221" s="301"/>
      <c r="B221" s="302"/>
      <c r="C221" s="302" t="s">
        <v>193</v>
      </c>
      <c r="D221" s="303" t="s">
        <v>187</v>
      </c>
      <c r="E221" s="286">
        <v>70</v>
      </c>
      <c r="F221" s="321"/>
      <c r="G221" s="305"/>
      <c r="H221" s="286"/>
      <c r="I221" s="304">
        <v>658.41</v>
      </c>
      <c r="J221" s="286">
        <v>41</v>
      </c>
      <c r="K221" s="304">
        <v>9407.8799999999992</v>
      </c>
    </row>
    <row r="222" spans="1:22" ht="14.25" x14ac:dyDescent="0.2">
      <c r="A222" s="301"/>
      <c r="B222" s="302"/>
      <c r="C222" s="302" t="s">
        <v>188</v>
      </c>
      <c r="D222" s="303" t="s">
        <v>187</v>
      </c>
      <c r="E222" s="286">
        <v>175</v>
      </c>
      <c r="F222" s="321"/>
      <c r="G222" s="305"/>
      <c r="H222" s="286"/>
      <c r="I222" s="304">
        <v>13.79</v>
      </c>
      <c r="J222" s="286">
        <v>157</v>
      </c>
      <c r="K222" s="304">
        <v>288.88</v>
      </c>
    </row>
    <row r="223" spans="1:22" ht="14.25" x14ac:dyDescent="0.2">
      <c r="A223" s="329"/>
      <c r="B223" s="330"/>
      <c r="C223" s="330" t="s">
        <v>192</v>
      </c>
      <c r="D223" s="331" t="s">
        <v>191</v>
      </c>
      <c r="E223" s="332">
        <v>40.67</v>
      </c>
      <c r="F223" s="333"/>
      <c r="G223" s="334" t="s">
        <v>195</v>
      </c>
      <c r="H223" s="332">
        <v>1</v>
      </c>
      <c r="I223" s="335">
        <v>81.34</v>
      </c>
      <c r="J223" s="332"/>
      <c r="K223" s="335"/>
    </row>
    <row r="224" spans="1:22" ht="15" x14ac:dyDescent="0.25">
      <c r="A224" s="336"/>
      <c r="B224" s="336"/>
      <c r="C224" s="337" t="s">
        <v>183</v>
      </c>
      <c r="D224" s="336"/>
      <c r="E224" s="336"/>
      <c r="F224" s="336"/>
      <c r="G224" s="336"/>
      <c r="H224" s="461">
        <v>7792.18</v>
      </c>
      <c r="I224" s="461"/>
      <c r="J224" s="461">
        <v>73555.539999999994</v>
      </c>
      <c r="K224" s="461"/>
      <c r="O224" s="284">
        <f>I215+I216+I218+I220+I221+I222+SUM(I219:I219)</f>
        <v>7792.18</v>
      </c>
      <c r="P224" s="284">
        <f>K215+K216+K218+K220+K221+K222+SUM(K219:K219)</f>
        <v>73555.539999999994</v>
      </c>
    </row>
    <row r="226" spans="1:22" ht="28.5" x14ac:dyDescent="0.2">
      <c r="A226" s="301" t="s">
        <v>1819</v>
      </c>
      <c r="B226" s="302" t="s">
        <v>3341</v>
      </c>
      <c r="C226" s="302" t="s">
        <v>1167</v>
      </c>
      <c r="D226" s="303" t="s">
        <v>1686</v>
      </c>
      <c r="E226" s="286">
        <v>0.1</v>
      </c>
      <c r="F226" s="321"/>
      <c r="G226" s="305"/>
      <c r="H226" s="286"/>
      <c r="I226" s="304"/>
      <c r="J226" s="286"/>
      <c r="K226" s="304"/>
      <c r="Q226" s="281">
        <f>[15]Source!X100</f>
        <v>56.02</v>
      </c>
      <c r="R226" s="281">
        <f>[15]Source!X101</f>
        <v>883.51</v>
      </c>
      <c r="S226" s="281">
        <f>[15]Source!Y100</f>
        <v>32.92</v>
      </c>
      <c r="T226" s="281">
        <f>[15]Source!Y101</f>
        <v>470.44</v>
      </c>
      <c r="U226" s="281">
        <f>ROUND((175/100)*ROUND([15]Source!R100, 2), 2)</f>
        <v>0.68</v>
      </c>
      <c r="V226" s="281">
        <f>ROUND((157/100)*ROUND([15]Source!R101, 2), 2)</f>
        <v>14.3</v>
      </c>
    </row>
    <row r="227" spans="1:22" x14ac:dyDescent="0.2">
      <c r="C227" s="316" t="s">
        <v>3288</v>
      </c>
    </row>
    <row r="228" spans="1:22" ht="14.25" x14ac:dyDescent="0.2">
      <c r="A228" s="301"/>
      <c r="B228" s="302"/>
      <c r="C228" s="302" t="s">
        <v>197</v>
      </c>
      <c r="D228" s="303"/>
      <c r="E228" s="286"/>
      <c r="F228" s="321">
        <v>491.35</v>
      </c>
      <c r="G228" s="305" t="s">
        <v>195</v>
      </c>
      <c r="H228" s="286">
        <v>1</v>
      </c>
      <c r="I228" s="304">
        <v>49.14</v>
      </c>
      <c r="J228" s="286">
        <v>23.35</v>
      </c>
      <c r="K228" s="304">
        <v>1147.42</v>
      </c>
    </row>
    <row r="229" spans="1:22" ht="14.25" x14ac:dyDescent="0.2">
      <c r="A229" s="301"/>
      <c r="B229" s="302"/>
      <c r="C229" s="302" t="s">
        <v>184</v>
      </c>
      <c r="D229" s="303"/>
      <c r="E229" s="286"/>
      <c r="F229" s="321">
        <v>29.47</v>
      </c>
      <c r="G229" s="305" t="s">
        <v>195</v>
      </c>
      <c r="H229" s="286">
        <v>1</v>
      </c>
      <c r="I229" s="304">
        <v>2.95</v>
      </c>
      <c r="J229" s="286">
        <v>7.76</v>
      </c>
      <c r="K229" s="304">
        <v>22.89</v>
      </c>
    </row>
    <row r="230" spans="1:22" ht="14.25" x14ac:dyDescent="0.2">
      <c r="A230" s="301"/>
      <c r="B230" s="302"/>
      <c r="C230" s="302" t="s">
        <v>189</v>
      </c>
      <c r="D230" s="303"/>
      <c r="E230" s="286"/>
      <c r="F230" s="321">
        <v>3.94</v>
      </c>
      <c r="G230" s="305" t="s">
        <v>195</v>
      </c>
      <c r="H230" s="286">
        <v>1</v>
      </c>
      <c r="I230" s="306">
        <v>0.39</v>
      </c>
      <c r="J230" s="286">
        <v>23.35</v>
      </c>
      <c r="K230" s="306">
        <v>9.11</v>
      </c>
    </row>
    <row r="231" spans="1:22" ht="14.25" x14ac:dyDescent="0.2">
      <c r="A231" s="301"/>
      <c r="B231" s="302"/>
      <c r="C231" s="302" t="s">
        <v>205</v>
      </c>
      <c r="D231" s="303"/>
      <c r="E231" s="286"/>
      <c r="F231" s="321">
        <v>1844.59</v>
      </c>
      <c r="G231" s="305" t="s">
        <v>195</v>
      </c>
      <c r="H231" s="286">
        <v>1</v>
      </c>
      <c r="I231" s="304">
        <v>184.46</v>
      </c>
      <c r="J231" s="286">
        <v>5.42</v>
      </c>
      <c r="K231" s="304">
        <v>999.77</v>
      </c>
    </row>
    <row r="232" spans="1:22" ht="28.5" x14ac:dyDescent="0.2">
      <c r="A232" s="301" t="s">
        <v>1820</v>
      </c>
      <c r="B232" s="302" t="s">
        <v>3590</v>
      </c>
      <c r="C232" s="302" t="s">
        <v>1166</v>
      </c>
      <c r="D232" s="303" t="s">
        <v>1552</v>
      </c>
      <c r="E232" s="286">
        <v>10.199999999999999</v>
      </c>
      <c r="F232" s="321">
        <v>99.66</v>
      </c>
      <c r="G232" s="315" t="s">
        <v>195</v>
      </c>
      <c r="H232" s="286">
        <v>1</v>
      </c>
      <c r="I232" s="304">
        <v>1016.53</v>
      </c>
      <c r="J232" s="286">
        <v>5.27</v>
      </c>
      <c r="K232" s="304">
        <v>5357.11</v>
      </c>
      <c r="Q232" s="281">
        <f>[15]Source!X102</f>
        <v>0</v>
      </c>
      <c r="R232" s="281">
        <f>[15]Source!X103</f>
        <v>0</v>
      </c>
      <c r="S232" s="281">
        <f>[15]Source!Y102</f>
        <v>0</v>
      </c>
      <c r="T232" s="281">
        <f>[15]Source!Y103</f>
        <v>0</v>
      </c>
      <c r="U232" s="281">
        <f>ROUND((175/100)*ROUND([15]Source!R102, 2), 2)</f>
        <v>0</v>
      </c>
      <c r="V232" s="281">
        <f>ROUND((157/100)*ROUND([15]Source!R103, 2), 2)</f>
        <v>0</v>
      </c>
    </row>
    <row r="233" spans="1:22" ht="14.25" x14ac:dyDescent="0.2">
      <c r="A233" s="301"/>
      <c r="B233" s="302"/>
      <c r="C233" s="302" t="s">
        <v>194</v>
      </c>
      <c r="D233" s="303" t="s">
        <v>187</v>
      </c>
      <c r="E233" s="286">
        <v>112</v>
      </c>
      <c r="F233" s="321"/>
      <c r="G233" s="305"/>
      <c r="H233" s="286"/>
      <c r="I233" s="304">
        <v>56.02</v>
      </c>
      <c r="J233" s="286">
        <v>77</v>
      </c>
      <c r="K233" s="304">
        <v>883.51</v>
      </c>
    </row>
    <row r="234" spans="1:22" ht="14.25" x14ac:dyDescent="0.2">
      <c r="A234" s="301"/>
      <c r="B234" s="302"/>
      <c r="C234" s="302" t="s">
        <v>193</v>
      </c>
      <c r="D234" s="303" t="s">
        <v>187</v>
      </c>
      <c r="E234" s="286">
        <v>70</v>
      </c>
      <c r="F234" s="321"/>
      <c r="G234" s="305"/>
      <c r="H234" s="286"/>
      <c r="I234" s="304">
        <v>32.92</v>
      </c>
      <c r="J234" s="286">
        <v>41</v>
      </c>
      <c r="K234" s="304">
        <v>470.44</v>
      </c>
    </row>
    <row r="235" spans="1:22" ht="14.25" x14ac:dyDescent="0.2">
      <c r="A235" s="301"/>
      <c r="B235" s="302"/>
      <c r="C235" s="302" t="s">
        <v>188</v>
      </c>
      <c r="D235" s="303" t="s">
        <v>187</v>
      </c>
      <c r="E235" s="286">
        <v>175</v>
      </c>
      <c r="F235" s="321"/>
      <c r="G235" s="305"/>
      <c r="H235" s="286"/>
      <c r="I235" s="304">
        <v>0.68</v>
      </c>
      <c r="J235" s="286">
        <v>157</v>
      </c>
      <c r="K235" s="304">
        <v>14.3</v>
      </c>
    </row>
    <row r="236" spans="1:22" ht="14.25" x14ac:dyDescent="0.2">
      <c r="A236" s="329"/>
      <c r="B236" s="330"/>
      <c r="C236" s="330" t="s">
        <v>192</v>
      </c>
      <c r="D236" s="331" t="s">
        <v>191</v>
      </c>
      <c r="E236" s="332">
        <v>40.67</v>
      </c>
      <c r="F236" s="333"/>
      <c r="G236" s="334" t="s">
        <v>195</v>
      </c>
      <c r="H236" s="332">
        <v>1</v>
      </c>
      <c r="I236" s="335">
        <v>4.07</v>
      </c>
      <c r="J236" s="332"/>
      <c r="K236" s="335"/>
    </row>
    <row r="237" spans="1:22" ht="15" x14ac:dyDescent="0.25">
      <c r="A237" s="336"/>
      <c r="B237" s="336"/>
      <c r="C237" s="337" t="s">
        <v>183</v>
      </c>
      <c r="D237" s="336"/>
      <c r="E237" s="336"/>
      <c r="F237" s="336"/>
      <c r="G237" s="336"/>
      <c r="H237" s="461">
        <v>1342.7</v>
      </c>
      <c r="I237" s="461"/>
      <c r="J237" s="461">
        <v>8895.44</v>
      </c>
      <c r="K237" s="461"/>
      <c r="O237" s="284">
        <f>I228+I229+I231+I233+I234+I235+SUM(I232:I232)</f>
        <v>1342.7</v>
      </c>
      <c r="P237" s="284">
        <f>K228+K229+K231+K233+K234+K235+SUM(K232:K232)</f>
        <v>8895.44</v>
      </c>
    </row>
    <row r="239" spans="1:22" ht="142.5" x14ac:dyDescent="0.2">
      <c r="A239" s="329" t="s">
        <v>1823</v>
      </c>
      <c r="B239" s="330" t="s">
        <v>3366</v>
      </c>
      <c r="C239" s="330" t="s">
        <v>1297</v>
      </c>
      <c r="D239" s="331" t="s">
        <v>3367</v>
      </c>
      <c r="E239" s="332">
        <v>0.10199999999999999</v>
      </c>
      <c r="F239" s="333">
        <v>9707.41</v>
      </c>
      <c r="G239" s="334" t="s">
        <v>195</v>
      </c>
      <c r="H239" s="332">
        <v>1</v>
      </c>
      <c r="I239" s="335">
        <v>990.16</v>
      </c>
      <c r="J239" s="332">
        <v>3.48</v>
      </c>
      <c r="K239" s="335">
        <v>3445.76</v>
      </c>
      <c r="Q239" s="281">
        <f>[15]Source!X106</f>
        <v>0</v>
      </c>
      <c r="R239" s="281">
        <f>[15]Source!X107</f>
        <v>0</v>
      </c>
      <c r="S239" s="281">
        <f>[15]Source!Y106</f>
        <v>0</v>
      </c>
      <c r="T239" s="281">
        <f>[15]Source!Y107</f>
        <v>0</v>
      </c>
      <c r="U239" s="281">
        <f>ROUND((175/100)*ROUND([15]Source!R106, 2), 2)</f>
        <v>0</v>
      </c>
      <c r="V239" s="281">
        <f>ROUND((157/100)*ROUND([15]Source!R107, 2), 2)</f>
        <v>0</v>
      </c>
    </row>
    <row r="240" spans="1:22" ht="15" x14ac:dyDescent="0.25">
      <c r="A240" s="336"/>
      <c r="B240" s="336"/>
      <c r="C240" s="337" t="s">
        <v>183</v>
      </c>
      <c r="D240" s="336"/>
      <c r="E240" s="336"/>
      <c r="F240" s="336"/>
      <c r="G240" s="336"/>
      <c r="H240" s="461">
        <v>990.16</v>
      </c>
      <c r="I240" s="461"/>
      <c r="J240" s="461">
        <v>3445.76</v>
      </c>
      <c r="K240" s="461"/>
      <c r="O240" s="284">
        <f>I239</f>
        <v>990.16</v>
      </c>
      <c r="P240" s="284">
        <f>K239</f>
        <v>3445.76</v>
      </c>
    </row>
    <row r="242" spans="1:22" ht="28.5" x14ac:dyDescent="0.2">
      <c r="A242" s="301" t="s">
        <v>1825</v>
      </c>
      <c r="B242" s="302" t="s">
        <v>3591</v>
      </c>
      <c r="C242" s="302" t="s">
        <v>1384</v>
      </c>
      <c r="D242" s="303" t="s">
        <v>1536</v>
      </c>
      <c r="E242" s="286">
        <v>0.03</v>
      </c>
      <c r="F242" s="321"/>
      <c r="G242" s="305"/>
      <c r="H242" s="286"/>
      <c r="I242" s="304"/>
      <c r="J242" s="286"/>
      <c r="K242" s="304"/>
      <c r="Q242" s="281">
        <f>[15]Source!X108</f>
        <v>3.84</v>
      </c>
      <c r="R242" s="281">
        <f>[15]Source!X109</f>
        <v>61.67</v>
      </c>
      <c r="S242" s="281">
        <f>[15]Source!Y108</f>
        <v>2.4</v>
      </c>
      <c r="T242" s="281">
        <f>[15]Source!Y109</f>
        <v>32.840000000000003</v>
      </c>
      <c r="U242" s="281">
        <f>ROUND((175/100)*ROUND([15]Source!R108, 2), 2)</f>
        <v>4.55</v>
      </c>
      <c r="V242" s="281">
        <f>ROUND((157/100)*ROUND([15]Source!R109, 2), 2)</f>
        <v>95.31</v>
      </c>
    </row>
    <row r="243" spans="1:22" x14ac:dyDescent="0.2">
      <c r="C243" s="316" t="s">
        <v>3592</v>
      </c>
    </row>
    <row r="244" spans="1:22" ht="14.25" x14ac:dyDescent="0.2">
      <c r="A244" s="301"/>
      <c r="B244" s="302"/>
      <c r="C244" s="302" t="s">
        <v>197</v>
      </c>
      <c r="D244" s="303"/>
      <c r="E244" s="286"/>
      <c r="F244" s="321">
        <v>114.3</v>
      </c>
      <c r="G244" s="305" t="s">
        <v>195</v>
      </c>
      <c r="H244" s="286">
        <v>1</v>
      </c>
      <c r="I244" s="304">
        <v>3.43</v>
      </c>
      <c r="J244" s="286">
        <v>23.35</v>
      </c>
      <c r="K244" s="304">
        <v>80.09</v>
      </c>
    </row>
    <row r="245" spans="1:22" ht="14.25" x14ac:dyDescent="0.2">
      <c r="A245" s="301"/>
      <c r="B245" s="302"/>
      <c r="C245" s="302" t="s">
        <v>184</v>
      </c>
      <c r="D245" s="303"/>
      <c r="E245" s="286"/>
      <c r="F245" s="321">
        <v>483.15</v>
      </c>
      <c r="G245" s="305" t="s">
        <v>195</v>
      </c>
      <c r="H245" s="286">
        <v>1</v>
      </c>
      <c r="I245" s="304">
        <v>14.49</v>
      </c>
      <c r="J245" s="286">
        <v>8.58</v>
      </c>
      <c r="K245" s="304">
        <v>124.32</v>
      </c>
    </row>
    <row r="246" spans="1:22" ht="14.25" x14ac:dyDescent="0.2">
      <c r="A246" s="301"/>
      <c r="B246" s="302"/>
      <c r="C246" s="302" t="s">
        <v>189</v>
      </c>
      <c r="D246" s="303"/>
      <c r="E246" s="286"/>
      <c r="F246" s="321">
        <v>86.8</v>
      </c>
      <c r="G246" s="305" t="s">
        <v>195</v>
      </c>
      <c r="H246" s="286">
        <v>1</v>
      </c>
      <c r="I246" s="306">
        <v>2.6</v>
      </c>
      <c r="J246" s="286">
        <v>23.35</v>
      </c>
      <c r="K246" s="306">
        <v>60.71</v>
      </c>
    </row>
    <row r="247" spans="1:22" ht="14.25" x14ac:dyDescent="0.2">
      <c r="A247" s="301"/>
      <c r="B247" s="302"/>
      <c r="C247" s="302" t="s">
        <v>205</v>
      </c>
      <c r="D247" s="303"/>
      <c r="E247" s="286"/>
      <c r="F247" s="321">
        <v>826</v>
      </c>
      <c r="G247" s="305" t="s">
        <v>195</v>
      </c>
      <c r="H247" s="286">
        <v>1</v>
      </c>
      <c r="I247" s="304">
        <v>24.78</v>
      </c>
      <c r="J247" s="286">
        <v>5.42</v>
      </c>
      <c r="K247" s="304">
        <v>134.31</v>
      </c>
    </row>
    <row r="248" spans="1:22" ht="42.75" x14ac:dyDescent="0.2">
      <c r="A248" s="301" t="s">
        <v>1827</v>
      </c>
      <c r="B248" s="302" t="s">
        <v>3593</v>
      </c>
      <c r="C248" s="302" t="s">
        <v>1383</v>
      </c>
      <c r="D248" s="303" t="s">
        <v>1552</v>
      </c>
      <c r="E248" s="286">
        <v>6</v>
      </c>
      <c r="F248" s="321">
        <v>50.14</v>
      </c>
      <c r="G248" s="315" t="s">
        <v>195</v>
      </c>
      <c r="H248" s="286">
        <v>1</v>
      </c>
      <c r="I248" s="304">
        <v>300.83999999999997</v>
      </c>
      <c r="J248" s="286">
        <v>1.72</v>
      </c>
      <c r="K248" s="304">
        <v>517.44000000000005</v>
      </c>
      <c r="Q248" s="281">
        <f>[15]Source!X110</f>
        <v>0</v>
      </c>
      <c r="R248" s="281">
        <f>[15]Source!X111</f>
        <v>0</v>
      </c>
      <c r="S248" s="281">
        <f>[15]Source!Y110</f>
        <v>0</v>
      </c>
      <c r="T248" s="281">
        <f>[15]Source!Y111</f>
        <v>0</v>
      </c>
      <c r="U248" s="281">
        <f>ROUND((175/100)*ROUND([15]Source!R110, 2), 2)</f>
        <v>0</v>
      </c>
      <c r="V248" s="281">
        <f>ROUND((157/100)*ROUND([15]Source!R111, 2), 2)</f>
        <v>0</v>
      </c>
    </row>
    <row r="249" spans="1:22" ht="14.25" x14ac:dyDescent="0.2">
      <c r="A249" s="301"/>
      <c r="B249" s="302"/>
      <c r="C249" s="302" t="s">
        <v>194</v>
      </c>
      <c r="D249" s="303" t="s">
        <v>187</v>
      </c>
      <c r="E249" s="286">
        <v>112</v>
      </c>
      <c r="F249" s="321"/>
      <c r="G249" s="305"/>
      <c r="H249" s="286"/>
      <c r="I249" s="304">
        <v>3.84</v>
      </c>
      <c r="J249" s="286">
        <v>77</v>
      </c>
      <c r="K249" s="304">
        <v>61.67</v>
      </c>
    </row>
    <row r="250" spans="1:22" ht="14.25" x14ac:dyDescent="0.2">
      <c r="A250" s="301"/>
      <c r="B250" s="302"/>
      <c r="C250" s="302" t="s">
        <v>193</v>
      </c>
      <c r="D250" s="303" t="s">
        <v>187</v>
      </c>
      <c r="E250" s="286">
        <v>70</v>
      </c>
      <c r="F250" s="321"/>
      <c r="G250" s="305"/>
      <c r="H250" s="286"/>
      <c r="I250" s="304">
        <v>2.4</v>
      </c>
      <c r="J250" s="286">
        <v>41</v>
      </c>
      <c r="K250" s="304">
        <v>32.840000000000003</v>
      </c>
    </row>
    <row r="251" spans="1:22" ht="14.25" x14ac:dyDescent="0.2">
      <c r="A251" s="301"/>
      <c r="B251" s="302"/>
      <c r="C251" s="302" t="s">
        <v>188</v>
      </c>
      <c r="D251" s="303" t="s">
        <v>187</v>
      </c>
      <c r="E251" s="286">
        <v>175</v>
      </c>
      <c r="F251" s="321"/>
      <c r="G251" s="305"/>
      <c r="H251" s="286"/>
      <c r="I251" s="304">
        <v>4.55</v>
      </c>
      <c r="J251" s="286">
        <v>157</v>
      </c>
      <c r="K251" s="304">
        <v>95.31</v>
      </c>
    </row>
    <row r="252" spans="1:22" ht="14.25" x14ac:dyDescent="0.2">
      <c r="A252" s="329"/>
      <c r="B252" s="330"/>
      <c r="C252" s="330" t="s">
        <v>192</v>
      </c>
      <c r="D252" s="331" t="s">
        <v>191</v>
      </c>
      <c r="E252" s="332">
        <v>9.27</v>
      </c>
      <c r="F252" s="333"/>
      <c r="G252" s="334" t="s">
        <v>195</v>
      </c>
      <c r="H252" s="332">
        <v>1</v>
      </c>
      <c r="I252" s="335">
        <v>0.28000000000000003</v>
      </c>
      <c r="J252" s="332"/>
      <c r="K252" s="335"/>
    </row>
    <row r="253" spans="1:22" ht="15" x14ac:dyDescent="0.25">
      <c r="A253" s="336"/>
      <c r="B253" s="336"/>
      <c r="C253" s="337" t="s">
        <v>183</v>
      </c>
      <c r="D253" s="336"/>
      <c r="E253" s="336"/>
      <c r="F253" s="336"/>
      <c r="G253" s="336"/>
      <c r="H253" s="461">
        <v>354.33</v>
      </c>
      <c r="I253" s="461"/>
      <c r="J253" s="461">
        <v>1045.98</v>
      </c>
      <c r="K253" s="461"/>
      <c r="O253" s="284">
        <f>I244+I245+I247+I249+I250+I251+SUM(I248:I248)</f>
        <v>354.33</v>
      </c>
      <c r="P253" s="284">
        <f>K244+K245+K247+K249+K250+K251+SUM(K248:K248)</f>
        <v>1045.98</v>
      </c>
    </row>
    <row r="255" spans="1:22" ht="42.75" x14ac:dyDescent="0.2">
      <c r="A255" s="301" t="s">
        <v>1828</v>
      </c>
      <c r="B255" s="302" t="s">
        <v>3594</v>
      </c>
      <c r="C255" s="302" t="s">
        <v>1382</v>
      </c>
      <c r="D255" s="303" t="s">
        <v>3595</v>
      </c>
      <c r="E255" s="286">
        <v>1</v>
      </c>
      <c r="F255" s="321"/>
      <c r="G255" s="305"/>
      <c r="H255" s="286"/>
      <c r="I255" s="304"/>
      <c r="J255" s="286"/>
      <c r="K255" s="304"/>
      <c r="Q255" s="281">
        <f>[15]Source!X112</f>
        <v>77.86</v>
      </c>
      <c r="R255" s="281">
        <f>[15]Source!X113</f>
        <v>1648.29</v>
      </c>
      <c r="S255" s="281">
        <f>[15]Source!Y112</f>
        <v>72.67</v>
      </c>
      <c r="T255" s="281">
        <f>[15]Source!Y113</f>
        <v>993.82</v>
      </c>
      <c r="U255" s="281">
        <f>ROUND((175/100)*ROUND([15]Source!R112, 2), 2)</f>
        <v>0</v>
      </c>
      <c r="V255" s="281">
        <f>ROUND((157/100)*ROUND([15]Source!R113, 2), 2)</f>
        <v>0</v>
      </c>
    </row>
    <row r="256" spans="1:22" ht="14.25" x14ac:dyDescent="0.2">
      <c r="A256" s="301"/>
      <c r="B256" s="302"/>
      <c r="C256" s="302" t="s">
        <v>197</v>
      </c>
      <c r="D256" s="303"/>
      <c r="E256" s="286"/>
      <c r="F256" s="321">
        <v>129.76</v>
      </c>
      <c r="G256" s="305" t="s">
        <v>2922</v>
      </c>
      <c r="H256" s="286">
        <v>1</v>
      </c>
      <c r="I256" s="304">
        <v>103.81</v>
      </c>
      <c r="J256" s="286">
        <v>23.35</v>
      </c>
      <c r="K256" s="304">
        <v>2423.96</v>
      </c>
    </row>
    <row r="257" spans="1:16" ht="14.25" x14ac:dyDescent="0.2">
      <c r="A257" s="301"/>
      <c r="B257" s="302"/>
      <c r="C257" s="302" t="s">
        <v>194</v>
      </c>
      <c r="D257" s="303" t="s">
        <v>187</v>
      </c>
      <c r="E257" s="286">
        <v>75</v>
      </c>
      <c r="F257" s="321"/>
      <c r="G257" s="305"/>
      <c r="H257" s="286"/>
      <c r="I257" s="304">
        <v>77.86</v>
      </c>
      <c r="J257" s="286">
        <v>68</v>
      </c>
      <c r="K257" s="304">
        <v>1648.29</v>
      </c>
    </row>
    <row r="258" spans="1:16" ht="14.25" x14ac:dyDescent="0.2">
      <c r="A258" s="301"/>
      <c r="B258" s="302"/>
      <c r="C258" s="302" t="s">
        <v>193</v>
      </c>
      <c r="D258" s="303" t="s">
        <v>187</v>
      </c>
      <c r="E258" s="286">
        <v>70</v>
      </c>
      <c r="F258" s="321"/>
      <c r="G258" s="305"/>
      <c r="H258" s="286"/>
      <c r="I258" s="304">
        <v>72.67</v>
      </c>
      <c r="J258" s="286">
        <v>41</v>
      </c>
      <c r="K258" s="304">
        <v>993.82</v>
      </c>
    </row>
    <row r="259" spans="1:16" ht="14.25" x14ac:dyDescent="0.2">
      <c r="A259" s="329"/>
      <c r="B259" s="330"/>
      <c r="C259" s="330" t="s">
        <v>192</v>
      </c>
      <c r="D259" s="331" t="s">
        <v>191</v>
      </c>
      <c r="E259" s="332">
        <v>6.06</v>
      </c>
      <c r="F259" s="333"/>
      <c r="G259" s="334" t="s">
        <v>2922</v>
      </c>
      <c r="H259" s="332">
        <v>1</v>
      </c>
      <c r="I259" s="335">
        <v>4.8499999999999996</v>
      </c>
      <c r="J259" s="332"/>
      <c r="K259" s="335"/>
    </row>
    <row r="260" spans="1:16" ht="15" x14ac:dyDescent="0.25">
      <c r="A260" s="336"/>
      <c r="B260" s="336"/>
      <c r="C260" s="337" t="s">
        <v>183</v>
      </c>
      <c r="D260" s="336"/>
      <c r="E260" s="336"/>
      <c r="F260" s="336"/>
      <c r="G260" s="336"/>
      <c r="H260" s="461">
        <v>254.34</v>
      </c>
      <c r="I260" s="461"/>
      <c r="J260" s="461">
        <v>5066.07</v>
      </c>
      <c r="K260" s="461"/>
      <c r="O260" s="284">
        <f>I256+I257+I258</f>
        <v>254.34</v>
      </c>
      <c r="P260" s="284">
        <f>K256+K257+K258</f>
        <v>5066.07</v>
      </c>
    </row>
    <row r="263" spans="1:16" ht="15" x14ac:dyDescent="0.25">
      <c r="A263" s="447" t="s">
        <v>3596</v>
      </c>
      <c r="B263" s="447"/>
      <c r="C263" s="447"/>
      <c r="D263" s="447"/>
      <c r="E263" s="447"/>
      <c r="F263" s="447"/>
      <c r="G263" s="447"/>
      <c r="H263" s="445">
        <v>80304.509999999995</v>
      </c>
      <c r="I263" s="446"/>
      <c r="J263" s="445">
        <v>487455.74</v>
      </c>
      <c r="K263" s="446"/>
    </row>
    <row r="264" spans="1:16" hidden="1" x14ac:dyDescent="0.2">
      <c r="A264" s="281" t="s">
        <v>182</v>
      </c>
      <c r="I264" s="281">
        <v>0</v>
      </c>
      <c r="J264" s="281">
        <v>0</v>
      </c>
    </row>
    <row r="265" spans="1:16" hidden="1" x14ac:dyDescent="0.2">
      <c r="A265" s="281" t="s">
        <v>181</v>
      </c>
      <c r="I265" s="281">
        <v>0</v>
      </c>
      <c r="J265" s="281">
        <v>0</v>
      </c>
    </row>
    <row r="267" spans="1:16" ht="15" x14ac:dyDescent="0.25">
      <c r="A267" s="447" t="s">
        <v>3597</v>
      </c>
      <c r="B267" s="447"/>
      <c r="C267" s="447"/>
      <c r="D267" s="447"/>
      <c r="E267" s="447"/>
      <c r="F267" s="447"/>
      <c r="G267" s="447"/>
      <c r="H267" s="445">
        <v>80304.509999999995</v>
      </c>
      <c r="I267" s="446"/>
      <c r="J267" s="445">
        <v>487455.74</v>
      </c>
      <c r="K267" s="446"/>
    </row>
    <row r="268" spans="1:16" hidden="1" x14ac:dyDescent="0.2">
      <c r="A268" s="281" t="s">
        <v>182</v>
      </c>
      <c r="I268" s="281">
        <v>0</v>
      </c>
      <c r="J268" s="281">
        <v>0</v>
      </c>
    </row>
    <row r="269" spans="1:16" hidden="1" x14ac:dyDescent="0.2">
      <c r="A269" s="281" t="s">
        <v>181</v>
      </c>
      <c r="I269" s="281">
        <v>0</v>
      </c>
      <c r="J269" s="281">
        <v>0</v>
      </c>
    </row>
    <row r="270" spans="1:16" ht="14.25" x14ac:dyDescent="0.2">
      <c r="C270" s="442" t="s">
        <v>1920</v>
      </c>
      <c r="D270" s="442"/>
      <c r="E270" s="442"/>
      <c r="F270" s="442"/>
      <c r="G270" s="442"/>
      <c r="H270" s="443">
        <v>71073.19</v>
      </c>
      <c r="I270" s="443"/>
      <c r="J270" s="443">
        <v>346093.07</v>
      </c>
      <c r="K270" s="443"/>
    </row>
    <row r="271" spans="1:16" ht="14.25" x14ac:dyDescent="0.2">
      <c r="C271" s="442" t="s">
        <v>1934</v>
      </c>
      <c r="D271" s="442"/>
      <c r="E271" s="442"/>
      <c r="F271" s="442"/>
      <c r="G271" s="442"/>
      <c r="H271" s="443">
        <v>46452.7</v>
      </c>
      <c r="I271" s="443"/>
      <c r="J271" s="443">
        <v>153749.23000000001</v>
      </c>
      <c r="K271" s="443"/>
    </row>
    <row r="272" spans="1:16" ht="14.25" x14ac:dyDescent="0.2">
      <c r="C272" s="442" t="s">
        <v>1935</v>
      </c>
      <c r="D272" s="442"/>
      <c r="E272" s="442"/>
      <c r="F272" s="442"/>
      <c r="G272" s="442"/>
      <c r="H272" s="443">
        <v>19124.95</v>
      </c>
      <c r="I272" s="443"/>
      <c r="J272" s="443">
        <v>70745.649999999994</v>
      </c>
      <c r="K272" s="443"/>
    </row>
    <row r="273" spans="1:11" ht="14.25" x14ac:dyDescent="0.2">
      <c r="C273" s="442" t="s">
        <v>1936</v>
      </c>
      <c r="D273" s="442"/>
      <c r="E273" s="442"/>
      <c r="F273" s="442"/>
      <c r="G273" s="442"/>
      <c r="H273" s="443">
        <v>439.47</v>
      </c>
      <c r="I273" s="443"/>
      <c r="J273" s="443">
        <v>3538.96</v>
      </c>
      <c r="K273" s="443"/>
    </row>
    <row r="274" spans="1:11" ht="14.25" x14ac:dyDescent="0.2">
      <c r="C274" s="442" t="s">
        <v>1937</v>
      </c>
      <c r="D274" s="442"/>
      <c r="E274" s="442"/>
      <c r="F274" s="442"/>
      <c r="G274" s="442"/>
      <c r="H274" s="443">
        <v>64.98</v>
      </c>
      <c r="I274" s="443"/>
      <c r="J274" s="443">
        <v>1517.29</v>
      </c>
      <c r="K274" s="443"/>
    </row>
    <row r="275" spans="1:11" ht="14.25" x14ac:dyDescent="0.2">
      <c r="C275" s="442" t="s">
        <v>1938</v>
      </c>
      <c r="D275" s="442"/>
      <c r="E275" s="442"/>
      <c r="F275" s="442"/>
      <c r="G275" s="442"/>
      <c r="H275" s="443">
        <v>5056.07</v>
      </c>
      <c r="I275" s="443"/>
      <c r="J275" s="443">
        <v>118059.23</v>
      </c>
      <c r="K275" s="443"/>
    </row>
    <row r="276" spans="1:11" ht="14.25" x14ac:dyDescent="0.2">
      <c r="C276" s="442" t="s">
        <v>1939</v>
      </c>
      <c r="D276" s="442"/>
      <c r="E276" s="442"/>
      <c r="F276" s="442"/>
      <c r="G276" s="442"/>
      <c r="H276" s="443">
        <v>4884.47</v>
      </c>
      <c r="I276" s="443"/>
      <c r="J276" s="443">
        <v>11992.06</v>
      </c>
      <c r="K276" s="443"/>
    </row>
    <row r="277" spans="1:11" ht="14.25" x14ac:dyDescent="0.2">
      <c r="C277" s="442" t="s">
        <v>1940</v>
      </c>
      <c r="D277" s="442"/>
      <c r="E277" s="442"/>
      <c r="F277" s="442"/>
      <c r="G277" s="442"/>
      <c r="H277" s="443">
        <v>56040.75</v>
      </c>
      <c r="I277" s="443"/>
      <c r="J277" s="443">
        <v>399651.96</v>
      </c>
      <c r="K277" s="443"/>
    </row>
    <row r="278" spans="1:11" ht="14.25" x14ac:dyDescent="0.2">
      <c r="C278" s="442" t="s">
        <v>1941</v>
      </c>
      <c r="D278" s="442"/>
      <c r="E278" s="442"/>
      <c r="F278" s="442"/>
      <c r="G278" s="442"/>
      <c r="H278" s="443">
        <v>254.34</v>
      </c>
      <c r="I278" s="443"/>
      <c r="J278" s="443">
        <v>5066.07</v>
      </c>
      <c r="K278" s="443"/>
    </row>
    <row r="279" spans="1:11" ht="14.25" x14ac:dyDescent="0.2">
      <c r="C279" s="442" t="s">
        <v>1942</v>
      </c>
      <c r="D279" s="442"/>
      <c r="E279" s="442"/>
      <c r="F279" s="442"/>
      <c r="G279" s="442"/>
      <c r="H279" s="443">
        <v>5708.06</v>
      </c>
      <c r="I279" s="443"/>
      <c r="J279" s="443">
        <v>90576.25</v>
      </c>
      <c r="K279" s="443"/>
    </row>
    <row r="280" spans="1:11" ht="14.25" x14ac:dyDescent="0.2">
      <c r="C280" s="442" t="s">
        <v>1943</v>
      </c>
      <c r="D280" s="442"/>
      <c r="E280" s="442"/>
      <c r="F280" s="442"/>
      <c r="G280" s="442"/>
      <c r="H280" s="443">
        <v>3409.54</v>
      </c>
      <c r="I280" s="443"/>
      <c r="J280" s="443">
        <v>48404.29</v>
      </c>
      <c r="K280" s="443"/>
    </row>
    <row r="281" spans="1:11" ht="14.25" x14ac:dyDescent="0.2">
      <c r="C281" s="442" t="s">
        <v>1944</v>
      </c>
      <c r="D281" s="442"/>
      <c r="E281" s="442"/>
      <c r="F281" s="442"/>
      <c r="G281" s="442"/>
      <c r="H281" s="443">
        <v>80304.509999999995</v>
      </c>
      <c r="I281" s="443"/>
      <c r="J281" s="443">
        <v>487455.74</v>
      </c>
      <c r="K281" s="443"/>
    </row>
    <row r="284" spans="1:11" ht="14.25" x14ac:dyDescent="0.2">
      <c r="A284" s="440" t="s">
        <v>180</v>
      </c>
      <c r="B284" s="440"/>
      <c r="C284" s="347" t="s">
        <v>107</v>
      </c>
      <c r="D284" s="347"/>
      <c r="E284" s="347"/>
      <c r="F284" s="347"/>
      <c r="G284" s="347"/>
      <c r="H284" s="287" t="s">
        <v>107</v>
      </c>
      <c r="I284" s="287"/>
      <c r="J284" s="287"/>
      <c r="K284" s="287"/>
    </row>
    <row r="285" spans="1:11" ht="14.25" x14ac:dyDescent="0.2">
      <c r="A285" s="287"/>
      <c r="B285" s="287"/>
      <c r="C285" s="460" t="s">
        <v>72</v>
      </c>
      <c r="D285" s="460"/>
      <c r="E285" s="460"/>
      <c r="F285" s="460"/>
      <c r="G285" s="460"/>
      <c r="H285" s="287"/>
      <c r="I285" s="287"/>
      <c r="J285" s="287"/>
      <c r="K285" s="287"/>
    </row>
    <row r="286" spans="1:11" ht="14.25" x14ac:dyDescent="0.2">
      <c r="A286" s="287"/>
      <c r="B286" s="287"/>
      <c r="C286" s="287"/>
      <c r="D286" s="287"/>
      <c r="E286" s="287"/>
      <c r="F286" s="287"/>
      <c r="G286" s="287"/>
      <c r="H286" s="287"/>
      <c r="I286" s="287"/>
      <c r="J286" s="287"/>
      <c r="K286" s="287"/>
    </row>
    <row r="287" spans="1:11" ht="14.25" x14ac:dyDescent="0.2">
      <c r="A287" s="440" t="s">
        <v>179</v>
      </c>
      <c r="B287" s="440"/>
      <c r="C287" s="347" t="s">
        <v>107</v>
      </c>
      <c r="D287" s="347"/>
      <c r="E287" s="347"/>
      <c r="F287" s="347"/>
      <c r="G287" s="347"/>
      <c r="H287" s="287" t="s">
        <v>107</v>
      </c>
      <c r="I287" s="287"/>
      <c r="J287" s="287"/>
      <c r="K287" s="287"/>
    </row>
    <row r="288" spans="1:11" ht="14.25" x14ac:dyDescent="0.2">
      <c r="A288" s="287"/>
      <c r="B288" s="287"/>
      <c r="C288" s="460" t="s">
        <v>72</v>
      </c>
      <c r="D288" s="460"/>
      <c r="E288" s="460"/>
      <c r="F288" s="460"/>
      <c r="G288" s="460"/>
      <c r="H288" s="287"/>
      <c r="I288" s="287"/>
      <c r="J288" s="287"/>
      <c r="K288" s="287"/>
    </row>
  </sheetData>
  <mergeCells count="114"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36:K36"/>
    <mergeCell ref="J47:K47"/>
    <mergeCell ref="H47:I47"/>
    <mergeCell ref="J59:K59"/>
    <mergeCell ref="H59:I59"/>
    <mergeCell ref="J62:K62"/>
    <mergeCell ref="H62:I62"/>
    <mergeCell ref="J73:K73"/>
    <mergeCell ref="H73:I73"/>
    <mergeCell ref="J85:K85"/>
    <mergeCell ref="H85:I85"/>
    <mergeCell ref="J94:K94"/>
    <mergeCell ref="H94:I94"/>
    <mergeCell ref="J105:K105"/>
    <mergeCell ref="H105:I105"/>
    <mergeCell ref="J108:K108"/>
    <mergeCell ref="H108:I108"/>
    <mergeCell ref="J111:K111"/>
    <mergeCell ref="H111:I111"/>
    <mergeCell ref="J120:K120"/>
    <mergeCell ref="H120:I120"/>
    <mergeCell ref="J132:K132"/>
    <mergeCell ref="H132:I132"/>
    <mergeCell ref="J144:K144"/>
    <mergeCell ref="H144:I144"/>
    <mergeCell ref="J158:K158"/>
    <mergeCell ref="H158:I158"/>
    <mergeCell ref="J172:K172"/>
    <mergeCell ref="H172:I172"/>
    <mergeCell ref="J185:K185"/>
    <mergeCell ref="H185:I185"/>
    <mergeCell ref="J198:K198"/>
    <mergeCell ref="H198:I198"/>
    <mergeCell ref="J211:K211"/>
    <mergeCell ref="H211:I211"/>
    <mergeCell ref="J224:K224"/>
    <mergeCell ref="H224:I224"/>
    <mergeCell ref="J237:K237"/>
    <mergeCell ref="H237:I237"/>
    <mergeCell ref="J240:K240"/>
    <mergeCell ref="H240:I240"/>
    <mergeCell ref="J253:K253"/>
    <mergeCell ref="H253:I253"/>
    <mergeCell ref="J260:K260"/>
    <mergeCell ref="H260:I260"/>
    <mergeCell ref="J263:K263"/>
    <mergeCell ref="H263:I263"/>
    <mergeCell ref="A263:G263"/>
    <mergeCell ref="J267:K267"/>
    <mergeCell ref="H267:I267"/>
    <mergeCell ref="A267:G267"/>
    <mergeCell ref="C270:G270"/>
    <mergeCell ref="H270:I270"/>
    <mergeCell ref="J270:K270"/>
    <mergeCell ref="C271:G271"/>
    <mergeCell ref="H271:I271"/>
    <mergeCell ref="J271:K271"/>
    <mergeCell ref="C272:G272"/>
    <mergeCell ref="H272:I272"/>
    <mergeCell ref="J272:K272"/>
    <mergeCell ref="C273:G273"/>
    <mergeCell ref="H273:I273"/>
    <mergeCell ref="J273:K273"/>
    <mergeCell ref="C274:G274"/>
    <mergeCell ref="H274:I274"/>
    <mergeCell ref="J274:K274"/>
    <mergeCell ref="C275:G275"/>
    <mergeCell ref="H275:I275"/>
    <mergeCell ref="J275:K275"/>
    <mergeCell ref="C276:G276"/>
    <mergeCell ref="H276:I276"/>
    <mergeCell ref="J276:K276"/>
    <mergeCell ref="A284:B284"/>
    <mergeCell ref="C285:G285"/>
    <mergeCell ref="A287:B287"/>
    <mergeCell ref="C288:G288"/>
    <mergeCell ref="C280:G280"/>
    <mergeCell ref="H280:I280"/>
    <mergeCell ref="C277:G277"/>
    <mergeCell ref="H277:I277"/>
    <mergeCell ref="J277:K277"/>
    <mergeCell ref="J280:K280"/>
    <mergeCell ref="C281:G281"/>
    <mergeCell ref="H281:I281"/>
    <mergeCell ref="J281:K281"/>
    <mergeCell ref="C278:G278"/>
    <mergeCell ref="H278:I278"/>
    <mergeCell ref="J278:K278"/>
    <mergeCell ref="C279:G279"/>
    <mergeCell ref="H279:I279"/>
    <mergeCell ref="J279:K279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E229"/>
  <sheetViews>
    <sheetView zoomScaleNormal="100" workbookViewId="0">
      <selection sqref="A1:N1048576"/>
    </sheetView>
  </sheetViews>
  <sheetFormatPr defaultColWidth="9.140625" defaultRowHeight="12.75" x14ac:dyDescent="0.2"/>
  <cols>
    <col min="1" max="1" width="5.7109375" style="281" customWidth="1"/>
    <col min="2" max="2" width="11.7109375" style="281" customWidth="1"/>
    <col min="3" max="3" width="40.7109375" style="281" customWidth="1"/>
    <col min="4" max="6" width="11.7109375" style="281" customWidth="1"/>
    <col min="7" max="7" width="12.7109375" style="281" customWidth="1"/>
    <col min="8" max="8" width="10.7109375" style="281" customWidth="1"/>
    <col min="9" max="11" width="12.7109375" style="281" customWidth="1"/>
    <col min="12" max="14" width="9.140625" style="281"/>
    <col min="15" max="30" width="0" style="160" hidden="1" customWidth="1"/>
    <col min="31" max="31" width="150.7109375" style="160" hidden="1" customWidth="1"/>
    <col min="32" max="36" width="0" style="160" hidden="1" customWidth="1"/>
    <col min="37" max="16384" width="9.140625" style="160"/>
  </cols>
  <sheetData>
    <row r="1" spans="1:31" x14ac:dyDescent="0.2">
      <c r="A1" s="285" t="s">
        <v>1523</v>
      </c>
    </row>
    <row r="2" spans="1:31" ht="14.25" x14ac:dyDescent="0.2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7" t="s">
        <v>381</v>
      </c>
    </row>
    <row r="3" spans="1:31" ht="16.5" x14ac:dyDescent="0.25">
      <c r="A3" s="288"/>
      <c r="B3" s="458" t="s">
        <v>380</v>
      </c>
      <c r="C3" s="458"/>
      <c r="D3" s="458"/>
      <c r="E3" s="458"/>
      <c r="F3" s="287"/>
      <c r="G3" s="458" t="s">
        <v>0</v>
      </c>
      <c r="H3" s="458"/>
      <c r="I3" s="458"/>
      <c r="J3" s="458"/>
      <c r="K3" s="458"/>
    </row>
    <row r="4" spans="1:31" ht="14.25" x14ac:dyDescent="0.2">
      <c r="A4" s="287"/>
      <c r="B4" s="450"/>
      <c r="C4" s="450"/>
      <c r="D4" s="450"/>
      <c r="E4" s="450"/>
      <c r="F4" s="287"/>
      <c r="G4" s="450"/>
      <c r="H4" s="450"/>
      <c r="I4" s="450"/>
      <c r="J4" s="450"/>
      <c r="K4" s="450"/>
    </row>
    <row r="5" spans="1:31" ht="14.25" x14ac:dyDescent="0.2">
      <c r="A5" s="289"/>
      <c r="B5" s="289"/>
      <c r="C5" s="290"/>
      <c r="D5" s="290"/>
      <c r="E5" s="290"/>
      <c r="F5" s="287"/>
      <c r="G5" s="188"/>
      <c r="H5" s="290"/>
      <c r="I5" s="290"/>
      <c r="J5" s="290"/>
      <c r="K5" s="188"/>
    </row>
    <row r="6" spans="1:31" ht="14.25" x14ac:dyDescent="0.2">
      <c r="A6" s="188"/>
      <c r="B6" s="450" t="s">
        <v>1524</v>
      </c>
      <c r="C6" s="450"/>
      <c r="D6" s="450"/>
      <c r="E6" s="450"/>
      <c r="F6" s="287"/>
      <c r="G6" s="450" t="s">
        <v>1524</v>
      </c>
      <c r="H6" s="450"/>
      <c r="I6" s="450"/>
      <c r="J6" s="450"/>
      <c r="K6" s="450"/>
    </row>
    <row r="7" spans="1:31" ht="14.25" x14ac:dyDescent="0.2">
      <c r="A7" s="291"/>
      <c r="B7" s="459" t="s">
        <v>379</v>
      </c>
      <c r="C7" s="459"/>
      <c r="D7" s="459"/>
      <c r="E7" s="459"/>
      <c r="F7" s="287"/>
      <c r="G7" s="459" t="s">
        <v>379</v>
      </c>
      <c r="H7" s="459"/>
      <c r="I7" s="459"/>
      <c r="J7" s="459"/>
      <c r="K7" s="459"/>
    </row>
    <row r="9" spans="1:31" ht="14.25" x14ac:dyDescent="0.2">
      <c r="A9" s="287"/>
      <c r="B9" s="287"/>
      <c r="C9" s="287"/>
      <c r="D9" s="287"/>
      <c r="E9" s="287"/>
      <c r="F9" s="287"/>
      <c r="G9" s="287"/>
      <c r="H9" s="287"/>
      <c r="I9" s="287"/>
      <c r="J9" s="287"/>
      <c r="K9" s="287"/>
    </row>
    <row r="10" spans="1:31" ht="47.25" x14ac:dyDescent="0.25">
      <c r="A10" s="467" t="s">
        <v>3850</v>
      </c>
      <c r="B10" s="467"/>
      <c r="C10" s="467"/>
      <c r="D10" s="467"/>
      <c r="E10" s="467"/>
      <c r="F10" s="467"/>
      <c r="G10" s="467"/>
      <c r="H10" s="467"/>
      <c r="I10" s="467"/>
      <c r="J10" s="467"/>
      <c r="K10" s="467"/>
      <c r="AE10" s="252" t="str">
        <f>IF([16]Source!G12&lt;&gt;"Новый объект", [16]Source!G12,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68" t="s">
        <v>75</v>
      </c>
      <c r="B11" s="468"/>
      <c r="C11" s="468"/>
      <c r="D11" s="468"/>
      <c r="E11" s="468"/>
      <c r="F11" s="468"/>
      <c r="G11" s="468"/>
      <c r="H11" s="468"/>
      <c r="I11" s="468"/>
      <c r="J11" s="468"/>
      <c r="K11" s="468"/>
    </row>
    <row r="12" spans="1:31" ht="14.25" x14ac:dyDescent="0.2">
      <c r="A12" s="287"/>
      <c r="B12" s="287"/>
      <c r="C12" s="287"/>
      <c r="D12" s="287"/>
      <c r="E12" s="287"/>
      <c r="F12" s="287"/>
      <c r="G12" s="287"/>
      <c r="H12" s="287"/>
      <c r="I12" s="287"/>
      <c r="J12" s="287"/>
      <c r="K12" s="287"/>
    </row>
    <row r="13" spans="1:31" ht="15.75" x14ac:dyDescent="0.25">
      <c r="A13" s="467" t="s">
        <v>3895</v>
      </c>
      <c r="B13" s="469"/>
      <c r="C13" s="469"/>
      <c r="D13" s="469"/>
      <c r="E13" s="469"/>
      <c r="F13" s="469"/>
      <c r="G13" s="469"/>
      <c r="H13" s="469"/>
      <c r="I13" s="469"/>
      <c r="J13" s="469"/>
      <c r="K13" s="469"/>
    </row>
    <row r="14" spans="1:31" ht="14.25" x14ac:dyDescent="0.2">
      <c r="A14" s="287"/>
      <c r="B14" s="287"/>
      <c r="C14" s="287"/>
      <c r="D14" s="287"/>
      <c r="E14" s="287"/>
      <c r="F14" s="287"/>
      <c r="G14" s="287"/>
      <c r="H14" s="287"/>
      <c r="I14" s="287"/>
      <c r="J14" s="287"/>
      <c r="K14" s="287"/>
    </row>
    <row r="15" spans="1:31" ht="18" x14ac:dyDescent="0.25">
      <c r="A15" s="470" t="s">
        <v>176</v>
      </c>
      <c r="B15" s="470"/>
      <c r="C15" s="470"/>
      <c r="D15" s="470"/>
      <c r="E15" s="470"/>
      <c r="F15" s="470"/>
      <c r="G15" s="470"/>
      <c r="H15" s="470"/>
      <c r="I15" s="470"/>
      <c r="J15" s="470"/>
      <c r="K15" s="470"/>
    </row>
    <row r="16" spans="1:31" x14ac:dyDescent="0.2">
      <c r="A16" s="455" t="s">
        <v>378</v>
      </c>
      <c r="B16" s="456"/>
      <c r="C16" s="456"/>
      <c r="D16" s="456"/>
      <c r="E16" s="456"/>
      <c r="F16" s="456"/>
      <c r="G16" s="456"/>
      <c r="H16" s="456"/>
      <c r="I16" s="456"/>
      <c r="J16" s="456"/>
      <c r="K16" s="456"/>
    </row>
    <row r="17" spans="1:31" ht="14.25" x14ac:dyDescent="0.2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</row>
    <row r="18" spans="1:31" ht="14.25" x14ac:dyDescent="0.2">
      <c r="A18" s="471" t="s">
        <v>3856</v>
      </c>
      <c r="B18" s="471"/>
      <c r="C18" s="471"/>
      <c r="D18" s="471"/>
      <c r="E18" s="471"/>
      <c r="F18" s="471"/>
      <c r="G18" s="471"/>
      <c r="H18" s="471"/>
      <c r="I18" s="471"/>
      <c r="J18" s="471"/>
      <c r="K18" s="471"/>
    </row>
    <row r="19" spans="1:31" ht="14.25" x14ac:dyDescent="0.2">
      <c r="A19" s="293"/>
      <c r="B19" s="293"/>
      <c r="C19" s="293"/>
      <c r="D19" s="293"/>
      <c r="E19" s="293"/>
      <c r="F19" s="293"/>
      <c r="G19" s="293"/>
      <c r="H19" s="293"/>
      <c r="I19" s="293"/>
      <c r="J19" s="293"/>
      <c r="K19" s="293"/>
    </row>
    <row r="20" spans="1:31" ht="28.5" x14ac:dyDescent="0.2">
      <c r="A20" s="287"/>
      <c r="B20" s="287"/>
      <c r="C20" s="287"/>
      <c r="D20" s="287"/>
      <c r="E20" s="287"/>
      <c r="F20" s="287"/>
      <c r="G20" s="287"/>
      <c r="H20" s="287"/>
      <c r="I20" s="294" t="s">
        <v>377</v>
      </c>
      <c r="J20" s="294" t="s">
        <v>376</v>
      </c>
      <c r="K20" s="287"/>
    </row>
    <row r="21" spans="1:31" ht="15" x14ac:dyDescent="0.25">
      <c r="A21" s="287"/>
      <c r="B21" s="287"/>
      <c r="C21" s="287"/>
      <c r="D21" s="287"/>
      <c r="E21" s="287"/>
      <c r="F21" s="457" t="s">
        <v>375</v>
      </c>
      <c r="G21" s="457"/>
      <c r="H21" s="457"/>
      <c r="I21" s="295">
        <v>338.8</v>
      </c>
      <c r="J21" s="295">
        <v>2450.4</v>
      </c>
      <c r="K21" s="296" t="s">
        <v>366</v>
      </c>
    </row>
    <row r="22" spans="1:31" ht="14.25" x14ac:dyDescent="0.2">
      <c r="A22" s="287"/>
      <c r="B22" s="287"/>
      <c r="C22" s="287"/>
      <c r="D22" s="287"/>
      <c r="E22" s="287"/>
      <c r="F22" s="450" t="s">
        <v>374</v>
      </c>
      <c r="G22" s="450"/>
      <c r="H22" s="450"/>
      <c r="I22" s="297">
        <v>0</v>
      </c>
      <c r="J22" s="297">
        <v>0</v>
      </c>
      <c r="K22" s="287" t="s">
        <v>366</v>
      </c>
    </row>
    <row r="23" spans="1:31" ht="14.25" x14ac:dyDescent="0.2">
      <c r="A23" s="287"/>
      <c r="B23" s="287"/>
      <c r="C23" s="287"/>
      <c r="D23" s="287"/>
      <c r="E23" s="287"/>
      <c r="F23" s="450" t="s">
        <v>373</v>
      </c>
      <c r="G23" s="450"/>
      <c r="H23" s="450"/>
      <c r="I23" s="297">
        <v>324.36</v>
      </c>
      <c r="J23" s="297">
        <v>2386.16</v>
      </c>
      <c r="K23" s="287" t="s">
        <v>366</v>
      </c>
    </row>
    <row r="24" spans="1:31" ht="14.25" x14ac:dyDescent="0.2">
      <c r="A24" s="287"/>
      <c r="B24" s="287"/>
      <c r="C24" s="287"/>
      <c r="D24" s="287"/>
      <c r="E24" s="287"/>
      <c r="F24" s="450" t="s">
        <v>106</v>
      </c>
      <c r="G24" s="450"/>
      <c r="H24" s="450"/>
      <c r="I24" s="297">
        <v>14.44</v>
      </c>
      <c r="J24" s="297">
        <v>64.239999999999995</v>
      </c>
      <c r="K24" s="287" t="s">
        <v>366</v>
      </c>
    </row>
    <row r="25" spans="1:31" ht="14.25" x14ac:dyDescent="0.2">
      <c r="A25" s="287"/>
      <c r="B25" s="287"/>
      <c r="C25" s="287"/>
      <c r="D25" s="287"/>
      <c r="E25" s="287"/>
      <c r="F25" s="450" t="s">
        <v>372</v>
      </c>
      <c r="G25" s="450"/>
      <c r="H25" s="450"/>
      <c r="I25" s="297">
        <v>0</v>
      </c>
      <c r="J25" s="297">
        <v>0</v>
      </c>
      <c r="K25" s="287" t="s">
        <v>366</v>
      </c>
    </row>
    <row r="26" spans="1:31" ht="14.25" x14ac:dyDescent="0.2">
      <c r="A26" s="287"/>
      <c r="B26" s="287"/>
      <c r="C26" s="287"/>
      <c r="D26" s="287"/>
      <c r="E26" s="287"/>
      <c r="F26" s="450" t="s">
        <v>371</v>
      </c>
      <c r="G26" s="450"/>
      <c r="H26" s="450"/>
      <c r="I26" s="297">
        <v>31.06</v>
      </c>
      <c r="J26" s="297">
        <v>725.34</v>
      </c>
      <c r="K26" s="287" t="s">
        <v>366</v>
      </c>
    </row>
    <row r="27" spans="1:31" ht="14.25" x14ac:dyDescent="0.2">
      <c r="A27" s="287"/>
      <c r="B27" s="287"/>
      <c r="C27" s="287"/>
      <c r="D27" s="287"/>
      <c r="E27" s="287"/>
      <c r="F27" s="450" t="s">
        <v>370</v>
      </c>
      <c r="G27" s="450"/>
      <c r="H27" s="450"/>
      <c r="I27" s="297">
        <v>2425.27</v>
      </c>
      <c r="J27" s="297"/>
      <c r="K27" s="287" t="s">
        <v>369</v>
      </c>
    </row>
    <row r="28" spans="1:31" ht="14.25" hidden="1" x14ac:dyDescent="0.2">
      <c r="A28" s="287"/>
      <c r="B28" s="287"/>
      <c r="C28" s="287"/>
      <c r="D28" s="287"/>
      <c r="E28" s="287"/>
      <c r="F28" s="188" t="s">
        <v>368</v>
      </c>
      <c r="G28" s="188"/>
      <c r="H28" s="188"/>
      <c r="I28" s="297"/>
      <c r="J28" s="297"/>
      <c r="K28" s="287"/>
    </row>
    <row r="29" spans="1:31" ht="14.25" hidden="1" x14ac:dyDescent="0.2">
      <c r="A29" s="287"/>
      <c r="B29" s="287"/>
      <c r="C29" s="287"/>
      <c r="D29" s="287"/>
      <c r="E29" s="287"/>
      <c r="F29" s="419" t="s">
        <v>367</v>
      </c>
      <c r="G29" s="420"/>
      <c r="H29" s="420"/>
      <c r="I29" s="297">
        <v>0</v>
      </c>
      <c r="J29" s="297">
        <v>0</v>
      </c>
      <c r="K29" s="287" t="s">
        <v>366</v>
      </c>
    </row>
    <row r="30" spans="1:31" ht="14.25" x14ac:dyDescent="0.2">
      <c r="A30" s="287"/>
      <c r="B30" s="287"/>
      <c r="C30" s="287"/>
      <c r="D30" s="287"/>
      <c r="E30" s="287"/>
      <c r="F30" s="188"/>
      <c r="G30" s="188"/>
      <c r="H30" s="188"/>
      <c r="I30" s="297"/>
      <c r="J30" s="297"/>
      <c r="K30" s="287"/>
    </row>
    <row r="31" spans="1:31" ht="14.25" x14ac:dyDescent="0.2">
      <c r="A31" s="287" t="s">
        <v>365</v>
      </c>
      <c r="B31" s="287"/>
      <c r="C31" s="287"/>
      <c r="D31" s="287"/>
      <c r="E31" s="287"/>
      <c r="F31" s="188"/>
      <c r="G31" s="188"/>
      <c r="H31" s="188"/>
      <c r="I31" s="297"/>
      <c r="J31" s="297"/>
      <c r="K31" s="287"/>
    </row>
    <row r="32" spans="1:31" ht="28.5" x14ac:dyDescent="0.2">
      <c r="A32" s="471" t="s">
        <v>1153</v>
      </c>
      <c r="B32" s="471"/>
      <c r="C32" s="471"/>
      <c r="D32" s="471"/>
      <c r="E32" s="471"/>
      <c r="F32" s="471"/>
      <c r="G32" s="471"/>
      <c r="H32" s="471"/>
      <c r="I32" s="471"/>
      <c r="J32" s="471"/>
      <c r="K32" s="471"/>
      <c r="AE32" s="251" t="s">
        <v>1153</v>
      </c>
    </row>
    <row r="33" spans="1:22" ht="85.5" x14ac:dyDescent="0.2">
      <c r="A33" s="299" t="s">
        <v>81</v>
      </c>
      <c r="B33" s="299" t="s">
        <v>363</v>
      </c>
      <c r="C33" s="299" t="s">
        <v>83</v>
      </c>
      <c r="D33" s="299" t="s">
        <v>362</v>
      </c>
      <c r="E33" s="299" t="s">
        <v>361</v>
      </c>
      <c r="F33" s="299" t="s">
        <v>360</v>
      </c>
      <c r="G33" s="300" t="s">
        <v>359</v>
      </c>
      <c r="H33" s="300" t="s">
        <v>358</v>
      </c>
      <c r="I33" s="299" t="s">
        <v>357</v>
      </c>
      <c r="J33" s="299" t="s">
        <v>356</v>
      </c>
      <c r="K33" s="299" t="s">
        <v>355</v>
      </c>
    </row>
    <row r="34" spans="1:22" ht="14.25" x14ac:dyDescent="0.2">
      <c r="A34" s="299">
        <v>1</v>
      </c>
      <c r="B34" s="299">
        <v>2</v>
      </c>
      <c r="C34" s="299">
        <v>3</v>
      </c>
      <c r="D34" s="299">
        <v>4</v>
      </c>
      <c r="E34" s="299">
        <v>5</v>
      </c>
      <c r="F34" s="299">
        <v>6</v>
      </c>
      <c r="G34" s="299">
        <v>7</v>
      </c>
      <c r="H34" s="299">
        <v>8</v>
      </c>
      <c r="I34" s="299">
        <v>9</v>
      </c>
      <c r="J34" s="299">
        <v>10</v>
      </c>
      <c r="K34" s="299">
        <v>11</v>
      </c>
    </row>
    <row r="36" spans="1:22" ht="16.5" x14ac:dyDescent="0.25">
      <c r="A36" s="448" t="s">
        <v>3598</v>
      </c>
      <c r="B36" s="448"/>
      <c r="C36" s="448"/>
      <c r="D36" s="448"/>
      <c r="E36" s="448"/>
      <c r="F36" s="448"/>
      <c r="G36" s="448"/>
      <c r="H36" s="448"/>
      <c r="I36" s="448"/>
      <c r="J36" s="448"/>
      <c r="K36" s="448"/>
    </row>
    <row r="37" spans="1:22" ht="14.25" x14ac:dyDescent="0.2">
      <c r="A37" s="301" t="s">
        <v>719</v>
      </c>
      <c r="B37" s="302" t="s">
        <v>3572</v>
      </c>
      <c r="C37" s="302" t="s">
        <v>1178</v>
      </c>
      <c r="D37" s="303" t="s">
        <v>1890</v>
      </c>
      <c r="E37" s="286">
        <v>0.1</v>
      </c>
      <c r="F37" s="304"/>
      <c r="G37" s="305"/>
      <c r="H37" s="286"/>
      <c r="I37" s="304"/>
      <c r="J37" s="286"/>
      <c r="K37" s="304"/>
      <c r="Q37" s="160">
        <f>[16]Source!X28</f>
        <v>52.75</v>
      </c>
      <c r="R37" s="160">
        <f>[16]Source!X29</f>
        <v>989.81</v>
      </c>
      <c r="S37" s="160">
        <f>[16]Source!Y28</f>
        <v>32.97</v>
      </c>
      <c r="T37" s="160">
        <f>[16]Source!Y29</f>
        <v>472.91</v>
      </c>
      <c r="U37" s="160">
        <f>ROUND((175/100)*ROUND([16]Source!R28, 2), 2)</f>
        <v>0.04</v>
      </c>
      <c r="V37" s="160">
        <f>ROUND((157/100)*ROUND([16]Source!R29, 2), 2)</f>
        <v>0.74</v>
      </c>
    </row>
    <row r="38" spans="1:22" x14ac:dyDescent="0.2">
      <c r="C38" s="316" t="s">
        <v>1891</v>
      </c>
    </row>
    <row r="39" spans="1:22" ht="14.25" x14ac:dyDescent="0.2">
      <c r="A39" s="301"/>
      <c r="B39" s="302"/>
      <c r="C39" s="302" t="s">
        <v>197</v>
      </c>
      <c r="D39" s="303"/>
      <c r="E39" s="286"/>
      <c r="F39" s="304">
        <v>470.98</v>
      </c>
      <c r="G39" s="305" t="s">
        <v>195</v>
      </c>
      <c r="H39" s="286">
        <v>1</v>
      </c>
      <c r="I39" s="304">
        <v>47.1</v>
      </c>
      <c r="J39" s="286">
        <v>23.35</v>
      </c>
      <c r="K39" s="304">
        <v>1099.79</v>
      </c>
    </row>
    <row r="40" spans="1:22" ht="14.25" x14ac:dyDescent="0.2">
      <c r="A40" s="301"/>
      <c r="B40" s="302"/>
      <c r="C40" s="302" t="s">
        <v>184</v>
      </c>
      <c r="D40" s="303"/>
      <c r="E40" s="286"/>
      <c r="F40" s="304">
        <v>1.1100000000000001</v>
      </c>
      <c r="G40" s="305" t="s">
        <v>195</v>
      </c>
      <c r="H40" s="286">
        <v>1</v>
      </c>
      <c r="I40" s="304">
        <v>0.11</v>
      </c>
      <c r="J40" s="286">
        <v>8.59</v>
      </c>
      <c r="K40" s="304">
        <v>0.94</v>
      </c>
    </row>
    <row r="41" spans="1:22" ht="14.25" x14ac:dyDescent="0.2">
      <c r="A41" s="301"/>
      <c r="B41" s="302"/>
      <c r="C41" s="302" t="s">
        <v>189</v>
      </c>
      <c r="D41" s="303"/>
      <c r="E41" s="286"/>
      <c r="F41" s="304">
        <v>0.2</v>
      </c>
      <c r="G41" s="305" t="s">
        <v>195</v>
      </c>
      <c r="H41" s="286">
        <v>1</v>
      </c>
      <c r="I41" s="306">
        <v>0.02</v>
      </c>
      <c r="J41" s="286">
        <v>23.35</v>
      </c>
      <c r="K41" s="306">
        <v>0.47</v>
      </c>
    </row>
    <row r="42" spans="1:22" ht="14.25" x14ac:dyDescent="0.2">
      <c r="A42" s="301"/>
      <c r="B42" s="302"/>
      <c r="C42" s="302" t="s">
        <v>205</v>
      </c>
      <c r="D42" s="303"/>
      <c r="E42" s="286"/>
      <c r="F42" s="304">
        <v>1.23</v>
      </c>
      <c r="G42" s="305" t="s">
        <v>195</v>
      </c>
      <c r="H42" s="286">
        <v>1</v>
      </c>
      <c r="I42" s="304">
        <v>0.12</v>
      </c>
      <c r="J42" s="286">
        <v>5.42</v>
      </c>
      <c r="K42" s="304">
        <v>0.65</v>
      </c>
    </row>
    <row r="43" spans="1:22" ht="14.25" x14ac:dyDescent="0.2">
      <c r="A43" s="301"/>
      <c r="B43" s="302"/>
      <c r="C43" s="302" t="s">
        <v>194</v>
      </c>
      <c r="D43" s="303" t="s">
        <v>187</v>
      </c>
      <c r="E43" s="286">
        <v>112</v>
      </c>
      <c r="F43" s="304"/>
      <c r="G43" s="305"/>
      <c r="H43" s="286"/>
      <c r="I43" s="304">
        <v>52.75</v>
      </c>
      <c r="J43" s="286">
        <v>90</v>
      </c>
      <c r="K43" s="304">
        <v>989.81</v>
      </c>
    </row>
    <row r="44" spans="1:22" ht="14.25" x14ac:dyDescent="0.2">
      <c r="A44" s="301"/>
      <c r="B44" s="302"/>
      <c r="C44" s="302" t="s">
        <v>193</v>
      </c>
      <c r="D44" s="303" t="s">
        <v>187</v>
      </c>
      <c r="E44" s="286">
        <v>70</v>
      </c>
      <c r="F44" s="304"/>
      <c r="G44" s="305"/>
      <c r="H44" s="286"/>
      <c r="I44" s="304">
        <v>32.97</v>
      </c>
      <c r="J44" s="286">
        <v>43</v>
      </c>
      <c r="K44" s="304">
        <v>472.91</v>
      </c>
    </row>
    <row r="45" spans="1:22" ht="14.25" x14ac:dyDescent="0.2">
      <c r="A45" s="301"/>
      <c r="B45" s="302"/>
      <c r="C45" s="302" t="s">
        <v>188</v>
      </c>
      <c r="D45" s="303" t="s">
        <v>187</v>
      </c>
      <c r="E45" s="286">
        <v>175</v>
      </c>
      <c r="F45" s="304"/>
      <c r="G45" s="305"/>
      <c r="H45" s="286"/>
      <c r="I45" s="304">
        <v>0.04</v>
      </c>
      <c r="J45" s="286">
        <v>157</v>
      </c>
      <c r="K45" s="304">
        <v>0.74</v>
      </c>
    </row>
    <row r="46" spans="1:22" ht="14.25" x14ac:dyDescent="0.2">
      <c r="A46" s="307"/>
      <c r="B46" s="308"/>
      <c r="C46" s="308" t="s">
        <v>192</v>
      </c>
      <c r="D46" s="309" t="s">
        <v>191</v>
      </c>
      <c r="E46" s="310">
        <v>29.96</v>
      </c>
      <c r="F46" s="311"/>
      <c r="G46" s="312" t="s">
        <v>195</v>
      </c>
      <c r="H46" s="310">
        <v>1</v>
      </c>
      <c r="I46" s="311">
        <v>3</v>
      </c>
      <c r="J46" s="310"/>
      <c r="K46" s="311"/>
    </row>
    <row r="47" spans="1:22" ht="15" x14ac:dyDescent="0.25">
      <c r="A47" s="313"/>
      <c r="B47" s="313"/>
      <c r="C47" s="314" t="s">
        <v>183</v>
      </c>
      <c r="D47" s="313"/>
      <c r="E47" s="313"/>
      <c r="F47" s="313"/>
      <c r="G47" s="313"/>
      <c r="H47" s="472">
        <v>133.09</v>
      </c>
      <c r="I47" s="472"/>
      <c r="J47" s="472">
        <v>2564.84</v>
      </c>
      <c r="K47" s="472"/>
      <c r="O47" s="163">
        <f>I39+I40+I42+I43+I44+I45</f>
        <v>133.09</v>
      </c>
      <c r="P47" s="163">
        <f>K39+K40+K42+K43+K44+K45</f>
        <v>2564.84</v>
      </c>
    </row>
    <row r="49" spans="1:22" ht="28.5" x14ac:dyDescent="0.2">
      <c r="A49" s="301" t="s">
        <v>1534</v>
      </c>
      <c r="B49" s="302" t="s">
        <v>3599</v>
      </c>
      <c r="C49" s="302" t="s">
        <v>1177</v>
      </c>
      <c r="D49" s="303" t="s">
        <v>1903</v>
      </c>
      <c r="E49" s="286">
        <v>16</v>
      </c>
      <c r="F49" s="304"/>
      <c r="G49" s="305"/>
      <c r="H49" s="286"/>
      <c r="I49" s="304"/>
      <c r="J49" s="286"/>
      <c r="K49" s="304"/>
      <c r="Q49" s="160">
        <f>[16]Source!X30</f>
        <v>599.24</v>
      </c>
      <c r="R49" s="160">
        <f>[16]Source!X31</f>
        <v>11243.86</v>
      </c>
      <c r="S49" s="160">
        <f>[16]Source!Y30</f>
        <v>374.53</v>
      </c>
      <c r="T49" s="160">
        <f>[16]Source!Y31</f>
        <v>5372.07</v>
      </c>
      <c r="U49" s="160">
        <f>ROUND((175/100)*ROUND([16]Source!R30, 2), 2)</f>
        <v>0</v>
      </c>
      <c r="V49" s="160">
        <f>ROUND((157/100)*ROUND([16]Source!R31, 2), 2)</f>
        <v>0</v>
      </c>
    </row>
    <row r="50" spans="1:22" ht="14.25" x14ac:dyDescent="0.2">
      <c r="A50" s="301"/>
      <c r="B50" s="302"/>
      <c r="C50" s="302" t="s">
        <v>197</v>
      </c>
      <c r="D50" s="303"/>
      <c r="E50" s="286"/>
      <c r="F50" s="304">
        <v>33.44</v>
      </c>
      <c r="G50" s="305" t="s">
        <v>195</v>
      </c>
      <c r="H50" s="286">
        <v>1</v>
      </c>
      <c r="I50" s="304">
        <v>535.04</v>
      </c>
      <c r="J50" s="286">
        <v>23.35</v>
      </c>
      <c r="K50" s="304">
        <v>12493.18</v>
      </c>
    </row>
    <row r="51" spans="1:22" ht="14.25" x14ac:dyDescent="0.2">
      <c r="A51" s="301"/>
      <c r="B51" s="302"/>
      <c r="C51" s="302" t="s">
        <v>205</v>
      </c>
      <c r="D51" s="303"/>
      <c r="E51" s="286"/>
      <c r="F51" s="304">
        <v>1.5</v>
      </c>
      <c r="G51" s="305" t="s">
        <v>195</v>
      </c>
      <c r="H51" s="286">
        <v>1</v>
      </c>
      <c r="I51" s="304">
        <v>24</v>
      </c>
      <c r="J51" s="286">
        <v>5.42</v>
      </c>
      <c r="K51" s="304">
        <v>130.08000000000001</v>
      </c>
    </row>
    <row r="52" spans="1:22" ht="14.25" x14ac:dyDescent="0.2">
      <c r="A52" s="301"/>
      <c r="B52" s="302"/>
      <c r="C52" s="302" t="s">
        <v>194</v>
      </c>
      <c r="D52" s="303" t="s">
        <v>187</v>
      </c>
      <c r="E52" s="286">
        <v>112</v>
      </c>
      <c r="F52" s="304"/>
      <c r="G52" s="305"/>
      <c r="H52" s="286"/>
      <c r="I52" s="304">
        <v>599.24</v>
      </c>
      <c r="J52" s="286">
        <v>90</v>
      </c>
      <c r="K52" s="304">
        <v>11243.86</v>
      </c>
    </row>
    <row r="53" spans="1:22" ht="14.25" x14ac:dyDescent="0.2">
      <c r="A53" s="301"/>
      <c r="B53" s="302"/>
      <c r="C53" s="302" t="s">
        <v>193</v>
      </c>
      <c r="D53" s="303" t="s">
        <v>187</v>
      </c>
      <c r="E53" s="286">
        <v>70</v>
      </c>
      <c r="F53" s="304"/>
      <c r="G53" s="305"/>
      <c r="H53" s="286"/>
      <c r="I53" s="304">
        <v>374.53</v>
      </c>
      <c r="J53" s="286">
        <v>43</v>
      </c>
      <c r="K53" s="304">
        <v>5372.07</v>
      </c>
    </row>
    <row r="54" spans="1:22" ht="14.25" x14ac:dyDescent="0.2">
      <c r="A54" s="307"/>
      <c r="B54" s="308"/>
      <c r="C54" s="308" t="s">
        <v>192</v>
      </c>
      <c r="D54" s="309" t="s">
        <v>191</v>
      </c>
      <c r="E54" s="310">
        <v>2.65</v>
      </c>
      <c r="F54" s="311"/>
      <c r="G54" s="312" t="s">
        <v>195</v>
      </c>
      <c r="H54" s="310">
        <v>1</v>
      </c>
      <c r="I54" s="311">
        <v>42.4</v>
      </c>
      <c r="J54" s="310"/>
      <c r="K54" s="311"/>
    </row>
    <row r="55" spans="1:22" ht="15" x14ac:dyDescent="0.25">
      <c r="A55" s="313"/>
      <c r="B55" s="313"/>
      <c r="C55" s="314" t="s">
        <v>183</v>
      </c>
      <c r="D55" s="313"/>
      <c r="E55" s="313"/>
      <c r="F55" s="313"/>
      <c r="G55" s="313"/>
      <c r="H55" s="472">
        <v>1532.81</v>
      </c>
      <c r="I55" s="472"/>
      <c r="J55" s="472">
        <v>29239.19</v>
      </c>
      <c r="K55" s="472"/>
      <c r="O55" s="163">
        <f>I50+I51+I52+I53</f>
        <v>1532.81</v>
      </c>
      <c r="P55" s="163">
        <f>K50+K51+K52+K53</f>
        <v>29239.19</v>
      </c>
    </row>
    <row r="57" spans="1:22" ht="28.5" x14ac:dyDescent="0.2">
      <c r="A57" s="301" t="s">
        <v>104</v>
      </c>
      <c r="B57" s="302" t="s">
        <v>3408</v>
      </c>
      <c r="C57" s="302" t="s">
        <v>1129</v>
      </c>
      <c r="D57" s="303" t="s">
        <v>1903</v>
      </c>
      <c r="E57" s="286">
        <v>2</v>
      </c>
      <c r="F57" s="304"/>
      <c r="G57" s="305"/>
      <c r="H57" s="286"/>
      <c r="I57" s="304"/>
      <c r="J57" s="286"/>
      <c r="K57" s="304"/>
      <c r="Q57" s="160">
        <f>[16]Source!X32</f>
        <v>42.43</v>
      </c>
      <c r="R57" s="160">
        <f>[16]Source!X33</f>
        <v>796.05</v>
      </c>
      <c r="S57" s="160">
        <f>[16]Source!Y32</f>
        <v>26.52</v>
      </c>
      <c r="T57" s="160">
        <f>[16]Source!Y33</f>
        <v>380.34</v>
      </c>
      <c r="U57" s="160">
        <f>ROUND((175/100)*ROUND([16]Source!R32, 2), 2)</f>
        <v>0</v>
      </c>
      <c r="V57" s="160">
        <f>ROUND((157/100)*ROUND([16]Source!R33, 2), 2)</f>
        <v>0</v>
      </c>
    </row>
    <row r="58" spans="1:22" ht="14.25" x14ac:dyDescent="0.2">
      <c r="A58" s="301"/>
      <c r="B58" s="302"/>
      <c r="C58" s="302" t="s">
        <v>197</v>
      </c>
      <c r="D58" s="303"/>
      <c r="E58" s="286"/>
      <c r="F58" s="304">
        <v>18.940000000000001</v>
      </c>
      <c r="G58" s="305" t="s">
        <v>195</v>
      </c>
      <c r="H58" s="286">
        <v>1</v>
      </c>
      <c r="I58" s="304">
        <v>37.880000000000003</v>
      </c>
      <c r="J58" s="286">
        <v>23.35</v>
      </c>
      <c r="K58" s="304">
        <v>884.5</v>
      </c>
    </row>
    <row r="59" spans="1:22" ht="14.25" x14ac:dyDescent="0.2">
      <c r="A59" s="301"/>
      <c r="B59" s="302"/>
      <c r="C59" s="302" t="s">
        <v>184</v>
      </c>
      <c r="D59" s="303"/>
      <c r="E59" s="286"/>
      <c r="F59" s="304">
        <v>0.05</v>
      </c>
      <c r="G59" s="305" t="s">
        <v>195</v>
      </c>
      <c r="H59" s="286">
        <v>1</v>
      </c>
      <c r="I59" s="304">
        <v>0.1</v>
      </c>
      <c r="J59" s="286">
        <v>5.4</v>
      </c>
      <c r="K59" s="304">
        <v>0.54</v>
      </c>
    </row>
    <row r="60" spans="1:22" ht="14.25" x14ac:dyDescent="0.2">
      <c r="A60" s="301"/>
      <c r="B60" s="302"/>
      <c r="C60" s="302" t="s">
        <v>205</v>
      </c>
      <c r="D60" s="303"/>
      <c r="E60" s="286"/>
      <c r="F60" s="304">
        <v>1.5</v>
      </c>
      <c r="G60" s="305" t="s">
        <v>195</v>
      </c>
      <c r="H60" s="286">
        <v>1</v>
      </c>
      <c r="I60" s="304">
        <v>3</v>
      </c>
      <c r="J60" s="286">
        <v>5.42</v>
      </c>
      <c r="K60" s="304">
        <v>16.260000000000002</v>
      </c>
    </row>
    <row r="61" spans="1:22" ht="14.25" x14ac:dyDescent="0.2">
      <c r="A61" s="301"/>
      <c r="B61" s="302"/>
      <c r="C61" s="302" t="s">
        <v>194</v>
      </c>
      <c r="D61" s="303" t="s">
        <v>187</v>
      </c>
      <c r="E61" s="286">
        <v>112</v>
      </c>
      <c r="F61" s="304"/>
      <c r="G61" s="305"/>
      <c r="H61" s="286"/>
      <c r="I61" s="304">
        <v>42.43</v>
      </c>
      <c r="J61" s="286">
        <v>90</v>
      </c>
      <c r="K61" s="304">
        <v>796.05</v>
      </c>
    </row>
    <row r="62" spans="1:22" ht="14.25" x14ac:dyDescent="0.2">
      <c r="A62" s="301"/>
      <c r="B62" s="302"/>
      <c r="C62" s="302" t="s">
        <v>193</v>
      </c>
      <c r="D62" s="303" t="s">
        <v>187</v>
      </c>
      <c r="E62" s="286">
        <v>70</v>
      </c>
      <c r="F62" s="304"/>
      <c r="G62" s="305"/>
      <c r="H62" s="286"/>
      <c r="I62" s="304">
        <v>26.52</v>
      </c>
      <c r="J62" s="286">
        <v>43</v>
      </c>
      <c r="K62" s="304">
        <v>380.34</v>
      </c>
    </row>
    <row r="63" spans="1:22" ht="14.25" x14ac:dyDescent="0.2">
      <c r="A63" s="307"/>
      <c r="B63" s="308"/>
      <c r="C63" s="308" t="s">
        <v>192</v>
      </c>
      <c r="D63" s="309" t="s">
        <v>191</v>
      </c>
      <c r="E63" s="310">
        <v>1.36</v>
      </c>
      <c r="F63" s="311"/>
      <c r="G63" s="312" t="s">
        <v>195</v>
      </c>
      <c r="H63" s="310">
        <v>1</v>
      </c>
      <c r="I63" s="311">
        <v>2.72</v>
      </c>
      <c r="J63" s="310"/>
      <c r="K63" s="311"/>
    </row>
    <row r="64" spans="1:22" ht="15" x14ac:dyDescent="0.25">
      <c r="A64" s="313"/>
      <c r="B64" s="313"/>
      <c r="C64" s="314" t="s">
        <v>183</v>
      </c>
      <c r="D64" s="313"/>
      <c r="E64" s="313"/>
      <c r="F64" s="313"/>
      <c r="G64" s="313"/>
      <c r="H64" s="472">
        <v>109.93</v>
      </c>
      <c r="I64" s="472"/>
      <c r="J64" s="472">
        <v>2077.69</v>
      </c>
      <c r="K64" s="472"/>
      <c r="O64" s="163">
        <f>I58+I59+I60+I61+I62</f>
        <v>109.93</v>
      </c>
      <c r="P64" s="163">
        <f>K58+K59+K60+K61+K62</f>
        <v>2077.69</v>
      </c>
    </row>
    <row r="66" spans="1:22" ht="42.75" x14ac:dyDescent="0.2">
      <c r="A66" s="301" t="s">
        <v>1546</v>
      </c>
      <c r="B66" s="302" t="s">
        <v>3600</v>
      </c>
      <c r="C66" s="302" t="s">
        <v>1176</v>
      </c>
      <c r="D66" s="303" t="s">
        <v>2921</v>
      </c>
      <c r="E66" s="286">
        <v>1</v>
      </c>
      <c r="F66" s="304"/>
      <c r="G66" s="305"/>
      <c r="H66" s="286"/>
      <c r="I66" s="304"/>
      <c r="J66" s="286"/>
      <c r="K66" s="304"/>
      <c r="Q66" s="160">
        <f>[16]Source!X34</f>
        <v>66.75</v>
      </c>
      <c r="R66" s="160">
        <f>[16]Source!X35</f>
        <v>1252.49</v>
      </c>
      <c r="S66" s="160">
        <f>[16]Source!Y34</f>
        <v>41.72</v>
      </c>
      <c r="T66" s="160">
        <f>[16]Source!Y35</f>
        <v>598.41</v>
      </c>
      <c r="U66" s="160">
        <f>ROUND((175/100)*ROUND([16]Source!R34, 2), 2)</f>
        <v>0</v>
      </c>
      <c r="V66" s="160">
        <f>ROUND((157/100)*ROUND([16]Source!R35, 2), 2)</f>
        <v>0</v>
      </c>
    </row>
    <row r="67" spans="1:22" ht="14.25" x14ac:dyDescent="0.2">
      <c r="A67" s="301"/>
      <c r="B67" s="302"/>
      <c r="C67" s="302" t="s">
        <v>197</v>
      </c>
      <c r="D67" s="303"/>
      <c r="E67" s="286"/>
      <c r="F67" s="304">
        <v>59.6</v>
      </c>
      <c r="G67" s="305" t="s">
        <v>195</v>
      </c>
      <c r="H67" s="286">
        <v>1</v>
      </c>
      <c r="I67" s="304">
        <v>59.6</v>
      </c>
      <c r="J67" s="286">
        <v>23.35</v>
      </c>
      <c r="K67" s="304">
        <v>1391.66</v>
      </c>
    </row>
    <row r="68" spans="1:22" ht="14.25" x14ac:dyDescent="0.2">
      <c r="A68" s="301"/>
      <c r="B68" s="302"/>
      <c r="C68" s="302" t="s">
        <v>184</v>
      </c>
      <c r="D68" s="303"/>
      <c r="E68" s="286"/>
      <c r="F68" s="304">
        <v>0.14000000000000001</v>
      </c>
      <c r="G68" s="305" t="s">
        <v>195</v>
      </c>
      <c r="H68" s="286">
        <v>1</v>
      </c>
      <c r="I68" s="304">
        <v>0.14000000000000001</v>
      </c>
      <c r="J68" s="286">
        <v>5.36</v>
      </c>
      <c r="K68" s="304">
        <v>0.75</v>
      </c>
    </row>
    <row r="69" spans="1:22" ht="14.25" x14ac:dyDescent="0.2">
      <c r="A69" s="301"/>
      <c r="B69" s="302"/>
      <c r="C69" s="302" t="s">
        <v>205</v>
      </c>
      <c r="D69" s="303"/>
      <c r="E69" s="286"/>
      <c r="F69" s="304">
        <v>1.45</v>
      </c>
      <c r="G69" s="305" t="s">
        <v>195</v>
      </c>
      <c r="H69" s="286">
        <v>1</v>
      </c>
      <c r="I69" s="304">
        <v>1.45</v>
      </c>
      <c r="J69" s="286">
        <v>5.42</v>
      </c>
      <c r="K69" s="304">
        <v>7.86</v>
      </c>
    </row>
    <row r="70" spans="1:22" ht="14.25" x14ac:dyDescent="0.2">
      <c r="A70" s="301"/>
      <c r="B70" s="302"/>
      <c r="C70" s="302" t="s">
        <v>194</v>
      </c>
      <c r="D70" s="303" t="s">
        <v>187</v>
      </c>
      <c r="E70" s="286">
        <v>112</v>
      </c>
      <c r="F70" s="304"/>
      <c r="G70" s="305"/>
      <c r="H70" s="286"/>
      <c r="I70" s="304">
        <v>66.75</v>
      </c>
      <c r="J70" s="286">
        <v>90</v>
      </c>
      <c r="K70" s="304">
        <v>1252.49</v>
      </c>
    </row>
    <row r="71" spans="1:22" ht="14.25" x14ac:dyDescent="0.2">
      <c r="A71" s="301"/>
      <c r="B71" s="302"/>
      <c r="C71" s="302" t="s">
        <v>193</v>
      </c>
      <c r="D71" s="303" t="s">
        <v>187</v>
      </c>
      <c r="E71" s="286">
        <v>70</v>
      </c>
      <c r="F71" s="304"/>
      <c r="G71" s="305"/>
      <c r="H71" s="286"/>
      <c r="I71" s="304">
        <v>41.72</v>
      </c>
      <c r="J71" s="286">
        <v>43</v>
      </c>
      <c r="K71" s="304">
        <v>598.41</v>
      </c>
    </row>
    <row r="72" spans="1:22" ht="14.25" x14ac:dyDescent="0.2">
      <c r="A72" s="307"/>
      <c r="B72" s="308"/>
      <c r="C72" s="308" t="s">
        <v>192</v>
      </c>
      <c r="D72" s="309" t="s">
        <v>191</v>
      </c>
      <c r="E72" s="310">
        <v>4.29</v>
      </c>
      <c r="F72" s="311"/>
      <c r="G72" s="312" t="s">
        <v>195</v>
      </c>
      <c r="H72" s="310">
        <v>1</v>
      </c>
      <c r="I72" s="311">
        <v>4.29</v>
      </c>
      <c r="J72" s="310"/>
      <c r="K72" s="311"/>
    </row>
    <row r="73" spans="1:22" ht="15" x14ac:dyDescent="0.25">
      <c r="A73" s="313"/>
      <c r="B73" s="313"/>
      <c r="C73" s="314" t="s">
        <v>183</v>
      </c>
      <c r="D73" s="313"/>
      <c r="E73" s="313"/>
      <c r="F73" s="313"/>
      <c r="G73" s="313"/>
      <c r="H73" s="472">
        <v>169.66</v>
      </c>
      <c r="I73" s="472"/>
      <c r="J73" s="472">
        <v>3251.17</v>
      </c>
      <c r="K73" s="472"/>
      <c r="O73" s="163">
        <f>I67+I68+I69+I70+I71</f>
        <v>169.66</v>
      </c>
      <c r="P73" s="163">
        <f>K67+K68+K69+K70+K71</f>
        <v>3251.17</v>
      </c>
    </row>
    <row r="75" spans="1:22" ht="42.75" x14ac:dyDescent="0.2">
      <c r="A75" s="301" t="s">
        <v>1633</v>
      </c>
      <c r="B75" s="302" t="s">
        <v>3601</v>
      </c>
      <c r="C75" s="302" t="s">
        <v>1173</v>
      </c>
      <c r="D75" s="303" t="s">
        <v>1903</v>
      </c>
      <c r="E75" s="286">
        <v>405</v>
      </c>
      <c r="F75" s="304"/>
      <c r="G75" s="305"/>
      <c r="H75" s="286"/>
      <c r="I75" s="304"/>
      <c r="J75" s="286"/>
      <c r="K75" s="304"/>
      <c r="Q75" s="160">
        <f>[16]Source!X38</f>
        <v>4808.16</v>
      </c>
      <c r="R75" s="160">
        <f>[16]Source!X39</f>
        <v>90217.4</v>
      </c>
      <c r="S75" s="160">
        <f>[16]Source!Y38</f>
        <v>3005.1</v>
      </c>
      <c r="T75" s="160">
        <f>[16]Source!Y39</f>
        <v>43103.87</v>
      </c>
      <c r="U75" s="160">
        <f>ROUND((175/100)*ROUND([16]Source!R38, 2), 2)</f>
        <v>0</v>
      </c>
      <c r="V75" s="160">
        <f>ROUND((157/100)*ROUND([16]Source!R39, 2), 2)</f>
        <v>0</v>
      </c>
    </row>
    <row r="76" spans="1:22" ht="14.25" x14ac:dyDescent="0.2">
      <c r="A76" s="301"/>
      <c r="B76" s="302"/>
      <c r="C76" s="302" t="s">
        <v>197</v>
      </c>
      <c r="D76" s="303"/>
      <c r="E76" s="286"/>
      <c r="F76" s="304">
        <v>10.6</v>
      </c>
      <c r="G76" s="305" t="s">
        <v>195</v>
      </c>
      <c r="H76" s="286">
        <v>1</v>
      </c>
      <c r="I76" s="304">
        <v>4293</v>
      </c>
      <c r="J76" s="286">
        <v>23.35</v>
      </c>
      <c r="K76" s="304">
        <v>100241.55</v>
      </c>
    </row>
    <row r="77" spans="1:22" ht="14.25" x14ac:dyDescent="0.2">
      <c r="A77" s="301"/>
      <c r="B77" s="302"/>
      <c r="C77" s="302" t="s">
        <v>184</v>
      </c>
      <c r="D77" s="303"/>
      <c r="E77" s="286"/>
      <c r="F77" s="304">
        <v>0.03</v>
      </c>
      <c r="G77" s="305" t="s">
        <v>195</v>
      </c>
      <c r="H77" s="286">
        <v>1</v>
      </c>
      <c r="I77" s="304">
        <v>12.15</v>
      </c>
      <c r="J77" s="286">
        <v>5.33</v>
      </c>
      <c r="K77" s="304">
        <v>64.760000000000005</v>
      </c>
    </row>
    <row r="78" spans="1:22" ht="14.25" x14ac:dyDescent="0.2">
      <c r="A78" s="301"/>
      <c r="B78" s="302"/>
      <c r="C78" s="302" t="s">
        <v>205</v>
      </c>
      <c r="D78" s="303"/>
      <c r="E78" s="286"/>
      <c r="F78" s="304">
        <v>0.56000000000000005</v>
      </c>
      <c r="G78" s="305" t="s">
        <v>195</v>
      </c>
      <c r="H78" s="286">
        <v>1</v>
      </c>
      <c r="I78" s="304">
        <v>226.8</v>
      </c>
      <c r="J78" s="286">
        <v>5.43</v>
      </c>
      <c r="K78" s="304">
        <v>1231.52</v>
      </c>
    </row>
    <row r="79" spans="1:22" ht="42.75" x14ac:dyDescent="0.2">
      <c r="A79" s="301" t="s">
        <v>1634</v>
      </c>
      <c r="B79" s="302" t="s">
        <v>3602</v>
      </c>
      <c r="C79" s="302" t="s">
        <v>1175</v>
      </c>
      <c r="D79" s="303" t="s">
        <v>1661</v>
      </c>
      <c r="E79" s="286">
        <v>405</v>
      </c>
      <c r="F79" s="304">
        <v>24</v>
      </c>
      <c r="G79" s="315" t="s">
        <v>195</v>
      </c>
      <c r="H79" s="286">
        <v>1</v>
      </c>
      <c r="I79" s="304">
        <v>9720</v>
      </c>
      <c r="J79" s="286">
        <v>2.94</v>
      </c>
      <c r="K79" s="304">
        <v>28576.799999999999</v>
      </c>
      <c r="Q79" s="160">
        <f>[16]Source!X40</f>
        <v>0</v>
      </c>
      <c r="R79" s="160">
        <f>[16]Source!X41</f>
        <v>0</v>
      </c>
      <c r="S79" s="160">
        <f>[16]Source!Y40</f>
        <v>0</v>
      </c>
      <c r="T79" s="160">
        <f>[16]Source!Y41</f>
        <v>0</v>
      </c>
      <c r="U79" s="160">
        <f>ROUND((175/100)*ROUND([16]Source!R40, 2), 2)</f>
        <v>0</v>
      </c>
      <c r="V79" s="160">
        <f>ROUND((157/100)*ROUND([16]Source!R41, 2), 2)</f>
        <v>0</v>
      </c>
    </row>
    <row r="80" spans="1:22" ht="14.25" x14ac:dyDescent="0.2">
      <c r="A80" s="301"/>
      <c r="B80" s="302"/>
      <c r="C80" s="302" t="s">
        <v>194</v>
      </c>
      <c r="D80" s="303" t="s">
        <v>187</v>
      </c>
      <c r="E80" s="286">
        <v>112</v>
      </c>
      <c r="F80" s="304"/>
      <c r="G80" s="305"/>
      <c r="H80" s="286"/>
      <c r="I80" s="304">
        <v>4808.16</v>
      </c>
      <c r="J80" s="286">
        <v>90</v>
      </c>
      <c r="K80" s="304">
        <v>90217.4</v>
      </c>
    </row>
    <row r="81" spans="1:22" ht="14.25" x14ac:dyDescent="0.2">
      <c r="A81" s="301"/>
      <c r="B81" s="302"/>
      <c r="C81" s="302" t="s">
        <v>193</v>
      </c>
      <c r="D81" s="303" t="s">
        <v>187</v>
      </c>
      <c r="E81" s="286">
        <v>70</v>
      </c>
      <c r="F81" s="304"/>
      <c r="G81" s="305"/>
      <c r="H81" s="286"/>
      <c r="I81" s="304">
        <v>3005.1</v>
      </c>
      <c r="J81" s="286">
        <v>43</v>
      </c>
      <c r="K81" s="304">
        <v>43103.87</v>
      </c>
    </row>
    <row r="82" spans="1:22" ht="14.25" x14ac:dyDescent="0.2">
      <c r="A82" s="307"/>
      <c r="B82" s="308"/>
      <c r="C82" s="308" t="s">
        <v>192</v>
      </c>
      <c r="D82" s="309" t="s">
        <v>191</v>
      </c>
      <c r="E82" s="310">
        <v>0.84</v>
      </c>
      <c r="F82" s="311"/>
      <c r="G82" s="312" t="s">
        <v>195</v>
      </c>
      <c r="H82" s="310">
        <v>1</v>
      </c>
      <c r="I82" s="311">
        <v>340.2</v>
      </c>
      <c r="J82" s="310"/>
      <c r="K82" s="311"/>
    </row>
    <row r="83" spans="1:22" ht="15" x14ac:dyDescent="0.25">
      <c r="A83" s="313"/>
      <c r="B83" s="313"/>
      <c r="C83" s="314" t="s">
        <v>183</v>
      </c>
      <c r="D83" s="313"/>
      <c r="E83" s="313"/>
      <c r="F83" s="313"/>
      <c r="G83" s="313"/>
      <c r="H83" s="472">
        <v>22065.21</v>
      </c>
      <c r="I83" s="472"/>
      <c r="J83" s="472">
        <v>263435.90000000002</v>
      </c>
      <c r="K83" s="472"/>
      <c r="O83" s="163">
        <f>I76+I77+I78+I80+I81+SUM(I79:I79)</f>
        <v>22065.21</v>
      </c>
      <c r="P83" s="163">
        <f>K76+K77+K78+K80+K81+SUM(K79:K79)</f>
        <v>263435.90000000002</v>
      </c>
    </row>
    <row r="85" spans="1:22" ht="28.5" x14ac:dyDescent="0.2">
      <c r="A85" s="301" t="s">
        <v>1635</v>
      </c>
      <c r="B85" s="302" t="s">
        <v>3603</v>
      </c>
      <c r="C85" s="302" t="s">
        <v>1174</v>
      </c>
      <c r="D85" s="303" t="s">
        <v>1903</v>
      </c>
      <c r="E85" s="286">
        <v>1</v>
      </c>
      <c r="F85" s="304"/>
      <c r="G85" s="305"/>
      <c r="H85" s="286"/>
      <c r="I85" s="304"/>
      <c r="J85" s="286"/>
      <c r="K85" s="304"/>
      <c r="Q85" s="160">
        <f>[16]Source!X44</f>
        <v>14.13</v>
      </c>
      <c r="R85" s="160">
        <f>[16]Source!X45</f>
        <v>265.20999999999998</v>
      </c>
      <c r="S85" s="160">
        <f>[16]Source!Y44</f>
        <v>8.83</v>
      </c>
      <c r="T85" s="160">
        <f>[16]Source!Y45</f>
        <v>126.71</v>
      </c>
      <c r="U85" s="160">
        <f>ROUND((175/100)*ROUND([16]Source!R44, 2), 2)</f>
        <v>0</v>
      </c>
      <c r="V85" s="160">
        <f>ROUND((157/100)*ROUND([16]Source!R45, 2), 2)</f>
        <v>0</v>
      </c>
    </row>
    <row r="86" spans="1:22" ht="14.25" x14ac:dyDescent="0.2">
      <c r="A86" s="301"/>
      <c r="B86" s="302"/>
      <c r="C86" s="302" t="s">
        <v>197</v>
      </c>
      <c r="D86" s="303"/>
      <c r="E86" s="286"/>
      <c r="F86" s="304">
        <v>12.62</v>
      </c>
      <c r="G86" s="305" t="s">
        <v>195</v>
      </c>
      <c r="H86" s="286">
        <v>1</v>
      </c>
      <c r="I86" s="304">
        <v>12.62</v>
      </c>
      <c r="J86" s="286">
        <v>23.35</v>
      </c>
      <c r="K86" s="304">
        <v>294.68</v>
      </c>
    </row>
    <row r="87" spans="1:22" ht="14.25" x14ac:dyDescent="0.2">
      <c r="A87" s="301"/>
      <c r="B87" s="302"/>
      <c r="C87" s="302" t="s">
        <v>205</v>
      </c>
      <c r="D87" s="303"/>
      <c r="E87" s="286"/>
      <c r="F87" s="304">
        <v>0.14000000000000001</v>
      </c>
      <c r="G87" s="305" t="s">
        <v>195</v>
      </c>
      <c r="H87" s="286">
        <v>1</v>
      </c>
      <c r="I87" s="304">
        <v>0.14000000000000001</v>
      </c>
      <c r="J87" s="286">
        <v>5.43</v>
      </c>
      <c r="K87" s="304">
        <v>0.76</v>
      </c>
    </row>
    <row r="88" spans="1:22" ht="42.75" x14ac:dyDescent="0.2">
      <c r="A88" s="301" t="s">
        <v>1638</v>
      </c>
      <c r="B88" s="302" t="s">
        <v>3604</v>
      </c>
      <c r="C88" s="302" t="s">
        <v>717</v>
      </c>
      <c r="D88" s="303" t="s">
        <v>1661</v>
      </c>
      <c r="E88" s="286">
        <v>1</v>
      </c>
      <c r="F88" s="304">
        <v>51.45</v>
      </c>
      <c r="G88" s="315" t="s">
        <v>195</v>
      </c>
      <c r="H88" s="286">
        <v>1</v>
      </c>
      <c r="I88" s="304">
        <v>51.45</v>
      </c>
      <c r="J88" s="286">
        <v>3.58</v>
      </c>
      <c r="K88" s="304">
        <v>184.19</v>
      </c>
      <c r="Q88" s="160">
        <f>[16]Source!X46</f>
        <v>0</v>
      </c>
      <c r="R88" s="160">
        <f>[16]Source!X47</f>
        <v>0</v>
      </c>
      <c r="S88" s="160">
        <f>[16]Source!Y46</f>
        <v>0</v>
      </c>
      <c r="T88" s="160">
        <f>[16]Source!Y47</f>
        <v>0</v>
      </c>
      <c r="U88" s="160">
        <f>ROUND((175/100)*ROUND([16]Source!R46, 2), 2)</f>
        <v>0</v>
      </c>
      <c r="V88" s="160">
        <f>ROUND((157/100)*ROUND([16]Source!R47, 2), 2)</f>
        <v>0</v>
      </c>
    </row>
    <row r="89" spans="1:22" ht="14.25" x14ac:dyDescent="0.2">
      <c r="A89" s="301"/>
      <c r="B89" s="302"/>
      <c r="C89" s="302" t="s">
        <v>194</v>
      </c>
      <c r="D89" s="303" t="s">
        <v>187</v>
      </c>
      <c r="E89" s="286">
        <v>112</v>
      </c>
      <c r="F89" s="304"/>
      <c r="G89" s="305"/>
      <c r="H89" s="286"/>
      <c r="I89" s="304">
        <v>14.13</v>
      </c>
      <c r="J89" s="286">
        <v>90</v>
      </c>
      <c r="K89" s="304">
        <v>265.20999999999998</v>
      </c>
    </row>
    <row r="90" spans="1:22" ht="14.25" x14ac:dyDescent="0.2">
      <c r="A90" s="301"/>
      <c r="B90" s="302"/>
      <c r="C90" s="302" t="s">
        <v>193</v>
      </c>
      <c r="D90" s="303" t="s">
        <v>187</v>
      </c>
      <c r="E90" s="286">
        <v>70</v>
      </c>
      <c r="F90" s="304"/>
      <c r="G90" s="305"/>
      <c r="H90" s="286"/>
      <c r="I90" s="304">
        <v>8.83</v>
      </c>
      <c r="J90" s="286">
        <v>43</v>
      </c>
      <c r="K90" s="304">
        <v>126.71</v>
      </c>
    </row>
    <row r="91" spans="1:22" ht="14.25" x14ac:dyDescent="0.2">
      <c r="A91" s="307"/>
      <c r="B91" s="308"/>
      <c r="C91" s="308" t="s">
        <v>192</v>
      </c>
      <c r="D91" s="309" t="s">
        <v>191</v>
      </c>
      <c r="E91" s="310">
        <v>1</v>
      </c>
      <c r="F91" s="311"/>
      <c r="G91" s="312" t="s">
        <v>195</v>
      </c>
      <c r="H91" s="310">
        <v>1</v>
      </c>
      <c r="I91" s="311">
        <v>1</v>
      </c>
      <c r="J91" s="310"/>
      <c r="K91" s="311"/>
    </row>
    <row r="92" spans="1:22" ht="15" x14ac:dyDescent="0.25">
      <c r="A92" s="313"/>
      <c r="B92" s="313"/>
      <c r="C92" s="314" t="s">
        <v>183</v>
      </c>
      <c r="D92" s="313"/>
      <c r="E92" s="313"/>
      <c r="F92" s="313"/>
      <c r="G92" s="313"/>
      <c r="H92" s="472">
        <v>87.17</v>
      </c>
      <c r="I92" s="472"/>
      <c r="J92" s="472">
        <v>871.55</v>
      </c>
      <c r="K92" s="472"/>
      <c r="O92" s="163">
        <f>I86+I87+I89+I90+SUM(I88:I88)</f>
        <v>87.17</v>
      </c>
      <c r="P92" s="163">
        <f>K86+K87+K89+K90+SUM(K88:K88)</f>
        <v>871.55</v>
      </c>
    </row>
    <row r="94" spans="1:22" ht="42.75" x14ac:dyDescent="0.2">
      <c r="A94" s="301" t="s">
        <v>1645</v>
      </c>
      <c r="B94" s="302" t="s">
        <v>3601</v>
      </c>
      <c r="C94" s="302" t="s">
        <v>1173</v>
      </c>
      <c r="D94" s="303" t="s">
        <v>1903</v>
      </c>
      <c r="E94" s="286">
        <v>78</v>
      </c>
      <c r="F94" s="304"/>
      <c r="G94" s="305"/>
      <c r="H94" s="286"/>
      <c r="I94" s="304"/>
      <c r="J94" s="286"/>
      <c r="K94" s="304"/>
      <c r="Q94" s="160">
        <f>[16]Source!X48</f>
        <v>926.02</v>
      </c>
      <c r="R94" s="160">
        <f>[16]Source!X49</f>
        <v>17375.2</v>
      </c>
      <c r="S94" s="160">
        <f>[16]Source!Y48</f>
        <v>578.76</v>
      </c>
      <c r="T94" s="160">
        <f>[16]Source!Y49</f>
        <v>8301.49</v>
      </c>
      <c r="U94" s="160">
        <f>ROUND((175/100)*ROUND([16]Source!R48, 2), 2)</f>
        <v>0</v>
      </c>
      <c r="V94" s="160">
        <f>ROUND((157/100)*ROUND([16]Source!R49, 2), 2)</f>
        <v>0</v>
      </c>
    </row>
    <row r="95" spans="1:22" ht="14.25" x14ac:dyDescent="0.2">
      <c r="A95" s="301"/>
      <c r="B95" s="302"/>
      <c r="C95" s="302" t="s">
        <v>197</v>
      </c>
      <c r="D95" s="303"/>
      <c r="E95" s="286"/>
      <c r="F95" s="304">
        <v>10.6</v>
      </c>
      <c r="G95" s="305" t="s">
        <v>195</v>
      </c>
      <c r="H95" s="286">
        <v>1</v>
      </c>
      <c r="I95" s="304">
        <v>826.8</v>
      </c>
      <c r="J95" s="286">
        <v>23.35</v>
      </c>
      <c r="K95" s="304">
        <v>19305.78</v>
      </c>
    </row>
    <row r="96" spans="1:22" ht="14.25" x14ac:dyDescent="0.2">
      <c r="A96" s="301"/>
      <c r="B96" s="302"/>
      <c r="C96" s="302" t="s">
        <v>184</v>
      </c>
      <c r="D96" s="303"/>
      <c r="E96" s="286"/>
      <c r="F96" s="304">
        <v>0.03</v>
      </c>
      <c r="G96" s="305" t="s">
        <v>195</v>
      </c>
      <c r="H96" s="286">
        <v>1</v>
      </c>
      <c r="I96" s="304">
        <v>2.34</v>
      </c>
      <c r="J96" s="286">
        <v>5.33</v>
      </c>
      <c r="K96" s="304">
        <v>12.47</v>
      </c>
    </row>
    <row r="97" spans="1:22" ht="14.25" x14ac:dyDescent="0.2">
      <c r="A97" s="301"/>
      <c r="B97" s="302"/>
      <c r="C97" s="302" t="s">
        <v>205</v>
      </c>
      <c r="D97" s="303"/>
      <c r="E97" s="286"/>
      <c r="F97" s="304">
        <v>0.56000000000000005</v>
      </c>
      <c r="G97" s="305" t="s">
        <v>195</v>
      </c>
      <c r="H97" s="286">
        <v>1</v>
      </c>
      <c r="I97" s="304">
        <v>43.68</v>
      </c>
      <c r="J97" s="286">
        <v>5.43</v>
      </c>
      <c r="K97" s="304">
        <v>237.18</v>
      </c>
    </row>
    <row r="98" spans="1:22" ht="68.25" x14ac:dyDescent="0.2">
      <c r="A98" s="301" t="s">
        <v>1647</v>
      </c>
      <c r="B98" s="302" t="s">
        <v>3605</v>
      </c>
      <c r="C98" s="302" t="s">
        <v>1172</v>
      </c>
      <c r="D98" s="303" t="s">
        <v>1661</v>
      </c>
      <c r="E98" s="286">
        <v>78</v>
      </c>
      <c r="F98" s="304">
        <v>170.94</v>
      </c>
      <c r="G98" s="315" t="s">
        <v>195</v>
      </c>
      <c r="H98" s="286">
        <v>1</v>
      </c>
      <c r="I98" s="304">
        <v>13333.32</v>
      </c>
      <c r="J98" s="286">
        <v>5.42</v>
      </c>
      <c r="K98" s="304">
        <v>72266.59</v>
      </c>
      <c r="Q98" s="160">
        <f>[16]Source!X50</f>
        <v>0</v>
      </c>
      <c r="R98" s="160">
        <f>[16]Source!X51</f>
        <v>0</v>
      </c>
      <c r="S98" s="160">
        <f>[16]Source!Y50</f>
        <v>0</v>
      </c>
      <c r="T98" s="160">
        <f>[16]Source!Y51</f>
        <v>0</v>
      </c>
      <c r="U98" s="160">
        <f>ROUND((175/100)*ROUND([16]Source!R50, 2), 2)</f>
        <v>0</v>
      </c>
      <c r="V98" s="160">
        <f>ROUND((157/100)*ROUND([16]Source!R51, 2), 2)</f>
        <v>0</v>
      </c>
    </row>
    <row r="99" spans="1:22" ht="14.25" x14ac:dyDescent="0.2">
      <c r="A99" s="301"/>
      <c r="B99" s="302"/>
      <c r="C99" s="302" t="s">
        <v>194</v>
      </c>
      <c r="D99" s="303" t="s">
        <v>187</v>
      </c>
      <c r="E99" s="286">
        <v>112</v>
      </c>
      <c r="F99" s="304"/>
      <c r="G99" s="305"/>
      <c r="H99" s="286"/>
      <c r="I99" s="304">
        <v>926.02</v>
      </c>
      <c r="J99" s="286">
        <v>90</v>
      </c>
      <c r="K99" s="304">
        <v>17375.2</v>
      </c>
    </row>
    <row r="100" spans="1:22" ht="14.25" x14ac:dyDescent="0.2">
      <c r="A100" s="301"/>
      <c r="B100" s="302"/>
      <c r="C100" s="302" t="s">
        <v>193</v>
      </c>
      <c r="D100" s="303" t="s">
        <v>187</v>
      </c>
      <c r="E100" s="286">
        <v>70</v>
      </c>
      <c r="F100" s="304"/>
      <c r="G100" s="305"/>
      <c r="H100" s="286"/>
      <c r="I100" s="304">
        <v>578.76</v>
      </c>
      <c r="J100" s="286">
        <v>43</v>
      </c>
      <c r="K100" s="304">
        <v>8301.49</v>
      </c>
    </row>
    <row r="101" spans="1:22" ht="14.25" x14ac:dyDescent="0.2">
      <c r="A101" s="307"/>
      <c r="B101" s="308"/>
      <c r="C101" s="308" t="s">
        <v>192</v>
      </c>
      <c r="D101" s="309" t="s">
        <v>191</v>
      </c>
      <c r="E101" s="310">
        <v>0.84</v>
      </c>
      <c r="F101" s="311"/>
      <c r="G101" s="312" t="s">
        <v>195</v>
      </c>
      <c r="H101" s="310">
        <v>1</v>
      </c>
      <c r="I101" s="311">
        <v>65.52</v>
      </c>
      <c r="J101" s="310"/>
      <c r="K101" s="311"/>
    </row>
    <row r="102" spans="1:22" ht="15" x14ac:dyDescent="0.25">
      <c r="A102" s="313"/>
      <c r="B102" s="313"/>
      <c r="C102" s="314" t="s">
        <v>183</v>
      </c>
      <c r="D102" s="313"/>
      <c r="E102" s="313"/>
      <c r="F102" s="313"/>
      <c r="G102" s="313"/>
      <c r="H102" s="472">
        <v>15710.92</v>
      </c>
      <c r="I102" s="472"/>
      <c r="J102" s="472">
        <v>117498.71</v>
      </c>
      <c r="K102" s="472"/>
      <c r="O102" s="163">
        <f>I95+I96+I97+I99+I100+SUM(I98:I98)</f>
        <v>15710.92</v>
      </c>
      <c r="P102" s="163">
        <f>K95+K96+K97+K99+K100+SUM(K98:K98)</f>
        <v>117498.71</v>
      </c>
    </row>
    <row r="104" spans="1:22" ht="71.25" x14ac:dyDescent="0.2">
      <c r="A104" s="301" t="s">
        <v>1665</v>
      </c>
      <c r="B104" s="302" t="s">
        <v>3347</v>
      </c>
      <c r="C104" s="302" t="s">
        <v>1171</v>
      </c>
      <c r="D104" s="303" t="s">
        <v>1686</v>
      </c>
      <c r="E104" s="286">
        <v>80</v>
      </c>
      <c r="F104" s="304"/>
      <c r="G104" s="305"/>
      <c r="H104" s="286"/>
      <c r="I104" s="304"/>
      <c r="J104" s="286"/>
      <c r="K104" s="304"/>
      <c r="Q104" s="160">
        <f>[16]Source!X54</f>
        <v>17226.5</v>
      </c>
      <c r="R104" s="160">
        <f>[16]Source!X55</f>
        <v>323227.51</v>
      </c>
      <c r="S104" s="160">
        <f>[16]Source!Y54</f>
        <v>10766.56</v>
      </c>
      <c r="T104" s="160">
        <f>[16]Source!Y55</f>
        <v>154430.92000000001</v>
      </c>
      <c r="U104" s="160">
        <f>ROUND((175/100)*ROUND([16]Source!R54, 2), 2)</f>
        <v>799.4</v>
      </c>
      <c r="V104" s="160">
        <f>ROUND((157/100)*ROUND([16]Source!R55, 2), 2)</f>
        <v>16746.060000000001</v>
      </c>
    </row>
    <row r="105" spans="1:22" x14ac:dyDescent="0.2">
      <c r="C105" s="316" t="s">
        <v>3606</v>
      </c>
    </row>
    <row r="106" spans="1:22" ht="14.25" x14ac:dyDescent="0.2">
      <c r="A106" s="301"/>
      <c r="B106" s="302"/>
      <c r="C106" s="302" t="s">
        <v>197</v>
      </c>
      <c r="D106" s="303"/>
      <c r="E106" s="286"/>
      <c r="F106" s="304">
        <v>192.26</v>
      </c>
      <c r="G106" s="305" t="s">
        <v>195</v>
      </c>
      <c r="H106" s="286">
        <v>1</v>
      </c>
      <c r="I106" s="304">
        <v>15380.8</v>
      </c>
      <c r="J106" s="286">
        <v>23.35</v>
      </c>
      <c r="K106" s="304">
        <v>359141.68</v>
      </c>
    </row>
    <row r="107" spans="1:22" ht="14.25" x14ac:dyDescent="0.2">
      <c r="A107" s="301"/>
      <c r="B107" s="302"/>
      <c r="C107" s="302" t="s">
        <v>184</v>
      </c>
      <c r="D107" s="303"/>
      <c r="E107" s="286"/>
      <c r="F107" s="304">
        <v>32.869999999999997</v>
      </c>
      <c r="G107" s="305" t="s">
        <v>195</v>
      </c>
      <c r="H107" s="286">
        <v>1</v>
      </c>
      <c r="I107" s="304">
        <v>2629.6</v>
      </c>
      <c r="J107" s="286">
        <v>8.48</v>
      </c>
      <c r="K107" s="304">
        <v>22299.01</v>
      </c>
    </row>
    <row r="108" spans="1:22" ht="14.25" x14ac:dyDescent="0.2">
      <c r="A108" s="301"/>
      <c r="B108" s="302"/>
      <c r="C108" s="302" t="s">
        <v>189</v>
      </c>
      <c r="D108" s="303"/>
      <c r="E108" s="286"/>
      <c r="F108" s="304">
        <v>5.71</v>
      </c>
      <c r="G108" s="305" t="s">
        <v>195</v>
      </c>
      <c r="H108" s="286">
        <v>1</v>
      </c>
      <c r="I108" s="306">
        <v>456.8</v>
      </c>
      <c r="J108" s="286">
        <v>23.35</v>
      </c>
      <c r="K108" s="306">
        <v>10666.28</v>
      </c>
    </row>
    <row r="109" spans="1:22" ht="14.25" x14ac:dyDescent="0.2">
      <c r="A109" s="301"/>
      <c r="B109" s="302"/>
      <c r="C109" s="302" t="s">
        <v>205</v>
      </c>
      <c r="D109" s="303"/>
      <c r="E109" s="286"/>
      <c r="F109" s="304">
        <v>314.29000000000002</v>
      </c>
      <c r="G109" s="305" t="s">
        <v>195</v>
      </c>
      <c r="H109" s="286">
        <v>1</v>
      </c>
      <c r="I109" s="304">
        <v>25143.200000000001</v>
      </c>
      <c r="J109" s="286">
        <v>5.42</v>
      </c>
      <c r="K109" s="304">
        <v>136276.14000000001</v>
      </c>
    </row>
    <row r="110" spans="1:22" ht="57" x14ac:dyDescent="0.2">
      <c r="A110" s="301" t="s">
        <v>1667</v>
      </c>
      <c r="B110" s="302" t="s">
        <v>3607</v>
      </c>
      <c r="C110" s="302" t="s">
        <v>1170</v>
      </c>
      <c r="D110" s="303" t="s">
        <v>1552</v>
      </c>
      <c r="E110" s="286">
        <v>8160</v>
      </c>
      <c r="F110" s="304">
        <v>4.59</v>
      </c>
      <c r="G110" s="315" t="s">
        <v>195</v>
      </c>
      <c r="H110" s="286">
        <v>1</v>
      </c>
      <c r="I110" s="304">
        <v>37454.400000000001</v>
      </c>
      <c r="J110" s="286">
        <v>2.2799999999999998</v>
      </c>
      <c r="K110" s="304">
        <v>85396.03</v>
      </c>
      <c r="Q110" s="160">
        <f>[16]Source!X56</f>
        <v>0</v>
      </c>
      <c r="R110" s="160">
        <f>[16]Source!X57</f>
        <v>0</v>
      </c>
      <c r="S110" s="160">
        <f>[16]Source!Y56</f>
        <v>0</v>
      </c>
      <c r="T110" s="160">
        <f>[16]Source!Y57</f>
        <v>0</v>
      </c>
      <c r="U110" s="160">
        <f>ROUND((175/100)*ROUND([16]Source!R56, 2), 2)</f>
        <v>0</v>
      </c>
      <c r="V110" s="160">
        <f>ROUND((157/100)*ROUND([16]Source!R57, 2), 2)</f>
        <v>0</v>
      </c>
    </row>
    <row r="111" spans="1:22" ht="42.75" x14ac:dyDescent="0.2">
      <c r="A111" s="301" t="s">
        <v>3205</v>
      </c>
      <c r="B111" s="302" t="s">
        <v>3350</v>
      </c>
      <c r="C111" s="302" t="s">
        <v>1169</v>
      </c>
      <c r="D111" s="303" t="s">
        <v>1536</v>
      </c>
      <c r="E111" s="286">
        <v>200</v>
      </c>
      <c r="F111" s="304">
        <v>146.88999999999999</v>
      </c>
      <c r="G111" s="315" t="s">
        <v>195</v>
      </c>
      <c r="H111" s="286">
        <v>1</v>
      </c>
      <c r="I111" s="304">
        <v>29378</v>
      </c>
      <c r="J111" s="286">
        <v>1.19</v>
      </c>
      <c r="K111" s="304">
        <v>34959.82</v>
      </c>
      <c r="Q111" s="160">
        <f>[16]Source!X58</f>
        <v>0</v>
      </c>
      <c r="R111" s="160">
        <f>[16]Source!X59</f>
        <v>0</v>
      </c>
      <c r="S111" s="160">
        <f>[16]Source!Y58</f>
        <v>0</v>
      </c>
      <c r="T111" s="160">
        <f>[16]Source!Y59</f>
        <v>0</v>
      </c>
      <c r="U111" s="160">
        <f>ROUND((175/100)*ROUND([16]Source!R58, 2), 2)</f>
        <v>0</v>
      </c>
      <c r="V111" s="160">
        <f>ROUND((157/100)*ROUND([16]Source!R59, 2), 2)</f>
        <v>0</v>
      </c>
    </row>
    <row r="112" spans="1:22" ht="14.25" x14ac:dyDescent="0.2">
      <c r="A112" s="301"/>
      <c r="B112" s="302"/>
      <c r="C112" s="302" t="s">
        <v>194</v>
      </c>
      <c r="D112" s="303" t="s">
        <v>187</v>
      </c>
      <c r="E112" s="286">
        <v>112</v>
      </c>
      <c r="F112" s="304"/>
      <c r="G112" s="305"/>
      <c r="H112" s="286"/>
      <c r="I112" s="304">
        <v>17226.5</v>
      </c>
      <c r="J112" s="286">
        <v>90</v>
      </c>
      <c r="K112" s="304">
        <v>323227.51</v>
      </c>
    </row>
    <row r="113" spans="1:22" ht="14.25" x14ac:dyDescent="0.2">
      <c r="A113" s="301"/>
      <c r="B113" s="302"/>
      <c r="C113" s="302" t="s">
        <v>193</v>
      </c>
      <c r="D113" s="303" t="s">
        <v>187</v>
      </c>
      <c r="E113" s="286">
        <v>70</v>
      </c>
      <c r="F113" s="304"/>
      <c r="G113" s="305"/>
      <c r="H113" s="286"/>
      <c r="I113" s="304">
        <v>10766.56</v>
      </c>
      <c r="J113" s="286">
        <v>43</v>
      </c>
      <c r="K113" s="304">
        <v>154430.92000000001</v>
      </c>
    </row>
    <row r="114" spans="1:22" ht="14.25" x14ac:dyDescent="0.2">
      <c r="A114" s="301"/>
      <c r="B114" s="302"/>
      <c r="C114" s="302" t="s">
        <v>188</v>
      </c>
      <c r="D114" s="303" t="s">
        <v>187</v>
      </c>
      <c r="E114" s="286">
        <v>175</v>
      </c>
      <c r="F114" s="304"/>
      <c r="G114" s="305"/>
      <c r="H114" s="286"/>
      <c r="I114" s="304">
        <v>799.4</v>
      </c>
      <c r="J114" s="286">
        <v>157</v>
      </c>
      <c r="K114" s="304">
        <v>16746.060000000001</v>
      </c>
    </row>
    <row r="115" spans="1:22" ht="14.25" x14ac:dyDescent="0.2">
      <c r="A115" s="307"/>
      <c r="B115" s="308"/>
      <c r="C115" s="308" t="s">
        <v>192</v>
      </c>
      <c r="D115" s="309" t="s">
        <v>191</v>
      </c>
      <c r="E115" s="310">
        <v>15</v>
      </c>
      <c r="F115" s="311"/>
      <c r="G115" s="312" t="s">
        <v>195</v>
      </c>
      <c r="H115" s="310">
        <v>1</v>
      </c>
      <c r="I115" s="311">
        <v>1200</v>
      </c>
      <c r="J115" s="310"/>
      <c r="K115" s="311"/>
    </row>
    <row r="116" spans="1:22" ht="15" x14ac:dyDescent="0.25">
      <c r="A116" s="313"/>
      <c r="B116" s="313"/>
      <c r="C116" s="314" t="s">
        <v>183</v>
      </c>
      <c r="D116" s="313"/>
      <c r="E116" s="313"/>
      <c r="F116" s="313"/>
      <c r="G116" s="313"/>
      <c r="H116" s="472">
        <v>138778.46</v>
      </c>
      <c r="I116" s="472"/>
      <c r="J116" s="472">
        <v>1132477.17</v>
      </c>
      <c r="K116" s="472"/>
      <c r="O116" s="163">
        <f>I106+I107+I109+I112+I113+I114+SUM(I110:I111)</f>
        <v>138778.46</v>
      </c>
      <c r="P116" s="163">
        <f>K106+K107+K109+K112+K113+K114+SUM(K110:K111)</f>
        <v>1132477.17</v>
      </c>
    </row>
    <row r="118" spans="1:22" ht="28.5" x14ac:dyDescent="0.2">
      <c r="A118" s="301" t="s">
        <v>1672</v>
      </c>
      <c r="B118" s="302" t="s">
        <v>3341</v>
      </c>
      <c r="C118" s="302" t="s">
        <v>1167</v>
      </c>
      <c r="D118" s="303" t="s">
        <v>1686</v>
      </c>
      <c r="E118" s="286">
        <v>8</v>
      </c>
      <c r="F118" s="304"/>
      <c r="G118" s="305"/>
      <c r="H118" s="286"/>
      <c r="I118" s="304"/>
      <c r="J118" s="286"/>
      <c r="K118" s="304"/>
      <c r="Q118" s="160">
        <f>[16]Source!X60</f>
        <v>4402.5</v>
      </c>
      <c r="R118" s="160">
        <f>[16]Source!X61</f>
        <v>82605.759999999995</v>
      </c>
      <c r="S118" s="160">
        <f>[16]Source!Y60</f>
        <v>2751.56</v>
      </c>
      <c r="T118" s="160">
        <f>[16]Source!Y61</f>
        <v>39467.199999999997</v>
      </c>
      <c r="U118" s="160">
        <f>ROUND((175/100)*ROUND([16]Source!R60, 2), 2)</f>
        <v>55.16</v>
      </c>
      <c r="V118" s="160">
        <f>ROUND((157/100)*ROUND([16]Source!R61, 2), 2)</f>
        <v>1155.5</v>
      </c>
    </row>
    <row r="119" spans="1:22" x14ac:dyDescent="0.2">
      <c r="C119" s="316" t="s">
        <v>3585</v>
      </c>
    </row>
    <row r="120" spans="1:22" ht="14.25" x14ac:dyDescent="0.2">
      <c r="A120" s="301"/>
      <c r="B120" s="302"/>
      <c r="C120" s="302" t="s">
        <v>197</v>
      </c>
      <c r="D120" s="303"/>
      <c r="E120" s="286"/>
      <c r="F120" s="304">
        <v>491.35</v>
      </c>
      <c r="G120" s="305" t="s">
        <v>195</v>
      </c>
      <c r="H120" s="286">
        <v>1</v>
      </c>
      <c r="I120" s="304">
        <v>3930.8</v>
      </c>
      <c r="J120" s="286">
        <v>23.35</v>
      </c>
      <c r="K120" s="304">
        <v>91784.18</v>
      </c>
    </row>
    <row r="121" spans="1:22" ht="14.25" x14ac:dyDescent="0.2">
      <c r="A121" s="301"/>
      <c r="B121" s="302"/>
      <c r="C121" s="302" t="s">
        <v>184</v>
      </c>
      <c r="D121" s="303"/>
      <c r="E121" s="286"/>
      <c r="F121" s="304">
        <v>29.47</v>
      </c>
      <c r="G121" s="305" t="s">
        <v>195</v>
      </c>
      <c r="H121" s="286">
        <v>1</v>
      </c>
      <c r="I121" s="304">
        <v>235.76</v>
      </c>
      <c r="J121" s="286">
        <v>7.76</v>
      </c>
      <c r="K121" s="304">
        <v>1829.5</v>
      </c>
    </row>
    <row r="122" spans="1:22" ht="14.25" x14ac:dyDescent="0.2">
      <c r="A122" s="301"/>
      <c r="B122" s="302"/>
      <c r="C122" s="302" t="s">
        <v>189</v>
      </c>
      <c r="D122" s="303"/>
      <c r="E122" s="286"/>
      <c r="F122" s="304">
        <v>3.94</v>
      </c>
      <c r="G122" s="305" t="s">
        <v>195</v>
      </c>
      <c r="H122" s="286">
        <v>1</v>
      </c>
      <c r="I122" s="306">
        <v>31.52</v>
      </c>
      <c r="J122" s="286">
        <v>23.35</v>
      </c>
      <c r="K122" s="306">
        <v>735.99</v>
      </c>
    </row>
    <row r="123" spans="1:22" ht="14.25" x14ac:dyDescent="0.2">
      <c r="A123" s="301"/>
      <c r="B123" s="302"/>
      <c r="C123" s="302" t="s">
        <v>205</v>
      </c>
      <c r="D123" s="303"/>
      <c r="E123" s="286"/>
      <c r="F123" s="304">
        <v>1844.59</v>
      </c>
      <c r="G123" s="305" t="s">
        <v>195</v>
      </c>
      <c r="H123" s="286">
        <v>1</v>
      </c>
      <c r="I123" s="304">
        <v>14756.72</v>
      </c>
      <c r="J123" s="286">
        <v>5.42</v>
      </c>
      <c r="K123" s="304">
        <v>79981.42</v>
      </c>
    </row>
    <row r="124" spans="1:22" ht="28.5" x14ac:dyDescent="0.2">
      <c r="A124" s="301" t="s">
        <v>1675</v>
      </c>
      <c r="B124" s="302" t="s">
        <v>3608</v>
      </c>
      <c r="C124" s="302" t="s">
        <v>1168</v>
      </c>
      <c r="D124" s="303" t="s">
        <v>1552</v>
      </c>
      <c r="E124" s="286">
        <v>800</v>
      </c>
      <c r="F124" s="304">
        <v>7.28</v>
      </c>
      <c r="G124" s="315" t="s">
        <v>195</v>
      </c>
      <c r="H124" s="286">
        <v>1</v>
      </c>
      <c r="I124" s="304">
        <v>5824</v>
      </c>
      <c r="J124" s="286">
        <v>2.02</v>
      </c>
      <c r="K124" s="304">
        <v>11764.48</v>
      </c>
      <c r="Q124" s="160">
        <f>[16]Source!X62</f>
        <v>0</v>
      </c>
      <c r="R124" s="160">
        <f>[16]Source!X63</f>
        <v>0</v>
      </c>
      <c r="S124" s="160">
        <f>[16]Source!Y62</f>
        <v>0</v>
      </c>
      <c r="T124" s="160">
        <f>[16]Source!Y63</f>
        <v>0</v>
      </c>
      <c r="U124" s="160">
        <f>ROUND((175/100)*ROUND([16]Source!R62, 2), 2)</f>
        <v>0</v>
      </c>
      <c r="V124" s="160">
        <f>ROUND((157/100)*ROUND([16]Source!R63, 2), 2)</f>
        <v>0</v>
      </c>
    </row>
    <row r="125" spans="1:22" ht="14.25" x14ac:dyDescent="0.2">
      <c r="A125" s="301"/>
      <c r="B125" s="302"/>
      <c r="C125" s="302" t="s">
        <v>194</v>
      </c>
      <c r="D125" s="303" t="s">
        <v>187</v>
      </c>
      <c r="E125" s="286">
        <v>112</v>
      </c>
      <c r="F125" s="304"/>
      <c r="G125" s="305"/>
      <c r="H125" s="286"/>
      <c r="I125" s="304">
        <v>4402.5</v>
      </c>
      <c r="J125" s="286">
        <v>90</v>
      </c>
      <c r="K125" s="304">
        <v>82605.759999999995</v>
      </c>
    </row>
    <row r="126" spans="1:22" ht="14.25" x14ac:dyDescent="0.2">
      <c r="A126" s="301"/>
      <c r="B126" s="302"/>
      <c r="C126" s="302" t="s">
        <v>193</v>
      </c>
      <c r="D126" s="303" t="s">
        <v>187</v>
      </c>
      <c r="E126" s="286">
        <v>70</v>
      </c>
      <c r="F126" s="304"/>
      <c r="G126" s="305"/>
      <c r="H126" s="286"/>
      <c r="I126" s="304">
        <v>2751.56</v>
      </c>
      <c r="J126" s="286">
        <v>43</v>
      </c>
      <c r="K126" s="304">
        <v>39467.199999999997</v>
      </c>
    </row>
    <row r="127" spans="1:22" ht="14.25" x14ac:dyDescent="0.2">
      <c r="A127" s="301"/>
      <c r="B127" s="302"/>
      <c r="C127" s="302" t="s">
        <v>188</v>
      </c>
      <c r="D127" s="303" t="s">
        <v>187</v>
      </c>
      <c r="E127" s="286">
        <v>175</v>
      </c>
      <c r="F127" s="304"/>
      <c r="G127" s="305"/>
      <c r="H127" s="286"/>
      <c r="I127" s="304">
        <v>55.16</v>
      </c>
      <c r="J127" s="286">
        <v>157</v>
      </c>
      <c r="K127" s="304">
        <v>1155.5</v>
      </c>
    </row>
    <row r="128" spans="1:22" ht="14.25" x14ac:dyDescent="0.2">
      <c r="A128" s="307"/>
      <c r="B128" s="308"/>
      <c r="C128" s="308" t="s">
        <v>192</v>
      </c>
      <c r="D128" s="309" t="s">
        <v>191</v>
      </c>
      <c r="E128" s="310">
        <v>40.67</v>
      </c>
      <c r="F128" s="311"/>
      <c r="G128" s="312" t="s">
        <v>195</v>
      </c>
      <c r="H128" s="310">
        <v>1</v>
      </c>
      <c r="I128" s="311">
        <v>325.36</v>
      </c>
      <c r="J128" s="310"/>
      <c r="K128" s="311"/>
    </row>
    <row r="129" spans="1:22" ht="15" x14ac:dyDescent="0.25">
      <c r="A129" s="313"/>
      <c r="B129" s="313"/>
      <c r="C129" s="314" t="s">
        <v>183</v>
      </c>
      <c r="D129" s="313"/>
      <c r="E129" s="313"/>
      <c r="F129" s="313"/>
      <c r="G129" s="313"/>
      <c r="H129" s="472">
        <v>31956.5</v>
      </c>
      <c r="I129" s="472"/>
      <c r="J129" s="472">
        <v>308588.03999999998</v>
      </c>
      <c r="K129" s="472"/>
      <c r="O129" s="163">
        <f>I120+I121+I123+I125+I126+I127+SUM(I124:I124)</f>
        <v>31956.5</v>
      </c>
      <c r="P129" s="163">
        <f>K120+K121+K123+K125+K126+K127+SUM(K124:K124)</f>
        <v>308588.03999999998</v>
      </c>
    </row>
    <row r="131" spans="1:22" ht="28.5" x14ac:dyDescent="0.2">
      <c r="A131" s="301" t="s">
        <v>1685</v>
      </c>
      <c r="B131" s="302" t="s">
        <v>3341</v>
      </c>
      <c r="C131" s="302" t="s">
        <v>1167</v>
      </c>
      <c r="D131" s="303" t="s">
        <v>1686</v>
      </c>
      <c r="E131" s="286">
        <v>0.1</v>
      </c>
      <c r="F131" s="304"/>
      <c r="G131" s="305"/>
      <c r="H131" s="286"/>
      <c r="I131" s="304"/>
      <c r="J131" s="286"/>
      <c r="K131" s="304"/>
      <c r="Q131" s="160">
        <f>[16]Source!X64</f>
        <v>55.04</v>
      </c>
      <c r="R131" s="160">
        <f>[16]Source!X65</f>
        <v>1032.68</v>
      </c>
      <c r="S131" s="160">
        <f>[16]Source!Y64</f>
        <v>34.4</v>
      </c>
      <c r="T131" s="160">
        <f>[16]Source!Y65</f>
        <v>493.39</v>
      </c>
      <c r="U131" s="160">
        <f>ROUND((175/100)*ROUND([16]Source!R64, 2), 2)</f>
        <v>0.68</v>
      </c>
      <c r="V131" s="160">
        <f>ROUND((157/100)*ROUND([16]Source!R65, 2), 2)</f>
        <v>14.3</v>
      </c>
    </row>
    <row r="132" spans="1:22" x14ac:dyDescent="0.2">
      <c r="C132" s="316" t="s">
        <v>3288</v>
      </c>
    </row>
    <row r="133" spans="1:22" ht="14.25" x14ac:dyDescent="0.2">
      <c r="A133" s="301"/>
      <c r="B133" s="302"/>
      <c r="C133" s="302" t="s">
        <v>197</v>
      </c>
      <c r="D133" s="303"/>
      <c r="E133" s="286"/>
      <c r="F133" s="304">
        <v>491.35</v>
      </c>
      <c r="G133" s="305" t="s">
        <v>195</v>
      </c>
      <c r="H133" s="286">
        <v>1</v>
      </c>
      <c r="I133" s="304">
        <v>49.14</v>
      </c>
      <c r="J133" s="286">
        <v>23.35</v>
      </c>
      <c r="K133" s="304">
        <v>1147.42</v>
      </c>
    </row>
    <row r="134" spans="1:22" ht="14.25" x14ac:dyDescent="0.2">
      <c r="A134" s="301"/>
      <c r="B134" s="302"/>
      <c r="C134" s="302" t="s">
        <v>184</v>
      </c>
      <c r="D134" s="303"/>
      <c r="E134" s="286"/>
      <c r="F134" s="304">
        <v>29.47</v>
      </c>
      <c r="G134" s="305" t="s">
        <v>195</v>
      </c>
      <c r="H134" s="286">
        <v>1</v>
      </c>
      <c r="I134" s="304">
        <v>2.95</v>
      </c>
      <c r="J134" s="286">
        <v>7.76</v>
      </c>
      <c r="K134" s="304">
        <v>22.89</v>
      </c>
    </row>
    <row r="135" spans="1:22" ht="14.25" x14ac:dyDescent="0.2">
      <c r="A135" s="301"/>
      <c r="B135" s="302"/>
      <c r="C135" s="302" t="s">
        <v>189</v>
      </c>
      <c r="D135" s="303"/>
      <c r="E135" s="286"/>
      <c r="F135" s="304">
        <v>3.94</v>
      </c>
      <c r="G135" s="305" t="s">
        <v>195</v>
      </c>
      <c r="H135" s="286">
        <v>1</v>
      </c>
      <c r="I135" s="306">
        <v>0.39</v>
      </c>
      <c r="J135" s="286">
        <v>23.35</v>
      </c>
      <c r="K135" s="306">
        <v>9.11</v>
      </c>
    </row>
    <row r="136" spans="1:22" ht="14.25" x14ac:dyDescent="0.2">
      <c r="A136" s="301"/>
      <c r="B136" s="302"/>
      <c r="C136" s="302" t="s">
        <v>205</v>
      </c>
      <c r="D136" s="303"/>
      <c r="E136" s="286"/>
      <c r="F136" s="304">
        <v>1844.59</v>
      </c>
      <c r="G136" s="305" t="s">
        <v>195</v>
      </c>
      <c r="H136" s="286">
        <v>1</v>
      </c>
      <c r="I136" s="304">
        <v>184.46</v>
      </c>
      <c r="J136" s="286">
        <v>5.42</v>
      </c>
      <c r="K136" s="304">
        <v>999.77</v>
      </c>
    </row>
    <row r="137" spans="1:22" ht="28.5" x14ac:dyDescent="0.2">
      <c r="A137" s="301" t="s">
        <v>1688</v>
      </c>
      <c r="B137" s="302" t="s">
        <v>3590</v>
      </c>
      <c r="C137" s="302" t="s">
        <v>1166</v>
      </c>
      <c r="D137" s="303" t="s">
        <v>1552</v>
      </c>
      <c r="E137" s="286">
        <v>10</v>
      </c>
      <c r="F137" s="304">
        <v>99.66</v>
      </c>
      <c r="G137" s="315" t="s">
        <v>195</v>
      </c>
      <c r="H137" s="286">
        <v>1</v>
      </c>
      <c r="I137" s="304">
        <v>996.6</v>
      </c>
      <c r="J137" s="286">
        <v>5.27</v>
      </c>
      <c r="K137" s="304">
        <v>5252.08</v>
      </c>
      <c r="Q137" s="160">
        <f>[16]Source!X66</f>
        <v>0</v>
      </c>
      <c r="R137" s="160">
        <f>[16]Source!X67</f>
        <v>0</v>
      </c>
      <c r="S137" s="160">
        <f>[16]Source!Y66</f>
        <v>0</v>
      </c>
      <c r="T137" s="160">
        <f>[16]Source!Y67</f>
        <v>0</v>
      </c>
      <c r="U137" s="160">
        <f>ROUND((175/100)*ROUND([16]Source!R66, 2), 2)</f>
        <v>0</v>
      </c>
      <c r="V137" s="160">
        <f>ROUND((157/100)*ROUND([16]Source!R67, 2), 2)</f>
        <v>0</v>
      </c>
    </row>
    <row r="138" spans="1:22" ht="14.25" x14ac:dyDescent="0.2">
      <c r="A138" s="301"/>
      <c r="B138" s="302"/>
      <c r="C138" s="302" t="s">
        <v>194</v>
      </c>
      <c r="D138" s="303" t="s">
        <v>187</v>
      </c>
      <c r="E138" s="286">
        <v>112</v>
      </c>
      <c r="F138" s="304"/>
      <c r="G138" s="305"/>
      <c r="H138" s="286"/>
      <c r="I138" s="304">
        <v>55.04</v>
      </c>
      <c r="J138" s="286">
        <v>90</v>
      </c>
      <c r="K138" s="304">
        <v>1032.68</v>
      </c>
    </row>
    <row r="139" spans="1:22" ht="14.25" x14ac:dyDescent="0.2">
      <c r="A139" s="301"/>
      <c r="B139" s="302"/>
      <c r="C139" s="302" t="s">
        <v>193</v>
      </c>
      <c r="D139" s="303" t="s">
        <v>187</v>
      </c>
      <c r="E139" s="286">
        <v>70</v>
      </c>
      <c r="F139" s="304"/>
      <c r="G139" s="305"/>
      <c r="H139" s="286"/>
      <c r="I139" s="304">
        <v>34.4</v>
      </c>
      <c r="J139" s="286">
        <v>43</v>
      </c>
      <c r="K139" s="304">
        <v>493.39</v>
      </c>
    </row>
    <row r="140" spans="1:22" ht="14.25" x14ac:dyDescent="0.2">
      <c r="A140" s="301"/>
      <c r="B140" s="302"/>
      <c r="C140" s="302" t="s">
        <v>188</v>
      </c>
      <c r="D140" s="303" t="s">
        <v>187</v>
      </c>
      <c r="E140" s="286">
        <v>175</v>
      </c>
      <c r="F140" s="304"/>
      <c r="G140" s="305"/>
      <c r="H140" s="286"/>
      <c r="I140" s="304">
        <v>0.68</v>
      </c>
      <c r="J140" s="286">
        <v>157</v>
      </c>
      <c r="K140" s="304">
        <v>14.3</v>
      </c>
    </row>
    <row r="141" spans="1:22" ht="14.25" x14ac:dyDescent="0.2">
      <c r="A141" s="307"/>
      <c r="B141" s="308"/>
      <c r="C141" s="308" t="s">
        <v>192</v>
      </c>
      <c r="D141" s="309" t="s">
        <v>191</v>
      </c>
      <c r="E141" s="310">
        <v>40.67</v>
      </c>
      <c r="F141" s="311"/>
      <c r="G141" s="312" t="s">
        <v>195</v>
      </c>
      <c r="H141" s="310">
        <v>1</v>
      </c>
      <c r="I141" s="311">
        <v>4.07</v>
      </c>
      <c r="J141" s="310"/>
      <c r="K141" s="311"/>
    </row>
    <row r="142" spans="1:22" ht="15" x14ac:dyDescent="0.25">
      <c r="A142" s="313"/>
      <c r="B142" s="313"/>
      <c r="C142" s="314" t="s">
        <v>183</v>
      </c>
      <c r="D142" s="313"/>
      <c r="E142" s="313"/>
      <c r="F142" s="313"/>
      <c r="G142" s="313"/>
      <c r="H142" s="472">
        <v>1323.27</v>
      </c>
      <c r="I142" s="472"/>
      <c r="J142" s="472">
        <v>8962.5300000000007</v>
      </c>
      <c r="K142" s="472"/>
      <c r="O142" s="163">
        <f>I133+I134+I136+I138+I139+I140+SUM(I137:I137)</f>
        <v>1323.27</v>
      </c>
      <c r="P142" s="163">
        <f>K133+K134+K136+K138+K139+K140+SUM(K137:K137)</f>
        <v>8962.5300000000007</v>
      </c>
    </row>
    <row r="144" spans="1:22" ht="71.25" x14ac:dyDescent="0.2">
      <c r="A144" s="301" t="s">
        <v>1696</v>
      </c>
      <c r="B144" s="302" t="s">
        <v>3455</v>
      </c>
      <c r="C144" s="302" t="s">
        <v>1165</v>
      </c>
      <c r="D144" s="303" t="s">
        <v>1686</v>
      </c>
      <c r="E144" s="286">
        <v>80</v>
      </c>
      <c r="F144" s="304"/>
      <c r="G144" s="305"/>
      <c r="H144" s="286"/>
      <c r="I144" s="304"/>
      <c r="J144" s="286"/>
      <c r="K144" s="304"/>
      <c r="Q144" s="160">
        <f>[16]Source!X68</f>
        <v>5689.6</v>
      </c>
      <c r="R144" s="160">
        <f>[16]Source!X69</f>
        <v>106756.2</v>
      </c>
      <c r="S144" s="160">
        <f>[16]Source!Y68</f>
        <v>3556</v>
      </c>
      <c r="T144" s="160">
        <f>[16]Source!Y69</f>
        <v>51005.74</v>
      </c>
      <c r="U144" s="160">
        <f>ROUND((175/100)*ROUND([16]Source!R68, 2), 2)</f>
        <v>28</v>
      </c>
      <c r="V144" s="160">
        <f>ROUND((157/100)*ROUND([16]Source!R69, 2), 2)</f>
        <v>586.54999999999995</v>
      </c>
    </row>
    <row r="145" spans="1:22" x14ac:dyDescent="0.2">
      <c r="C145" s="316" t="s">
        <v>3606</v>
      </c>
    </row>
    <row r="146" spans="1:22" ht="14.25" x14ac:dyDescent="0.2">
      <c r="A146" s="301"/>
      <c r="B146" s="302"/>
      <c r="C146" s="302" t="s">
        <v>197</v>
      </c>
      <c r="D146" s="303"/>
      <c r="E146" s="286"/>
      <c r="F146" s="304">
        <v>63.5</v>
      </c>
      <c r="G146" s="305" t="s">
        <v>195</v>
      </c>
      <c r="H146" s="286">
        <v>1</v>
      </c>
      <c r="I146" s="304">
        <v>5080</v>
      </c>
      <c r="J146" s="286">
        <v>23.35</v>
      </c>
      <c r="K146" s="304">
        <v>118618</v>
      </c>
    </row>
    <row r="147" spans="1:22" ht="14.25" x14ac:dyDescent="0.2">
      <c r="A147" s="301"/>
      <c r="B147" s="302"/>
      <c r="C147" s="302" t="s">
        <v>184</v>
      </c>
      <c r="D147" s="303"/>
      <c r="E147" s="286"/>
      <c r="F147" s="304">
        <v>0.85</v>
      </c>
      <c r="G147" s="305" t="s">
        <v>195</v>
      </c>
      <c r="H147" s="286">
        <v>1</v>
      </c>
      <c r="I147" s="304">
        <v>68</v>
      </c>
      <c r="J147" s="286">
        <v>9.59</v>
      </c>
      <c r="K147" s="304">
        <v>652.12</v>
      </c>
    </row>
    <row r="148" spans="1:22" ht="14.25" x14ac:dyDescent="0.2">
      <c r="A148" s="301"/>
      <c r="B148" s="302"/>
      <c r="C148" s="302" t="s">
        <v>189</v>
      </c>
      <c r="D148" s="303"/>
      <c r="E148" s="286"/>
      <c r="F148" s="304">
        <v>0.2</v>
      </c>
      <c r="G148" s="305" t="s">
        <v>195</v>
      </c>
      <c r="H148" s="286">
        <v>1</v>
      </c>
      <c r="I148" s="306">
        <v>16</v>
      </c>
      <c r="J148" s="286">
        <v>23.35</v>
      </c>
      <c r="K148" s="306">
        <v>373.6</v>
      </c>
    </row>
    <row r="149" spans="1:22" ht="14.25" x14ac:dyDescent="0.2">
      <c r="A149" s="301"/>
      <c r="B149" s="302"/>
      <c r="C149" s="302" t="s">
        <v>205</v>
      </c>
      <c r="D149" s="303"/>
      <c r="E149" s="286"/>
      <c r="F149" s="304">
        <v>6.37</v>
      </c>
      <c r="G149" s="305" t="s">
        <v>195</v>
      </c>
      <c r="H149" s="286">
        <v>1</v>
      </c>
      <c r="I149" s="304">
        <v>509.6</v>
      </c>
      <c r="J149" s="286">
        <v>5.42</v>
      </c>
      <c r="K149" s="304">
        <v>2762.03</v>
      </c>
    </row>
    <row r="150" spans="1:22" ht="71.25" x14ac:dyDescent="0.2">
      <c r="A150" s="301" t="s">
        <v>1699</v>
      </c>
      <c r="B150" s="302" t="s">
        <v>3609</v>
      </c>
      <c r="C150" s="302" t="s">
        <v>1164</v>
      </c>
      <c r="D150" s="303" t="s">
        <v>3367</v>
      </c>
      <c r="E150" s="286">
        <v>8.16</v>
      </c>
      <c r="F150" s="304">
        <v>10489.68</v>
      </c>
      <c r="G150" s="315" t="s">
        <v>195</v>
      </c>
      <c r="H150" s="286">
        <v>1</v>
      </c>
      <c r="I150" s="304">
        <v>85595.79</v>
      </c>
      <c r="J150" s="286">
        <v>2.3199999999999998</v>
      </c>
      <c r="K150" s="304">
        <v>198582.23</v>
      </c>
      <c r="Q150" s="160">
        <f>[16]Source!X70</f>
        <v>0</v>
      </c>
      <c r="R150" s="160">
        <f>[16]Source!X71</f>
        <v>0</v>
      </c>
      <c r="S150" s="160">
        <f>[16]Source!Y70</f>
        <v>0</v>
      </c>
      <c r="T150" s="160">
        <f>[16]Source!Y71</f>
        <v>0</v>
      </c>
      <c r="U150" s="160">
        <f>ROUND((175/100)*ROUND([16]Source!R70, 2), 2)</f>
        <v>0</v>
      </c>
      <c r="V150" s="160">
        <f>ROUND((157/100)*ROUND([16]Source!R71, 2), 2)</f>
        <v>0</v>
      </c>
    </row>
    <row r="151" spans="1:22" ht="14.25" x14ac:dyDescent="0.2">
      <c r="A151" s="301"/>
      <c r="B151" s="302"/>
      <c r="C151" s="302" t="s">
        <v>194</v>
      </c>
      <c r="D151" s="303" t="s">
        <v>187</v>
      </c>
      <c r="E151" s="286">
        <v>112</v>
      </c>
      <c r="F151" s="304"/>
      <c r="G151" s="305"/>
      <c r="H151" s="286"/>
      <c r="I151" s="304">
        <v>5689.6</v>
      </c>
      <c r="J151" s="286">
        <v>90</v>
      </c>
      <c r="K151" s="304">
        <v>106756.2</v>
      </c>
    </row>
    <row r="152" spans="1:22" ht="14.25" x14ac:dyDescent="0.2">
      <c r="A152" s="301"/>
      <c r="B152" s="302"/>
      <c r="C152" s="302" t="s">
        <v>193</v>
      </c>
      <c r="D152" s="303" t="s">
        <v>187</v>
      </c>
      <c r="E152" s="286">
        <v>70</v>
      </c>
      <c r="F152" s="304"/>
      <c r="G152" s="305"/>
      <c r="H152" s="286"/>
      <c r="I152" s="304">
        <v>3556</v>
      </c>
      <c r="J152" s="286">
        <v>43</v>
      </c>
      <c r="K152" s="304">
        <v>51005.74</v>
      </c>
    </row>
    <row r="153" spans="1:22" ht="14.25" x14ac:dyDescent="0.2">
      <c r="A153" s="301"/>
      <c r="B153" s="302"/>
      <c r="C153" s="302" t="s">
        <v>188</v>
      </c>
      <c r="D153" s="303" t="s">
        <v>187</v>
      </c>
      <c r="E153" s="286">
        <v>175</v>
      </c>
      <c r="F153" s="304"/>
      <c r="G153" s="305"/>
      <c r="H153" s="286"/>
      <c r="I153" s="304">
        <v>28</v>
      </c>
      <c r="J153" s="286">
        <v>157</v>
      </c>
      <c r="K153" s="304">
        <v>586.54999999999995</v>
      </c>
    </row>
    <row r="154" spans="1:22" ht="14.25" x14ac:dyDescent="0.2">
      <c r="A154" s="307"/>
      <c r="B154" s="308"/>
      <c r="C154" s="308" t="s">
        <v>192</v>
      </c>
      <c r="D154" s="309" t="s">
        <v>191</v>
      </c>
      <c r="E154" s="310">
        <v>5.15</v>
      </c>
      <c r="F154" s="311"/>
      <c r="G154" s="312" t="s">
        <v>195</v>
      </c>
      <c r="H154" s="310">
        <v>1</v>
      </c>
      <c r="I154" s="311">
        <v>412</v>
      </c>
      <c r="J154" s="310"/>
      <c r="K154" s="311"/>
    </row>
    <row r="155" spans="1:22" ht="15" x14ac:dyDescent="0.25">
      <c r="A155" s="313"/>
      <c r="B155" s="313"/>
      <c r="C155" s="314" t="s">
        <v>183</v>
      </c>
      <c r="D155" s="313"/>
      <c r="E155" s="313"/>
      <c r="F155" s="313"/>
      <c r="G155" s="313"/>
      <c r="H155" s="472">
        <v>100526.99</v>
      </c>
      <c r="I155" s="472"/>
      <c r="J155" s="472">
        <v>478962.87</v>
      </c>
      <c r="K155" s="472"/>
      <c r="O155" s="163">
        <f>I146+I147+I149+I151+I152+I153+SUM(I150:I150)</f>
        <v>100526.99</v>
      </c>
      <c r="P155" s="163">
        <f>K146+K147+K149+K151+K152+K153+SUM(K150:K150)</f>
        <v>478962.87</v>
      </c>
    </row>
    <row r="157" spans="1:22" ht="28.5" x14ac:dyDescent="0.2">
      <c r="A157" s="301" t="s">
        <v>1705</v>
      </c>
      <c r="B157" s="302" t="s">
        <v>3353</v>
      </c>
      <c r="C157" s="302" t="s">
        <v>1162</v>
      </c>
      <c r="D157" s="303" t="s">
        <v>1686</v>
      </c>
      <c r="E157" s="286">
        <v>4</v>
      </c>
      <c r="F157" s="304"/>
      <c r="G157" s="305"/>
      <c r="H157" s="286"/>
      <c r="I157" s="304"/>
      <c r="J157" s="286"/>
      <c r="K157" s="304"/>
      <c r="Q157" s="160">
        <f>[16]Source!X72</f>
        <v>170.69</v>
      </c>
      <c r="R157" s="160">
        <f>[16]Source!X73</f>
        <v>3202.69</v>
      </c>
      <c r="S157" s="160">
        <f>[16]Source!Y72</f>
        <v>106.68</v>
      </c>
      <c r="T157" s="160">
        <f>[16]Source!Y73</f>
        <v>1530.17</v>
      </c>
      <c r="U157" s="160">
        <f>ROUND((175/100)*ROUND([16]Source!R72, 2), 2)</f>
        <v>1.4</v>
      </c>
      <c r="V157" s="160">
        <f>ROUND((157/100)*ROUND([16]Source!R73, 2), 2)</f>
        <v>29.33</v>
      </c>
    </row>
    <row r="158" spans="1:22" x14ac:dyDescent="0.2">
      <c r="C158" s="316" t="s">
        <v>3610</v>
      </c>
    </row>
    <row r="159" spans="1:22" ht="14.25" x14ac:dyDescent="0.2">
      <c r="A159" s="301"/>
      <c r="B159" s="302"/>
      <c r="C159" s="302" t="s">
        <v>197</v>
      </c>
      <c r="D159" s="303"/>
      <c r="E159" s="286"/>
      <c r="F159" s="304">
        <v>38.1</v>
      </c>
      <c r="G159" s="305" t="s">
        <v>195</v>
      </c>
      <c r="H159" s="286">
        <v>1</v>
      </c>
      <c r="I159" s="304">
        <v>152.4</v>
      </c>
      <c r="J159" s="286">
        <v>23.35</v>
      </c>
      <c r="K159" s="304">
        <v>3558.54</v>
      </c>
    </row>
    <row r="160" spans="1:22" ht="14.25" x14ac:dyDescent="0.2">
      <c r="A160" s="301"/>
      <c r="B160" s="302"/>
      <c r="C160" s="302" t="s">
        <v>184</v>
      </c>
      <c r="D160" s="303"/>
      <c r="E160" s="286"/>
      <c r="F160" s="304">
        <v>0.85</v>
      </c>
      <c r="G160" s="305" t="s">
        <v>195</v>
      </c>
      <c r="H160" s="286">
        <v>1</v>
      </c>
      <c r="I160" s="304">
        <v>3.4</v>
      </c>
      <c r="J160" s="286">
        <v>9.59</v>
      </c>
      <c r="K160" s="304">
        <v>32.61</v>
      </c>
    </row>
    <row r="161" spans="1:22" ht="14.25" x14ac:dyDescent="0.2">
      <c r="A161" s="301"/>
      <c r="B161" s="302"/>
      <c r="C161" s="302" t="s">
        <v>189</v>
      </c>
      <c r="D161" s="303"/>
      <c r="E161" s="286"/>
      <c r="F161" s="304">
        <v>0.2</v>
      </c>
      <c r="G161" s="305" t="s">
        <v>195</v>
      </c>
      <c r="H161" s="286">
        <v>1</v>
      </c>
      <c r="I161" s="306">
        <v>0.8</v>
      </c>
      <c r="J161" s="286">
        <v>23.35</v>
      </c>
      <c r="K161" s="306">
        <v>18.68</v>
      </c>
    </row>
    <row r="162" spans="1:22" ht="14.25" x14ac:dyDescent="0.2">
      <c r="A162" s="301"/>
      <c r="B162" s="302"/>
      <c r="C162" s="302" t="s">
        <v>205</v>
      </c>
      <c r="D162" s="303"/>
      <c r="E162" s="286"/>
      <c r="F162" s="304">
        <v>3.71</v>
      </c>
      <c r="G162" s="305" t="s">
        <v>195</v>
      </c>
      <c r="H162" s="286">
        <v>1</v>
      </c>
      <c r="I162" s="304">
        <v>14.84</v>
      </c>
      <c r="J162" s="286">
        <v>5.42</v>
      </c>
      <c r="K162" s="304">
        <v>80.430000000000007</v>
      </c>
    </row>
    <row r="163" spans="1:22" ht="71.25" x14ac:dyDescent="0.2">
      <c r="A163" s="301" t="s">
        <v>1707</v>
      </c>
      <c r="B163" s="302" t="s">
        <v>3611</v>
      </c>
      <c r="C163" s="302" t="s">
        <v>1163</v>
      </c>
      <c r="D163" s="303" t="s">
        <v>3367</v>
      </c>
      <c r="E163" s="286">
        <v>0.40799999999999997</v>
      </c>
      <c r="F163" s="304">
        <v>5768.97</v>
      </c>
      <c r="G163" s="315" t="s">
        <v>195</v>
      </c>
      <c r="H163" s="286">
        <v>1</v>
      </c>
      <c r="I163" s="304">
        <v>2353.7399999999998</v>
      </c>
      <c r="J163" s="286">
        <v>2.75</v>
      </c>
      <c r="K163" s="304">
        <v>6472.79</v>
      </c>
      <c r="Q163" s="160">
        <f>[16]Source!X74</f>
        <v>0</v>
      </c>
      <c r="R163" s="160">
        <f>[16]Source!X75</f>
        <v>0</v>
      </c>
      <c r="S163" s="160">
        <f>[16]Source!Y74</f>
        <v>0</v>
      </c>
      <c r="T163" s="160">
        <f>[16]Source!Y75</f>
        <v>0</v>
      </c>
      <c r="U163" s="160">
        <f>ROUND((175/100)*ROUND([16]Source!R74, 2), 2)</f>
        <v>0</v>
      </c>
      <c r="V163" s="160">
        <f>ROUND((157/100)*ROUND([16]Source!R75, 2), 2)</f>
        <v>0</v>
      </c>
    </row>
    <row r="164" spans="1:22" ht="14.25" x14ac:dyDescent="0.2">
      <c r="A164" s="301"/>
      <c r="B164" s="302"/>
      <c r="C164" s="302" t="s">
        <v>194</v>
      </c>
      <c r="D164" s="303" t="s">
        <v>187</v>
      </c>
      <c r="E164" s="286">
        <v>112</v>
      </c>
      <c r="F164" s="304"/>
      <c r="G164" s="305"/>
      <c r="H164" s="286"/>
      <c r="I164" s="304">
        <v>170.69</v>
      </c>
      <c r="J164" s="286">
        <v>90</v>
      </c>
      <c r="K164" s="304">
        <v>3202.69</v>
      </c>
    </row>
    <row r="165" spans="1:22" ht="14.25" x14ac:dyDescent="0.2">
      <c r="A165" s="301"/>
      <c r="B165" s="302"/>
      <c r="C165" s="302" t="s">
        <v>193</v>
      </c>
      <c r="D165" s="303" t="s">
        <v>187</v>
      </c>
      <c r="E165" s="286">
        <v>70</v>
      </c>
      <c r="F165" s="304"/>
      <c r="G165" s="305"/>
      <c r="H165" s="286"/>
      <c r="I165" s="304">
        <v>106.68</v>
      </c>
      <c r="J165" s="286">
        <v>43</v>
      </c>
      <c r="K165" s="304">
        <v>1530.17</v>
      </c>
    </row>
    <row r="166" spans="1:22" ht="14.25" x14ac:dyDescent="0.2">
      <c r="A166" s="301"/>
      <c r="B166" s="302"/>
      <c r="C166" s="302" t="s">
        <v>188</v>
      </c>
      <c r="D166" s="303" t="s">
        <v>187</v>
      </c>
      <c r="E166" s="286">
        <v>175</v>
      </c>
      <c r="F166" s="304"/>
      <c r="G166" s="305"/>
      <c r="H166" s="286"/>
      <c r="I166" s="304">
        <v>1.4</v>
      </c>
      <c r="J166" s="286">
        <v>157</v>
      </c>
      <c r="K166" s="304">
        <v>29.33</v>
      </c>
    </row>
    <row r="167" spans="1:22" ht="14.25" x14ac:dyDescent="0.2">
      <c r="A167" s="307"/>
      <c r="B167" s="308"/>
      <c r="C167" s="308" t="s">
        <v>192</v>
      </c>
      <c r="D167" s="309" t="s">
        <v>191</v>
      </c>
      <c r="E167" s="310">
        <v>3.09</v>
      </c>
      <c r="F167" s="311"/>
      <c r="G167" s="312" t="s">
        <v>195</v>
      </c>
      <c r="H167" s="310">
        <v>1</v>
      </c>
      <c r="I167" s="311">
        <v>12.36</v>
      </c>
      <c r="J167" s="310"/>
      <c r="K167" s="311"/>
    </row>
    <row r="168" spans="1:22" ht="15" x14ac:dyDescent="0.25">
      <c r="A168" s="313"/>
      <c r="B168" s="313"/>
      <c r="C168" s="314" t="s">
        <v>183</v>
      </c>
      <c r="D168" s="313"/>
      <c r="E168" s="313"/>
      <c r="F168" s="313"/>
      <c r="G168" s="313"/>
      <c r="H168" s="472">
        <v>2803.15</v>
      </c>
      <c r="I168" s="472"/>
      <c r="J168" s="472">
        <v>14906.56</v>
      </c>
      <c r="K168" s="472"/>
      <c r="O168" s="163">
        <f>I159+I160+I162+I164+I165+I166+SUM(I163:I163)</f>
        <v>2803.15</v>
      </c>
      <c r="P168" s="163">
        <f>K159+K160+K162+K164+K165+K166+SUM(K163:K163)</f>
        <v>14906.56</v>
      </c>
    </row>
    <row r="170" spans="1:22" ht="28.5" x14ac:dyDescent="0.2">
      <c r="A170" s="301" t="s">
        <v>1712</v>
      </c>
      <c r="B170" s="302" t="s">
        <v>3353</v>
      </c>
      <c r="C170" s="302" t="s">
        <v>1162</v>
      </c>
      <c r="D170" s="303" t="s">
        <v>1686</v>
      </c>
      <c r="E170" s="286">
        <v>4</v>
      </c>
      <c r="F170" s="304"/>
      <c r="G170" s="305"/>
      <c r="H170" s="286"/>
      <c r="I170" s="304"/>
      <c r="J170" s="286"/>
      <c r="K170" s="304"/>
      <c r="Q170" s="160">
        <f>[16]Source!X76</f>
        <v>170.69</v>
      </c>
      <c r="R170" s="160">
        <f>[16]Source!X77</f>
        <v>3202.69</v>
      </c>
      <c r="S170" s="160">
        <f>[16]Source!Y76</f>
        <v>106.68</v>
      </c>
      <c r="T170" s="160">
        <f>[16]Source!Y77</f>
        <v>1530.17</v>
      </c>
      <c r="U170" s="160">
        <f>ROUND((175/100)*ROUND([16]Source!R76, 2), 2)</f>
        <v>1.4</v>
      </c>
      <c r="V170" s="160">
        <f>ROUND((157/100)*ROUND([16]Source!R77, 2), 2)</f>
        <v>29.33</v>
      </c>
    </row>
    <row r="171" spans="1:22" x14ac:dyDescent="0.2">
      <c r="C171" s="316" t="s">
        <v>3610</v>
      </c>
    </row>
    <row r="172" spans="1:22" ht="14.25" x14ac:dyDescent="0.2">
      <c r="A172" s="301"/>
      <c r="B172" s="302"/>
      <c r="C172" s="302" t="s">
        <v>197</v>
      </c>
      <c r="D172" s="303"/>
      <c r="E172" s="286"/>
      <c r="F172" s="304">
        <v>38.1</v>
      </c>
      <c r="G172" s="305" t="s">
        <v>195</v>
      </c>
      <c r="H172" s="286">
        <v>1</v>
      </c>
      <c r="I172" s="304">
        <v>152.4</v>
      </c>
      <c r="J172" s="286">
        <v>23.35</v>
      </c>
      <c r="K172" s="304">
        <v>3558.54</v>
      </c>
    </row>
    <row r="173" spans="1:22" ht="14.25" x14ac:dyDescent="0.2">
      <c r="A173" s="301"/>
      <c r="B173" s="302"/>
      <c r="C173" s="302" t="s">
        <v>184</v>
      </c>
      <c r="D173" s="303"/>
      <c r="E173" s="286"/>
      <c r="F173" s="304">
        <v>0.85</v>
      </c>
      <c r="G173" s="305" t="s">
        <v>195</v>
      </c>
      <c r="H173" s="286">
        <v>1</v>
      </c>
      <c r="I173" s="304">
        <v>3.4</v>
      </c>
      <c r="J173" s="286">
        <v>9.59</v>
      </c>
      <c r="K173" s="304">
        <v>32.61</v>
      </c>
    </row>
    <row r="174" spans="1:22" ht="14.25" x14ac:dyDescent="0.2">
      <c r="A174" s="301"/>
      <c r="B174" s="302"/>
      <c r="C174" s="302" t="s">
        <v>189</v>
      </c>
      <c r="D174" s="303"/>
      <c r="E174" s="286"/>
      <c r="F174" s="304">
        <v>0.2</v>
      </c>
      <c r="G174" s="305" t="s">
        <v>195</v>
      </c>
      <c r="H174" s="286">
        <v>1</v>
      </c>
      <c r="I174" s="306">
        <v>0.8</v>
      </c>
      <c r="J174" s="286">
        <v>23.35</v>
      </c>
      <c r="K174" s="306">
        <v>18.68</v>
      </c>
    </row>
    <row r="175" spans="1:22" ht="14.25" x14ac:dyDescent="0.2">
      <c r="A175" s="301"/>
      <c r="B175" s="302"/>
      <c r="C175" s="302" t="s">
        <v>205</v>
      </c>
      <c r="D175" s="303"/>
      <c r="E175" s="286"/>
      <c r="F175" s="304">
        <v>3.71</v>
      </c>
      <c r="G175" s="305" t="s">
        <v>195</v>
      </c>
      <c r="H175" s="286">
        <v>1</v>
      </c>
      <c r="I175" s="304">
        <v>14.84</v>
      </c>
      <c r="J175" s="286">
        <v>5.42</v>
      </c>
      <c r="K175" s="304">
        <v>80.430000000000007</v>
      </c>
    </row>
    <row r="176" spans="1:22" ht="114" x14ac:dyDescent="0.2">
      <c r="A176" s="301" t="s">
        <v>1715</v>
      </c>
      <c r="B176" s="302" t="s">
        <v>3512</v>
      </c>
      <c r="C176" s="302" t="s">
        <v>1161</v>
      </c>
      <c r="D176" s="303" t="s">
        <v>3367</v>
      </c>
      <c r="E176" s="286">
        <v>0.40799999999999997</v>
      </c>
      <c r="F176" s="304">
        <v>21349.79</v>
      </c>
      <c r="G176" s="315" t="s">
        <v>195</v>
      </c>
      <c r="H176" s="286">
        <v>1</v>
      </c>
      <c r="I176" s="304">
        <v>8710.7099999999991</v>
      </c>
      <c r="J176" s="286">
        <v>1.71</v>
      </c>
      <c r="K176" s="304">
        <v>14895.31</v>
      </c>
      <c r="Q176" s="160">
        <f>[16]Source!X78</f>
        <v>0</v>
      </c>
      <c r="R176" s="160">
        <f>[16]Source!X79</f>
        <v>0</v>
      </c>
      <c r="S176" s="160">
        <f>[16]Source!Y78</f>
        <v>0</v>
      </c>
      <c r="T176" s="160">
        <f>[16]Source!Y79</f>
        <v>0</v>
      </c>
      <c r="U176" s="160">
        <f>ROUND((175/100)*ROUND([16]Source!R78, 2), 2)</f>
        <v>0</v>
      </c>
      <c r="V176" s="160">
        <f>ROUND((157/100)*ROUND([16]Source!R79, 2), 2)</f>
        <v>0</v>
      </c>
    </row>
    <row r="177" spans="1:22" ht="14.25" x14ac:dyDescent="0.2">
      <c r="A177" s="301"/>
      <c r="B177" s="302"/>
      <c r="C177" s="302" t="s">
        <v>194</v>
      </c>
      <c r="D177" s="303" t="s">
        <v>187</v>
      </c>
      <c r="E177" s="286">
        <v>112</v>
      </c>
      <c r="F177" s="304"/>
      <c r="G177" s="305"/>
      <c r="H177" s="286"/>
      <c r="I177" s="304">
        <v>170.69</v>
      </c>
      <c r="J177" s="286">
        <v>90</v>
      </c>
      <c r="K177" s="304">
        <v>3202.69</v>
      </c>
    </row>
    <row r="178" spans="1:22" ht="14.25" x14ac:dyDescent="0.2">
      <c r="A178" s="301"/>
      <c r="B178" s="302"/>
      <c r="C178" s="302" t="s">
        <v>193</v>
      </c>
      <c r="D178" s="303" t="s">
        <v>187</v>
      </c>
      <c r="E178" s="286">
        <v>70</v>
      </c>
      <c r="F178" s="304"/>
      <c r="G178" s="305"/>
      <c r="H178" s="286"/>
      <c r="I178" s="304">
        <v>106.68</v>
      </c>
      <c r="J178" s="286">
        <v>43</v>
      </c>
      <c r="K178" s="304">
        <v>1530.17</v>
      </c>
    </row>
    <row r="179" spans="1:22" ht="14.25" x14ac:dyDescent="0.2">
      <c r="A179" s="301"/>
      <c r="B179" s="302"/>
      <c r="C179" s="302" t="s">
        <v>188</v>
      </c>
      <c r="D179" s="303" t="s">
        <v>187</v>
      </c>
      <c r="E179" s="286">
        <v>175</v>
      </c>
      <c r="F179" s="304"/>
      <c r="G179" s="305"/>
      <c r="H179" s="286"/>
      <c r="I179" s="304">
        <v>1.4</v>
      </c>
      <c r="J179" s="286">
        <v>157</v>
      </c>
      <c r="K179" s="304">
        <v>29.33</v>
      </c>
    </row>
    <row r="180" spans="1:22" ht="14.25" x14ac:dyDescent="0.2">
      <c r="A180" s="307"/>
      <c r="B180" s="308"/>
      <c r="C180" s="308" t="s">
        <v>192</v>
      </c>
      <c r="D180" s="309" t="s">
        <v>191</v>
      </c>
      <c r="E180" s="310">
        <v>3.09</v>
      </c>
      <c r="F180" s="311"/>
      <c r="G180" s="312" t="s">
        <v>195</v>
      </c>
      <c r="H180" s="310">
        <v>1</v>
      </c>
      <c r="I180" s="311">
        <v>12.36</v>
      </c>
      <c r="J180" s="310"/>
      <c r="K180" s="311"/>
    </row>
    <row r="181" spans="1:22" ht="15" x14ac:dyDescent="0.25">
      <c r="A181" s="313"/>
      <c r="B181" s="313"/>
      <c r="C181" s="314" t="s">
        <v>183</v>
      </c>
      <c r="D181" s="313"/>
      <c r="E181" s="313"/>
      <c r="F181" s="313"/>
      <c r="G181" s="313"/>
      <c r="H181" s="472">
        <v>9160.1200000000008</v>
      </c>
      <c r="I181" s="472"/>
      <c r="J181" s="472">
        <v>23329.08</v>
      </c>
      <c r="K181" s="472"/>
      <c r="O181" s="163">
        <f>I172+I173+I175+I177+I178+I179+SUM(I176:I176)</f>
        <v>9160.1200000000008</v>
      </c>
      <c r="P181" s="163">
        <f>K172+K173+K175+K177+K178+K179+SUM(K176:K176)</f>
        <v>23329.08</v>
      </c>
    </row>
    <row r="184" spans="1:22" ht="16.5" x14ac:dyDescent="0.25">
      <c r="A184" s="448" t="s">
        <v>3447</v>
      </c>
      <c r="B184" s="448"/>
      <c r="C184" s="448"/>
      <c r="D184" s="448"/>
      <c r="E184" s="448"/>
      <c r="F184" s="448"/>
      <c r="G184" s="448"/>
      <c r="H184" s="448"/>
      <c r="I184" s="448"/>
      <c r="J184" s="448"/>
      <c r="K184" s="448"/>
    </row>
    <row r="185" spans="1:22" ht="68.25" x14ac:dyDescent="0.2">
      <c r="A185" s="275" t="s">
        <v>719</v>
      </c>
      <c r="B185" s="276" t="s">
        <v>3448</v>
      </c>
      <c r="C185" s="276" t="s">
        <v>1160</v>
      </c>
      <c r="D185" s="277" t="s">
        <v>1661</v>
      </c>
      <c r="E185" s="278">
        <v>1</v>
      </c>
      <c r="F185" s="279">
        <v>1807.35</v>
      </c>
      <c r="G185" s="280" t="s">
        <v>195</v>
      </c>
      <c r="H185" s="278">
        <v>1</v>
      </c>
      <c r="I185" s="279">
        <v>1807.35</v>
      </c>
      <c r="J185" s="278">
        <v>4.4000000000000004</v>
      </c>
      <c r="K185" s="279">
        <v>7952.34</v>
      </c>
      <c r="Q185" s="160">
        <f>[16]Source!X87</f>
        <v>0</v>
      </c>
      <c r="R185" s="160">
        <f>[16]Source!X88</f>
        <v>0</v>
      </c>
      <c r="S185" s="160">
        <f>[16]Source!Y87</f>
        <v>0</v>
      </c>
      <c r="T185" s="160">
        <f>[16]Source!Y88</f>
        <v>0</v>
      </c>
      <c r="U185" s="160">
        <f>ROUND((175/100)*ROUND([16]Source!R87, 2), 2)</f>
        <v>0</v>
      </c>
      <c r="V185" s="160">
        <f>ROUND((157/100)*ROUND([16]Source!R88, 2), 2)</f>
        <v>0</v>
      </c>
    </row>
    <row r="186" spans="1:22" ht="15" x14ac:dyDescent="0.25">
      <c r="A186" s="282"/>
      <c r="B186" s="282"/>
      <c r="C186" s="283" t="s">
        <v>183</v>
      </c>
      <c r="D186" s="282"/>
      <c r="E186" s="282"/>
      <c r="F186" s="282"/>
      <c r="G186" s="282"/>
      <c r="H186" s="473">
        <v>1807.35</v>
      </c>
      <c r="I186" s="473"/>
      <c r="J186" s="473">
        <v>7952.34</v>
      </c>
      <c r="K186" s="473"/>
      <c r="O186" s="163">
        <f>I185</f>
        <v>1807.35</v>
      </c>
      <c r="P186" s="163">
        <f>K185</f>
        <v>7952.34</v>
      </c>
    </row>
    <row r="188" spans="1:22" ht="68.25" x14ac:dyDescent="0.2">
      <c r="A188" s="275" t="s">
        <v>1534</v>
      </c>
      <c r="B188" s="276" t="s">
        <v>3448</v>
      </c>
      <c r="C188" s="276" t="s">
        <v>1159</v>
      </c>
      <c r="D188" s="277" t="s">
        <v>1661</v>
      </c>
      <c r="E188" s="278">
        <v>16</v>
      </c>
      <c r="F188" s="279">
        <v>658.39</v>
      </c>
      <c r="G188" s="280" t="s">
        <v>195</v>
      </c>
      <c r="H188" s="278">
        <v>1</v>
      </c>
      <c r="I188" s="279">
        <v>10534.24</v>
      </c>
      <c r="J188" s="278">
        <v>4.4000000000000004</v>
      </c>
      <c r="K188" s="279">
        <v>46350.66</v>
      </c>
      <c r="Q188" s="160">
        <f>[16]Source!X89</f>
        <v>0</v>
      </c>
      <c r="R188" s="160">
        <f>[16]Source!X90</f>
        <v>0</v>
      </c>
      <c r="S188" s="160">
        <f>[16]Source!Y89</f>
        <v>0</v>
      </c>
      <c r="T188" s="160">
        <f>[16]Source!Y90</f>
        <v>0</v>
      </c>
      <c r="U188" s="160">
        <f>ROUND((175/100)*ROUND([16]Source!R89, 2), 2)</f>
        <v>0</v>
      </c>
      <c r="V188" s="160">
        <f>ROUND((157/100)*ROUND([16]Source!R90, 2), 2)</f>
        <v>0</v>
      </c>
    </row>
    <row r="189" spans="1:22" ht="15" x14ac:dyDescent="0.25">
      <c r="A189" s="282"/>
      <c r="B189" s="282"/>
      <c r="C189" s="283" t="s">
        <v>183</v>
      </c>
      <c r="D189" s="282"/>
      <c r="E189" s="282"/>
      <c r="F189" s="282"/>
      <c r="G189" s="282"/>
      <c r="H189" s="473">
        <v>10534.24</v>
      </c>
      <c r="I189" s="473"/>
      <c r="J189" s="473">
        <v>46350.66</v>
      </c>
      <c r="K189" s="473"/>
      <c r="O189" s="163">
        <f>I188</f>
        <v>10534.24</v>
      </c>
      <c r="P189" s="163">
        <f>K188</f>
        <v>46350.66</v>
      </c>
    </row>
    <row r="191" spans="1:22" ht="42.75" x14ac:dyDescent="0.2">
      <c r="A191" s="275" t="s">
        <v>1696</v>
      </c>
      <c r="B191" s="276" t="s">
        <v>3575</v>
      </c>
      <c r="C191" s="276" t="s">
        <v>1158</v>
      </c>
      <c r="D191" s="277" t="s">
        <v>1661</v>
      </c>
      <c r="E191" s="278">
        <v>2</v>
      </c>
      <c r="F191" s="279">
        <v>667.24</v>
      </c>
      <c r="G191" s="280" t="s">
        <v>195</v>
      </c>
      <c r="H191" s="278">
        <v>1</v>
      </c>
      <c r="I191" s="279">
        <v>1334.48</v>
      </c>
      <c r="J191" s="278">
        <v>4.47</v>
      </c>
      <c r="K191" s="279">
        <v>5965.13</v>
      </c>
      <c r="Q191" s="160">
        <f>[16]Source!X93</f>
        <v>0</v>
      </c>
      <c r="R191" s="160">
        <f>[16]Source!X94</f>
        <v>0</v>
      </c>
      <c r="S191" s="160">
        <f>[16]Source!Y93</f>
        <v>0</v>
      </c>
      <c r="T191" s="160">
        <f>[16]Source!Y94</f>
        <v>0</v>
      </c>
      <c r="U191" s="160">
        <f>ROUND((175/100)*ROUND([16]Source!R93, 2), 2)</f>
        <v>0</v>
      </c>
      <c r="V191" s="160">
        <f>ROUND((157/100)*ROUND([16]Source!R94, 2), 2)</f>
        <v>0</v>
      </c>
    </row>
    <row r="192" spans="1:22" ht="15" x14ac:dyDescent="0.25">
      <c r="A192" s="282"/>
      <c r="B192" s="282"/>
      <c r="C192" s="283" t="s">
        <v>183</v>
      </c>
      <c r="D192" s="282"/>
      <c r="E192" s="282"/>
      <c r="F192" s="282"/>
      <c r="G192" s="282"/>
      <c r="H192" s="473">
        <v>1334.48</v>
      </c>
      <c r="I192" s="473"/>
      <c r="J192" s="473">
        <v>5965.13</v>
      </c>
      <c r="K192" s="473"/>
      <c r="O192" s="163">
        <f>I191</f>
        <v>1334.48</v>
      </c>
      <c r="P192" s="163">
        <f>K191</f>
        <v>5965.13</v>
      </c>
    </row>
    <row r="194" spans="1:22" ht="42.75" x14ac:dyDescent="0.2">
      <c r="A194" s="275" t="s">
        <v>1712</v>
      </c>
      <c r="B194" s="276" t="s">
        <v>3612</v>
      </c>
      <c r="C194" s="276" t="s">
        <v>1157</v>
      </c>
      <c r="D194" s="277" t="s">
        <v>1661</v>
      </c>
      <c r="E194" s="278">
        <v>2</v>
      </c>
      <c r="F194" s="279">
        <v>278.35000000000002</v>
      </c>
      <c r="G194" s="280" t="s">
        <v>195</v>
      </c>
      <c r="H194" s="278">
        <v>1</v>
      </c>
      <c r="I194" s="279">
        <v>556.70000000000005</v>
      </c>
      <c r="J194" s="278">
        <v>5.21</v>
      </c>
      <c r="K194" s="279">
        <v>2900.41</v>
      </c>
      <c r="Q194" s="160">
        <f>[16]Source!X97</f>
        <v>0</v>
      </c>
      <c r="R194" s="160">
        <f>[16]Source!X98</f>
        <v>0</v>
      </c>
      <c r="S194" s="160">
        <f>[16]Source!Y97</f>
        <v>0</v>
      </c>
      <c r="T194" s="160">
        <f>[16]Source!Y98</f>
        <v>0</v>
      </c>
      <c r="U194" s="160">
        <f>ROUND((175/100)*ROUND([16]Source!R97, 2), 2)</f>
        <v>0</v>
      </c>
      <c r="V194" s="160">
        <f>ROUND((157/100)*ROUND([16]Source!R98, 2), 2)</f>
        <v>0</v>
      </c>
    </row>
    <row r="195" spans="1:22" ht="15" x14ac:dyDescent="0.25">
      <c r="A195" s="282"/>
      <c r="B195" s="282"/>
      <c r="C195" s="283" t="s">
        <v>183</v>
      </c>
      <c r="D195" s="282"/>
      <c r="E195" s="282"/>
      <c r="F195" s="282"/>
      <c r="G195" s="282"/>
      <c r="H195" s="473">
        <v>556.70000000000005</v>
      </c>
      <c r="I195" s="473"/>
      <c r="J195" s="473">
        <v>2900.41</v>
      </c>
      <c r="K195" s="473"/>
      <c r="O195" s="163">
        <f>I194</f>
        <v>556.70000000000005</v>
      </c>
      <c r="P195" s="163">
        <f>K194</f>
        <v>2900.41</v>
      </c>
    </row>
    <row r="197" spans="1:22" ht="57" x14ac:dyDescent="0.2">
      <c r="A197" s="275" t="s">
        <v>1719</v>
      </c>
      <c r="B197" s="276" t="s">
        <v>3613</v>
      </c>
      <c r="C197" s="276" t="s">
        <v>1156</v>
      </c>
      <c r="D197" s="277" t="s">
        <v>1661</v>
      </c>
      <c r="E197" s="278">
        <v>1</v>
      </c>
      <c r="F197" s="279">
        <v>209.04</v>
      </c>
      <c r="G197" s="280" t="s">
        <v>195</v>
      </c>
      <c r="H197" s="278">
        <v>1</v>
      </c>
      <c r="I197" s="279">
        <v>209.04</v>
      </c>
      <c r="J197" s="278">
        <v>5.12</v>
      </c>
      <c r="K197" s="279">
        <v>1070.28</v>
      </c>
      <c r="Q197" s="160">
        <f>[16]Source!X99</f>
        <v>0</v>
      </c>
      <c r="R197" s="160">
        <f>[16]Source!X100</f>
        <v>0</v>
      </c>
      <c r="S197" s="160">
        <f>[16]Source!Y99</f>
        <v>0</v>
      </c>
      <c r="T197" s="160">
        <f>[16]Source!Y100</f>
        <v>0</v>
      </c>
      <c r="U197" s="160">
        <f>ROUND((175/100)*ROUND([16]Source!R99, 2), 2)</f>
        <v>0</v>
      </c>
      <c r="V197" s="160">
        <f>ROUND((157/100)*ROUND([16]Source!R100, 2), 2)</f>
        <v>0</v>
      </c>
    </row>
    <row r="198" spans="1:22" ht="15" x14ac:dyDescent="0.25">
      <c r="A198" s="282"/>
      <c r="B198" s="282"/>
      <c r="C198" s="283" t="s">
        <v>183</v>
      </c>
      <c r="D198" s="282"/>
      <c r="E198" s="282"/>
      <c r="F198" s="282"/>
      <c r="G198" s="282"/>
      <c r="H198" s="473">
        <v>209.04</v>
      </c>
      <c r="I198" s="473"/>
      <c r="J198" s="473">
        <v>1070.28</v>
      </c>
      <c r="K198" s="473"/>
      <c r="O198" s="163">
        <f>I197</f>
        <v>209.04</v>
      </c>
      <c r="P198" s="163">
        <f>K197</f>
        <v>1070.28</v>
      </c>
    </row>
    <row r="201" spans="1:22" ht="15" x14ac:dyDescent="0.25">
      <c r="A201" s="447" t="s">
        <v>3449</v>
      </c>
      <c r="B201" s="447"/>
      <c r="C201" s="447"/>
      <c r="D201" s="447"/>
      <c r="E201" s="447"/>
      <c r="F201" s="447"/>
      <c r="G201" s="447"/>
      <c r="H201" s="445">
        <v>14441.81</v>
      </c>
      <c r="I201" s="446"/>
      <c r="J201" s="445">
        <v>64238.82</v>
      </c>
      <c r="K201" s="446"/>
    </row>
    <row r="202" spans="1:22" hidden="1" x14ac:dyDescent="0.2">
      <c r="A202" s="281" t="s">
        <v>182</v>
      </c>
      <c r="I202" s="281">
        <v>0</v>
      </c>
      <c r="J202" s="281">
        <v>0</v>
      </c>
    </row>
    <row r="203" spans="1:22" hidden="1" x14ac:dyDescent="0.2">
      <c r="A203" s="281" t="s">
        <v>181</v>
      </c>
      <c r="I203" s="281">
        <v>0</v>
      </c>
      <c r="J203" s="281">
        <v>0</v>
      </c>
    </row>
    <row r="205" spans="1:22" ht="15" x14ac:dyDescent="0.25">
      <c r="A205" s="447" t="s">
        <v>3614</v>
      </c>
      <c r="B205" s="447"/>
      <c r="C205" s="447"/>
      <c r="D205" s="447"/>
      <c r="E205" s="447"/>
      <c r="F205" s="447"/>
      <c r="G205" s="447"/>
      <c r="H205" s="445">
        <v>338799.09</v>
      </c>
      <c r="I205" s="446"/>
      <c r="J205" s="445">
        <v>2450404.12</v>
      </c>
      <c r="K205" s="446"/>
    </row>
    <row r="206" spans="1:22" hidden="1" x14ac:dyDescent="0.2">
      <c r="A206" s="281" t="s">
        <v>182</v>
      </c>
      <c r="I206" s="281">
        <v>0</v>
      </c>
      <c r="J206" s="281">
        <v>0</v>
      </c>
    </row>
    <row r="207" spans="1:22" hidden="1" x14ac:dyDescent="0.2">
      <c r="A207" s="281" t="s">
        <v>181</v>
      </c>
      <c r="I207" s="281">
        <v>0</v>
      </c>
      <c r="J207" s="281">
        <v>0</v>
      </c>
    </row>
    <row r="209" spans="1:11" ht="15" x14ac:dyDescent="0.25">
      <c r="A209" s="447" t="s">
        <v>3615</v>
      </c>
      <c r="B209" s="447"/>
      <c r="C209" s="447"/>
      <c r="D209" s="447"/>
      <c r="E209" s="447"/>
      <c r="F209" s="447"/>
      <c r="G209" s="447"/>
      <c r="H209" s="445">
        <v>338799.09</v>
      </c>
      <c r="I209" s="446"/>
      <c r="J209" s="445">
        <v>2450404.12</v>
      </c>
      <c r="K209" s="446"/>
    </row>
    <row r="210" spans="1:11" hidden="1" x14ac:dyDescent="0.2">
      <c r="A210" s="281" t="s">
        <v>182</v>
      </c>
      <c r="I210" s="281">
        <v>0</v>
      </c>
      <c r="J210" s="281">
        <v>0</v>
      </c>
    </row>
    <row r="211" spans="1:11" hidden="1" x14ac:dyDescent="0.2">
      <c r="A211" s="281" t="s">
        <v>181</v>
      </c>
      <c r="I211" s="281">
        <v>0</v>
      </c>
      <c r="J211" s="281">
        <v>0</v>
      </c>
    </row>
    <row r="212" spans="1:11" ht="14.25" x14ac:dyDescent="0.2">
      <c r="C212" s="442" t="s">
        <v>1920</v>
      </c>
      <c r="D212" s="442"/>
      <c r="E212" s="442"/>
      <c r="F212" s="442"/>
      <c r="G212" s="442"/>
      <c r="H212" s="443">
        <v>282298.2</v>
      </c>
      <c r="I212" s="443"/>
      <c r="J212" s="443">
        <v>1482861.37</v>
      </c>
      <c r="K212" s="443"/>
    </row>
    <row r="213" spans="1:11" ht="14.25" x14ac:dyDescent="0.2">
      <c r="C213" s="442" t="s">
        <v>1933</v>
      </c>
      <c r="D213" s="442"/>
      <c r="E213" s="442"/>
      <c r="F213" s="442"/>
      <c r="G213" s="442"/>
      <c r="H213" s="443">
        <v>248782.67</v>
      </c>
      <c r="I213" s="443"/>
      <c r="J213" s="443">
        <v>744393.67</v>
      </c>
      <c r="K213" s="443"/>
    </row>
    <row r="214" spans="1:11" ht="14.25" x14ac:dyDescent="0.2">
      <c r="C214" s="442" t="s">
        <v>1934</v>
      </c>
      <c r="D214" s="442"/>
      <c r="E214" s="442"/>
      <c r="F214" s="442"/>
      <c r="G214" s="442"/>
      <c r="H214" s="443">
        <v>234340.86</v>
      </c>
      <c r="I214" s="443"/>
      <c r="J214" s="443">
        <v>680154.85</v>
      </c>
      <c r="K214" s="443"/>
    </row>
    <row r="215" spans="1:11" ht="14.25" x14ac:dyDescent="0.2">
      <c r="C215" s="442" t="s">
        <v>1935</v>
      </c>
      <c r="D215" s="442"/>
      <c r="E215" s="442"/>
      <c r="F215" s="442"/>
      <c r="G215" s="442"/>
      <c r="H215" s="443">
        <v>14441.81</v>
      </c>
      <c r="I215" s="443"/>
      <c r="J215" s="443">
        <v>64238.82</v>
      </c>
      <c r="K215" s="443"/>
    </row>
    <row r="216" spans="1:11" ht="14.25" x14ac:dyDescent="0.2">
      <c r="C216" s="442" t="s">
        <v>1938</v>
      </c>
      <c r="D216" s="442"/>
      <c r="E216" s="442"/>
      <c r="F216" s="442"/>
      <c r="G216" s="442"/>
      <c r="H216" s="443">
        <v>30557.58</v>
      </c>
      <c r="I216" s="443"/>
      <c r="J216" s="443">
        <v>713519.5</v>
      </c>
      <c r="K216" s="443"/>
    </row>
    <row r="217" spans="1:11" ht="14.25" x14ac:dyDescent="0.2">
      <c r="C217" s="442" t="s">
        <v>1939</v>
      </c>
      <c r="D217" s="442"/>
      <c r="E217" s="442"/>
      <c r="F217" s="442"/>
      <c r="G217" s="442"/>
      <c r="H217" s="443">
        <v>0</v>
      </c>
      <c r="I217" s="443"/>
      <c r="J217" s="443">
        <v>0</v>
      </c>
      <c r="K217" s="443"/>
    </row>
    <row r="218" spans="1:11" ht="14.25" x14ac:dyDescent="0.2">
      <c r="C218" s="442" t="s">
        <v>1940</v>
      </c>
      <c r="D218" s="442"/>
      <c r="E218" s="442"/>
      <c r="F218" s="442"/>
      <c r="G218" s="442"/>
      <c r="H218" s="443">
        <v>324357.28000000003</v>
      </c>
      <c r="I218" s="443"/>
      <c r="J218" s="443">
        <v>2386165.2999999998</v>
      </c>
      <c r="K218" s="443"/>
    </row>
    <row r="219" spans="1:11" ht="14.25" x14ac:dyDescent="0.2">
      <c r="C219" s="442" t="s">
        <v>1941</v>
      </c>
      <c r="D219" s="442"/>
      <c r="E219" s="442"/>
      <c r="F219" s="442"/>
      <c r="G219" s="442"/>
      <c r="H219" s="443">
        <v>0</v>
      </c>
      <c r="I219" s="443"/>
      <c r="J219" s="443">
        <v>0</v>
      </c>
      <c r="K219" s="443"/>
    </row>
    <row r="220" spans="1:11" ht="14.25" x14ac:dyDescent="0.2">
      <c r="C220" s="442" t="s">
        <v>1942</v>
      </c>
      <c r="D220" s="442"/>
      <c r="E220" s="442"/>
      <c r="F220" s="442"/>
      <c r="G220" s="442"/>
      <c r="H220" s="443">
        <v>34224.5</v>
      </c>
      <c r="I220" s="443"/>
      <c r="J220" s="443">
        <v>642167.55000000005</v>
      </c>
      <c r="K220" s="443"/>
    </row>
    <row r="221" spans="1:11" ht="14.25" x14ac:dyDescent="0.2">
      <c r="C221" s="442" t="s">
        <v>1943</v>
      </c>
      <c r="D221" s="442"/>
      <c r="E221" s="442"/>
      <c r="F221" s="442"/>
      <c r="G221" s="442"/>
      <c r="H221" s="443">
        <v>21390.31</v>
      </c>
      <c r="I221" s="443"/>
      <c r="J221" s="443">
        <v>306813.39</v>
      </c>
      <c r="K221" s="443"/>
    </row>
    <row r="222" spans="1:11" ht="14.25" x14ac:dyDescent="0.2">
      <c r="C222" s="442" t="s">
        <v>1944</v>
      </c>
      <c r="D222" s="442"/>
      <c r="E222" s="442"/>
      <c r="F222" s="442"/>
      <c r="G222" s="442"/>
      <c r="H222" s="443">
        <v>338799.09</v>
      </c>
      <c r="I222" s="443"/>
      <c r="J222" s="443">
        <v>2450404.12</v>
      </c>
      <c r="K222" s="443"/>
    </row>
    <row r="225" spans="1:11" ht="14.25" x14ac:dyDescent="0.2">
      <c r="A225" s="440" t="s">
        <v>180</v>
      </c>
      <c r="B225" s="440"/>
      <c r="C225" s="317" t="s">
        <v>107</v>
      </c>
      <c r="D225" s="317"/>
      <c r="E225" s="317"/>
      <c r="F225" s="317"/>
      <c r="G225" s="317"/>
      <c r="H225" s="287" t="s">
        <v>107</v>
      </c>
      <c r="I225" s="287"/>
      <c r="J225" s="287"/>
      <c r="K225" s="287"/>
    </row>
    <row r="226" spans="1:11" ht="14.25" x14ac:dyDescent="0.2">
      <c r="A226" s="287"/>
      <c r="B226" s="287"/>
      <c r="C226" s="468" t="s">
        <v>72</v>
      </c>
      <c r="D226" s="468"/>
      <c r="E226" s="468"/>
      <c r="F226" s="468"/>
      <c r="G226" s="468"/>
      <c r="H226" s="287"/>
      <c r="I226" s="287"/>
      <c r="J226" s="287"/>
      <c r="K226" s="287"/>
    </row>
    <row r="227" spans="1:11" ht="14.25" x14ac:dyDescent="0.2">
      <c r="A227" s="287"/>
      <c r="B227" s="287"/>
      <c r="C227" s="287"/>
      <c r="D227" s="287"/>
      <c r="E227" s="287"/>
      <c r="F227" s="287"/>
      <c r="G227" s="287"/>
      <c r="H227" s="287"/>
      <c r="I227" s="287"/>
      <c r="J227" s="287"/>
      <c r="K227" s="287"/>
    </row>
    <row r="228" spans="1:11" ht="14.25" x14ac:dyDescent="0.2">
      <c r="A228" s="440" t="s">
        <v>179</v>
      </c>
      <c r="B228" s="440"/>
      <c r="C228" s="317" t="s">
        <v>107</v>
      </c>
      <c r="D228" s="317"/>
      <c r="E228" s="317"/>
      <c r="F228" s="317"/>
      <c r="G228" s="317"/>
      <c r="H228" s="287" t="s">
        <v>107</v>
      </c>
      <c r="I228" s="287"/>
      <c r="J228" s="287"/>
      <c r="K228" s="287"/>
    </row>
    <row r="229" spans="1:11" ht="14.25" x14ac:dyDescent="0.2">
      <c r="A229" s="287"/>
      <c r="B229" s="287"/>
      <c r="C229" s="468" t="s">
        <v>72</v>
      </c>
      <c r="D229" s="468"/>
      <c r="E229" s="468"/>
      <c r="F229" s="468"/>
      <c r="G229" s="468"/>
      <c r="H229" s="287"/>
      <c r="I229" s="287"/>
      <c r="J229" s="287"/>
      <c r="K229" s="287"/>
    </row>
  </sheetData>
  <mergeCells count="107">
    <mergeCell ref="A225:B225"/>
    <mergeCell ref="C226:G226"/>
    <mergeCell ref="A228:B228"/>
    <mergeCell ref="C229:G229"/>
    <mergeCell ref="C221:G221"/>
    <mergeCell ref="H221:I221"/>
    <mergeCell ref="C217:G217"/>
    <mergeCell ref="H217:I217"/>
    <mergeCell ref="J217:K217"/>
    <mergeCell ref="C218:G218"/>
    <mergeCell ref="H218:I218"/>
    <mergeCell ref="J218:K218"/>
    <mergeCell ref="J221:K221"/>
    <mergeCell ref="C222:G222"/>
    <mergeCell ref="H222:I222"/>
    <mergeCell ref="J222:K222"/>
    <mergeCell ref="C219:G219"/>
    <mergeCell ref="H219:I219"/>
    <mergeCell ref="J219:K219"/>
    <mergeCell ref="C220:G220"/>
    <mergeCell ref="H220:I220"/>
    <mergeCell ref="J220:K220"/>
    <mergeCell ref="C214:G214"/>
    <mergeCell ref="H214:I214"/>
    <mergeCell ref="J214:K214"/>
    <mergeCell ref="C215:G215"/>
    <mergeCell ref="H215:I215"/>
    <mergeCell ref="J215:K215"/>
    <mergeCell ref="C216:G216"/>
    <mergeCell ref="H216:I216"/>
    <mergeCell ref="J216:K216"/>
    <mergeCell ref="J209:K209"/>
    <mergeCell ref="H209:I209"/>
    <mergeCell ref="A209:G209"/>
    <mergeCell ref="C212:G212"/>
    <mergeCell ref="H212:I212"/>
    <mergeCell ref="J212:K212"/>
    <mergeCell ref="C213:G213"/>
    <mergeCell ref="H213:I213"/>
    <mergeCell ref="J213:K213"/>
    <mergeCell ref="J195:K195"/>
    <mergeCell ref="H195:I195"/>
    <mergeCell ref="J198:K198"/>
    <mergeCell ref="H198:I198"/>
    <mergeCell ref="J201:K201"/>
    <mergeCell ref="H201:I201"/>
    <mergeCell ref="A201:G201"/>
    <mergeCell ref="J205:K205"/>
    <mergeCell ref="H205:I205"/>
    <mergeCell ref="A205:G205"/>
    <mergeCell ref="J181:K181"/>
    <mergeCell ref="H181:I181"/>
    <mergeCell ref="A184:K184"/>
    <mergeCell ref="J186:K186"/>
    <mergeCell ref="H186:I186"/>
    <mergeCell ref="J189:K189"/>
    <mergeCell ref="H189:I189"/>
    <mergeCell ref="J192:K192"/>
    <mergeCell ref="H192:I192"/>
    <mergeCell ref="J116:K116"/>
    <mergeCell ref="H116:I116"/>
    <mergeCell ref="J129:K129"/>
    <mergeCell ref="H129:I129"/>
    <mergeCell ref="J142:K142"/>
    <mergeCell ref="H142:I142"/>
    <mergeCell ref="J155:K155"/>
    <mergeCell ref="H155:I155"/>
    <mergeCell ref="J168:K168"/>
    <mergeCell ref="H168:I168"/>
    <mergeCell ref="J64:K64"/>
    <mergeCell ref="H64:I64"/>
    <mergeCell ref="J73:K73"/>
    <mergeCell ref="H73:I73"/>
    <mergeCell ref="J83:K83"/>
    <mergeCell ref="H83:I83"/>
    <mergeCell ref="J92:K92"/>
    <mergeCell ref="H92:I92"/>
    <mergeCell ref="J102:K102"/>
    <mergeCell ref="H102:I102"/>
    <mergeCell ref="F25:H25"/>
    <mergeCell ref="F26:H26"/>
    <mergeCell ref="F27:H27"/>
    <mergeCell ref="F29:H29"/>
    <mergeCell ref="A32:K32"/>
    <mergeCell ref="A36:K36"/>
    <mergeCell ref="J47:K47"/>
    <mergeCell ref="H47:I47"/>
    <mergeCell ref="J55:K55"/>
    <mergeCell ref="H55:I55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B3:E3"/>
    <mergeCell ref="G3:K3"/>
    <mergeCell ref="B4:E4"/>
    <mergeCell ref="G4:K4"/>
    <mergeCell ref="B6:E6"/>
    <mergeCell ref="G6:K6"/>
    <mergeCell ref="B7:E7"/>
    <mergeCell ref="G7:K7"/>
    <mergeCell ref="A10:K10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K378"/>
  <sheetViews>
    <sheetView zoomScaleNormal="100" workbookViewId="0">
      <selection sqref="A1:AK1048576"/>
    </sheetView>
  </sheetViews>
  <sheetFormatPr defaultColWidth="9.140625" defaultRowHeight="12.75" x14ac:dyDescent="0.2"/>
  <cols>
    <col min="1" max="1" width="5.7109375" style="281" customWidth="1"/>
    <col min="2" max="2" width="11.7109375" style="281" customWidth="1"/>
    <col min="3" max="3" width="40.7109375" style="281" customWidth="1"/>
    <col min="4" max="6" width="11.7109375" style="281" customWidth="1"/>
    <col min="7" max="7" width="12.7109375" style="281" customWidth="1"/>
    <col min="8" max="8" width="10.7109375" style="281" customWidth="1"/>
    <col min="9" max="11" width="12.7109375" style="281" customWidth="1"/>
    <col min="12" max="14" width="9.140625" style="281"/>
    <col min="15" max="30" width="0" style="281" hidden="1" customWidth="1"/>
    <col min="31" max="31" width="150.7109375" style="281" hidden="1" customWidth="1"/>
    <col min="32" max="36" width="0" style="281" hidden="1" customWidth="1"/>
    <col min="37" max="37" width="9.140625" style="281"/>
    <col min="38" max="16384" width="9.140625" style="160"/>
  </cols>
  <sheetData>
    <row r="1" spans="1:31" x14ac:dyDescent="0.2">
      <c r="A1" s="285" t="s">
        <v>1523</v>
      </c>
    </row>
    <row r="2" spans="1:31" ht="14.25" x14ac:dyDescent="0.2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7" t="s">
        <v>381</v>
      </c>
    </row>
    <row r="3" spans="1:31" ht="16.5" x14ac:dyDescent="0.25">
      <c r="A3" s="288"/>
      <c r="B3" s="458" t="s">
        <v>380</v>
      </c>
      <c r="C3" s="458"/>
      <c r="D3" s="458"/>
      <c r="E3" s="458"/>
      <c r="F3" s="287"/>
      <c r="G3" s="458" t="s">
        <v>0</v>
      </c>
      <c r="H3" s="458"/>
      <c r="I3" s="458"/>
      <c r="J3" s="458"/>
      <c r="K3" s="458"/>
    </row>
    <row r="4" spans="1:31" ht="14.25" x14ac:dyDescent="0.2">
      <c r="A4" s="287"/>
      <c r="B4" s="450"/>
      <c r="C4" s="450"/>
      <c r="D4" s="450"/>
      <c r="E4" s="450"/>
      <c r="F4" s="287"/>
      <c r="G4" s="450"/>
      <c r="H4" s="450"/>
      <c r="I4" s="450"/>
      <c r="J4" s="450"/>
      <c r="K4" s="450"/>
    </row>
    <row r="5" spans="1:31" ht="14.25" x14ac:dyDescent="0.2">
      <c r="A5" s="289"/>
      <c r="B5" s="289"/>
      <c r="C5" s="290"/>
      <c r="D5" s="290"/>
      <c r="E5" s="290"/>
      <c r="F5" s="287"/>
      <c r="G5" s="188"/>
      <c r="H5" s="290"/>
      <c r="I5" s="290"/>
      <c r="J5" s="290"/>
      <c r="K5" s="188"/>
    </row>
    <row r="6" spans="1:31" ht="14.25" x14ac:dyDescent="0.2">
      <c r="A6" s="188"/>
      <c r="B6" s="450" t="s">
        <v>1524</v>
      </c>
      <c r="C6" s="450"/>
      <c r="D6" s="450"/>
      <c r="E6" s="450"/>
      <c r="F6" s="287"/>
      <c r="G6" s="450" t="s">
        <v>1524</v>
      </c>
      <c r="H6" s="450"/>
      <c r="I6" s="450"/>
      <c r="J6" s="450"/>
      <c r="K6" s="450"/>
    </row>
    <row r="7" spans="1:31" ht="14.25" x14ac:dyDescent="0.2">
      <c r="A7" s="291"/>
      <c r="B7" s="459" t="s">
        <v>379</v>
      </c>
      <c r="C7" s="459"/>
      <c r="D7" s="459"/>
      <c r="E7" s="459"/>
      <c r="F7" s="287"/>
      <c r="G7" s="459" t="s">
        <v>379</v>
      </c>
      <c r="H7" s="459"/>
      <c r="I7" s="459"/>
      <c r="J7" s="459"/>
      <c r="K7" s="459"/>
    </row>
    <row r="9" spans="1:31" ht="14.25" x14ac:dyDescent="0.2">
      <c r="A9" s="287"/>
      <c r="B9" s="287"/>
      <c r="C9" s="287"/>
      <c r="D9" s="287"/>
      <c r="E9" s="287"/>
      <c r="F9" s="287"/>
      <c r="G9" s="287"/>
      <c r="H9" s="287"/>
      <c r="I9" s="287"/>
      <c r="J9" s="287"/>
      <c r="K9" s="287"/>
    </row>
    <row r="10" spans="1:31" ht="47.25" x14ac:dyDescent="0.25">
      <c r="A10" s="464" t="s">
        <v>3850</v>
      </c>
      <c r="B10" s="464"/>
      <c r="C10" s="464"/>
      <c r="D10" s="464"/>
      <c r="E10" s="464"/>
      <c r="F10" s="464"/>
      <c r="G10" s="464"/>
      <c r="H10" s="464"/>
      <c r="I10" s="464"/>
      <c r="J10" s="464"/>
      <c r="K10" s="464"/>
      <c r="AE10" s="319" t="str">
        <f>IF([17]Source!G12&lt;&gt;"Новый объект", [17]Source!G12,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60" t="s">
        <v>75</v>
      </c>
      <c r="B11" s="460"/>
      <c r="C11" s="460"/>
      <c r="D11" s="460"/>
      <c r="E11" s="460"/>
      <c r="F11" s="460"/>
      <c r="G11" s="460"/>
      <c r="H11" s="460"/>
      <c r="I11" s="460"/>
      <c r="J11" s="460"/>
      <c r="K11" s="460"/>
    </row>
    <row r="12" spans="1:31" ht="14.25" x14ac:dyDescent="0.2">
      <c r="A12" s="287"/>
      <c r="B12" s="287"/>
      <c r="C12" s="287"/>
      <c r="D12" s="287"/>
      <c r="E12" s="287"/>
      <c r="F12" s="287"/>
      <c r="G12" s="287"/>
      <c r="H12" s="287"/>
      <c r="I12" s="287"/>
      <c r="J12" s="287"/>
      <c r="K12" s="287"/>
    </row>
    <row r="13" spans="1:31" ht="15.75" x14ac:dyDescent="0.25">
      <c r="A13" s="464" t="s">
        <v>3896</v>
      </c>
      <c r="B13" s="465"/>
      <c r="C13" s="465"/>
      <c r="D13" s="465"/>
      <c r="E13" s="465"/>
      <c r="F13" s="465"/>
      <c r="G13" s="465"/>
      <c r="H13" s="465"/>
      <c r="I13" s="465"/>
      <c r="J13" s="465"/>
      <c r="K13" s="465"/>
    </row>
    <row r="14" spans="1:31" ht="14.25" x14ac:dyDescent="0.2">
      <c r="A14" s="287"/>
      <c r="B14" s="287"/>
      <c r="C14" s="287"/>
      <c r="D14" s="287"/>
      <c r="E14" s="287"/>
      <c r="F14" s="287"/>
      <c r="G14" s="287"/>
      <c r="H14" s="287"/>
      <c r="I14" s="287"/>
      <c r="J14" s="287"/>
      <c r="K14" s="287"/>
    </row>
    <row r="15" spans="1:31" ht="18" x14ac:dyDescent="0.25">
      <c r="A15" s="466" t="s">
        <v>3616</v>
      </c>
      <c r="B15" s="466"/>
      <c r="C15" s="466"/>
      <c r="D15" s="466"/>
      <c r="E15" s="466"/>
      <c r="F15" s="466"/>
      <c r="G15" s="466"/>
      <c r="H15" s="466"/>
      <c r="I15" s="466"/>
      <c r="J15" s="466"/>
      <c r="K15" s="466"/>
    </row>
    <row r="16" spans="1:31" x14ac:dyDescent="0.2">
      <c r="A16" s="455" t="s">
        <v>378</v>
      </c>
      <c r="B16" s="456"/>
      <c r="C16" s="456"/>
      <c r="D16" s="456"/>
      <c r="E16" s="456"/>
      <c r="F16" s="456"/>
      <c r="G16" s="456"/>
      <c r="H16" s="456"/>
      <c r="I16" s="456"/>
      <c r="J16" s="456"/>
      <c r="K16" s="456"/>
    </row>
    <row r="17" spans="1:31" ht="14.25" x14ac:dyDescent="0.2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</row>
    <row r="18" spans="1:31" ht="14.25" x14ac:dyDescent="0.2">
      <c r="A18" s="463" t="s">
        <v>3857</v>
      </c>
      <c r="B18" s="463"/>
      <c r="C18" s="463"/>
      <c r="D18" s="463"/>
      <c r="E18" s="463"/>
      <c r="F18" s="463"/>
      <c r="G18" s="463"/>
      <c r="H18" s="463"/>
      <c r="I18" s="463"/>
      <c r="J18" s="463"/>
      <c r="K18" s="463"/>
    </row>
    <row r="19" spans="1:31" ht="14.25" x14ac:dyDescent="0.2">
      <c r="A19" s="293"/>
      <c r="B19" s="293"/>
      <c r="C19" s="293"/>
      <c r="D19" s="293"/>
      <c r="E19" s="293"/>
      <c r="F19" s="293"/>
      <c r="G19" s="293"/>
      <c r="H19" s="293"/>
      <c r="I19" s="293"/>
      <c r="J19" s="293"/>
      <c r="K19" s="293"/>
    </row>
    <row r="20" spans="1:31" ht="28.5" x14ac:dyDescent="0.2">
      <c r="A20" s="287"/>
      <c r="B20" s="287"/>
      <c r="C20" s="287"/>
      <c r="D20" s="287"/>
      <c r="E20" s="287"/>
      <c r="F20" s="287"/>
      <c r="G20" s="287"/>
      <c r="H20" s="287"/>
      <c r="I20" s="294" t="s">
        <v>377</v>
      </c>
      <c r="J20" s="294" t="s">
        <v>376</v>
      </c>
      <c r="K20" s="287"/>
    </row>
    <row r="21" spans="1:31" ht="15" x14ac:dyDescent="0.25">
      <c r="A21" s="287"/>
      <c r="B21" s="287"/>
      <c r="C21" s="287"/>
      <c r="D21" s="287"/>
      <c r="E21" s="287"/>
      <c r="F21" s="457" t="s">
        <v>375</v>
      </c>
      <c r="G21" s="457"/>
      <c r="H21" s="457"/>
      <c r="I21" s="295">
        <v>312.63</v>
      </c>
      <c r="J21" s="295">
        <v>1995.35</v>
      </c>
      <c r="K21" s="296" t="s">
        <v>366</v>
      </c>
    </row>
    <row r="22" spans="1:31" ht="14.25" x14ac:dyDescent="0.2">
      <c r="A22" s="287"/>
      <c r="B22" s="287"/>
      <c r="C22" s="287"/>
      <c r="D22" s="287"/>
      <c r="E22" s="287"/>
      <c r="F22" s="450" t="s">
        <v>374</v>
      </c>
      <c r="G22" s="450"/>
      <c r="H22" s="450"/>
      <c r="I22" s="297">
        <v>0</v>
      </c>
      <c r="J22" s="297">
        <v>0</v>
      </c>
      <c r="K22" s="287" t="s">
        <v>366</v>
      </c>
    </row>
    <row r="23" spans="1:31" ht="14.25" x14ac:dyDescent="0.2">
      <c r="A23" s="287"/>
      <c r="B23" s="287"/>
      <c r="C23" s="287"/>
      <c r="D23" s="287"/>
      <c r="E23" s="287"/>
      <c r="F23" s="450" t="s">
        <v>373</v>
      </c>
      <c r="G23" s="450"/>
      <c r="H23" s="450"/>
      <c r="I23" s="297">
        <v>226.53</v>
      </c>
      <c r="J23" s="297">
        <v>1631.84</v>
      </c>
      <c r="K23" s="287" t="s">
        <v>366</v>
      </c>
    </row>
    <row r="24" spans="1:31" ht="14.25" x14ac:dyDescent="0.2">
      <c r="A24" s="287"/>
      <c r="B24" s="287"/>
      <c r="C24" s="287"/>
      <c r="D24" s="287"/>
      <c r="E24" s="287"/>
      <c r="F24" s="450" t="s">
        <v>106</v>
      </c>
      <c r="G24" s="450"/>
      <c r="H24" s="450"/>
      <c r="I24" s="297">
        <v>86.1</v>
      </c>
      <c r="J24" s="297">
        <v>363.51</v>
      </c>
      <c r="K24" s="287" t="s">
        <v>366</v>
      </c>
    </row>
    <row r="25" spans="1:31" ht="14.25" x14ac:dyDescent="0.2">
      <c r="A25" s="287"/>
      <c r="B25" s="287"/>
      <c r="C25" s="287"/>
      <c r="D25" s="287"/>
      <c r="E25" s="287"/>
      <c r="F25" s="450" t="s">
        <v>372</v>
      </c>
      <c r="G25" s="450"/>
      <c r="H25" s="450"/>
      <c r="I25" s="297">
        <v>0</v>
      </c>
      <c r="J25" s="297">
        <v>0</v>
      </c>
      <c r="K25" s="287" t="s">
        <v>366</v>
      </c>
    </row>
    <row r="26" spans="1:31" ht="14.25" x14ac:dyDescent="0.2">
      <c r="A26" s="287"/>
      <c r="B26" s="287"/>
      <c r="C26" s="287"/>
      <c r="D26" s="287"/>
      <c r="E26" s="287"/>
      <c r="F26" s="450" t="s">
        <v>371</v>
      </c>
      <c r="G26" s="450"/>
      <c r="H26" s="450"/>
      <c r="I26" s="297">
        <v>20.12</v>
      </c>
      <c r="J26" s="297">
        <v>469.89</v>
      </c>
      <c r="K26" s="287" t="s">
        <v>366</v>
      </c>
    </row>
    <row r="27" spans="1:31" ht="14.25" x14ac:dyDescent="0.2">
      <c r="A27" s="287"/>
      <c r="B27" s="287"/>
      <c r="C27" s="287"/>
      <c r="D27" s="287"/>
      <c r="E27" s="287"/>
      <c r="F27" s="450" t="s">
        <v>370</v>
      </c>
      <c r="G27" s="450"/>
      <c r="H27" s="450"/>
      <c r="I27" s="297">
        <v>1567.11</v>
      </c>
      <c r="J27" s="297"/>
      <c r="K27" s="287" t="s">
        <v>369</v>
      </c>
    </row>
    <row r="28" spans="1:31" ht="14.25" hidden="1" x14ac:dyDescent="0.2">
      <c r="A28" s="287"/>
      <c r="B28" s="287"/>
      <c r="C28" s="287"/>
      <c r="D28" s="287"/>
      <c r="E28" s="287"/>
      <c r="F28" s="188" t="s">
        <v>368</v>
      </c>
      <c r="G28" s="188"/>
      <c r="H28" s="188"/>
      <c r="I28" s="297"/>
      <c r="J28" s="297"/>
      <c r="K28" s="287"/>
    </row>
    <row r="29" spans="1:31" ht="14.25" hidden="1" x14ac:dyDescent="0.2">
      <c r="A29" s="287"/>
      <c r="B29" s="287"/>
      <c r="C29" s="287"/>
      <c r="D29" s="287"/>
      <c r="E29" s="287"/>
      <c r="F29" s="419" t="s">
        <v>367</v>
      </c>
      <c r="G29" s="420"/>
      <c r="H29" s="420"/>
      <c r="I29" s="297">
        <v>0</v>
      </c>
      <c r="J29" s="297">
        <v>0</v>
      </c>
      <c r="K29" s="287" t="s">
        <v>366</v>
      </c>
    </row>
    <row r="30" spans="1:31" ht="14.25" x14ac:dyDescent="0.2">
      <c r="A30" s="287"/>
      <c r="B30" s="287"/>
      <c r="C30" s="287"/>
      <c r="D30" s="287"/>
      <c r="E30" s="287"/>
      <c r="F30" s="188"/>
      <c r="G30" s="188"/>
      <c r="H30" s="188"/>
      <c r="I30" s="297"/>
      <c r="J30" s="297"/>
      <c r="K30" s="287"/>
    </row>
    <row r="31" spans="1:31" ht="14.25" x14ac:dyDescent="0.2">
      <c r="A31" s="287" t="s">
        <v>365</v>
      </c>
      <c r="B31" s="287"/>
      <c r="C31" s="287"/>
      <c r="D31" s="287"/>
      <c r="E31" s="287"/>
      <c r="F31" s="188"/>
      <c r="G31" s="188"/>
      <c r="H31" s="188"/>
      <c r="I31" s="297"/>
      <c r="J31" s="297"/>
      <c r="K31" s="287"/>
    </row>
    <row r="32" spans="1:31" ht="14.25" x14ac:dyDescent="0.2">
      <c r="A32" s="463" t="s">
        <v>1249</v>
      </c>
      <c r="B32" s="463"/>
      <c r="C32" s="463"/>
      <c r="D32" s="463"/>
      <c r="E32" s="463"/>
      <c r="F32" s="463"/>
      <c r="G32" s="463"/>
      <c r="H32" s="463"/>
      <c r="I32" s="463"/>
      <c r="J32" s="463"/>
      <c r="K32" s="463"/>
      <c r="AE32" s="320" t="s">
        <v>1249</v>
      </c>
    </row>
    <row r="33" spans="1:22" ht="85.5" x14ac:dyDescent="0.2">
      <c r="A33" s="299" t="s">
        <v>81</v>
      </c>
      <c r="B33" s="299" t="s">
        <v>363</v>
      </c>
      <c r="C33" s="299" t="s">
        <v>83</v>
      </c>
      <c r="D33" s="299" t="s">
        <v>362</v>
      </c>
      <c r="E33" s="299" t="s">
        <v>361</v>
      </c>
      <c r="F33" s="299" t="s">
        <v>360</v>
      </c>
      <c r="G33" s="300" t="s">
        <v>359</v>
      </c>
      <c r="H33" s="300" t="s">
        <v>358</v>
      </c>
      <c r="I33" s="299" t="s">
        <v>357</v>
      </c>
      <c r="J33" s="299" t="s">
        <v>356</v>
      </c>
      <c r="K33" s="299" t="s">
        <v>355</v>
      </c>
    </row>
    <row r="34" spans="1:22" ht="14.25" x14ac:dyDescent="0.2">
      <c r="A34" s="299">
        <v>1</v>
      </c>
      <c r="B34" s="299">
        <v>2</v>
      </c>
      <c r="C34" s="299">
        <v>3</v>
      </c>
      <c r="D34" s="299">
        <v>4</v>
      </c>
      <c r="E34" s="299">
        <v>5</v>
      </c>
      <c r="F34" s="299">
        <v>6</v>
      </c>
      <c r="G34" s="299">
        <v>7</v>
      </c>
      <c r="H34" s="299">
        <v>8</v>
      </c>
      <c r="I34" s="299">
        <v>9</v>
      </c>
      <c r="J34" s="299">
        <v>10</v>
      </c>
      <c r="K34" s="299">
        <v>11</v>
      </c>
    </row>
    <row r="36" spans="1:22" ht="16.5" x14ac:dyDescent="0.25">
      <c r="A36" s="448" t="s">
        <v>3617</v>
      </c>
      <c r="B36" s="448"/>
      <c r="C36" s="448"/>
      <c r="D36" s="448"/>
      <c r="E36" s="448"/>
      <c r="F36" s="448"/>
      <c r="G36" s="448"/>
      <c r="H36" s="448"/>
      <c r="I36" s="448"/>
      <c r="J36" s="448"/>
      <c r="K36" s="448"/>
    </row>
    <row r="37" spans="1:22" ht="28.5" x14ac:dyDescent="0.2">
      <c r="A37" s="301" t="s">
        <v>1842</v>
      </c>
      <c r="B37" s="302" t="s">
        <v>3618</v>
      </c>
      <c r="C37" s="302" t="s">
        <v>1248</v>
      </c>
      <c r="D37" s="303" t="s">
        <v>1903</v>
      </c>
      <c r="E37" s="286">
        <v>1</v>
      </c>
      <c r="F37" s="304"/>
      <c r="G37" s="305"/>
      <c r="H37" s="286"/>
      <c r="I37" s="304"/>
      <c r="J37" s="286"/>
      <c r="K37" s="304"/>
      <c r="Q37" s="281">
        <f>[17]Source!X30</f>
        <v>12.9</v>
      </c>
      <c r="R37" s="281">
        <f>[17]Source!X31</f>
        <v>242.09</v>
      </c>
      <c r="S37" s="281">
        <f>[17]Source!Y30</f>
        <v>8.06</v>
      </c>
      <c r="T37" s="281">
        <f>[17]Source!Y31</f>
        <v>110.29</v>
      </c>
      <c r="U37" s="281">
        <f>ROUND((175/100)*ROUND([17]Source!R30, 2), 2)</f>
        <v>4.92</v>
      </c>
      <c r="V37" s="281">
        <f>ROUND((157/100)*ROUND([17]Source!R31, 2), 2)</f>
        <v>103.01</v>
      </c>
    </row>
    <row r="38" spans="1:22" ht="14.25" x14ac:dyDescent="0.2">
      <c r="A38" s="301"/>
      <c r="B38" s="302"/>
      <c r="C38" s="302" t="s">
        <v>197</v>
      </c>
      <c r="D38" s="303"/>
      <c r="E38" s="286"/>
      <c r="F38" s="304">
        <v>11.52</v>
      </c>
      <c r="G38" s="305" t="s">
        <v>195</v>
      </c>
      <c r="H38" s="286">
        <v>1</v>
      </c>
      <c r="I38" s="304">
        <v>11.52</v>
      </c>
      <c r="J38" s="286">
        <v>23.35</v>
      </c>
      <c r="K38" s="304">
        <v>268.99</v>
      </c>
    </row>
    <row r="39" spans="1:22" ht="14.25" x14ac:dyDescent="0.2">
      <c r="A39" s="301"/>
      <c r="B39" s="302"/>
      <c r="C39" s="302" t="s">
        <v>184</v>
      </c>
      <c r="D39" s="303"/>
      <c r="E39" s="286"/>
      <c r="F39" s="304">
        <v>11.91</v>
      </c>
      <c r="G39" s="305" t="s">
        <v>195</v>
      </c>
      <c r="H39" s="286">
        <v>1</v>
      </c>
      <c r="I39" s="304">
        <v>11.91</v>
      </c>
      <c r="J39" s="286">
        <v>9.6</v>
      </c>
      <c r="K39" s="304">
        <v>114.34</v>
      </c>
    </row>
    <row r="40" spans="1:22" ht="14.25" x14ac:dyDescent="0.2">
      <c r="A40" s="301"/>
      <c r="B40" s="302"/>
      <c r="C40" s="302" t="s">
        <v>189</v>
      </c>
      <c r="D40" s="303"/>
      <c r="E40" s="286"/>
      <c r="F40" s="304">
        <v>2.81</v>
      </c>
      <c r="G40" s="305" t="s">
        <v>195</v>
      </c>
      <c r="H40" s="286">
        <v>1</v>
      </c>
      <c r="I40" s="306">
        <v>2.81</v>
      </c>
      <c r="J40" s="286">
        <v>23.35</v>
      </c>
      <c r="K40" s="306">
        <v>65.61</v>
      </c>
    </row>
    <row r="41" spans="1:22" ht="14.25" x14ac:dyDescent="0.2">
      <c r="A41" s="301"/>
      <c r="B41" s="302"/>
      <c r="C41" s="302" t="s">
        <v>205</v>
      </c>
      <c r="D41" s="303"/>
      <c r="E41" s="286"/>
      <c r="F41" s="304">
        <v>0.14000000000000001</v>
      </c>
      <c r="G41" s="305" t="s">
        <v>195</v>
      </c>
      <c r="H41" s="286">
        <v>1</v>
      </c>
      <c r="I41" s="304">
        <v>0.14000000000000001</v>
      </c>
      <c r="J41" s="286">
        <v>5.43</v>
      </c>
      <c r="K41" s="304">
        <v>0.76</v>
      </c>
    </row>
    <row r="42" spans="1:22" ht="14.25" x14ac:dyDescent="0.2">
      <c r="A42" s="301"/>
      <c r="B42" s="302"/>
      <c r="C42" s="302" t="s">
        <v>194</v>
      </c>
      <c r="D42" s="303" t="s">
        <v>187</v>
      </c>
      <c r="E42" s="286">
        <v>112</v>
      </c>
      <c r="F42" s="304"/>
      <c r="G42" s="305"/>
      <c r="H42" s="286"/>
      <c r="I42" s="304">
        <v>12.9</v>
      </c>
      <c r="J42" s="286">
        <v>90</v>
      </c>
      <c r="K42" s="304">
        <v>242.09</v>
      </c>
    </row>
    <row r="43" spans="1:22" ht="14.25" x14ac:dyDescent="0.2">
      <c r="A43" s="301"/>
      <c r="B43" s="302"/>
      <c r="C43" s="302" t="s">
        <v>193</v>
      </c>
      <c r="D43" s="303" t="s">
        <v>187</v>
      </c>
      <c r="E43" s="286">
        <v>70</v>
      </c>
      <c r="F43" s="304"/>
      <c r="G43" s="305"/>
      <c r="H43" s="286"/>
      <c r="I43" s="304">
        <v>8.06</v>
      </c>
      <c r="J43" s="286">
        <v>41</v>
      </c>
      <c r="K43" s="304">
        <v>110.29</v>
      </c>
    </row>
    <row r="44" spans="1:22" ht="14.25" x14ac:dyDescent="0.2">
      <c r="A44" s="301"/>
      <c r="B44" s="302"/>
      <c r="C44" s="302" t="s">
        <v>188</v>
      </c>
      <c r="D44" s="303" t="s">
        <v>187</v>
      </c>
      <c r="E44" s="286">
        <v>175</v>
      </c>
      <c r="F44" s="304"/>
      <c r="G44" s="305"/>
      <c r="H44" s="286"/>
      <c r="I44" s="304">
        <v>4.92</v>
      </c>
      <c r="J44" s="286">
        <v>157</v>
      </c>
      <c r="K44" s="304">
        <v>103.01</v>
      </c>
    </row>
    <row r="45" spans="1:22" ht="14.25" x14ac:dyDescent="0.2">
      <c r="A45" s="329"/>
      <c r="B45" s="330"/>
      <c r="C45" s="330" t="s">
        <v>192</v>
      </c>
      <c r="D45" s="331" t="s">
        <v>191</v>
      </c>
      <c r="E45" s="332">
        <v>1.03</v>
      </c>
      <c r="F45" s="335"/>
      <c r="G45" s="334" t="s">
        <v>195</v>
      </c>
      <c r="H45" s="332">
        <v>1</v>
      </c>
      <c r="I45" s="335">
        <v>1.03</v>
      </c>
      <c r="J45" s="332"/>
      <c r="K45" s="335"/>
    </row>
    <row r="46" spans="1:22" ht="15" x14ac:dyDescent="0.25">
      <c r="A46" s="336"/>
      <c r="B46" s="336"/>
      <c r="C46" s="337" t="s">
        <v>183</v>
      </c>
      <c r="D46" s="336"/>
      <c r="E46" s="336"/>
      <c r="F46" s="336"/>
      <c r="G46" s="336"/>
      <c r="H46" s="461">
        <v>49.45</v>
      </c>
      <c r="I46" s="461"/>
      <c r="J46" s="461">
        <v>839.48</v>
      </c>
      <c r="K46" s="461"/>
      <c r="O46" s="284">
        <f>I38+I39+I41+I42+I43+I44</f>
        <v>49.45</v>
      </c>
      <c r="P46" s="284">
        <f>K38+K39+K41+K42+K43+K44</f>
        <v>839.48</v>
      </c>
    </row>
    <row r="48" spans="1:22" ht="28.5" x14ac:dyDescent="0.2">
      <c r="A48" s="301" t="s">
        <v>1844</v>
      </c>
      <c r="B48" s="302" t="s">
        <v>3408</v>
      </c>
      <c r="C48" s="302" t="s">
        <v>1129</v>
      </c>
      <c r="D48" s="303" t="s">
        <v>1903</v>
      </c>
      <c r="E48" s="286">
        <v>1</v>
      </c>
      <c r="F48" s="304"/>
      <c r="G48" s="305"/>
      <c r="H48" s="286"/>
      <c r="I48" s="304"/>
      <c r="J48" s="286"/>
      <c r="K48" s="304"/>
      <c r="Q48" s="281">
        <f>[17]Source!X32</f>
        <v>21.21</v>
      </c>
      <c r="R48" s="281">
        <f>[17]Source!X33</f>
        <v>398.03</v>
      </c>
      <c r="S48" s="281">
        <f>[17]Source!Y32</f>
        <v>13.26</v>
      </c>
      <c r="T48" s="281">
        <f>[17]Source!Y33</f>
        <v>190.17</v>
      </c>
      <c r="U48" s="281">
        <f>ROUND((175/100)*ROUND([17]Source!R32, 2), 2)</f>
        <v>0</v>
      </c>
      <c r="V48" s="281">
        <f>ROUND((157/100)*ROUND([17]Source!R33, 2), 2)</f>
        <v>0</v>
      </c>
    </row>
    <row r="49" spans="1:22" ht="14.25" x14ac:dyDescent="0.2">
      <c r="A49" s="301"/>
      <c r="B49" s="302"/>
      <c r="C49" s="302" t="s">
        <v>197</v>
      </c>
      <c r="D49" s="303"/>
      <c r="E49" s="286"/>
      <c r="F49" s="304">
        <v>18.940000000000001</v>
      </c>
      <c r="G49" s="305" t="s">
        <v>195</v>
      </c>
      <c r="H49" s="286">
        <v>1</v>
      </c>
      <c r="I49" s="304">
        <v>18.940000000000001</v>
      </c>
      <c r="J49" s="286">
        <v>23.35</v>
      </c>
      <c r="K49" s="304">
        <v>442.25</v>
      </c>
    </row>
    <row r="50" spans="1:22" ht="14.25" x14ac:dyDescent="0.2">
      <c r="A50" s="301"/>
      <c r="B50" s="302"/>
      <c r="C50" s="302" t="s">
        <v>184</v>
      </c>
      <c r="D50" s="303"/>
      <c r="E50" s="286"/>
      <c r="F50" s="304">
        <v>0.05</v>
      </c>
      <c r="G50" s="305" t="s">
        <v>195</v>
      </c>
      <c r="H50" s="286">
        <v>1</v>
      </c>
      <c r="I50" s="304">
        <v>0.05</v>
      </c>
      <c r="J50" s="286">
        <v>5.4</v>
      </c>
      <c r="K50" s="304">
        <v>0.27</v>
      </c>
    </row>
    <row r="51" spans="1:22" ht="14.25" x14ac:dyDescent="0.2">
      <c r="A51" s="301"/>
      <c r="B51" s="302"/>
      <c r="C51" s="302" t="s">
        <v>205</v>
      </c>
      <c r="D51" s="303"/>
      <c r="E51" s="286"/>
      <c r="F51" s="304">
        <v>1.5</v>
      </c>
      <c r="G51" s="305" t="s">
        <v>195</v>
      </c>
      <c r="H51" s="286">
        <v>1</v>
      </c>
      <c r="I51" s="304">
        <v>1.5</v>
      </c>
      <c r="J51" s="286">
        <v>5.42</v>
      </c>
      <c r="K51" s="304">
        <v>8.1300000000000008</v>
      </c>
    </row>
    <row r="52" spans="1:22" ht="14.25" x14ac:dyDescent="0.2">
      <c r="A52" s="301"/>
      <c r="B52" s="302"/>
      <c r="C52" s="302" t="s">
        <v>194</v>
      </c>
      <c r="D52" s="303" t="s">
        <v>187</v>
      </c>
      <c r="E52" s="286">
        <v>112</v>
      </c>
      <c r="F52" s="304"/>
      <c r="G52" s="305"/>
      <c r="H52" s="286"/>
      <c r="I52" s="304">
        <v>21.21</v>
      </c>
      <c r="J52" s="286">
        <v>90</v>
      </c>
      <c r="K52" s="304">
        <v>398.03</v>
      </c>
    </row>
    <row r="53" spans="1:22" ht="14.25" x14ac:dyDescent="0.2">
      <c r="A53" s="301"/>
      <c r="B53" s="302"/>
      <c r="C53" s="302" t="s">
        <v>193</v>
      </c>
      <c r="D53" s="303" t="s">
        <v>187</v>
      </c>
      <c r="E53" s="286">
        <v>70</v>
      </c>
      <c r="F53" s="304"/>
      <c r="G53" s="305"/>
      <c r="H53" s="286"/>
      <c r="I53" s="304">
        <v>13.26</v>
      </c>
      <c r="J53" s="286">
        <v>43</v>
      </c>
      <c r="K53" s="304">
        <v>190.17</v>
      </c>
    </row>
    <row r="54" spans="1:22" ht="14.25" x14ac:dyDescent="0.2">
      <c r="A54" s="329"/>
      <c r="B54" s="330"/>
      <c r="C54" s="330" t="s">
        <v>192</v>
      </c>
      <c r="D54" s="331" t="s">
        <v>191</v>
      </c>
      <c r="E54" s="332">
        <v>1.36</v>
      </c>
      <c r="F54" s="335"/>
      <c r="G54" s="334" t="s">
        <v>195</v>
      </c>
      <c r="H54" s="332">
        <v>1</v>
      </c>
      <c r="I54" s="335">
        <v>1.36</v>
      </c>
      <c r="J54" s="332"/>
      <c r="K54" s="335"/>
    </row>
    <row r="55" spans="1:22" ht="15" x14ac:dyDescent="0.25">
      <c r="A55" s="336"/>
      <c r="B55" s="336"/>
      <c r="C55" s="337" t="s">
        <v>183</v>
      </c>
      <c r="D55" s="336"/>
      <c r="E55" s="336"/>
      <c r="F55" s="336"/>
      <c r="G55" s="336"/>
      <c r="H55" s="461">
        <v>54.96</v>
      </c>
      <c r="I55" s="461"/>
      <c r="J55" s="461">
        <v>1038.8499999999999</v>
      </c>
      <c r="K55" s="461"/>
      <c r="O55" s="284">
        <f>I49+I50+I51+I52+I53</f>
        <v>54.96</v>
      </c>
      <c r="P55" s="284">
        <f>K49+K50+K51+K52+K53</f>
        <v>1038.8499999999999</v>
      </c>
    </row>
    <row r="57" spans="1:22" ht="28.5" x14ac:dyDescent="0.2">
      <c r="A57" s="301" t="s">
        <v>1846</v>
      </c>
      <c r="B57" s="302" t="s">
        <v>3619</v>
      </c>
      <c r="C57" s="302" t="s">
        <v>1247</v>
      </c>
      <c r="D57" s="303" t="s">
        <v>1903</v>
      </c>
      <c r="E57" s="286">
        <v>1</v>
      </c>
      <c r="F57" s="304"/>
      <c r="G57" s="305"/>
      <c r="H57" s="286"/>
      <c r="I57" s="304"/>
      <c r="J57" s="286"/>
      <c r="K57" s="304"/>
      <c r="Q57" s="281">
        <f>[17]Source!X34</f>
        <v>29.99</v>
      </c>
      <c r="R57" s="281">
        <f>[17]Source!X35</f>
        <v>562.78</v>
      </c>
      <c r="S57" s="281">
        <f>[17]Source!Y34</f>
        <v>18.75</v>
      </c>
      <c r="T57" s="281">
        <f>[17]Source!Y35</f>
        <v>256.38</v>
      </c>
      <c r="U57" s="281">
        <f>ROUND((175/100)*ROUND([17]Source!R34, 2), 2)</f>
        <v>0</v>
      </c>
      <c r="V57" s="281">
        <f>ROUND((157/100)*ROUND([17]Source!R35, 2), 2)</f>
        <v>0</v>
      </c>
    </row>
    <row r="58" spans="1:22" ht="14.25" x14ac:dyDescent="0.2">
      <c r="A58" s="301"/>
      <c r="B58" s="302"/>
      <c r="C58" s="302" t="s">
        <v>197</v>
      </c>
      <c r="D58" s="303"/>
      <c r="E58" s="286"/>
      <c r="F58" s="304">
        <v>26.78</v>
      </c>
      <c r="G58" s="305" t="s">
        <v>195</v>
      </c>
      <c r="H58" s="286">
        <v>1</v>
      </c>
      <c r="I58" s="304">
        <v>26.78</v>
      </c>
      <c r="J58" s="286">
        <v>23.35</v>
      </c>
      <c r="K58" s="304">
        <v>625.30999999999995</v>
      </c>
    </row>
    <row r="59" spans="1:22" ht="14.25" x14ac:dyDescent="0.2">
      <c r="A59" s="301"/>
      <c r="B59" s="302"/>
      <c r="C59" s="302" t="s">
        <v>205</v>
      </c>
      <c r="D59" s="303"/>
      <c r="E59" s="286"/>
      <c r="F59" s="304">
        <v>0.28000000000000003</v>
      </c>
      <c r="G59" s="305" t="s">
        <v>195</v>
      </c>
      <c r="H59" s="286">
        <v>1</v>
      </c>
      <c r="I59" s="304">
        <v>0.28000000000000003</v>
      </c>
      <c r="J59" s="286">
        <v>5.43</v>
      </c>
      <c r="K59" s="304">
        <v>1.52</v>
      </c>
    </row>
    <row r="60" spans="1:22" ht="14.25" x14ac:dyDescent="0.2">
      <c r="A60" s="301"/>
      <c r="B60" s="302"/>
      <c r="C60" s="302" t="s">
        <v>194</v>
      </c>
      <c r="D60" s="303" t="s">
        <v>187</v>
      </c>
      <c r="E60" s="286">
        <v>112</v>
      </c>
      <c r="F60" s="304"/>
      <c r="G60" s="305"/>
      <c r="H60" s="286"/>
      <c r="I60" s="304">
        <v>29.99</v>
      </c>
      <c r="J60" s="286">
        <v>90</v>
      </c>
      <c r="K60" s="304">
        <v>562.78</v>
      </c>
    </row>
    <row r="61" spans="1:22" ht="14.25" x14ac:dyDescent="0.2">
      <c r="A61" s="301"/>
      <c r="B61" s="302"/>
      <c r="C61" s="302" t="s">
        <v>193</v>
      </c>
      <c r="D61" s="303" t="s">
        <v>187</v>
      </c>
      <c r="E61" s="286">
        <v>70</v>
      </c>
      <c r="F61" s="304"/>
      <c r="G61" s="305"/>
      <c r="H61" s="286"/>
      <c r="I61" s="304">
        <v>18.75</v>
      </c>
      <c r="J61" s="286">
        <v>41</v>
      </c>
      <c r="K61" s="304">
        <v>256.38</v>
      </c>
    </row>
    <row r="62" spans="1:22" ht="14.25" x14ac:dyDescent="0.2">
      <c r="A62" s="329"/>
      <c r="B62" s="330"/>
      <c r="C62" s="330" t="s">
        <v>192</v>
      </c>
      <c r="D62" s="331" t="s">
        <v>191</v>
      </c>
      <c r="E62" s="332">
        <v>2.06</v>
      </c>
      <c r="F62" s="335"/>
      <c r="G62" s="334" t="s">
        <v>195</v>
      </c>
      <c r="H62" s="332">
        <v>1</v>
      </c>
      <c r="I62" s="335">
        <v>2.06</v>
      </c>
      <c r="J62" s="332"/>
      <c r="K62" s="335"/>
    </row>
    <row r="63" spans="1:22" ht="15" x14ac:dyDescent="0.25">
      <c r="A63" s="336"/>
      <c r="B63" s="336"/>
      <c r="C63" s="337" t="s">
        <v>183</v>
      </c>
      <c r="D63" s="336"/>
      <c r="E63" s="336"/>
      <c r="F63" s="336"/>
      <c r="G63" s="336"/>
      <c r="H63" s="461">
        <v>75.8</v>
      </c>
      <c r="I63" s="461"/>
      <c r="J63" s="461">
        <v>1445.99</v>
      </c>
      <c r="K63" s="461"/>
      <c r="O63" s="284">
        <f>I58+I59+I60+I61</f>
        <v>75.8</v>
      </c>
      <c r="P63" s="284">
        <f>K58+K59+K60+K61</f>
        <v>1445.99</v>
      </c>
    </row>
    <row r="65" spans="1:22" ht="57" x14ac:dyDescent="0.2">
      <c r="A65" s="301" t="s">
        <v>1849</v>
      </c>
      <c r="B65" s="302" t="s">
        <v>3620</v>
      </c>
      <c r="C65" s="302" t="s">
        <v>1246</v>
      </c>
      <c r="D65" s="303" t="s">
        <v>1903</v>
      </c>
      <c r="E65" s="286">
        <v>1</v>
      </c>
      <c r="F65" s="304"/>
      <c r="G65" s="305"/>
      <c r="H65" s="286"/>
      <c r="I65" s="304"/>
      <c r="J65" s="286"/>
      <c r="K65" s="304"/>
      <c r="Q65" s="281">
        <f>[17]Source!X36</f>
        <v>53.98</v>
      </c>
      <c r="R65" s="281">
        <f>[17]Source!X37</f>
        <v>1012.92</v>
      </c>
      <c r="S65" s="281">
        <f>[17]Source!Y36</f>
        <v>33.74</v>
      </c>
      <c r="T65" s="281">
        <f>[17]Source!Y37</f>
        <v>483.95</v>
      </c>
      <c r="U65" s="281">
        <f>ROUND((175/100)*ROUND([17]Source!R36, 2), 2)</f>
        <v>0.02</v>
      </c>
      <c r="V65" s="281">
        <f>ROUND((157/100)*ROUND([17]Source!R37, 2), 2)</f>
        <v>0.36</v>
      </c>
    </row>
    <row r="66" spans="1:22" ht="14.25" x14ac:dyDescent="0.2">
      <c r="A66" s="301"/>
      <c r="B66" s="302"/>
      <c r="C66" s="302" t="s">
        <v>197</v>
      </c>
      <c r="D66" s="303"/>
      <c r="E66" s="286"/>
      <c r="F66" s="304">
        <v>48.2</v>
      </c>
      <c r="G66" s="305" t="s">
        <v>195</v>
      </c>
      <c r="H66" s="286">
        <v>1</v>
      </c>
      <c r="I66" s="304">
        <v>48.2</v>
      </c>
      <c r="J66" s="286">
        <v>23.35</v>
      </c>
      <c r="K66" s="304">
        <v>1125.47</v>
      </c>
    </row>
    <row r="67" spans="1:22" ht="14.25" x14ac:dyDescent="0.2">
      <c r="A67" s="301"/>
      <c r="B67" s="302"/>
      <c r="C67" s="302" t="s">
        <v>184</v>
      </c>
      <c r="D67" s="303"/>
      <c r="E67" s="286"/>
      <c r="F67" s="304">
        <v>0.05</v>
      </c>
      <c r="G67" s="305" t="s">
        <v>195</v>
      </c>
      <c r="H67" s="286">
        <v>1</v>
      </c>
      <c r="I67" s="304">
        <v>0.05</v>
      </c>
      <c r="J67" s="286">
        <v>9</v>
      </c>
      <c r="K67" s="304">
        <v>0.45</v>
      </c>
    </row>
    <row r="68" spans="1:22" ht="14.25" x14ac:dyDescent="0.2">
      <c r="A68" s="301"/>
      <c r="B68" s="302"/>
      <c r="C68" s="302" t="s">
        <v>189</v>
      </c>
      <c r="D68" s="303"/>
      <c r="E68" s="286"/>
      <c r="F68" s="304">
        <v>0.01</v>
      </c>
      <c r="G68" s="305" t="s">
        <v>195</v>
      </c>
      <c r="H68" s="286">
        <v>1</v>
      </c>
      <c r="I68" s="306">
        <v>0.01</v>
      </c>
      <c r="J68" s="286">
        <v>23.35</v>
      </c>
      <c r="K68" s="306">
        <v>0.23</v>
      </c>
    </row>
    <row r="69" spans="1:22" ht="14.25" x14ac:dyDescent="0.2">
      <c r="A69" s="301"/>
      <c r="B69" s="302"/>
      <c r="C69" s="302" t="s">
        <v>205</v>
      </c>
      <c r="D69" s="303"/>
      <c r="E69" s="286"/>
      <c r="F69" s="304">
        <v>3.36</v>
      </c>
      <c r="G69" s="305" t="s">
        <v>195</v>
      </c>
      <c r="H69" s="286">
        <v>1</v>
      </c>
      <c r="I69" s="304">
        <v>3.36</v>
      </c>
      <c r="J69" s="286">
        <v>5.42</v>
      </c>
      <c r="K69" s="304">
        <v>18.21</v>
      </c>
    </row>
    <row r="70" spans="1:22" ht="14.25" x14ac:dyDescent="0.2">
      <c r="A70" s="301"/>
      <c r="B70" s="302"/>
      <c r="C70" s="302" t="s">
        <v>194</v>
      </c>
      <c r="D70" s="303" t="s">
        <v>187</v>
      </c>
      <c r="E70" s="286">
        <v>112</v>
      </c>
      <c r="F70" s="304"/>
      <c r="G70" s="305"/>
      <c r="H70" s="286"/>
      <c r="I70" s="304">
        <v>53.98</v>
      </c>
      <c r="J70" s="286">
        <v>90</v>
      </c>
      <c r="K70" s="304">
        <v>1012.92</v>
      </c>
    </row>
    <row r="71" spans="1:22" ht="14.25" x14ac:dyDescent="0.2">
      <c r="A71" s="301"/>
      <c r="B71" s="302"/>
      <c r="C71" s="302" t="s">
        <v>193</v>
      </c>
      <c r="D71" s="303" t="s">
        <v>187</v>
      </c>
      <c r="E71" s="286">
        <v>70</v>
      </c>
      <c r="F71" s="304"/>
      <c r="G71" s="305"/>
      <c r="H71" s="286"/>
      <c r="I71" s="304">
        <v>33.74</v>
      </c>
      <c r="J71" s="286">
        <v>43</v>
      </c>
      <c r="K71" s="304">
        <v>483.95</v>
      </c>
    </row>
    <row r="72" spans="1:22" ht="14.25" x14ac:dyDescent="0.2">
      <c r="A72" s="301"/>
      <c r="B72" s="302"/>
      <c r="C72" s="302" t="s">
        <v>188</v>
      </c>
      <c r="D72" s="303" t="s">
        <v>187</v>
      </c>
      <c r="E72" s="286">
        <v>175</v>
      </c>
      <c r="F72" s="304"/>
      <c r="G72" s="305"/>
      <c r="H72" s="286"/>
      <c r="I72" s="304">
        <v>0.02</v>
      </c>
      <c r="J72" s="286">
        <v>157</v>
      </c>
      <c r="K72" s="304">
        <v>0.36</v>
      </c>
    </row>
    <row r="73" spans="1:22" ht="14.25" x14ac:dyDescent="0.2">
      <c r="A73" s="329"/>
      <c r="B73" s="330"/>
      <c r="C73" s="330" t="s">
        <v>192</v>
      </c>
      <c r="D73" s="331" t="s">
        <v>191</v>
      </c>
      <c r="E73" s="332">
        <v>3.6</v>
      </c>
      <c r="F73" s="335"/>
      <c r="G73" s="334" t="s">
        <v>195</v>
      </c>
      <c r="H73" s="332">
        <v>1</v>
      </c>
      <c r="I73" s="335">
        <v>3.6</v>
      </c>
      <c r="J73" s="332"/>
      <c r="K73" s="335"/>
    </row>
    <row r="74" spans="1:22" ht="15" x14ac:dyDescent="0.25">
      <c r="A74" s="336"/>
      <c r="B74" s="336"/>
      <c r="C74" s="337" t="s">
        <v>183</v>
      </c>
      <c r="D74" s="336"/>
      <c r="E74" s="336"/>
      <c r="F74" s="336"/>
      <c r="G74" s="336"/>
      <c r="H74" s="461">
        <v>139.35</v>
      </c>
      <c r="I74" s="461"/>
      <c r="J74" s="461">
        <v>2641.36</v>
      </c>
      <c r="K74" s="461"/>
      <c r="O74" s="284">
        <f>I66+I67+I69+I70+I71+I72</f>
        <v>139.35</v>
      </c>
      <c r="P74" s="284">
        <f>K66+K67+K69+K70+K71+K72</f>
        <v>2641.36</v>
      </c>
    </row>
    <row r="76" spans="1:22" ht="28.5" x14ac:dyDescent="0.2">
      <c r="A76" s="301" t="s">
        <v>1854</v>
      </c>
      <c r="B76" s="302" t="s">
        <v>3408</v>
      </c>
      <c r="C76" s="302" t="s">
        <v>1129</v>
      </c>
      <c r="D76" s="303" t="s">
        <v>1903</v>
      </c>
      <c r="E76" s="286">
        <v>1</v>
      </c>
      <c r="F76" s="304"/>
      <c r="G76" s="305"/>
      <c r="H76" s="286"/>
      <c r="I76" s="304"/>
      <c r="J76" s="286"/>
      <c r="K76" s="304"/>
      <c r="Q76" s="281">
        <f>[17]Source!X38</f>
        <v>21.21</v>
      </c>
      <c r="R76" s="281">
        <f>[17]Source!X39</f>
        <v>398.03</v>
      </c>
      <c r="S76" s="281">
        <f>[17]Source!Y38</f>
        <v>13.26</v>
      </c>
      <c r="T76" s="281">
        <f>[17]Source!Y39</f>
        <v>190.17</v>
      </c>
      <c r="U76" s="281">
        <f>ROUND((175/100)*ROUND([17]Source!R38, 2), 2)</f>
        <v>0</v>
      </c>
      <c r="V76" s="281">
        <f>ROUND((157/100)*ROUND([17]Source!R39, 2), 2)</f>
        <v>0</v>
      </c>
    </row>
    <row r="77" spans="1:22" ht="14.25" x14ac:dyDescent="0.2">
      <c r="A77" s="301"/>
      <c r="B77" s="302"/>
      <c r="C77" s="302" t="s">
        <v>197</v>
      </c>
      <c r="D77" s="303"/>
      <c r="E77" s="286"/>
      <c r="F77" s="304">
        <v>18.940000000000001</v>
      </c>
      <c r="G77" s="305" t="s">
        <v>195</v>
      </c>
      <c r="H77" s="286">
        <v>1</v>
      </c>
      <c r="I77" s="304">
        <v>18.940000000000001</v>
      </c>
      <c r="J77" s="286">
        <v>23.35</v>
      </c>
      <c r="K77" s="304">
        <v>442.25</v>
      </c>
    </row>
    <row r="78" spans="1:22" ht="14.25" x14ac:dyDescent="0.2">
      <c r="A78" s="301"/>
      <c r="B78" s="302"/>
      <c r="C78" s="302" t="s">
        <v>184</v>
      </c>
      <c r="D78" s="303"/>
      <c r="E78" s="286"/>
      <c r="F78" s="304">
        <v>0.05</v>
      </c>
      <c r="G78" s="305" t="s">
        <v>195</v>
      </c>
      <c r="H78" s="286">
        <v>1</v>
      </c>
      <c r="I78" s="304">
        <v>0.05</v>
      </c>
      <c r="J78" s="286">
        <v>5.4</v>
      </c>
      <c r="K78" s="304">
        <v>0.27</v>
      </c>
    </row>
    <row r="79" spans="1:22" ht="14.25" x14ac:dyDescent="0.2">
      <c r="A79" s="301"/>
      <c r="B79" s="302"/>
      <c r="C79" s="302" t="s">
        <v>205</v>
      </c>
      <c r="D79" s="303"/>
      <c r="E79" s="286"/>
      <c r="F79" s="304">
        <v>1.5</v>
      </c>
      <c r="G79" s="305" t="s">
        <v>195</v>
      </c>
      <c r="H79" s="286">
        <v>1</v>
      </c>
      <c r="I79" s="304">
        <v>1.5</v>
      </c>
      <c r="J79" s="286">
        <v>5.42</v>
      </c>
      <c r="K79" s="304">
        <v>8.1300000000000008</v>
      </c>
    </row>
    <row r="80" spans="1:22" ht="14.25" x14ac:dyDescent="0.2">
      <c r="A80" s="301"/>
      <c r="B80" s="302"/>
      <c r="C80" s="302" t="s">
        <v>194</v>
      </c>
      <c r="D80" s="303" t="s">
        <v>187</v>
      </c>
      <c r="E80" s="286">
        <v>112</v>
      </c>
      <c r="F80" s="304"/>
      <c r="G80" s="305"/>
      <c r="H80" s="286"/>
      <c r="I80" s="304">
        <v>21.21</v>
      </c>
      <c r="J80" s="286">
        <v>90</v>
      </c>
      <c r="K80" s="304">
        <v>398.03</v>
      </c>
    </row>
    <row r="81" spans="1:22" ht="14.25" x14ac:dyDescent="0.2">
      <c r="A81" s="301"/>
      <c r="B81" s="302"/>
      <c r="C81" s="302" t="s">
        <v>193</v>
      </c>
      <c r="D81" s="303" t="s">
        <v>187</v>
      </c>
      <c r="E81" s="286">
        <v>70</v>
      </c>
      <c r="F81" s="304"/>
      <c r="G81" s="305"/>
      <c r="H81" s="286"/>
      <c r="I81" s="304">
        <v>13.26</v>
      </c>
      <c r="J81" s="286">
        <v>43</v>
      </c>
      <c r="K81" s="304">
        <v>190.17</v>
      </c>
    </row>
    <row r="82" spans="1:22" ht="14.25" x14ac:dyDescent="0.2">
      <c r="A82" s="329"/>
      <c r="B82" s="330"/>
      <c r="C82" s="330" t="s">
        <v>192</v>
      </c>
      <c r="D82" s="331" t="s">
        <v>191</v>
      </c>
      <c r="E82" s="332">
        <v>1.36</v>
      </c>
      <c r="F82" s="335"/>
      <c r="G82" s="334" t="s">
        <v>195</v>
      </c>
      <c r="H82" s="332">
        <v>1</v>
      </c>
      <c r="I82" s="335">
        <v>1.36</v>
      </c>
      <c r="J82" s="332"/>
      <c r="K82" s="335"/>
    </row>
    <row r="83" spans="1:22" ht="15" x14ac:dyDescent="0.25">
      <c r="A83" s="336"/>
      <c r="B83" s="336"/>
      <c r="C83" s="337" t="s">
        <v>183</v>
      </c>
      <c r="D83" s="336"/>
      <c r="E83" s="336"/>
      <c r="F83" s="336"/>
      <c r="G83" s="336"/>
      <c r="H83" s="461">
        <v>54.96</v>
      </c>
      <c r="I83" s="461"/>
      <c r="J83" s="461">
        <v>1038.8499999999999</v>
      </c>
      <c r="K83" s="461"/>
      <c r="O83" s="284">
        <f>I77+I78+I79+I80+I81</f>
        <v>54.96</v>
      </c>
      <c r="P83" s="284">
        <f>K77+K78+K79+K80+K81</f>
        <v>1038.8499999999999</v>
      </c>
    </row>
    <row r="85" spans="1:22" ht="28.5" x14ac:dyDescent="0.2">
      <c r="A85" s="301" t="s">
        <v>1859</v>
      </c>
      <c r="B85" s="302" t="s">
        <v>3599</v>
      </c>
      <c r="C85" s="302" t="s">
        <v>1245</v>
      </c>
      <c r="D85" s="303" t="s">
        <v>1903</v>
      </c>
      <c r="E85" s="286">
        <v>2</v>
      </c>
      <c r="F85" s="304"/>
      <c r="G85" s="305"/>
      <c r="H85" s="286"/>
      <c r="I85" s="304"/>
      <c r="J85" s="286"/>
      <c r="K85" s="304"/>
      <c r="Q85" s="281">
        <f>[17]Source!X40</f>
        <v>74.91</v>
      </c>
      <c r="R85" s="281">
        <f>[17]Source!X41</f>
        <v>1405.49</v>
      </c>
      <c r="S85" s="281">
        <f>[17]Source!Y40</f>
        <v>46.82</v>
      </c>
      <c r="T85" s="281">
        <f>[17]Source!Y41</f>
        <v>671.51</v>
      </c>
      <c r="U85" s="281">
        <f>ROUND((175/100)*ROUND([17]Source!R40, 2), 2)</f>
        <v>0</v>
      </c>
      <c r="V85" s="281">
        <f>ROUND((157/100)*ROUND([17]Source!R41, 2), 2)</f>
        <v>0</v>
      </c>
    </row>
    <row r="86" spans="1:22" ht="14.25" x14ac:dyDescent="0.2">
      <c r="A86" s="301"/>
      <c r="B86" s="302"/>
      <c r="C86" s="302" t="s">
        <v>197</v>
      </c>
      <c r="D86" s="303"/>
      <c r="E86" s="286"/>
      <c r="F86" s="304">
        <v>33.44</v>
      </c>
      <c r="G86" s="305" t="s">
        <v>195</v>
      </c>
      <c r="H86" s="286">
        <v>1</v>
      </c>
      <c r="I86" s="304">
        <v>66.88</v>
      </c>
      <c r="J86" s="286">
        <v>23.35</v>
      </c>
      <c r="K86" s="304">
        <v>1561.65</v>
      </c>
    </row>
    <row r="87" spans="1:22" ht="14.25" x14ac:dyDescent="0.2">
      <c r="A87" s="301"/>
      <c r="B87" s="302"/>
      <c r="C87" s="302" t="s">
        <v>205</v>
      </c>
      <c r="D87" s="303"/>
      <c r="E87" s="286"/>
      <c r="F87" s="304">
        <v>1.5</v>
      </c>
      <c r="G87" s="305" t="s">
        <v>195</v>
      </c>
      <c r="H87" s="286">
        <v>1</v>
      </c>
      <c r="I87" s="304">
        <v>3</v>
      </c>
      <c r="J87" s="286">
        <v>5.42</v>
      </c>
      <c r="K87" s="304">
        <v>16.260000000000002</v>
      </c>
    </row>
    <row r="88" spans="1:22" ht="14.25" x14ac:dyDescent="0.2">
      <c r="A88" s="301"/>
      <c r="B88" s="302"/>
      <c r="C88" s="302" t="s">
        <v>194</v>
      </c>
      <c r="D88" s="303" t="s">
        <v>187</v>
      </c>
      <c r="E88" s="286">
        <v>112</v>
      </c>
      <c r="F88" s="304"/>
      <c r="G88" s="305"/>
      <c r="H88" s="286"/>
      <c r="I88" s="304">
        <v>74.91</v>
      </c>
      <c r="J88" s="286">
        <v>90</v>
      </c>
      <c r="K88" s="304">
        <v>1405.49</v>
      </c>
    </row>
    <row r="89" spans="1:22" ht="14.25" x14ac:dyDescent="0.2">
      <c r="A89" s="301"/>
      <c r="B89" s="302"/>
      <c r="C89" s="302" t="s">
        <v>193</v>
      </c>
      <c r="D89" s="303" t="s">
        <v>187</v>
      </c>
      <c r="E89" s="286">
        <v>70</v>
      </c>
      <c r="F89" s="304"/>
      <c r="G89" s="305"/>
      <c r="H89" s="286"/>
      <c r="I89" s="304">
        <v>46.82</v>
      </c>
      <c r="J89" s="286">
        <v>43</v>
      </c>
      <c r="K89" s="304">
        <v>671.51</v>
      </c>
    </row>
    <row r="90" spans="1:22" ht="14.25" x14ac:dyDescent="0.2">
      <c r="A90" s="329"/>
      <c r="B90" s="330"/>
      <c r="C90" s="330" t="s">
        <v>192</v>
      </c>
      <c r="D90" s="331" t="s">
        <v>191</v>
      </c>
      <c r="E90" s="332">
        <v>2.65</v>
      </c>
      <c r="F90" s="335"/>
      <c r="G90" s="334" t="s">
        <v>195</v>
      </c>
      <c r="H90" s="332">
        <v>1</v>
      </c>
      <c r="I90" s="335">
        <v>5.3</v>
      </c>
      <c r="J90" s="332"/>
      <c r="K90" s="335"/>
    </row>
    <row r="91" spans="1:22" ht="15" x14ac:dyDescent="0.25">
      <c r="A91" s="336"/>
      <c r="B91" s="336"/>
      <c r="C91" s="337" t="s">
        <v>183</v>
      </c>
      <c r="D91" s="336"/>
      <c r="E91" s="336"/>
      <c r="F91" s="336"/>
      <c r="G91" s="336"/>
      <c r="H91" s="461">
        <v>191.61</v>
      </c>
      <c r="I91" s="461"/>
      <c r="J91" s="461">
        <v>3654.91</v>
      </c>
      <c r="K91" s="461"/>
      <c r="O91" s="284">
        <f>I86+I87+I88+I89</f>
        <v>191.61</v>
      </c>
      <c r="P91" s="284">
        <f>K86+K87+K88+K89</f>
        <v>3654.91</v>
      </c>
    </row>
    <row r="93" spans="1:22" ht="28.5" x14ac:dyDescent="0.2">
      <c r="A93" s="301" t="s">
        <v>1861</v>
      </c>
      <c r="B93" s="302" t="s">
        <v>3621</v>
      </c>
      <c r="C93" s="302" t="s">
        <v>1244</v>
      </c>
      <c r="D93" s="303" t="s">
        <v>1903</v>
      </c>
      <c r="E93" s="286">
        <v>8</v>
      </c>
      <c r="F93" s="304"/>
      <c r="G93" s="305"/>
      <c r="H93" s="286"/>
      <c r="I93" s="304"/>
      <c r="J93" s="286"/>
      <c r="K93" s="304"/>
      <c r="Q93" s="281">
        <f>[17]Source!X42</f>
        <v>693.06</v>
      </c>
      <c r="R93" s="281">
        <f>[17]Source!X43</f>
        <v>13004.08</v>
      </c>
      <c r="S93" s="281">
        <f>[17]Source!Y42</f>
        <v>433.16</v>
      </c>
      <c r="T93" s="281">
        <f>[17]Source!Y43</f>
        <v>6213.06</v>
      </c>
      <c r="U93" s="281">
        <f>ROUND((175/100)*ROUND([17]Source!R42, 2), 2)</f>
        <v>0.14000000000000001</v>
      </c>
      <c r="V93" s="281">
        <f>ROUND((157/100)*ROUND([17]Source!R43, 2), 2)</f>
        <v>2.94</v>
      </c>
    </row>
    <row r="94" spans="1:22" ht="14.25" x14ac:dyDescent="0.2">
      <c r="A94" s="301"/>
      <c r="B94" s="302"/>
      <c r="C94" s="302" t="s">
        <v>197</v>
      </c>
      <c r="D94" s="303"/>
      <c r="E94" s="286"/>
      <c r="F94" s="304">
        <v>77.349999999999994</v>
      </c>
      <c r="G94" s="305" t="s">
        <v>195</v>
      </c>
      <c r="H94" s="286">
        <v>1</v>
      </c>
      <c r="I94" s="304">
        <v>618.79999999999995</v>
      </c>
      <c r="J94" s="286">
        <v>23.35</v>
      </c>
      <c r="K94" s="304">
        <v>14448.98</v>
      </c>
    </row>
    <row r="95" spans="1:22" ht="14.25" x14ac:dyDescent="0.2">
      <c r="A95" s="301"/>
      <c r="B95" s="302"/>
      <c r="C95" s="302" t="s">
        <v>184</v>
      </c>
      <c r="D95" s="303"/>
      <c r="E95" s="286"/>
      <c r="F95" s="304">
        <v>0.05</v>
      </c>
      <c r="G95" s="305" t="s">
        <v>195</v>
      </c>
      <c r="H95" s="286">
        <v>1</v>
      </c>
      <c r="I95" s="304">
        <v>0.4</v>
      </c>
      <c r="J95" s="286">
        <v>9</v>
      </c>
      <c r="K95" s="304">
        <v>3.6</v>
      </c>
    </row>
    <row r="96" spans="1:22" ht="14.25" x14ac:dyDescent="0.2">
      <c r="A96" s="301"/>
      <c r="B96" s="302"/>
      <c r="C96" s="302" t="s">
        <v>189</v>
      </c>
      <c r="D96" s="303"/>
      <c r="E96" s="286"/>
      <c r="F96" s="304">
        <v>0.01</v>
      </c>
      <c r="G96" s="305" t="s">
        <v>195</v>
      </c>
      <c r="H96" s="286">
        <v>1</v>
      </c>
      <c r="I96" s="306">
        <v>0.08</v>
      </c>
      <c r="J96" s="286">
        <v>23.35</v>
      </c>
      <c r="K96" s="306">
        <v>1.87</v>
      </c>
    </row>
    <row r="97" spans="1:22" ht="14.25" x14ac:dyDescent="0.2">
      <c r="A97" s="301"/>
      <c r="B97" s="302"/>
      <c r="C97" s="302" t="s">
        <v>205</v>
      </c>
      <c r="D97" s="303"/>
      <c r="E97" s="286"/>
      <c r="F97" s="304">
        <v>4.83</v>
      </c>
      <c r="G97" s="305" t="s">
        <v>195</v>
      </c>
      <c r="H97" s="286">
        <v>1</v>
      </c>
      <c r="I97" s="304">
        <v>38.64</v>
      </c>
      <c r="J97" s="286">
        <v>5.42</v>
      </c>
      <c r="K97" s="304">
        <v>209.43</v>
      </c>
    </row>
    <row r="98" spans="1:22" ht="14.25" x14ac:dyDescent="0.2">
      <c r="A98" s="301"/>
      <c r="B98" s="302"/>
      <c r="C98" s="302" t="s">
        <v>194</v>
      </c>
      <c r="D98" s="303" t="s">
        <v>187</v>
      </c>
      <c r="E98" s="286">
        <v>112</v>
      </c>
      <c r="F98" s="304"/>
      <c r="G98" s="305"/>
      <c r="H98" s="286"/>
      <c r="I98" s="304">
        <v>693.06</v>
      </c>
      <c r="J98" s="286">
        <v>90</v>
      </c>
      <c r="K98" s="304">
        <v>13004.08</v>
      </c>
    </row>
    <row r="99" spans="1:22" ht="14.25" x14ac:dyDescent="0.2">
      <c r="A99" s="301"/>
      <c r="B99" s="302"/>
      <c r="C99" s="302" t="s">
        <v>193</v>
      </c>
      <c r="D99" s="303" t="s">
        <v>187</v>
      </c>
      <c r="E99" s="286">
        <v>70</v>
      </c>
      <c r="F99" s="304"/>
      <c r="G99" s="305"/>
      <c r="H99" s="286"/>
      <c r="I99" s="304">
        <v>433.16</v>
      </c>
      <c r="J99" s="286">
        <v>43</v>
      </c>
      <c r="K99" s="304">
        <v>6213.06</v>
      </c>
    </row>
    <row r="100" spans="1:22" ht="14.25" x14ac:dyDescent="0.2">
      <c r="A100" s="301"/>
      <c r="B100" s="302"/>
      <c r="C100" s="302" t="s">
        <v>188</v>
      </c>
      <c r="D100" s="303" t="s">
        <v>187</v>
      </c>
      <c r="E100" s="286">
        <v>175</v>
      </c>
      <c r="F100" s="304"/>
      <c r="G100" s="305"/>
      <c r="H100" s="286"/>
      <c r="I100" s="304">
        <v>0.14000000000000001</v>
      </c>
      <c r="J100" s="286">
        <v>157</v>
      </c>
      <c r="K100" s="304">
        <v>2.94</v>
      </c>
    </row>
    <row r="101" spans="1:22" ht="14.25" x14ac:dyDescent="0.2">
      <c r="A101" s="329"/>
      <c r="B101" s="330"/>
      <c r="C101" s="330" t="s">
        <v>192</v>
      </c>
      <c r="D101" s="331" t="s">
        <v>191</v>
      </c>
      <c r="E101" s="332">
        <v>5.7</v>
      </c>
      <c r="F101" s="335"/>
      <c r="G101" s="334" t="s">
        <v>195</v>
      </c>
      <c r="H101" s="332">
        <v>1</v>
      </c>
      <c r="I101" s="335">
        <v>45.6</v>
      </c>
      <c r="J101" s="332"/>
      <c r="K101" s="335"/>
    </row>
    <row r="102" spans="1:22" ht="15" x14ac:dyDescent="0.25">
      <c r="A102" s="336"/>
      <c r="B102" s="336"/>
      <c r="C102" s="337" t="s">
        <v>183</v>
      </c>
      <c r="D102" s="336"/>
      <c r="E102" s="336"/>
      <c r="F102" s="336"/>
      <c r="G102" s="336"/>
      <c r="H102" s="461">
        <v>1784.2</v>
      </c>
      <c r="I102" s="461"/>
      <c r="J102" s="461">
        <v>33882.089999999997</v>
      </c>
      <c r="K102" s="461"/>
      <c r="O102" s="284">
        <f>I94+I95+I97+I98+I99+I100</f>
        <v>1784.2</v>
      </c>
      <c r="P102" s="284">
        <f>K94+K95+K97+K98+K99+K100</f>
        <v>33882.089999999997</v>
      </c>
    </row>
    <row r="104" spans="1:22" ht="57" x14ac:dyDescent="0.2">
      <c r="A104" s="301" t="s">
        <v>1863</v>
      </c>
      <c r="B104" s="302" t="s">
        <v>3622</v>
      </c>
      <c r="C104" s="302" t="s">
        <v>1243</v>
      </c>
      <c r="D104" s="303" t="s">
        <v>1903</v>
      </c>
      <c r="E104" s="286">
        <v>362</v>
      </c>
      <c r="F104" s="304"/>
      <c r="G104" s="305"/>
      <c r="H104" s="286"/>
      <c r="I104" s="304"/>
      <c r="J104" s="286"/>
      <c r="K104" s="304"/>
      <c r="Q104" s="281">
        <f>[17]Source!X44</f>
        <v>8595.33</v>
      </c>
      <c r="R104" s="281">
        <f>[17]Source!X45</f>
        <v>161277.51999999999</v>
      </c>
      <c r="S104" s="281">
        <f>[17]Source!Y44</f>
        <v>5372.08</v>
      </c>
      <c r="T104" s="281">
        <f>[17]Source!Y45</f>
        <v>77054.81</v>
      </c>
      <c r="U104" s="281">
        <f>ROUND((175/100)*ROUND([17]Source!R44, 2), 2)</f>
        <v>6.34</v>
      </c>
      <c r="V104" s="281">
        <f>ROUND((157/100)*ROUND([17]Source!R45, 2), 2)</f>
        <v>132.71</v>
      </c>
    </row>
    <row r="105" spans="1:22" ht="14.25" x14ac:dyDescent="0.2">
      <c r="A105" s="301"/>
      <c r="B105" s="302"/>
      <c r="C105" s="302" t="s">
        <v>197</v>
      </c>
      <c r="D105" s="303"/>
      <c r="E105" s="286"/>
      <c r="F105" s="304">
        <v>21.2</v>
      </c>
      <c r="G105" s="305" t="s">
        <v>195</v>
      </c>
      <c r="H105" s="286">
        <v>1</v>
      </c>
      <c r="I105" s="304">
        <v>7674.4</v>
      </c>
      <c r="J105" s="286">
        <v>23.35</v>
      </c>
      <c r="K105" s="304">
        <v>179197.24</v>
      </c>
    </row>
    <row r="106" spans="1:22" ht="14.25" x14ac:dyDescent="0.2">
      <c r="A106" s="301"/>
      <c r="B106" s="302"/>
      <c r="C106" s="302" t="s">
        <v>184</v>
      </c>
      <c r="D106" s="303"/>
      <c r="E106" s="286"/>
      <c r="F106" s="304">
        <v>0.06</v>
      </c>
      <c r="G106" s="305" t="s">
        <v>195</v>
      </c>
      <c r="H106" s="286">
        <v>1</v>
      </c>
      <c r="I106" s="304">
        <v>21.72</v>
      </c>
      <c r="J106" s="286">
        <v>8.33</v>
      </c>
      <c r="K106" s="304">
        <v>180.93</v>
      </c>
    </row>
    <row r="107" spans="1:22" ht="14.25" x14ac:dyDescent="0.2">
      <c r="A107" s="301"/>
      <c r="B107" s="302"/>
      <c r="C107" s="302" t="s">
        <v>189</v>
      </c>
      <c r="D107" s="303"/>
      <c r="E107" s="286"/>
      <c r="F107" s="304">
        <v>0.01</v>
      </c>
      <c r="G107" s="305" t="s">
        <v>195</v>
      </c>
      <c r="H107" s="286">
        <v>1</v>
      </c>
      <c r="I107" s="306">
        <v>3.62</v>
      </c>
      <c r="J107" s="286">
        <v>23.35</v>
      </c>
      <c r="K107" s="306">
        <v>84.53</v>
      </c>
    </row>
    <row r="108" spans="1:22" ht="14.25" x14ac:dyDescent="0.2">
      <c r="A108" s="301"/>
      <c r="B108" s="302"/>
      <c r="C108" s="302" t="s">
        <v>205</v>
      </c>
      <c r="D108" s="303"/>
      <c r="E108" s="286"/>
      <c r="F108" s="304">
        <v>1.26</v>
      </c>
      <c r="G108" s="305" t="s">
        <v>195</v>
      </c>
      <c r="H108" s="286">
        <v>1</v>
      </c>
      <c r="I108" s="304">
        <v>456.12</v>
      </c>
      <c r="J108" s="286">
        <v>5.42</v>
      </c>
      <c r="K108" s="304">
        <v>2472.17</v>
      </c>
    </row>
    <row r="109" spans="1:22" ht="57" x14ac:dyDescent="0.2">
      <c r="A109" s="301" t="s">
        <v>1866</v>
      </c>
      <c r="B109" s="302" t="s">
        <v>3623</v>
      </c>
      <c r="C109" s="302" t="s">
        <v>1242</v>
      </c>
      <c r="D109" s="303" t="s">
        <v>1661</v>
      </c>
      <c r="E109" s="286">
        <v>362</v>
      </c>
      <c r="F109" s="304">
        <v>252.79</v>
      </c>
      <c r="G109" s="315" t="s">
        <v>195</v>
      </c>
      <c r="H109" s="286">
        <v>1</v>
      </c>
      <c r="I109" s="304">
        <v>91509.98</v>
      </c>
      <c r="J109" s="286">
        <v>2.63</v>
      </c>
      <c r="K109" s="304">
        <v>240671.25</v>
      </c>
      <c r="Q109" s="281">
        <f>[17]Source!X46</f>
        <v>0</v>
      </c>
      <c r="R109" s="281">
        <f>[17]Source!X47</f>
        <v>0</v>
      </c>
      <c r="S109" s="281">
        <f>[17]Source!Y46</f>
        <v>0</v>
      </c>
      <c r="T109" s="281">
        <f>[17]Source!Y47</f>
        <v>0</v>
      </c>
      <c r="U109" s="281">
        <f>ROUND((175/100)*ROUND([17]Source!R46, 2), 2)</f>
        <v>0</v>
      </c>
      <c r="V109" s="281">
        <f>ROUND((157/100)*ROUND([17]Source!R47, 2), 2)</f>
        <v>0</v>
      </c>
    </row>
    <row r="110" spans="1:22" ht="14.25" x14ac:dyDescent="0.2">
      <c r="A110" s="301"/>
      <c r="B110" s="302"/>
      <c r="C110" s="302" t="s">
        <v>194</v>
      </c>
      <c r="D110" s="303" t="s">
        <v>187</v>
      </c>
      <c r="E110" s="286">
        <v>112</v>
      </c>
      <c r="F110" s="304"/>
      <c r="G110" s="305"/>
      <c r="H110" s="286"/>
      <c r="I110" s="304">
        <v>8595.33</v>
      </c>
      <c r="J110" s="286">
        <v>90</v>
      </c>
      <c r="K110" s="304">
        <v>161277.51999999999</v>
      </c>
    </row>
    <row r="111" spans="1:22" ht="14.25" x14ac:dyDescent="0.2">
      <c r="A111" s="301"/>
      <c r="B111" s="302"/>
      <c r="C111" s="302" t="s">
        <v>193</v>
      </c>
      <c r="D111" s="303" t="s">
        <v>187</v>
      </c>
      <c r="E111" s="286">
        <v>70</v>
      </c>
      <c r="F111" s="304"/>
      <c r="G111" s="305"/>
      <c r="H111" s="286"/>
      <c r="I111" s="304">
        <v>5372.08</v>
      </c>
      <c r="J111" s="286">
        <v>43</v>
      </c>
      <c r="K111" s="304">
        <v>77054.81</v>
      </c>
    </row>
    <row r="112" spans="1:22" ht="14.25" x14ac:dyDescent="0.2">
      <c r="A112" s="301"/>
      <c r="B112" s="302"/>
      <c r="C112" s="302" t="s">
        <v>188</v>
      </c>
      <c r="D112" s="303" t="s">
        <v>187</v>
      </c>
      <c r="E112" s="286">
        <v>175</v>
      </c>
      <c r="F112" s="304"/>
      <c r="G112" s="305"/>
      <c r="H112" s="286"/>
      <c r="I112" s="304">
        <v>6.34</v>
      </c>
      <c r="J112" s="286">
        <v>157</v>
      </c>
      <c r="K112" s="304">
        <v>132.71</v>
      </c>
    </row>
    <row r="113" spans="1:22" ht="14.25" x14ac:dyDescent="0.2">
      <c r="A113" s="329"/>
      <c r="B113" s="330"/>
      <c r="C113" s="330" t="s">
        <v>192</v>
      </c>
      <c r="D113" s="331" t="s">
        <v>191</v>
      </c>
      <c r="E113" s="332">
        <v>1.68</v>
      </c>
      <c r="F113" s="335"/>
      <c r="G113" s="334" t="s">
        <v>195</v>
      </c>
      <c r="H113" s="332">
        <v>1</v>
      </c>
      <c r="I113" s="335">
        <v>608.16</v>
      </c>
      <c r="J113" s="332"/>
      <c r="K113" s="335"/>
    </row>
    <row r="114" spans="1:22" ht="15" x14ac:dyDescent="0.25">
      <c r="A114" s="336"/>
      <c r="B114" s="336"/>
      <c r="C114" s="337" t="s">
        <v>183</v>
      </c>
      <c r="D114" s="336"/>
      <c r="E114" s="336"/>
      <c r="F114" s="336"/>
      <c r="G114" s="336"/>
      <c r="H114" s="461">
        <v>113635.97</v>
      </c>
      <c r="I114" s="461"/>
      <c r="J114" s="461">
        <v>660986.63</v>
      </c>
      <c r="K114" s="461"/>
      <c r="O114" s="284">
        <f>I105+I106+I108+I110+I111+I112+SUM(I109:I109)</f>
        <v>113635.97</v>
      </c>
      <c r="P114" s="284">
        <f>K105+K106+K108+K110+K111+K112+SUM(K109:K109)</f>
        <v>660986.63</v>
      </c>
    </row>
    <row r="116" spans="1:22" ht="14.25" x14ac:dyDescent="0.2">
      <c r="A116" s="301" t="s">
        <v>1867</v>
      </c>
      <c r="B116" s="302" t="s">
        <v>3624</v>
      </c>
      <c r="C116" s="302" t="s">
        <v>1241</v>
      </c>
      <c r="D116" s="303" t="s">
        <v>3625</v>
      </c>
      <c r="E116" s="286">
        <v>1.8</v>
      </c>
      <c r="F116" s="304"/>
      <c r="G116" s="305"/>
      <c r="H116" s="286"/>
      <c r="I116" s="304"/>
      <c r="J116" s="286"/>
      <c r="K116" s="304"/>
      <c r="Q116" s="281">
        <f>[17]Source!X48</f>
        <v>41.03</v>
      </c>
      <c r="R116" s="281">
        <f>[17]Source!X49</f>
        <v>769.78</v>
      </c>
      <c r="S116" s="281">
        <f>[17]Source!Y48</f>
        <v>25.64</v>
      </c>
      <c r="T116" s="281">
        <f>[17]Source!Y49</f>
        <v>367.78</v>
      </c>
      <c r="U116" s="281">
        <f>ROUND((175/100)*ROUND([17]Source!R48, 2), 2)</f>
        <v>3.19</v>
      </c>
      <c r="V116" s="281">
        <f>ROUND((157/100)*ROUND([17]Source!R49, 2), 2)</f>
        <v>66.73</v>
      </c>
    </row>
    <row r="117" spans="1:22" x14ac:dyDescent="0.2">
      <c r="C117" s="316" t="s">
        <v>3626</v>
      </c>
    </row>
    <row r="118" spans="1:22" ht="14.25" x14ac:dyDescent="0.2">
      <c r="A118" s="301"/>
      <c r="B118" s="302"/>
      <c r="C118" s="302" t="s">
        <v>197</v>
      </c>
      <c r="D118" s="303"/>
      <c r="E118" s="286"/>
      <c r="F118" s="304">
        <v>20.350000000000001</v>
      </c>
      <c r="G118" s="305" t="s">
        <v>195</v>
      </c>
      <c r="H118" s="286">
        <v>1</v>
      </c>
      <c r="I118" s="304">
        <v>36.630000000000003</v>
      </c>
      <c r="J118" s="286">
        <v>23.35</v>
      </c>
      <c r="K118" s="304">
        <v>855.31</v>
      </c>
    </row>
    <row r="119" spans="1:22" ht="14.25" x14ac:dyDescent="0.2">
      <c r="A119" s="301"/>
      <c r="B119" s="302"/>
      <c r="C119" s="302" t="s">
        <v>184</v>
      </c>
      <c r="D119" s="303"/>
      <c r="E119" s="286"/>
      <c r="F119" s="304">
        <v>4.38</v>
      </c>
      <c r="G119" s="305" t="s">
        <v>195</v>
      </c>
      <c r="H119" s="286">
        <v>1</v>
      </c>
      <c r="I119" s="304">
        <v>7.88</v>
      </c>
      <c r="J119" s="286">
        <v>9.5</v>
      </c>
      <c r="K119" s="304">
        <v>74.86</v>
      </c>
    </row>
    <row r="120" spans="1:22" ht="14.25" x14ac:dyDescent="0.2">
      <c r="A120" s="301"/>
      <c r="B120" s="302"/>
      <c r="C120" s="302" t="s">
        <v>189</v>
      </c>
      <c r="D120" s="303"/>
      <c r="E120" s="286"/>
      <c r="F120" s="304">
        <v>1.01</v>
      </c>
      <c r="G120" s="305" t="s">
        <v>195</v>
      </c>
      <c r="H120" s="286">
        <v>1</v>
      </c>
      <c r="I120" s="306">
        <v>1.82</v>
      </c>
      <c r="J120" s="286">
        <v>23.35</v>
      </c>
      <c r="K120" s="306">
        <v>42.5</v>
      </c>
    </row>
    <row r="121" spans="1:22" ht="14.25" x14ac:dyDescent="0.2">
      <c r="A121" s="301"/>
      <c r="B121" s="302"/>
      <c r="C121" s="302" t="s">
        <v>205</v>
      </c>
      <c r="D121" s="303"/>
      <c r="E121" s="286"/>
      <c r="F121" s="304">
        <v>0.14000000000000001</v>
      </c>
      <c r="G121" s="305" t="s">
        <v>195</v>
      </c>
      <c r="H121" s="286">
        <v>1</v>
      </c>
      <c r="I121" s="304">
        <v>0.25</v>
      </c>
      <c r="J121" s="286">
        <v>5.43</v>
      </c>
      <c r="K121" s="304">
        <v>1.36</v>
      </c>
    </row>
    <row r="122" spans="1:22" ht="42.75" x14ac:dyDescent="0.2">
      <c r="A122" s="301" t="s">
        <v>1869</v>
      </c>
      <c r="B122" s="302" t="s">
        <v>3627</v>
      </c>
      <c r="C122" s="302" t="s">
        <v>1240</v>
      </c>
      <c r="D122" s="303" t="s">
        <v>1661</v>
      </c>
      <c r="E122" s="286">
        <v>18</v>
      </c>
      <c r="F122" s="304">
        <v>74.56</v>
      </c>
      <c r="G122" s="315" t="s">
        <v>195</v>
      </c>
      <c r="H122" s="286">
        <v>1</v>
      </c>
      <c r="I122" s="304">
        <v>1342.08</v>
      </c>
      <c r="J122" s="286">
        <v>4.0999999999999996</v>
      </c>
      <c r="K122" s="304">
        <v>5502.53</v>
      </c>
      <c r="Q122" s="281">
        <f>[17]Source!X50</f>
        <v>0</v>
      </c>
      <c r="R122" s="281">
        <f>[17]Source!X51</f>
        <v>0</v>
      </c>
      <c r="S122" s="281">
        <f>[17]Source!Y50</f>
        <v>0</v>
      </c>
      <c r="T122" s="281">
        <f>[17]Source!Y51</f>
        <v>0</v>
      </c>
      <c r="U122" s="281">
        <f>ROUND((175/100)*ROUND([17]Source!R50, 2), 2)</f>
        <v>0</v>
      </c>
      <c r="V122" s="281">
        <f>ROUND((157/100)*ROUND([17]Source!R51, 2), 2)</f>
        <v>0</v>
      </c>
    </row>
    <row r="123" spans="1:22" ht="14.25" x14ac:dyDescent="0.2">
      <c r="A123" s="301"/>
      <c r="B123" s="302"/>
      <c r="C123" s="302" t="s">
        <v>194</v>
      </c>
      <c r="D123" s="303" t="s">
        <v>187</v>
      </c>
      <c r="E123" s="286">
        <v>112</v>
      </c>
      <c r="F123" s="304"/>
      <c r="G123" s="305"/>
      <c r="H123" s="286"/>
      <c r="I123" s="304">
        <v>41.03</v>
      </c>
      <c r="J123" s="286">
        <v>90</v>
      </c>
      <c r="K123" s="304">
        <v>769.78</v>
      </c>
    </row>
    <row r="124" spans="1:22" ht="14.25" x14ac:dyDescent="0.2">
      <c r="A124" s="301"/>
      <c r="B124" s="302"/>
      <c r="C124" s="302" t="s">
        <v>193</v>
      </c>
      <c r="D124" s="303" t="s">
        <v>187</v>
      </c>
      <c r="E124" s="286">
        <v>70</v>
      </c>
      <c r="F124" s="304"/>
      <c r="G124" s="305"/>
      <c r="H124" s="286"/>
      <c r="I124" s="304">
        <v>25.64</v>
      </c>
      <c r="J124" s="286">
        <v>43</v>
      </c>
      <c r="K124" s="304">
        <v>367.78</v>
      </c>
    </row>
    <row r="125" spans="1:22" ht="14.25" x14ac:dyDescent="0.2">
      <c r="A125" s="301"/>
      <c r="B125" s="302"/>
      <c r="C125" s="302" t="s">
        <v>188</v>
      </c>
      <c r="D125" s="303" t="s">
        <v>187</v>
      </c>
      <c r="E125" s="286">
        <v>175</v>
      </c>
      <c r="F125" s="304"/>
      <c r="G125" s="305"/>
      <c r="H125" s="286"/>
      <c r="I125" s="304">
        <v>3.19</v>
      </c>
      <c r="J125" s="286">
        <v>157</v>
      </c>
      <c r="K125" s="304">
        <v>66.73</v>
      </c>
    </row>
    <row r="126" spans="1:22" ht="14.25" x14ac:dyDescent="0.2">
      <c r="A126" s="329"/>
      <c r="B126" s="330"/>
      <c r="C126" s="330" t="s">
        <v>192</v>
      </c>
      <c r="D126" s="331" t="s">
        <v>191</v>
      </c>
      <c r="E126" s="332">
        <v>1.5</v>
      </c>
      <c r="F126" s="335"/>
      <c r="G126" s="334" t="s">
        <v>195</v>
      </c>
      <c r="H126" s="332">
        <v>1</v>
      </c>
      <c r="I126" s="335">
        <v>2.7</v>
      </c>
      <c r="J126" s="332"/>
      <c r="K126" s="335"/>
    </row>
    <row r="127" spans="1:22" ht="15" x14ac:dyDescent="0.25">
      <c r="A127" s="336"/>
      <c r="B127" s="336"/>
      <c r="C127" s="337" t="s">
        <v>183</v>
      </c>
      <c r="D127" s="336"/>
      <c r="E127" s="336"/>
      <c r="F127" s="336"/>
      <c r="G127" s="336"/>
      <c r="H127" s="461">
        <v>1456.7</v>
      </c>
      <c r="I127" s="461"/>
      <c r="J127" s="461">
        <v>7638.35</v>
      </c>
      <c r="K127" s="461"/>
      <c r="O127" s="284">
        <f>I118+I119+I121+I123+I124+I125+SUM(I122:I122)</f>
        <v>1456.7</v>
      </c>
      <c r="P127" s="284">
        <f>K118+K119+K121+K123+K124+K125+SUM(K122:K122)</f>
        <v>7638.35</v>
      </c>
    </row>
    <row r="129" spans="1:22" ht="42.75" x14ac:dyDescent="0.2">
      <c r="A129" s="301" t="s">
        <v>1870</v>
      </c>
      <c r="B129" s="302" t="s">
        <v>3628</v>
      </c>
      <c r="C129" s="302" t="s">
        <v>1239</v>
      </c>
      <c r="D129" s="303" t="s">
        <v>1903</v>
      </c>
      <c r="E129" s="286">
        <v>12</v>
      </c>
      <c r="F129" s="304"/>
      <c r="G129" s="305"/>
      <c r="H129" s="286"/>
      <c r="I129" s="304"/>
      <c r="J129" s="286"/>
      <c r="K129" s="304"/>
      <c r="Q129" s="281">
        <f>[17]Source!X52</f>
        <v>309.66000000000003</v>
      </c>
      <c r="R129" s="281">
        <f>[17]Source!X53</f>
        <v>5810.23</v>
      </c>
      <c r="S129" s="281">
        <f>[17]Source!Y52</f>
        <v>193.54</v>
      </c>
      <c r="T129" s="281">
        <f>[17]Source!Y53</f>
        <v>2776</v>
      </c>
      <c r="U129" s="281">
        <f>ROUND((175/100)*ROUND([17]Source!R52, 2), 2)</f>
        <v>0.21</v>
      </c>
      <c r="V129" s="281">
        <f>ROUND((157/100)*ROUND([17]Source!R53, 2), 2)</f>
        <v>4.4000000000000004</v>
      </c>
    </row>
    <row r="130" spans="1:22" ht="14.25" x14ac:dyDescent="0.2">
      <c r="A130" s="301"/>
      <c r="B130" s="302"/>
      <c r="C130" s="302" t="s">
        <v>197</v>
      </c>
      <c r="D130" s="303"/>
      <c r="E130" s="286"/>
      <c r="F130" s="304">
        <v>23.04</v>
      </c>
      <c r="G130" s="305" t="s">
        <v>195</v>
      </c>
      <c r="H130" s="286">
        <v>1</v>
      </c>
      <c r="I130" s="304">
        <v>276.48</v>
      </c>
      <c r="J130" s="286">
        <v>23.35</v>
      </c>
      <c r="K130" s="304">
        <v>6455.81</v>
      </c>
    </row>
    <row r="131" spans="1:22" ht="14.25" x14ac:dyDescent="0.2">
      <c r="A131" s="301"/>
      <c r="B131" s="302"/>
      <c r="C131" s="302" t="s">
        <v>184</v>
      </c>
      <c r="D131" s="303"/>
      <c r="E131" s="286"/>
      <c r="F131" s="304">
        <v>0.05</v>
      </c>
      <c r="G131" s="305" t="s">
        <v>195</v>
      </c>
      <c r="H131" s="286">
        <v>1</v>
      </c>
      <c r="I131" s="304">
        <v>0.6</v>
      </c>
      <c r="J131" s="286">
        <v>9</v>
      </c>
      <c r="K131" s="304">
        <v>5.4</v>
      </c>
    </row>
    <row r="132" spans="1:22" ht="14.25" x14ac:dyDescent="0.2">
      <c r="A132" s="301"/>
      <c r="B132" s="302"/>
      <c r="C132" s="302" t="s">
        <v>189</v>
      </c>
      <c r="D132" s="303"/>
      <c r="E132" s="286"/>
      <c r="F132" s="304">
        <v>0.01</v>
      </c>
      <c r="G132" s="305" t="s">
        <v>195</v>
      </c>
      <c r="H132" s="286">
        <v>1</v>
      </c>
      <c r="I132" s="306">
        <v>0.12</v>
      </c>
      <c r="J132" s="286">
        <v>23.35</v>
      </c>
      <c r="K132" s="306">
        <v>2.8</v>
      </c>
    </row>
    <row r="133" spans="1:22" ht="14.25" x14ac:dyDescent="0.2">
      <c r="A133" s="301"/>
      <c r="B133" s="302"/>
      <c r="C133" s="302" t="s">
        <v>205</v>
      </c>
      <c r="D133" s="303"/>
      <c r="E133" s="286"/>
      <c r="F133" s="304">
        <v>3.43</v>
      </c>
      <c r="G133" s="305" t="s">
        <v>195</v>
      </c>
      <c r="H133" s="286">
        <v>1</v>
      </c>
      <c r="I133" s="304">
        <v>41.16</v>
      </c>
      <c r="J133" s="286">
        <v>5.42</v>
      </c>
      <c r="K133" s="304">
        <v>223.09</v>
      </c>
    </row>
    <row r="134" spans="1:22" ht="57" x14ac:dyDescent="0.2">
      <c r="A134" s="301" t="s">
        <v>1871</v>
      </c>
      <c r="B134" s="302" t="s">
        <v>3629</v>
      </c>
      <c r="C134" s="302" t="s">
        <v>1238</v>
      </c>
      <c r="D134" s="303" t="s">
        <v>1661</v>
      </c>
      <c r="E134" s="286">
        <v>12</v>
      </c>
      <c r="F134" s="304">
        <v>186.49</v>
      </c>
      <c r="G134" s="315" t="s">
        <v>195</v>
      </c>
      <c r="H134" s="286">
        <v>1</v>
      </c>
      <c r="I134" s="304">
        <v>2237.88</v>
      </c>
      <c r="J134" s="286">
        <v>2.5</v>
      </c>
      <c r="K134" s="304">
        <v>5594.7</v>
      </c>
      <c r="Q134" s="281">
        <f>[17]Source!X54</f>
        <v>0</v>
      </c>
      <c r="R134" s="281">
        <f>[17]Source!X55</f>
        <v>0</v>
      </c>
      <c r="S134" s="281">
        <f>[17]Source!Y54</f>
        <v>0</v>
      </c>
      <c r="T134" s="281">
        <f>[17]Source!Y55</f>
        <v>0</v>
      </c>
      <c r="U134" s="281">
        <f>ROUND((175/100)*ROUND([17]Source!R54, 2), 2)</f>
        <v>0</v>
      </c>
      <c r="V134" s="281">
        <f>ROUND((157/100)*ROUND([17]Source!R55, 2), 2)</f>
        <v>0</v>
      </c>
    </row>
    <row r="135" spans="1:22" ht="14.25" x14ac:dyDescent="0.2">
      <c r="A135" s="301"/>
      <c r="B135" s="302"/>
      <c r="C135" s="302" t="s">
        <v>194</v>
      </c>
      <c r="D135" s="303" t="s">
        <v>187</v>
      </c>
      <c r="E135" s="286">
        <v>112</v>
      </c>
      <c r="F135" s="304"/>
      <c r="G135" s="305"/>
      <c r="H135" s="286"/>
      <c r="I135" s="304">
        <v>309.66000000000003</v>
      </c>
      <c r="J135" s="286">
        <v>90</v>
      </c>
      <c r="K135" s="304">
        <v>5810.23</v>
      </c>
    </row>
    <row r="136" spans="1:22" ht="14.25" x14ac:dyDescent="0.2">
      <c r="A136" s="301"/>
      <c r="B136" s="302"/>
      <c r="C136" s="302" t="s">
        <v>193</v>
      </c>
      <c r="D136" s="303" t="s">
        <v>187</v>
      </c>
      <c r="E136" s="286">
        <v>70</v>
      </c>
      <c r="F136" s="304"/>
      <c r="G136" s="305"/>
      <c r="H136" s="286"/>
      <c r="I136" s="304">
        <v>193.54</v>
      </c>
      <c r="J136" s="286">
        <v>43</v>
      </c>
      <c r="K136" s="304">
        <v>2776</v>
      </c>
    </row>
    <row r="137" spans="1:22" ht="14.25" x14ac:dyDescent="0.2">
      <c r="A137" s="301"/>
      <c r="B137" s="302"/>
      <c r="C137" s="302" t="s">
        <v>188</v>
      </c>
      <c r="D137" s="303" t="s">
        <v>187</v>
      </c>
      <c r="E137" s="286">
        <v>175</v>
      </c>
      <c r="F137" s="304"/>
      <c r="G137" s="305"/>
      <c r="H137" s="286"/>
      <c r="I137" s="304">
        <v>0.21</v>
      </c>
      <c r="J137" s="286">
        <v>157</v>
      </c>
      <c r="K137" s="304">
        <v>4.4000000000000004</v>
      </c>
    </row>
    <row r="138" spans="1:22" ht="14.25" x14ac:dyDescent="0.2">
      <c r="A138" s="329"/>
      <c r="B138" s="330"/>
      <c r="C138" s="330" t="s">
        <v>192</v>
      </c>
      <c r="D138" s="331" t="s">
        <v>191</v>
      </c>
      <c r="E138" s="332">
        <v>1.8</v>
      </c>
      <c r="F138" s="335"/>
      <c r="G138" s="334" t="s">
        <v>195</v>
      </c>
      <c r="H138" s="332">
        <v>1</v>
      </c>
      <c r="I138" s="335">
        <v>21.6</v>
      </c>
      <c r="J138" s="332"/>
      <c r="K138" s="335"/>
    </row>
    <row r="139" spans="1:22" ht="15" x14ac:dyDescent="0.25">
      <c r="A139" s="336"/>
      <c r="B139" s="336"/>
      <c r="C139" s="337" t="s">
        <v>183</v>
      </c>
      <c r="D139" s="336"/>
      <c r="E139" s="336"/>
      <c r="F139" s="336"/>
      <c r="G139" s="336"/>
      <c r="H139" s="461">
        <v>3059.53</v>
      </c>
      <c r="I139" s="461"/>
      <c r="J139" s="461">
        <v>20869.63</v>
      </c>
      <c r="K139" s="461"/>
      <c r="O139" s="284">
        <f>I130+I131+I133+I135+I136+I137+SUM(I134:I134)</f>
        <v>3059.53</v>
      </c>
      <c r="P139" s="284">
        <f>K130+K131+K133+K135+K136+K137+SUM(K134:K134)</f>
        <v>20869.63</v>
      </c>
    </row>
    <row r="141" spans="1:22" ht="28.5" x14ac:dyDescent="0.2">
      <c r="A141" s="301" t="s">
        <v>1877</v>
      </c>
      <c r="B141" s="302" t="s">
        <v>3624</v>
      </c>
      <c r="C141" s="302" t="s">
        <v>1237</v>
      </c>
      <c r="D141" s="303" t="s">
        <v>3625</v>
      </c>
      <c r="E141" s="286">
        <v>5.0999999999999996</v>
      </c>
      <c r="F141" s="304"/>
      <c r="G141" s="305"/>
      <c r="H141" s="286"/>
      <c r="I141" s="304"/>
      <c r="J141" s="286"/>
      <c r="K141" s="304"/>
      <c r="Q141" s="281">
        <f>[17]Source!X56</f>
        <v>116.24</v>
      </c>
      <c r="R141" s="281">
        <f>[17]Source!X57</f>
        <v>2181.15</v>
      </c>
      <c r="S141" s="281">
        <f>[17]Source!Y56</f>
        <v>72.650000000000006</v>
      </c>
      <c r="T141" s="281">
        <f>[17]Source!Y57</f>
        <v>1042.1099999999999</v>
      </c>
      <c r="U141" s="281">
        <f>ROUND((175/100)*ROUND([17]Source!R56, 2), 2)</f>
        <v>9.01</v>
      </c>
      <c r="V141" s="281">
        <f>ROUND((157/100)*ROUND([17]Source!R57, 2), 2)</f>
        <v>188.79</v>
      </c>
    </row>
    <row r="142" spans="1:22" x14ac:dyDescent="0.2">
      <c r="C142" s="316" t="s">
        <v>3630</v>
      </c>
    </row>
    <row r="143" spans="1:22" ht="14.25" x14ac:dyDescent="0.2">
      <c r="A143" s="301"/>
      <c r="B143" s="302"/>
      <c r="C143" s="302" t="s">
        <v>197</v>
      </c>
      <c r="D143" s="303"/>
      <c r="E143" s="286"/>
      <c r="F143" s="304">
        <v>20.350000000000001</v>
      </c>
      <c r="G143" s="305" t="s">
        <v>195</v>
      </c>
      <c r="H143" s="286">
        <v>1</v>
      </c>
      <c r="I143" s="304">
        <v>103.79</v>
      </c>
      <c r="J143" s="286">
        <v>23.35</v>
      </c>
      <c r="K143" s="304">
        <v>2423.5</v>
      </c>
    </row>
    <row r="144" spans="1:22" ht="14.25" x14ac:dyDescent="0.2">
      <c r="A144" s="301"/>
      <c r="B144" s="302"/>
      <c r="C144" s="302" t="s">
        <v>184</v>
      </c>
      <c r="D144" s="303"/>
      <c r="E144" s="286"/>
      <c r="F144" s="304">
        <v>4.38</v>
      </c>
      <c r="G144" s="305" t="s">
        <v>195</v>
      </c>
      <c r="H144" s="286">
        <v>1</v>
      </c>
      <c r="I144" s="304">
        <v>22.34</v>
      </c>
      <c r="J144" s="286">
        <v>9.5</v>
      </c>
      <c r="K144" s="304">
        <v>212.23</v>
      </c>
    </row>
    <row r="145" spans="1:22" ht="14.25" x14ac:dyDescent="0.2">
      <c r="A145" s="301"/>
      <c r="B145" s="302"/>
      <c r="C145" s="302" t="s">
        <v>189</v>
      </c>
      <c r="D145" s="303"/>
      <c r="E145" s="286"/>
      <c r="F145" s="304">
        <v>1.01</v>
      </c>
      <c r="G145" s="305" t="s">
        <v>195</v>
      </c>
      <c r="H145" s="286">
        <v>1</v>
      </c>
      <c r="I145" s="306">
        <v>5.15</v>
      </c>
      <c r="J145" s="286">
        <v>23.35</v>
      </c>
      <c r="K145" s="306">
        <v>120.25</v>
      </c>
    </row>
    <row r="146" spans="1:22" ht="14.25" x14ac:dyDescent="0.2">
      <c r="A146" s="301"/>
      <c r="B146" s="302"/>
      <c r="C146" s="302" t="s">
        <v>205</v>
      </c>
      <c r="D146" s="303"/>
      <c r="E146" s="286"/>
      <c r="F146" s="304">
        <v>0.14000000000000001</v>
      </c>
      <c r="G146" s="305" t="s">
        <v>195</v>
      </c>
      <c r="H146" s="286">
        <v>1</v>
      </c>
      <c r="I146" s="304">
        <v>0.71</v>
      </c>
      <c r="J146" s="286">
        <v>5.43</v>
      </c>
      <c r="K146" s="304">
        <v>3.86</v>
      </c>
    </row>
    <row r="147" spans="1:22" ht="14.25" x14ac:dyDescent="0.2">
      <c r="A147" s="301"/>
      <c r="B147" s="302"/>
      <c r="C147" s="302" t="s">
        <v>194</v>
      </c>
      <c r="D147" s="303" t="s">
        <v>187</v>
      </c>
      <c r="E147" s="286">
        <v>112</v>
      </c>
      <c r="F147" s="304"/>
      <c r="G147" s="305"/>
      <c r="H147" s="286"/>
      <c r="I147" s="304">
        <v>116.24</v>
      </c>
      <c r="J147" s="286">
        <v>90</v>
      </c>
      <c r="K147" s="304">
        <v>2181.15</v>
      </c>
    </row>
    <row r="148" spans="1:22" ht="14.25" x14ac:dyDescent="0.2">
      <c r="A148" s="301"/>
      <c r="B148" s="302"/>
      <c r="C148" s="302" t="s">
        <v>193</v>
      </c>
      <c r="D148" s="303" t="s">
        <v>187</v>
      </c>
      <c r="E148" s="286">
        <v>70</v>
      </c>
      <c r="F148" s="304"/>
      <c r="G148" s="305"/>
      <c r="H148" s="286"/>
      <c r="I148" s="304">
        <v>72.650000000000006</v>
      </c>
      <c r="J148" s="286">
        <v>43</v>
      </c>
      <c r="K148" s="304">
        <v>1042.1099999999999</v>
      </c>
    </row>
    <row r="149" spans="1:22" ht="14.25" x14ac:dyDescent="0.2">
      <c r="A149" s="301"/>
      <c r="B149" s="302"/>
      <c r="C149" s="302" t="s">
        <v>188</v>
      </c>
      <c r="D149" s="303" t="s">
        <v>187</v>
      </c>
      <c r="E149" s="286">
        <v>175</v>
      </c>
      <c r="F149" s="304"/>
      <c r="G149" s="305"/>
      <c r="H149" s="286"/>
      <c r="I149" s="304">
        <v>9.01</v>
      </c>
      <c r="J149" s="286">
        <v>157</v>
      </c>
      <c r="K149" s="304">
        <v>188.79</v>
      </c>
    </row>
    <row r="150" spans="1:22" ht="14.25" x14ac:dyDescent="0.2">
      <c r="A150" s="329"/>
      <c r="B150" s="330"/>
      <c r="C150" s="330" t="s">
        <v>192</v>
      </c>
      <c r="D150" s="331" t="s">
        <v>191</v>
      </c>
      <c r="E150" s="332">
        <v>1.5</v>
      </c>
      <c r="F150" s="335"/>
      <c r="G150" s="334" t="s">
        <v>195</v>
      </c>
      <c r="H150" s="332">
        <v>1</v>
      </c>
      <c r="I150" s="335">
        <v>7.65</v>
      </c>
      <c r="J150" s="332"/>
      <c r="K150" s="335"/>
    </row>
    <row r="151" spans="1:22" ht="15" x14ac:dyDescent="0.25">
      <c r="A151" s="336"/>
      <c r="B151" s="336"/>
      <c r="C151" s="337" t="s">
        <v>183</v>
      </c>
      <c r="D151" s="336"/>
      <c r="E151" s="336"/>
      <c r="F151" s="336"/>
      <c r="G151" s="336"/>
      <c r="H151" s="461">
        <v>324.74</v>
      </c>
      <c r="I151" s="461"/>
      <c r="J151" s="461">
        <v>6051.64</v>
      </c>
      <c r="K151" s="461"/>
      <c r="O151" s="284">
        <f>I143+I144+I146+I147+I148+I149</f>
        <v>324.74</v>
      </c>
      <c r="P151" s="284">
        <f>K143+K144+K146+K147+K148+K149</f>
        <v>6051.64</v>
      </c>
    </row>
    <row r="153" spans="1:22" ht="28.5" x14ac:dyDescent="0.2">
      <c r="A153" s="301" t="s">
        <v>1889</v>
      </c>
      <c r="B153" s="302" t="s">
        <v>3624</v>
      </c>
      <c r="C153" s="302" t="s">
        <v>1236</v>
      </c>
      <c r="D153" s="303" t="s">
        <v>3625</v>
      </c>
      <c r="E153" s="286">
        <v>0.8</v>
      </c>
      <c r="F153" s="304"/>
      <c r="G153" s="305"/>
      <c r="H153" s="286"/>
      <c r="I153" s="304"/>
      <c r="J153" s="286"/>
      <c r="K153" s="304"/>
      <c r="Q153" s="281">
        <f>[17]Source!X58</f>
        <v>18.23</v>
      </c>
      <c r="R153" s="281">
        <f>[17]Source!X59</f>
        <v>342.13</v>
      </c>
      <c r="S153" s="281">
        <f>[17]Source!Y58</f>
        <v>11.4</v>
      </c>
      <c r="T153" s="281">
        <f>[17]Source!Y59</f>
        <v>163.46</v>
      </c>
      <c r="U153" s="281">
        <f>ROUND((175/100)*ROUND([17]Source!R58, 2), 2)</f>
        <v>1.42</v>
      </c>
      <c r="V153" s="281">
        <f>ROUND((157/100)*ROUND([17]Source!R59, 2), 2)</f>
        <v>29.69</v>
      </c>
    </row>
    <row r="154" spans="1:22" x14ac:dyDescent="0.2">
      <c r="C154" s="316" t="s">
        <v>3573</v>
      </c>
    </row>
    <row r="155" spans="1:22" ht="14.25" x14ac:dyDescent="0.2">
      <c r="A155" s="301"/>
      <c r="B155" s="302"/>
      <c r="C155" s="302" t="s">
        <v>197</v>
      </c>
      <c r="D155" s="303"/>
      <c r="E155" s="286"/>
      <c r="F155" s="304">
        <v>20.350000000000001</v>
      </c>
      <c r="G155" s="305" t="s">
        <v>195</v>
      </c>
      <c r="H155" s="286">
        <v>1</v>
      </c>
      <c r="I155" s="304">
        <v>16.28</v>
      </c>
      <c r="J155" s="286">
        <v>23.35</v>
      </c>
      <c r="K155" s="304">
        <v>380.14</v>
      </c>
    </row>
    <row r="156" spans="1:22" ht="14.25" x14ac:dyDescent="0.2">
      <c r="A156" s="301"/>
      <c r="B156" s="302"/>
      <c r="C156" s="302" t="s">
        <v>184</v>
      </c>
      <c r="D156" s="303"/>
      <c r="E156" s="286"/>
      <c r="F156" s="304">
        <v>4.38</v>
      </c>
      <c r="G156" s="305" t="s">
        <v>195</v>
      </c>
      <c r="H156" s="286">
        <v>1</v>
      </c>
      <c r="I156" s="304">
        <v>3.5</v>
      </c>
      <c r="J156" s="286">
        <v>9.5</v>
      </c>
      <c r="K156" s="304">
        <v>33.25</v>
      </c>
    </row>
    <row r="157" spans="1:22" ht="14.25" x14ac:dyDescent="0.2">
      <c r="A157" s="301"/>
      <c r="B157" s="302"/>
      <c r="C157" s="302" t="s">
        <v>189</v>
      </c>
      <c r="D157" s="303"/>
      <c r="E157" s="286"/>
      <c r="F157" s="304">
        <v>1.01</v>
      </c>
      <c r="G157" s="305" t="s">
        <v>195</v>
      </c>
      <c r="H157" s="286">
        <v>1</v>
      </c>
      <c r="I157" s="306">
        <v>0.81</v>
      </c>
      <c r="J157" s="286">
        <v>23.35</v>
      </c>
      <c r="K157" s="306">
        <v>18.91</v>
      </c>
    </row>
    <row r="158" spans="1:22" ht="14.25" x14ac:dyDescent="0.2">
      <c r="A158" s="301"/>
      <c r="B158" s="302"/>
      <c r="C158" s="302" t="s">
        <v>205</v>
      </c>
      <c r="D158" s="303"/>
      <c r="E158" s="286"/>
      <c r="F158" s="304">
        <v>0.14000000000000001</v>
      </c>
      <c r="G158" s="305" t="s">
        <v>195</v>
      </c>
      <c r="H158" s="286">
        <v>1</v>
      </c>
      <c r="I158" s="304">
        <v>0.11</v>
      </c>
      <c r="J158" s="286">
        <v>5.43</v>
      </c>
      <c r="K158" s="304">
        <v>0.6</v>
      </c>
    </row>
    <row r="159" spans="1:22" ht="14.25" x14ac:dyDescent="0.2">
      <c r="A159" s="301"/>
      <c r="B159" s="302"/>
      <c r="C159" s="302" t="s">
        <v>194</v>
      </c>
      <c r="D159" s="303" t="s">
        <v>187</v>
      </c>
      <c r="E159" s="286">
        <v>112</v>
      </c>
      <c r="F159" s="304"/>
      <c r="G159" s="305"/>
      <c r="H159" s="286"/>
      <c r="I159" s="304">
        <v>18.23</v>
      </c>
      <c r="J159" s="286">
        <v>90</v>
      </c>
      <c r="K159" s="304">
        <v>342.13</v>
      </c>
    </row>
    <row r="160" spans="1:22" ht="14.25" x14ac:dyDescent="0.2">
      <c r="A160" s="301"/>
      <c r="B160" s="302"/>
      <c r="C160" s="302" t="s">
        <v>193</v>
      </c>
      <c r="D160" s="303" t="s">
        <v>187</v>
      </c>
      <c r="E160" s="286">
        <v>70</v>
      </c>
      <c r="F160" s="304"/>
      <c r="G160" s="305"/>
      <c r="H160" s="286"/>
      <c r="I160" s="304">
        <v>11.4</v>
      </c>
      <c r="J160" s="286">
        <v>43</v>
      </c>
      <c r="K160" s="304">
        <v>163.46</v>
      </c>
    </row>
    <row r="161" spans="1:22" ht="14.25" x14ac:dyDescent="0.2">
      <c r="A161" s="301"/>
      <c r="B161" s="302"/>
      <c r="C161" s="302" t="s">
        <v>188</v>
      </c>
      <c r="D161" s="303" t="s">
        <v>187</v>
      </c>
      <c r="E161" s="286">
        <v>175</v>
      </c>
      <c r="F161" s="304"/>
      <c r="G161" s="305"/>
      <c r="H161" s="286"/>
      <c r="I161" s="304">
        <v>1.42</v>
      </c>
      <c r="J161" s="286">
        <v>157</v>
      </c>
      <c r="K161" s="304">
        <v>29.69</v>
      </c>
    </row>
    <row r="162" spans="1:22" ht="14.25" x14ac:dyDescent="0.2">
      <c r="A162" s="329"/>
      <c r="B162" s="330"/>
      <c r="C162" s="330" t="s">
        <v>192</v>
      </c>
      <c r="D162" s="331" t="s">
        <v>191</v>
      </c>
      <c r="E162" s="332">
        <v>1.5</v>
      </c>
      <c r="F162" s="335"/>
      <c r="G162" s="334" t="s">
        <v>195</v>
      </c>
      <c r="H162" s="332">
        <v>1</v>
      </c>
      <c r="I162" s="335">
        <v>1.2</v>
      </c>
      <c r="J162" s="332"/>
      <c r="K162" s="335"/>
    </row>
    <row r="163" spans="1:22" ht="15" x14ac:dyDescent="0.25">
      <c r="A163" s="336"/>
      <c r="B163" s="336"/>
      <c r="C163" s="337" t="s">
        <v>183</v>
      </c>
      <c r="D163" s="336"/>
      <c r="E163" s="336"/>
      <c r="F163" s="336"/>
      <c r="G163" s="336"/>
      <c r="H163" s="461">
        <v>50.94</v>
      </c>
      <c r="I163" s="461"/>
      <c r="J163" s="461">
        <v>949.27</v>
      </c>
      <c r="K163" s="461"/>
      <c r="O163" s="284">
        <f>I155+I156+I158+I159+I160+I161</f>
        <v>50.94</v>
      </c>
      <c r="P163" s="284">
        <f>K155+K156+K158+K159+K160+K161</f>
        <v>949.27</v>
      </c>
    </row>
    <row r="165" spans="1:22" ht="28.5" x14ac:dyDescent="0.2">
      <c r="A165" s="301" t="s">
        <v>1894</v>
      </c>
      <c r="B165" s="302" t="s">
        <v>3624</v>
      </c>
      <c r="C165" s="302" t="s">
        <v>1235</v>
      </c>
      <c r="D165" s="303" t="s">
        <v>3625</v>
      </c>
      <c r="E165" s="286">
        <v>0.2</v>
      </c>
      <c r="F165" s="304"/>
      <c r="G165" s="305"/>
      <c r="H165" s="286"/>
      <c r="I165" s="304"/>
      <c r="J165" s="286"/>
      <c r="K165" s="304"/>
      <c r="Q165" s="281">
        <f>[17]Source!X60</f>
        <v>4.5599999999999996</v>
      </c>
      <c r="R165" s="281">
        <f>[17]Source!X61</f>
        <v>85.53</v>
      </c>
      <c r="S165" s="281">
        <f>[17]Source!Y60</f>
        <v>2.85</v>
      </c>
      <c r="T165" s="281">
        <f>[17]Source!Y61</f>
        <v>40.86</v>
      </c>
      <c r="U165" s="281">
        <f>ROUND((175/100)*ROUND([17]Source!R60, 2), 2)</f>
        <v>0.35</v>
      </c>
      <c r="V165" s="281">
        <f>ROUND((157/100)*ROUND([17]Source!R61, 2), 2)</f>
        <v>7.33</v>
      </c>
    </row>
    <row r="166" spans="1:22" x14ac:dyDescent="0.2">
      <c r="C166" s="316" t="s">
        <v>3583</v>
      </c>
    </row>
    <row r="167" spans="1:22" ht="14.25" x14ac:dyDescent="0.2">
      <c r="A167" s="301"/>
      <c r="B167" s="302"/>
      <c r="C167" s="302" t="s">
        <v>197</v>
      </c>
      <c r="D167" s="303"/>
      <c r="E167" s="286"/>
      <c r="F167" s="304">
        <v>20.350000000000001</v>
      </c>
      <c r="G167" s="305" t="s">
        <v>195</v>
      </c>
      <c r="H167" s="286">
        <v>1</v>
      </c>
      <c r="I167" s="304">
        <v>4.07</v>
      </c>
      <c r="J167" s="286">
        <v>23.35</v>
      </c>
      <c r="K167" s="304">
        <v>95.03</v>
      </c>
    </row>
    <row r="168" spans="1:22" ht="14.25" x14ac:dyDescent="0.2">
      <c r="A168" s="301"/>
      <c r="B168" s="302"/>
      <c r="C168" s="302" t="s">
        <v>184</v>
      </c>
      <c r="D168" s="303"/>
      <c r="E168" s="286"/>
      <c r="F168" s="304">
        <v>4.38</v>
      </c>
      <c r="G168" s="305" t="s">
        <v>195</v>
      </c>
      <c r="H168" s="286">
        <v>1</v>
      </c>
      <c r="I168" s="304">
        <v>0.88</v>
      </c>
      <c r="J168" s="286">
        <v>9.5</v>
      </c>
      <c r="K168" s="304">
        <v>8.36</v>
      </c>
    </row>
    <row r="169" spans="1:22" ht="14.25" x14ac:dyDescent="0.2">
      <c r="A169" s="301"/>
      <c r="B169" s="302"/>
      <c r="C169" s="302" t="s">
        <v>189</v>
      </c>
      <c r="D169" s="303"/>
      <c r="E169" s="286"/>
      <c r="F169" s="304">
        <v>1.01</v>
      </c>
      <c r="G169" s="305" t="s">
        <v>195</v>
      </c>
      <c r="H169" s="286">
        <v>1</v>
      </c>
      <c r="I169" s="306">
        <v>0.2</v>
      </c>
      <c r="J169" s="286">
        <v>23.35</v>
      </c>
      <c r="K169" s="306">
        <v>4.67</v>
      </c>
    </row>
    <row r="170" spans="1:22" ht="14.25" x14ac:dyDescent="0.2">
      <c r="A170" s="301"/>
      <c r="B170" s="302"/>
      <c r="C170" s="302" t="s">
        <v>205</v>
      </c>
      <c r="D170" s="303"/>
      <c r="E170" s="286"/>
      <c r="F170" s="304">
        <v>0.14000000000000001</v>
      </c>
      <c r="G170" s="305" t="s">
        <v>195</v>
      </c>
      <c r="H170" s="286">
        <v>1</v>
      </c>
      <c r="I170" s="304">
        <v>0.03</v>
      </c>
      <c r="J170" s="286">
        <v>5.43</v>
      </c>
      <c r="K170" s="304">
        <v>0.16</v>
      </c>
    </row>
    <row r="171" spans="1:22" ht="14.25" x14ac:dyDescent="0.2">
      <c r="A171" s="301"/>
      <c r="B171" s="302"/>
      <c r="C171" s="302" t="s">
        <v>194</v>
      </c>
      <c r="D171" s="303" t="s">
        <v>187</v>
      </c>
      <c r="E171" s="286">
        <v>112</v>
      </c>
      <c r="F171" s="304"/>
      <c r="G171" s="305"/>
      <c r="H171" s="286"/>
      <c r="I171" s="304">
        <v>4.5599999999999996</v>
      </c>
      <c r="J171" s="286">
        <v>90</v>
      </c>
      <c r="K171" s="304">
        <v>85.53</v>
      </c>
    </row>
    <row r="172" spans="1:22" ht="14.25" x14ac:dyDescent="0.2">
      <c r="A172" s="301"/>
      <c r="B172" s="302"/>
      <c r="C172" s="302" t="s">
        <v>193</v>
      </c>
      <c r="D172" s="303" t="s">
        <v>187</v>
      </c>
      <c r="E172" s="286">
        <v>70</v>
      </c>
      <c r="F172" s="304"/>
      <c r="G172" s="305"/>
      <c r="H172" s="286"/>
      <c r="I172" s="304">
        <v>2.85</v>
      </c>
      <c r="J172" s="286">
        <v>43</v>
      </c>
      <c r="K172" s="304">
        <v>40.86</v>
      </c>
    </row>
    <row r="173" spans="1:22" ht="14.25" x14ac:dyDescent="0.2">
      <c r="A173" s="301"/>
      <c r="B173" s="302"/>
      <c r="C173" s="302" t="s">
        <v>188</v>
      </c>
      <c r="D173" s="303" t="s">
        <v>187</v>
      </c>
      <c r="E173" s="286">
        <v>175</v>
      </c>
      <c r="F173" s="304"/>
      <c r="G173" s="305"/>
      <c r="H173" s="286"/>
      <c r="I173" s="304">
        <v>0.35</v>
      </c>
      <c r="J173" s="286">
        <v>157</v>
      </c>
      <c r="K173" s="304">
        <v>7.33</v>
      </c>
    </row>
    <row r="174" spans="1:22" ht="14.25" x14ac:dyDescent="0.2">
      <c r="A174" s="329"/>
      <c r="B174" s="330"/>
      <c r="C174" s="330" t="s">
        <v>192</v>
      </c>
      <c r="D174" s="331" t="s">
        <v>191</v>
      </c>
      <c r="E174" s="332">
        <v>1.5</v>
      </c>
      <c r="F174" s="335"/>
      <c r="G174" s="334" t="s">
        <v>195</v>
      </c>
      <c r="H174" s="332">
        <v>1</v>
      </c>
      <c r="I174" s="335">
        <v>0.3</v>
      </c>
      <c r="J174" s="332"/>
      <c r="K174" s="335"/>
    </row>
    <row r="175" spans="1:22" ht="15" x14ac:dyDescent="0.25">
      <c r="A175" s="336"/>
      <c r="B175" s="336"/>
      <c r="C175" s="337" t="s">
        <v>183</v>
      </c>
      <c r="D175" s="336"/>
      <c r="E175" s="336"/>
      <c r="F175" s="336"/>
      <c r="G175" s="336"/>
      <c r="H175" s="461">
        <v>12.74</v>
      </c>
      <c r="I175" s="461"/>
      <c r="J175" s="461">
        <v>237.27</v>
      </c>
      <c r="K175" s="461"/>
      <c r="O175" s="284">
        <f>I167+I168+I170+I171+I172+I173</f>
        <v>12.74</v>
      </c>
      <c r="P175" s="284">
        <f>K167+K168+K170+K171+K172+K173</f>
        <v>237.27</v>
      </c>
    </row>
    <row r="177" spans="1:22" ht="28.5" x14ac:dyDescent="0.2">
      <c r="A177" s="301" t="s">
        <v>1902</v>
      </c>
      <c r="B177" s="302" t="s">
        <v>3624</v>
      </c>
      <c r="C177" s="302" t="s">
        <v>1235</v>
      </c>
      <c r="D177" s="303" t="s">
        <v>3625</v>
      </c>
      <c r="E177" s="286">
        <v>0.1</v>
      </c>
      <c r="F177" s="304"/>
      <c r="G177" s="305"/>
      <c r="H177" s="286"/>
      <c r="I177" s="304"/>
      <c r="J177" s="286"/>
      <c r="K177" s="304"/>
      <c r="Q177" s="281">
        <f>[17]Source!X62</f>
        <v>2.2799999999999998</v>
      </c>
      <c r="R177" s="281">
        <f>[17]Source!X63</f>
        <v>42.87</v>
      </c>
      <c r="S177" s="281">
        <f>[17]Source!Y62</f>
        <v>1.43</v>
      </c>
      <c r="T177" s="281">
        <f>[17]Source!Y63</f>
        <v>20.48</v>
      </c>
      <c r="U177" s="281">
        <f>ROUND((175/100)*ROUND([17]Source!R62, 2), 2)</f>
        <v>0.18</v>
      </c>
      <c r="V177" s="281">
        <f>ROUND((157/100)*ROUND([17]Source!R63, 2), 2)</f>
        <v>3.67</v>
      </c>
    </row>
    <row r="178" spans="1:22" x14ac:dyDescent="0.2">
      <c r="C178" s="316" t="s">
        <v>1891</v>
      </c>
    </row>
    <row r="179" spans="1:22" ht="14.25" x14ac:dyDescent="0.2">
      <c r="A179" s="301"/>
      <c r="B179" s="302"/>
      <c r="C179" s="302" t="s">
        <v>197</v>
      </c>
      <c r="D179" s="303"/>
      <c r="E179" s="286"/>
      <c r="F179" s="304">
        <v>20.350000000000001</v>
      </c>
      <c r="G179" s="305" t="s">
        <v>195</v>
      </c>
      <c r="H179" s="286">
        <v>1</v>
      </c>
      <c r="I179" s="304">
        <v>2.04</v>
      </c>
      <c r="J179" s="286">
        <v>23.35</v>
      </c>
      <c r="K179" s="304">
        <v>47.63</v>
      </c>
    </row>
    <row r="180" spans="1:22" ht="14.25" x14ac:dyDescent="0.2">
      <c r="A180" s="301"/>
      <c r="B180" s="302"/>
      <c r="C180" s="302" t="s">
        <v>184</v>
      </c>
      <c r="D180" s="303"/>
      <c r="E180" s="286"/>
      <c r="F180" s="304">
        <v>4.38</v>
      </c>
      <c r="G180" s="305" t="s">
        <v>195</v>
      </c>
      <c r="H180" s="286">
        <v>1</v>
      </c>
      <c r="I180" s="304">
        <v>0.44</v>
      </c>
      <c r="J180" s="286">
        <v>9.5</v>
      </c>
      <c r="K180" s="304">
        <v>4.18</v>
      </c>
    </row>
    <row r="181" spans="1:22" ht="14.25" x14ac:dyDescent="0.2">
      <c r="A181" s="301"/>
      <c r="B181" s="302"/>
      <c r="C181" s="302" t="s">
        <v>189</v>
      </c>
      <c r="D181" s="303"/>
      <c r="E181" s="286"/>
      <c r="F181" s="304">
        <v>1.01</v>
      </c>
      <c r="G181" s="305" t="s">
        <v>195</v>
      </c>
      <c r="H181" s="286">
        <v>1</v>
      </c>
      <c r="I181" s="306">
        <v>0.1</v>
      </c>
      <c r="J181" s="286">
        <v>23.35</v>
      </c>
      <c r="K181" s="306">
        <v>2.34</v>
      </c>
    </row>
    <row r="182" spans="1:22" ht="14.25" x14ac:dyDescent="0.2">
      <c r="A182" s="301"/>
      <c r="B182" s="302"/>
      <c r="C182" s="302" t="s">
        <v>205</v>
      </c>
      <c r="D182" s="303"/>
      <c r="E182" s="286"/>
      <c r="F182" s="304">
        <v>0.14000000000000001</v>
      </c>
      <c r="G182" s="305" t="s">
        <v>195</v>
      </c>
      <c r="H182" s="286">
        <v>1</v>
      </c>
      <c r="I182" s="304">
        <v>0.01</v>
      </c>
      <c r="J182" s="286">
        <v>5.43</v>
      </c>
      <c r="K182" s="304">
        <v>0.05</v>
      </c>
    </row>
    <row r="183" spans="1:22" ht="14.25" x14ac:dyDescent="0.2">
      <c r="A183" s="301"/>
      <c r="B183" s="302"/>
      <c r="C183" s="302" t="s">
        <v>194</v>
      </c>
      <c r="D183" s="303" t="s">
        <v>187</v>
      </c>
      <c r="E183" s="286">
        <v>112</v>
      </c>
      <c r="F183" s="304"/>
      <c r="G183" s="305"/>
      <c r="H183" s="286"/>
      <c r="I183" s="304">
        <v>2.2799999999999998</v>
      </c>
      <c r="J183" s="286">
        <v>90</v>
      </c>
      <c r="K183" s="304">
        <v>42.87</v>
      </c>
    </row>
    <row r="184" spans="1:22" ht="14.25" x14ac:dyDescent="0.2">
      <c r="A184" s="301"/>
      <c r="B184" s="302"/>
      <c r="C184" s="302" t="s">
        <v>193</v>
      </c>
      <c r="D184" s="303" t="s">
        <v>187</v>
      </c>
      <c r="E184" s="286">
        <v>70</v>
      </c>
      <c r="F184" s="304"/>
      <c r="G184" s="305"/>
      <c r="H184" s="286"/>
      <c r="I184" s="304">
        <v>1.43</v>
      </c>
      <c r="J184" s="286">
        <v>43</v>
      </c>
      <c r="K184" s="304">
        <v>20.48</v>
      </c>
    </row>
    <row r="185" spans="1:22" ht="14.25" x14ac:dyDescent="0.2">
      <c r="A185" s="301"/>
      <c r="B185" s="302"/>
      <c r="C185" s="302" t="s">
        <v>188</v>
      </c>
      <c r="D185" s="303" t="s">
        <v>187</v>
      </c>
      <c r="E185" s="286">
        <v>175</v>
      </c>
      <c r="F185" s="304"/>
      <c r="G185" s="305"/>
      <c r="H185" s="286"/>
      <c r="I185" s="304">
        <v>0.18</v>
      </c>
      <c r="J185" s="286">
        <v>157</v>
      </c>
      <c r="K185" s="304">
        <v>3.67</v>
      </c>
    </row>
    <row r="186" spans="1:22" ht="14.25" x14ac:dyDescent="0.2">
      <c r="A186" s="329"/>
      <c r="B186" s="330"/>
      <c r="C186" s="330" t="s">
        <v>192</v>
      </c>
      <c r="D186" s="331" t="s">
        <v>191</v>
      </c>
      <c r="E186" s="332">
        <v>1.5</v>
      </c>
      <c r="F186" s="335"/>
      <c r="G186" s="334" t="s">
        <v>195</v>
      </c>
      <c r="H186" s="332">
        <v>1</v>
      </c>
      <c r="I186" s="335">
        <v>0.15</v>
      </c>
      <c r="J186" s="332"/>
      <c r="K186" s="335"/>
    </row>
    <row r="187" spans="1:22" ht="15" x14ac:dyDescent="0.25">
      <c r="A187" s="336"/>
      <c r="B187" s="336"/>
      <c r="C187" s="337" t="s">
        <v>183</v>
      </c>
      <c r="D187" s="336"/>
      <c r="E187" s="336"/>
      <c r="F187" s="336"/>
      <c r="G187" s="336"/>
      <c r="H187" s="461">
        <v>6.38</v>
      </c>
      <c r="I187" s="461"/>
      <c r="J187" s="461">
        <v>118.88</v>
      </c>
      <c r="K187" s="461"/>
      <c r="O187" s="284">
        <f>I179+I180+I182+I183+I184+I185</f>
        <v>6.38</v>
      </c>
      <c r="P187" s="284">
        <f>K179+K180+K182+K183+K184+K185</f>
        <v>118.88</v>
      </c>
    </row>
    <row r="189" spans="1:22" ht="28.5" x14ac:dyDescent="0.2">
      <c r="A189" s="301" t="s">
        <v>1906</v>
      </c>
      <c r="B189" s="302" t="s">
        <v>3599</v>
      </c>
      <c r="C189" s="302" t="s">
        <v>1234</v>
      </c>
      <c r="D189" s="303" t="s">
        <v>1903</v>
      </c>
      <c r="E189" s="286">
        <v>2</v>
      </c>
      <c r="F189" s="304"/>
      <c r="G189" s="305"/>
      <c r="H189" s="286"/>
      <c r="I189" s="304"/>
      <c r="J189" s="286"/>
      <c r="K189" s="304"/>
      <c r="Q189" s="281">
        <f>[17]Source!X64</f>
        <v>74.91</v>
      </c>
      <c r="R189" s="281">
        <f>[17]Source!X65</f>
        <v>1405.49</v>
      </c>
      <c r="S189" s="281">
        <f>[17]Source!Y64</f>
        <v>46.82</v>
      </c>
      <c r="T189" s="281">
        <f>[17]Source!Y65</f>
        <v>671.51</v>
      </c>
      <c r="U189" s="281">
        <f>ROUND((175/100)*ROUND([17]Source!R64, 2), 2)</f>
        <v>0</v>
      </c>
      <c r="V189" s="281">
        <f>ROUND((157/100)*ROUND([17]Source!R65, 2), 2)</f>
        <v>0</v>
      </c>
    </row>
    <row r="190" spans="1:22" ht="14.25" x14ac:dyDescent="0.2">
      <c r="A190" s="301"/>
      <c r="B190" s="302"/>
      <c r="C190" s="302" t="s">
        <v>197</v>
      </c>
      <c r="D190" s="303"/>
      <c r="E190" s="286"/>
      <c r="F190" s="304">
        <v>33.44</v>
      </c>
      <c r="G190" s="305" t="s">
        <v>195</v>
      </c>
      <c r="H190" s="286">
        <v>1</v>
      </c>
      <c r="I190" s="304">
        <v>66.88</v>
      </c>
      <c r="J190" s="286">
        <v>23.35</v>
      </c>
      <c r="K190" s="304">
        <v>1561.65</v>
      </c>
    </row>
    <row r="191" spans="1:22" ht="14.25" x14ac:dyDescent="0.2">
      <c r="A191" s="301"/>
      <c r="B191" s="302"/>
      <c r="C191" s="302" t="s">
        <v>205</v>
      </c>
      <c r="D191" s="303"/>
      <c r="E191" s="286"/>
      <c r="F191" s="304">
        <v>1.5</v>
      </c>
      <c r="G191" s="305" t="s">
        <v>195</v>
      </c>
      <c r="H191" s="286">
        <v>1</v>
      </c>
      <c r="I191" s="304">
        <v>3</v>
      </c>
      <c r="J191" s="286">
        <v>5.42</v>
      </c>
      <c r="K191" s="304">
        <v>16.260000000000002</v>
      </c>
    </row>
    <row r="192" spans="1:22" ht="114" x14ac:dyDescent="0.2">
      <c r="A192" s="301" t="s">
        <v>1909</v>
      </c>
      <c r="B192" s="302" t="s">
        <v>3631</v>
      </c>
      <c r="C192" s="302" t="s">
        <v>1233</v>
      </c>
      <c r="D192" s="303" t="s">
        <v>1661</v>
      </c>
      <c r="E192" s="286">
        <v>2</v>
      </c>
      <c r="F192" s="304">
        <v>74.63</v>
      </c>
      <c r="G192" s="315" t="s">
        <v>195</v>
      </c>
      <c r="H192" s="286">
        <v>1</v>
      </c>
      <c r="I192" s="304">
        <v>149.26</v>
      </c>
      <c r="J192" s="286">
        <v>7.22</v>
      </c>
      <c r="K192" s="304">
        <v>1077.6600000000001</v>
      </c>
      <c r="Q192" s="281">
        <f>[17]Source!X66</f>
        <v>0</v>
      </c>
      <c r="R192" s="281">
        <f>[17]Source!X67</f>
        <v>0</v>
      </c>
      <c r="S192" s="281">
        <f>[17]Source!Y66</f>
        <v>0</v>
      </c>
      <c r="T192" s="281">
        <f>[17]Source!Y67</f>
        <v>0</v>
      </c>
      <c r="U192" s="281">
        <f>ROUND((175/100)*ROUND([17]Source!R66, 2), 2)</f>
        <v>0</v>
      </c>
      <c r="V192" s="281">
        <f>ROUND((157/100)*ROUND([17]Source!R67, 2), 2)</f>
        <v>0</v>
      </c>
    </row>
    <row r="193" spans="1:22" ht="14.25" x14ac:dyDescent="0.2">
      <c r="A193" s="301"/>
      <c r="B193" s="302"/>
      <c r="C193" s="302" t="s">
        <v>194</v>
      </c>
      <c r="D193" s="303" t="s">
        <v>187</v>
      </c>
      <c r="E193" s="286">
        <v>112</v>
      </c>
      <c r="F193" s="304"/>
      <c r="G193" s="305"/>
      <c r="H193" s="286"/>
      <c r="I193" s="304">
        <v>74.91</v>
      </c>
      <c r="J193" s="286">
        <v>90</v>
      </c>
      <c r="K193" s="304">
        <v>1405.49</v>
      </c>
    </row>
    <row r="194" spans="1:22" ht="14.25" x14ac:dyDescent="0.2">
      <c r="A194" s="301"/>
      <c r="B194" s="302"/>
      <c r="C194" s="302" t="s">
        <v>193</v>
      </c>
      <c r="D194" s="303" t="s">
        <v>187</v>
      </c>
      <c r="E194" s="286">
        <v>70</v>
      </c>
      <c r="F194" s="304"/>
      <c r="G194" s="305"/>
      <c r="H194" s="286"/>
      <c r="I194" s="304">
        <v>46.82</v>
      </c>
      <c r="J194" s="286">
        <v>43</v>
      </c>
      <c r="K194" s="304">
        <v>671.51</v>
      </c>
    </row>
    <row r="195" spans="1:22" ht="14.25" x14ac:dyDescent="0.2">
      <c r="A195" s="329"/>
      <c r="B195" s="330"/>
      <c r="C195" s="330" t="s">
        <v>192</v>
      </c>
      <c r="D195" s="331" t="s">
        <v>191</v>
      </c>
      <c r="E195" s="332">
        <v>2.65</v>
      </c>
      <c r="F195" s="335"/>
      <c r="G195" s="334" t="s">
        <v>195</v>
      </c>
      <c r="H195" s="332">
        <v>1</v>
      </c>
      <c r="I195" s="335">
        <v>5.3</v>
      </c>
      <c r="J195" s="332"/>
      <c r="K195" s="335"/>
    </row>
    <row r="196" spans="1:22" ht="15" x14ac:dyDescent="0.25">
      <c r="A196" s="336"/>
      <c r="B196" s="336"/>
      <c r="C196" s="337" t="s">
        <v>183</v>
      </c>
      <c r="D196" s="336"/>
      <c r="E196" s="336"/>
      <c r="F196" s="336"/>
      <c r="G196" s="336"/>
      <c r="H196" s="461">
        <v>340.87</v>
      </c>
      <c r="I196" s="461"/>
      <c r="J196" s="461">
        <v>4732.57</v>
      </c>
      <c r="K196" s="461"/>
      <c r="O196" s="284">
        <f>I190+I191+I193+I194+SUM(I192:I192)</f>
        <v>340.87</v>
      </c>
      <c r="P196" s="284">
        <f>K190+K191+K193+K194+SUM(K192:K192)</f>
        <v>4732.57</v>
      </c>
    </row>
    <row r="198" spans="1:22" ht="71.25" x14ac:dyDescent="0.2">
      <c r="A198" s="301" t="s">
        <v>2338</v>
      </c>
      <c r="B198" s="302" t="s">
        <v>3347</v>
      </c>
      <c r="C198" s="302" t="s">
        <v>1171</v>
      </c>
      <c r="D198" s="303" t="s">
        <v>1686</v>
      </c>
      <c r="E198" s="286">
        <v>40</v>
      </c>
      <c r="F198" s="304"/>
      <c r="G198" s="305"/>
      <c r="H198" s="286"/>
      <c r="I198" s="304"/>
      <c r="J198" s="286"/>
      <c r="K198" s="304"/>
      <c r="Q198" s="281">
        <f>[17]Source!X74</f>
        <v>8613.25</v>
      </c>
      <c r="R198" s="281">
        <f>[17]Source!X75</f>
        <v>161613.76000000001</v>
      </c>
      <c r="S198" s="281">
        <f>[17]Source!Y74</f>
        <v>5383.28</v>
      </c>
      <c r="T198" s="281">
        <f>[17]Source!Y75</f>
        <v>77215.460000000006</v>
      </c>
      <c r="U198" s="281">
        <f>ROUND((175/100)*ROUND([17]Source!R74, 2), 2)</f>
        <v>399.7</v>
      </c>
      <c r="V198" s="281">
        <f>ROUND((157/100)*ROUND([17]Source!R75, 2), 2)</f>
        <v>8373.0300000000007</v>
      </c>
    </row>
    <row r="199" spans="1:22" x14ac:dyDescent="0.2">
      <c r="C199" s="316" t="s">
        <v>3632</v>
      </c>
    </row>
    <row r="200" spans="1:22" ht="14.25" x14ac:dyDescent="0.2">
      <c r="A200" s="301"/>
      <c r="B200" s="302"/>
      <c r="C200" s="302" t="s">
        <v>197</v>
      </c>
      <c r="D200" s="303"/>
      <c r="E200" s="286"/>
      <c r="F200" s="304">
        <v>192.26</v>
      </c>
      <c r="G200" s="305" t="s">
        <v>195</v>
      </c>
      <c r="H200" s="286">
        <v>1</v>
      </c>
      <c r="I200" s="304">
        <v>7690.4</v>
      </c>
      <c r="J200" s="286">
        <v>23.35</v>
      </c>
      <c r="K200" s="304">
        <v>179570.84</v>
      </c>
    </row>
    <row r="201" spans="1:22" ht="14.25" x14ac:dyDescent="0.2">
      <c r="A201" s="301"/>
      <c r="B201" s="302"/>
      <c r="C201" s="302" t="s">
        <v>184</v>
      </c>
      <c r="D201" s="303"/>
      <c r="E201" s="286"/>
      <c r="F201" s="304">
        <v>32.869999999999997</v>
      </c>
      <c r="G201" s="305" t="s">
        <v>195</v>
      </c>
      <c r="H201" s="286">
        <v>1</v>
      </c>
      <c r="I201" s="304">
        <v>1314.8</v>
      </c>
      <c r="J201" s="286">
        <v>8.48</v>
      </c>
      <c r="K201" s="304">
        <v>11149.5</v>
      </c>
    </row>
    <row r="202" spans="1:22" ht="14.25" x14ac:dyDescent="0.2">
      <c r="A202" s="301"/>
      <c r="B202" s="302"/>
      <c r="C202" s="302" t="s">
        <v>189</v>
      </c>
      <c r="D202" s="303"/>
      <c r="E202" s="286"/>
      <c r="F202" s="304">
        <v>5.71</v>
      </c>
      <c r="G202" s="305" t="s">
        <v>195</v>
      </c>
      <c r="H202" s="286">
        <v>1</v>
      </c>
      <c r="I202" s="306">
        <v>228.4</v>
      </c>
      <c r="J202" s="286">
        <v>23.35</v>
      </c>
      <c r="K202" s="306">
        <v>5333.14</v>
      </c>
    </row>
    <row r="203" spans="1:22" ht="14.25" x14ac:dyDescent="0.2">
      <c r="A203" s="301"/>
      <c r="B203" s="302"/>
      <c r="C203" s="302" t="s">
        <v>205</v>
      </c>
      <c r="D203" s="303"/>
      <c r="E203" s="286"/>
      <c r="F203" s="304">
        <v>314.29000000000002</v>
      </c>
      <c r="G203" s="305" t="s">
        <v>195</v>
      </c>
      <c r="H203" s="286">
        <v>1</v>
      </c>
      <c r="I203" s="304">
        <v>12571.6</v>
      </c>
      <c r="J203" s="286">
        <v>5.42</v>
      </c>
      <c r="K203" s="304">
        <v>68138.070000000007</v>
      </c>
    </row>
    <row r="204" spans="1:22" ht="57" x14ac:dyDescent="0.2">
      <c r="A204" s="301" t="s">
        <v>2341</v>
      </c>
      <c r="B204" s="302" t="s">
        <v>3349</v>
      </c>
      <c r="C204" s="302" t="s">
        <v>1232</v>
      </c>
      <c r="D204" s="303" t="s">
        <v>1552</v>
      </c>
      <c r="E204" s="286">
        <v>4080</v>
      </c>
      <c r="F204" s="304">
        <v>3.45</v>
      </c>
      <c r="G204" s="315" t="s">
        <v>195</v>
      </c>
      <c r="H204" s="286">
        <v>1</v>
      </c>
      <c r="I204" s="304">
        <v>14076</v>
      </c>
      <c r="J204" s="286">
        <v>6.37</v>
      </c>
      <c r="K204" s="304">
        <v>89664.12</v>
      </c>
      <c r="Q204" s="281">
        <f>[17]Source!X76</f>
        <v>0</v>
      </c>
      <c r="R204" s="281">
        <f>[17]Source!X77</f>
        <v>0</v>
      </c>
      <c r="S204" s="281">
        <f>[17]Source!Y76</f>
        <v>0</v>
      </c>
      <c r="T204" s="281">
        <f>[17]Source!Y77</f>
        <v>0</v>
      </c>
      <c r="U204" s="281">
        <f>ROUND((175/100)*ROUND([17]Source!R76, 2), 2)</f>
        <v>0</v>
      </c>
      <c r="V204" s="281">
        <f>ROUND((157/100)*ROUND([17]Source!R77, 2), 2)</f>
        <v>0</v>
      </c>
    </row>
    <row r="205" spans="1:22" ht="42.75" x14ac:dyDescent="0.2">
      <c r="A205" s="301" t="s">
        <v>3633</v>
      </c>
      <c r="B205" s="302" t="s">
        <v>3350</v>
      </c>
      <c r="C205" s="302" t="s">
        <v>1169</v>
      </c>
      <c r="D205" s="303" t="s">
        <v>1536</v>
      </c>
      <c r="E205" s="286">
        <v>100</v>
      </c>
      <c r="F205" s="304">
        <v>146.88999999999999</v>
      </c>
      <c r="G205" s="315" t="s">
        <v>195</v>
      </c>
      <c r="H205" s="286">
        <v>1</v>
      </c>
      <c r="I205" s="304">
        <v>14689</v>
      </c>
      <c r="J205" s="286">
        <v>1.19</v>
      </c>
      <c r="K205" s="304">
        <v>17479.91</v>
      </c>
      <c r="Q205" s="281">
        <f>[17]Source!X80</f>
        <v>0</v>
      </c>
      <c r="R205" s="281">
        <f>[17]Source!X81</f>
        <v>0</v>
      </c>
      <c r="S205" s="281">
        <f>[17]Source!Y80</f>
        <v>0</v>
      </c>
      <c r="T205" s="281">
        <f>[17]Source!Y81</f>
        <v>0</v>
      </c>
      <c r="U205" s="281">
        <f>ROUND((175/100)*ROUND([17]Source!R80, 2), 2)</f>
        <v>0</v>
      </c>
      <c r="V205" s="281">
        <f>ROUND((157/100)*ROUND([17]Source!R81, 2), 2)</f>
        <v>0</v>
      </c>
    </row>
    <row r="206" spans="1:22" ht="14.25" x14ac:dyDescent="0.2">
      <c r="A206" s="301"/>
      <c r="B206" s="302"/>
      <c r="C206" s="302" t="s">
        <v>194</v>
      </c>
      <c r="D206" s="303" t="s">
        <v>187</v>
      </c>
      <c r="E206" s="286">
        <v>112</v>
      </c>
      <c r="F206" s="304"/>
      <c r="G206" s="305"/>
      <c r="H206" s="286"/>
      <c r="I206" s="304">
        <v>8613.25</v>
      </c>
      <c r="J206" s="286">
        <v>90</v>
      </c>
      <c r="K206" s="304">
        <v>161613.76000000001</v>
      </c>
    </row>
    <row r="207" spans="1:22" ht="14.25" x14ac:dyDescent="0.2">
      <c r="A207" s="301"/>
      <c r="B207" s="302"/>
      <c r="C207" s="302" t="s">
        <v>193</v>
      </c>
      <c r="D207" s="303" t="s">
        <v>187</v>
      </c>
      <c r="E207" s="286">
        <v>70</v>
      </c>
      <c r="F207" s="304"/>
      <c r="G207" s="305"/>
      <c r="H207" s="286"/>
      <c r="I207" s="304">
        <v>5383.28</v>
      </c>
      <c r="J207" s="286">
        <v>43</v>
      </c>
      <c r="K207" s="304">
        <v>77215.460000000006</v>
      </c>
    </row>
    <row r="208" spans="1:22" ht="14.25" x14ac:dyDescent="0.2">
      <c r="A208" s="301"/>
      <c r="B208" s="302"/>
      <c r="C208" s="302" t="s">
        <v>188</v>
      </c>
      <c r="D208" s="303" t="s">
        <v>187</v>
      </c>
      <c r="E208" s="286">
        <v>175</v>
      </c>
      <c r="F208" s="304"/>
      <c r="G208" s="305"/>
      <c r="H208" s="286"/>
      <c r="I208" s="304">
        <v>399.7</v>
      </c>
      <c r="J208" s="286">
        <v>157</v>
      </c>
      <c r="K208" s="304">
        <v>8373.0300000000007</v>
      </c>
    </row>
    <row r="209" spans="1:22" ht="14.25" x14ac:dyDescent="0.2">
      <c r="A209" s="329"/>
      <c r="B209" s="330"/>
      <c r="C209" s="330" t="s">
        <v>192</v>
      </c>
      <c r="D209" s="331" t="s">
        <v>191</v>
      </c>
      <c r="E209" s="332">
        <v>15</v>
      </c>
      <c r="F209" s="335"/>
      <c r="G209" s="334" t="s">
        <v>195</v>
      </c>
      <c r="H209" s="332">
        <v>1</v>
      </c>
      <c r="I209" s="335">
        <v>600</v>
      </c>
      <c r="J209" s="332"/>
      <c r="K209" s="335"/>
    </row>
    <row r="210" spans="1:22" ht="15" x14ac:dyDescent="0.25">
      <c r="A210" s="336"/>
      <c r="B210" s="336"/>
      <c r="C210" s="337" t="s">
        <v>183</v>
      </c>
      <c r="D210" s="336"/>
      <c r="E210" s="336"/>
      <c r="F210" s="336"/>
      <c r="G210" s="336"/>
      <c r="H210" s="461">
        <v>64738.03</v>
      </c>
      <c r="I210" s="461"/>
      <c r="J210" s="461">
        <v>613204.68999999994</v>
      </c>
      <c r="K210" s="461"/>
      <c r="O210" s="284">
        <f>I200+I201+I203+I206+I207+I208+SUM(I204:I205)</f>
        <v>64738.03</v>
      </c>
      <c r="P210" s="284">
        <f>K200+K201+K203+K206+K207+K208+SUM(K204:K205)</f>
        <v>613204.68999999994</v>
      </c>
    </row>
    <row r="212" spans="1:22" ht="28.5" x14ac:dyDescent="0.2">
      <c r="A212" s="301" t="s">
        <v>2342</v>
      </c>
      <c r="B212" s="302" t="s">
        <v>3634</v>
      </c>
      <c r="C212" s="302" t="s">
        <v>1230</v>
      </c>
      <c r="D212" s="303" t="s">
        <v>1686</v>
      </c>
      <c r="E212" s="286">
        <v>1</v>
      </c>
      <c r="F212" s="304"/>
      <c r="G212" s="305"/>
      <c r="H212" s="286"/>
      <c r="I212" s="304"/>
      <c r="J212" s="286"/>
      <c r="K212" s="304"/>
      <c r="Q212" s="281">
        <f>[17]Source!X82</f>
        <v>454.16</v>
      </c>
      <c r="R212" s="281">
        <f>[17]Source!X83</f>
        <v>8521.59</v>
      </c>
      <c r="S212" s="281">
        <f>[17]Source!Y82</f>
        <v>283.85000000000002</v>
      </c>
      <c r="T212" s="281">
        <f>[17]Source!Y83</f>
        <v>4071.42</v>
      </c>
      <c r="U212" s="281">
        <f>ROUND((175/100)*ROUND([17]Source!R82, 2), 2)</f>
        <v>6.41</v>
      </c>
      <c r="V212" s="281">
        <f>ROUND((157/100)*ROUND([17]Source!R83, 2), 2)</f>
        <v>134.16999999999999</v>
      </c>
    </row>
    <row r="213" spans="1:22" x14ac:dyDescent="0.2">
      <c r="C213" s="316" t="s">
        <v>2957</v>
      </c>
    </row>
    <row r="214" spans="1:22" ht="14.25" x14ac:dyDescent="0.2">
      <c r="A214" s="301"/>
      <c r="B214" s="302"/>
      <c r="C214" s="302" t="s">
        <v>197</v>
      </c>
      <c r="D214" s="303"/>
      <c r="E214" s="286"/>
      <c r="F214" s="304">
        <v>405.5</v>
      </c>
      <c r="G214" s="305" t="s">
        <v>195</v>
      </c>
      <c r="H214" s="286">
        <v>1</v>
      </c>
      <c r="I214" s="304">
        <v>405.5</v>
      </c>
      <c r="J214" s="286">
        <v>23.35</v>
      </c>
      <c r="K214" s="304">
        <v>9468.43</v>
      </c>
    </row>
    <row r="215" spans="1:22" ht="14.25" x14ac:dyDescent="0.2">
      <c r="A215" s="301"/>
      <c r="B215" s="302"/>
      <c r="C215" s="302" t="s">
        <v>184</v>
      </c>
      <c r="D215" s="303"/>
      <c r="E215" s="286"/>
      <c r="F215" s="304">
        <v>24.51</v>
      </c>
      <c r="G215" s="305" t="s">
        <v>195</v>
      </c>
      <c r="H215" s="286">
        <v>1</v>
      </c>
      <c r="I215" s="304">
        <v>24.51</v>
      </c>
      <c r="J215" s="286">
        <v>8.0399999999999991</v>
      </c>
      <c r="K215" s="304">
        <v>197.06</v>
      </c>
    </row>
    <row r="216" spans="1:22" ht="14.25" x14ac:dyDescent="0.2">
      <c r="A216" s="301"/>
      <c r="B216" s="302"/>
      <c r="C216" s="302" t="s">
        <v>189</v>
      </c>
      <c r="D216" s="303"/>
      <c r="E216" s="286"/>
      <c r="F216" s="304">
        <v>3.66</v>
      </c>
      <c r="G216" s="305" t="s">
        <v>195</v>
      </c>
      <c r="H216" s="286">
        <v>1</v>
      </c>
      <c r="I216" s="306">
        <v>3.66</v>
      </c>
      <c r="J216" s="286">
        <v>23.35</v>
      </c>
      <c r="K216" s="306">
        <v>85.46</v>
      </c>
    </row>
    <row r="217" spans="1:22" ht="14.25" x14ac:dyDescent="0.2">
      <c r="A217" s="301"/>
      <c r="B217" s="302"/>
      <c r="C217" s="302" t="s">
        <v>205</v>
      </c>
      <c r="D217" s="303"/>
      <c r="E217" s="286"/>
      <c r="F217" s="304">
        <v>1018.27</v>
      </c>
      <c r="G217" s="305" t="s">
        <v>195</v>
      </c>
      <c r="H217" s="286">
        <v>1</v>
      </c>
      <c r="I217" s="304">
        <v>1018.27</v>
      </c>
      <c r="J217" s="286">
        <v>5.42</v>
      </c>
      <c r="K217" s="304">
        <v>5519.02</v>
      </c>
    </row>
    <row r="218" spans="1:22" ht="42.75" x14ac:dyDescent="0.2">
      <c r="A218" s="301" t="s">
        <v>2345</v>
      </c>
      <c r="B218" s="302" t="s">
        <v>3635</v>
      </c>
      <c r="C218" s="302" t="s">
        <v>1231</v>
      </c>
      <c r="D218" s="303" t="s">
        <v>1552</v>
      </c>
      <c r="E218" s="286">
        <v>100</v>
      </c>
      <c r="F218" s="304">
        <v>6.34</v>
      </c>
      <c r="G218" s="315" t="s">
        <v>195</v>
      </c>
      <c r="H218" s="286">
        <v>1</v>
      </c>
      <c r="I218" s="304">
        <v>634</v>
      </c>
      <c r="J218" s="286">
        <v>2.31</v>
      </c>
      <c r="K218" s="304">
        <v>1464.54</v>
      </c>
      <c r="Q218" s="281">
        <f>[17]Source!X84</f>
        <v>0</v>
      </c>
      <c r="R218" s="281">
        <f>[17]Source!X85</f>
        <v>0</v>
      </c>
      <c r="S218" s="281">
        <f>[17]Source!Y84</f>
        <v>0</v>
      </c>
      <c r="T218" s="281">
        <f>[17]Source!Y85</f>
        <v>0</v>
      </c>
      <c r="U218" s="281">
        <f>ROUND((175/100)*ROUND([17]Source!R84, 2), 2)</f>
        <v>0</v>
      </c>
      <c r="V218" s="281">
        <f>ROUND((157/100)*ROUND([17]Source!R85, 2), 2)</f>
        <v>0</v>
      </c>
    </row>
    <row r="219" spans="1:22" ht="14.25" x14ac:dyDescent="0.2">
      <c r="A219" s="301"/>
      <c r="B219" s="302"/>
      <c r="C219" s="302" t="s">
        <v>194</v>
      </c>
      <c r="D219" s="303" t="s">
        <v>187</v>
      </c>
      <c r="E219" s="286">
        <v>112</v>
      </c>
      <c r="F219" s="304"/>
      <c r="G219" s="305"/>
      <c r="H219" s="286"/>
      <c r="I219" s="304">
        <v>454.16</v>
      </c>
      <c r="J219" s="286">
        <v>90</v>
      </c>
      <c r="K219" s="304">
        <v>8521.59</v>
      </c>
    </row>
    <row r="220" spans="1:22" ht="14.25" x14ac:dyDescent="0.2">
      <c r="A220" s="301"/>
      <c r="B220" s="302"/>
      <c r="C220" s="302" t="s">
        <v>193</v>
      </c>
      <c r="D220" s="303" t="s">
        <v>187</v>
      </c>
      <c r="E220" s="286">
        <v>70</v>
      </c>
      <c r="F220" s="304"/>
      <c r="G220" s="305"/>
      <c r="H220" s="286"/>
      <c r="I220" s="304">
        <v>283.85000000000002</v>
      </c>
      <c r="J220" s="286">
        <v>43</v>
      </c>
      <c r="K220" s="304">
        <v>4071.42</v>
      </c>
    </row>
    <row r="221" spans="1:22" ht="14.25" x14ac:dyDescent="0.2">
      <c r="A221" s="301"/>
      <c r="B221" s="302"/>
      <c r="C221" s="302" t="s">
        <v>188</v>
      </c>
      <c r="D221" s="303" t="s">
        <v>187</v>
      </c>
      <c r="E221" s="286">
        <v>175</v>
      </c>
      <c r="F221" s="304"/>
      <c r="G221" s="305"/>
      <c r="H221" s="286"/>
      <c r="I221" s="304">
        <v>6.41</v>
      </c>
      <c r="J221" s="286">
        <v>157</v>
      </c>
      <c r="K221" s="304">
        <v>134.16999999999999</v>
      </c>
    </row>
    <row r="222" spans="1:22" ht="14.25" x14ac:dyDescent="0.2">
      <c r="A222" s="329"/>
      <c r="B222" s="330"/>
      <c r="C222" s="330" t="s">
        <v>192</v>
      </c>
      <c r="D222" s="331" t="s">
        <v>191</v>
      </c>
      <c r="E222" s="332">
        <v>33.79</v>
      </c>
      <c r="F222" s="335"/>
      <c r="G222" s="334" t="s">
        <v>195</v>
      </c>
      <c r="H222" s="332">
        <v>1</v>
      </c>
      <c r="I222" s="335">
        <v>33.79</v>
      </c>
      <c r="J222" s="332"/>
      <c r="K222" s="335"/>
    </row>
    <row r="223" spans="1:22" ht="15" x14ac:dyDescent="0.25">
      <c r="A223" s="336"/>
      <c r="B223" s="336"/>
      <c r="C223" s="337" t="s">
        <v>183</v>
      </c>
      <c r="D223" s="336"/>
      <c r="E223" s="336"/>
      <c r="F223" s="336"/>
      <c r="G223" s="336"/>
      <c r="H223" s="461">
        <v>2826.7</v>
      </c>
      <c r="I223" s="461"/>
      <c r="J223" s="461">
        <v>29376.23</v>
      </c>
      <c r="K223" s="461"/>
      <c r="O223" s="284">
        <f>I214+I215+I217+I219+I220+I221+SUM(I218:I218)</f>
        <v>2826.7</v>
      </c>
      <c r="P223" s="284">
        <f>K214+K215+K217+K219+K220+K221+SUM(K218:K218)</f>
        <v>29376.23</v>
      </c>
    </row>
    <row r="225" spans="1:22" ht="28.5" x14ac:dyDescent="0.2">
      <c r="A225" s="301" t="s">
        <v>2346</v>
      </c>
      <c r="B225" s="302" t="s">
        <v>3634</v>
      </c>
      <c r="C225" s="302" t="s">
        <v>1230</v>
      </c>
      <c r="D225" s="303" t="s">
        <v>1686</v>
      </c>
      <c r="E225" s="286">
        <v>0.1</v>
      </c>
      <c r="F225" s="304"/>
      <c r="G225" s="305"/>
      <c r="H225" s="286"/>
      <c r="I225" s="304"/>
      <c r="J225" s="286"/>
      <c r="K225" s="304"/>
      <c r="Q225" s="281">
        <f>[17]Source!X86</f>
        <v>45.42</v>
      </c>
      <c r="R225" s="281">
        <f>[17]Source!X87</f>
        <v>852.16</v>
      </c>
      <c r="S225" s="281">
        <f>[17]Source!Y86</f>
        <v>28.39</v>
      </c>
      <c r="T225" s="281">
        <f>[17]Source!Y87</f>
        <v>407.14</v>
      </c>
      <c r="U225" s="281">
        <f>ROUND((175/100)*ROUND([17]Source!R86, 2), 2)</f>
        <v>0.65</v>
      </c>
      <c r="V225" s="281">
        <f>ROUND((157/100)*ROUND([17]Source!R87, 2), 2)</f>
        <v>13.56</v>
      </c>
    </row>
    <row r="226" spans="1:22" x14ac:dyDescent="0.2">
      <c r="C226" s="316" t="s">
        <v>3288</v>
      </c>
    </row>
    <row r="227" spans="1:22" ht="14.25" x14ac:dyDescent="0.2">
      <c r="A227" s="301"/>
      <c r="B227" s="302"/>
      <c r="C227" s="302" t="s">
        <v>197</v>
      </c>
      <c r="D227" s="303"/>
      <c r="E227" s="286"/>
      <c r="F227" s="304">
        <v>405.5</v>
      </c>
      <c r="G227" s="305" t="s">
        <v>195</v>
      </c>
      <c r="H227" s="286">
        <v>1</v>
      </c>
      <c r="I227" s="304">
        <v>40.549999999999997</v>
      </c>
      <c r="J227" s="286">
        <v>23.35</v>
      </c>
      <c r="K227" s="304">
        <v>946.84</v>
      </c>
    </row>
    <row r="228" spans="1:22" ht="14.25" x14ac:dyDescent="0.2">
      <c r="A228" s="301"/>
      <c r="B228" s="302"/>
      <c r="C228" s="302" t="s">
        <v>184</v>
      </c>
      <c r="D228" s="303"/>
      <c r="E228" s="286"/>
      <c r="F228" s="304">
        <v>24.51</v>
      </c>
      <c r="G228" s="305" t="s">
        <v>195</v>
      </c>
      <c r="H228" s="286">
        <v>1</v>
      </c>
      <c r="I228" s="304">
        <v>2.4500000000000002</v>
      </c>
      <c r="J228" s="286">
        <v>8.0399999999999991</v>
      </c>
      <c r="K228" s="304">
        <v>19.7</v>
      </c>
    </row>
    <row r="229" spans="1:22" ht="14.25" x14ac:dyDescent="0.2">
      <c r="A229" s="301"/>
      <c r="B229" s="302"/>
      <c r="C229" s="302" t="s">
        <v>189</v>
      </c>
      <c r="D229" s="303"/>
      <c r="E229" s="286"/>
      <c r="F229" s="304">
        <v>3.66</v>
      </c>
      <c r="G229" s="305" t="s">
        <v>195</v>
      </c>
      <c r="H229" s="286">
        <v>1</v>
      </c>
      <c r="I229" s="306">
        <v>0.37</v>
      </c>
      <c r="J229" s="286">
        <v>23.35</v>
      </c>
      <c r="K229" s="306">
        <v>8.64</v>
      </c>
    </row>
    <row r="230" spans="1:22" ht="14.25" x14ac:dyDescent="0.2">
      <c r="A230" s="301"/>
      <c r="B230" s="302"/>
      <c r="C230" s="302" t="s">
        <v>205</v>
      </c>
      <c r="D230" s="303"/>
      <c r="E230" s="286"/>
      <c r="F230" s="304">
        <v>1018.27</v>
      </c>
      <c r="G230" s="305" t="s">
        <v>195</v>
      </c>
      <c r="H230" s="286">
        <v>1</v>
      </c>
      <c r="I230" s="304">
        <v>101.83</v>
      </c>
      <c r="J230" s="286">
        <v>5.42</v>
      </c>
      <c r="K230" s="304">
        <v>551.91999999999996</v>
      </c>
    </row>
    <row r="231" spans="1:22" ht="28.5" x14ac:dyDescent="0.2">
      <c r="A231" s="301" t="s">
        <v>2350</v>
      </c>
      <c r="B231" s="302" t="s">
        <v>3590</v>
      </c>
      <c r="C231" s="302" t="s">
        <v>1166</v>
      </c>
      <c r="D231" s="303" t="s">
        <v>1552</v>
      </c>
      <c r="E231" s="286">
        <v>10</v>
      </c>
      <c r="F231" s="304">
        <v>99.66</v>
      </c>
      <c r="G231" s="315" t="s">
        <v>195</v>
      </c>
      <c r="H231" s="286">
        <v>1</v>
      </c>
      <c r="I231" s="304">
        <v>996.6</v>
      </c>
      <c r="J231" s="286">
        <v>5.27</v>
      </c>
      <c r="K231" s="304">
        <v>5252.08</v>
      </c>
      <c r="Q231" s="281">
        <f>[17]Source!X88</f>
        <v>0</v>
      </c>
      <c r="R231" s="281">
        <f>[17]Source!X89</f>
        <v>0</v>
      </c>
      <c r="S231" s="281">
        <f>[17]Source!Y88</f>
        <v>0</v>
      </c>
      <c r="T231" s="281">
        <f>[17]Source!Y89</f>
        <v>0</v>
      </c>
      <c r="U231" s="281">
        <f>ROUND((175/100)*ROUND([17]Source!R88, 2), 2)</f>
        <v>0</v>
      </c>
      <c r="V231" s="281">
        <f>ROUND((157/100)*ROUND([17]Source!R89, 2), 2)</f>
        <v>0</v>
      </c>
    </row>
    <row r="232" spans="1:22" ht="14.25" x14ac:dyDescent="0.2">
      <c r="A232" s="301"/>
      <c r="B232" s="302"/>
      <c r="C232" s="302" t="s">
        <v>194</v>
      </c>
      <c r="D232" s="303" t="s">
        <v>187</v>
      </c>
      <c r="E232" s="286">
        <v>112</v>
      </c>
      <c r="F232" s="304"/>
      <c r="G232" s="305"/>
      <c r="H232" s="286"/>
      <c r="I232" s="304">
        <v>45.42</v>
      </c>
      <c r="J232" s="286">
        <v>90</v>
      </c>
      <c r="K232" s="304">
        <v>852.16</v>
      </c>
    </row>
    <row r="233" spans="1:22" ht="14.25" x14ac:dyDescent="0.2">
      <c r="A233" s="301"/>
      <c r="B233" s="302"/>
      <c r="C233" s="302" t="s">
        <v>193</v>
      </c>
      <c r="D233" s="303" t="s">
        <v>187</v>
      </c>
      <c r="E233" s="286">
        <v>70</v>
      </c>
      <c r="F233" s="304"/>
      <c r="G233" s="305"/>
      <c r="H233" s="286"/>
      <c r="I233" s="304">
        <v>28.39</v>
      </c>
      <c r="J233" s="286">
        <v>43</v>
      </c>
      <c r="K233" s="304">
        <v>407.14</v>
      </c>
    </row>
    <row r="234" spans="1:22" ht="14.25" x14ac:dyDescent="0.2">
      <c r="A234" s="301"/>
      <c r="B234" s="302"/>
      <c r="C234" s="302" t="s">
        <v>188</v>
      </c>
      <c r="D234" s="303" t="s">
        <v>187</v>
      </c>
      <c r="E234" s="286">
        <v>175</v>
      </c>
      <c r="F234" s="304"/>
      <c r="G234" s="305"/>
      <c r="H234" s="286"/>
      <c r="I234" s="304">
        <v>0.65</v>
      </c>
      <c r="J234" s="286">
        <v>157</v>
      </c>
      <c r="K234" s="304">
        <v>13.56</v>
      </c>
    </row>
    <row r="235" spans="1:22" ht="14.25" x14ac:dyDescent="0.2">
      <c r="A235" s="329"/>
      <c r="B235" s="330"/>
      <c r="C235" s="330" t="s">
        <v>192</v>
      </c>
      <c r="D235" s="331" t="s">
        <v>191</v>
      </c>
      <c r="E235" s="332">
        <v>33.79</v>
      </c>
      <c r="F235" s="335"/>
      <c r="G235" s="334" t="s">
        <v>195</v>
      </c>
      <c r="H235" s="332">
        <v>1</v>
      </c>
      <c r="I235" s="335">
        <v>3.38</v>
      </c>
      <c r="J235" s="332"/>
      <c r="K235" s="335"/>
    </row>
    <row r="236" spans="1:22" ht="15" x14ac:dyDescent="0.25">
      <c r="A236" s="336"/>
      <c r="B236" s="336"/>
      <c r="C236" s="337" t="s">
        <v>183</v>
      </c>
      <c r="D236" s="336"/>
      <c r="E236" s="336"/>
      <c r="F236" s="336"/>
      <c r="G236" s="336"/>
      <c r="H236" s="461">
        <v>1215.8900000000001</v>
      </c>
      <c r="I236" s="461"/>
      <c r="J236" s="461">
        <v>8043.4</v>
      </c>
      <c r="K236" s="461"/>
      <c r="O236" s="284">
        <f>I227+I228+I230+I232+I233+I234+SUM(I231:I231)</f>
        <v>1215.8900000000001</v>
      </c>
      <c r="P236" s="284">
        <f>K227+K228+K230+K232+K233+K234+SUM(K231:K231)</f>
        <v>8043.4</v>
      </c>
    </row>
    <row r="238" spans="1:22" ht="28.5" x14ac:dyDescent="0.2">
      <c r="A238" s="301" t="s">
        <v>2356</v>
      </c>
      <c r="B238" s="302" t="s">
        <v>3634</v>
      </c>
      <c r="C238" s="302" t="s">
        <v>1230</v>
      </c>
      <c r="D238" s="303" t="s">
        <v>1686</v>
      </c>
      <c r="E238" s="286">
        <v>0.06</v>
      </c>
      <c r="F238" s="304"/>
      <c r="G238" s="305"/>
      <c r="H238" s="286"/>
      <c r="I238" s="304"/>
      <c r="J238" s="286"/>
      <c r="K238" s="304"/>
      <c r="Q238" s="281">
        <f>[17]Source!X92</f>
        <v>27.25</v>
      </c>
      <c r="R238" s="281">
        <f>[17]Source!X93</f>
        <v>511.3</v>
      </c>
      <c r="S238" s="281">
        <f>[17]Source!Y92</f>
        <v>17.03</v>
      </c>
      <c r="T238" s="281">
        <f>[17]Source!Y93</f>
        <v>244.29</v>
      </c>
      <c r="U238" s="281">
        <f>ROUND((175/100)*ROUND([17]Source!R92, 2), 2)</f>
        <v>0.39</v>
      </c>
      <c r="V238" s="281">
        <f>ROUND((157/100)*ROUND([17]Source!R93, 2), 2)</f>
        <v>8.07</v>
      </c>
    </row>
    <row r="239" spans="1:22" x14ac:dyDescent="0.2">
      <c r="C239" s="316" t="s">
        <v>3636</v>
      </c>
    </row>
    <row r="240" spans="1:22" ht="14.25" x14ac:dyDescent="0.2">
      <c r="A240" s="301"/>
      <c r="B240" s="302"/>
      <c r="C240" s="302" t="s">
        <v>197</v>
      </c>
      <c r="D240" s="303"/>
      <c r="E240" s="286"/>
      <c r="F240" s="304">
        <v>405.5</v>
      </c>
      <c r="G240" s="305" t="s">
        <v>195</v>
      </c>
      <c r="H240" s="286">
        <v>1</v>
      </c>
      <c r="I240" s="304">
        <v>24.33</v>
      </c>
      <c r="J240" s="286">
        <v>23.35</v>
      </c>
      <c r="K240" s="304">
        <v>568.11</v>
      </c>
    </row>
    <row r="241" spans="1:22" ht="14.25" x14ac:dyDescent="0.2">
      <c r="A241" s="301"/>
      <c r="B241" s="302"/>
      <c r="C241" s="302" t="s">
        <v>184</v>
      </c>
      <c r="D241" s="303"/>
      <c r="E241" s="286"/>
      <c r="F241" s="304">
        <v>24.51</v>
      </c>
      <c r="G241" s="305" t="s">
        <v>195</v>
      </c>
      <c r="H241" s="286">
        <v>1</v>
      </c>
      <c r="I241" s="304">
        <v>1.47</v>
      </c>
      <c r="J241" s="286">
        <v>8.0399999999999991</v>
      </c>
      <c r="K241" s="304">
        <v>11.82</v>
      </c>
    </row>
    <row r="242" spans="1:22" ht="14.25" x14ac:dyDescent="0.2">
      <c r="A242" s="301"/>
      <c r="B242" s="302"/>
      <c r="C242" s="302" t="s">
        <v>189</v>
      </c>
      <c r="D242" s="303"/>
      <c r="E242" s="286"/>
      <c r="F242" s="304">
        <v>3.66</v>
      </c>
      <c r="G242" s="305" t="s">
        <v>195</v>
      </c>
      <c r="H242" s="286">
        <v>1</v>
      </c>
      <c r="I242" s="306">
        <v>0.22</v>
      </c>
      <c r="J242" s="286">
        <v>23.35</v>
      </c>
      <c r="K242" s="306">
        <v>5.14</v>
      </c>
    </row>
    <row r="243" spans="1:22" ht="14.25" x14ac:dyDescent="0.2">
      <c r="A243" s="301"/>
      <c r="B243" s="302"/>
      <c r="C243" s="302" t="s">
        <v>205</v>
      </c>
      <c r="D243" s="303"/>
      <c r="E243" s="286"/>
      <c r="F243" s="304">
        <v>1018.27</v>
      </c>
      <c r="G243" s="305" t="s">
        <v>195</v>
      </c>
      <c r="H243" s="286">
        <v>1</v>
      </c>
      <c r="I243" s="304">
        <v>61.1</v>
      </c>
      <c r="J243" s="286">
        <v>5.42</v>
      </c>
      <c r="K243" s="304">
        <v>331.16</v>
      </c>
    </row>
    <row r="244" spans="1:22" ht="57" x14ac:dyDescent="0.2">
      <c r="A244" s="301" t="s">
        <v>2360</v>
      </c>
      <c r="B244" s="302" t="s">
        <v>3637</v>
      </c>
      <c r="C244" s="302" t="s">
        <v>1229</v>
      </c>
      <c r="D244" s="303" t="s">
        <v>1552</v>
      </c>
      <c r="E244" s="286">
        <v>6</v>
      </c>
      <c r="F244" s="304">
        <v>30.16</v>
      </c>
      <c r="G244" s="315" t="s">
        <v>195</v>
      </c>
      <c r="H244" s="286">
        <v>1</v>
      </c>
      <c r="I244" s="304">
        <v>180.96</v>
      </c>
      <c r="J244" s="286">
        <v>5.41</v>
      </c>
      <c r="K244" s="304">
        <v>978.99</v>
      </c>
      <c r="Q244" s="281">
        <f>[17]Source!X94</f>
        <v>0</v>
      </c>
      <c r="R244" s="281">
        <f>[17]Source!X95</f>
        <v>0</v>
      </c>
      <c r="S244" s="281">
        <f>[17]Source!Y94</f>
        <v>0</v>
      </c>
      <c r="T244" s="281">
        <f>[17]Source!Y95</f>
        <v>0</v>
      </c>
      <c r="U244" s="281">
        <f>ROUND((175/100)*ROUND([17]Source!R94, 2), 2)</f>
        <v>0</v>
      </c>
      <c r="V244" s="281">
        <f>ROUND((157/100)*ROUND([17]Source!R95, 2), 2)</f>
        <v>0</v>
      </c>
    </row>
    <row r="245" spans="1:22" ht="14.25" x14ac:dyDescent="0.2">
      <c r="A245" s="301"/>
      <c r="B245" s="302"/>
      <c r="C245" s="302" t="s">
        <v>194</v>
      </c>
      <c r="D245" s="303" t="s">
        <v>187</v>
      </c>
      <c r="E245" s="286">
        <v>112</v>
      </c>
      <c r="F245" s="304"/>
      <c r="G245" s="305"/>
      <c r="H245" s="286"/>
      <c r="I245" s="304">
        <v>27.25</v>
      </c>
      <c r="J245" s="286">
        <v>90</v>
      </c>
      <c r="K245" s="304">
        <v>511.3</v>
      </c>
    </row>
    <row r="246" spans="1:22" ht="14.25" x14ac:dyDescent="0.2">
      <c r="A246" s="301"/>
      <c r="B246" s="302"/>
      <c r="C246" s="302" t="s">
        <v>193</v>
      </c>
      <c r="D246" s="303" t="s">
        <v>187</v>
      </c>
      <c r="E246" s="286">
        <v>70</v>
      </c>
      <c r="F246" s="304"/>
      <c r="G246" s="305"/>
      <c r="H246" s="286"/>
      <c r="I246" s="304">
        <v>17.03</v>
      </c>
      <c r="J246" s="286">
        <v>43</v>
      </c>
      <c r="K246" s="304">
        <v>244.29</v>
      </c>
    </row>
    <row r="247" spans="1:22" ht="14.25" x14ac:dyDescent="0.2">
      <c r="A247" s="301"/>
      <c r="B247" s="302"/>
      <c r="C247" s="302" t="s">
        <v>188</v>
      </c>
      <c r="D247" s="303" t="s">
        <v>187</v>
      </c>
      <c r="E247" s="286">
        <v>175</v>
      </c>
      <c r="F247" s="304"/>
      <c r="G247" s="305"/>
      <c r="H247" s="286"/>
      <c r="I247" s="304">
        <v>0.39</v>
      </c>
      <c r="J247" s="286">
        <v>157</v>
      </c>
      <c r="K247" s="304">
        <v>8.07</v>
      </c>
    </row>
    <row r="248" spans="1:22" ht="14.25" x14ac:dyDescent="0.2">
      <c r="A248" s="329"/>
      <c r="B248" s="330"/>
      <c r="C248" s="330" t="s">
        <v>192</v>
      </c>
      <c r="D248" s="331" t="s">
        <v>191</v>
      </c>
      <c r="E248" s="332">
        <v>33.79</v>
      </c>
      <c r="F248" s="335"/>
      <c r="G248" s="334" t="s">
        <v>195</v>
      </c>
      <c r="H248" s="332">
        <v>1</v>
      </c>
      <c r="I248" s="335">
        <v>2.0299999999999998</v>
      </c>
      <c r="J248" s="332"/>
      <c r="K248" s="335"/>
    </row>
    <row r="249" spans="1:22" ht="15" x14ac:dyDescent="0.25">
      <c r="A249" s="336"/>
      <c r="B249" s="336"/>
      <c r="C249" s="337" t="s">
        <v>183</v>
      </c>
      <c r="D249" s="336"/>
      <c r="E249" s="336"/>
      <c r="F249" s="336"/>
      <c r="G249" s="336"/>
      <c r="H249" s="461">
        <v>312.52999999999997</v>
      </c>
      <c r="I249" s="461"/>
      <c r="J249" s="461">
        <v>2653.74</v>
      </c>
      <c r="K249" s="461"/>
      <c r="O249" s="284">
        <f>I240+I241+I243+I245+I246+I247+SUM(I244:I244)</f>
        <v>312.52999999999997</v>
      </c>
      <c r="P249" s="284">
        <f>K240+K241+K243+K245+K246+K247+SUM(K244:K244)</f>
        <v>2653.74</v>
      </c>
    </row>
    <row r="251" spans="1:22" ht="71.25" x14ac:dyDescent="0.2">
      <c r="A251" s="301" t="s">
        <v>2361</v>
      </c>
      <c r="B251" s="302" t="s">
        <v>3455</v>
      </c>
      <c r="C251" s="302" t="s">
        <v>1165</v>
      </c>
      <c r="D251" s="303" t="s">
        <v>1686</v>
      </c>
      <c r="E251" s="286">
        <v>40</v>
      </c>
      <c r="F251" s="304"/>
      <c r="G251" s="305"/>
      <c r="H251" s="286"/>
      <c r="I251" s="304"/>
      <c r="J251" s="286"/>
      <c r="K251" s="304"/>
      <c r="Q251" s="281">
        <f>[17]Source!X96</f>
        <v>2844.8</v>
      </c>
      <c r="R251" s="281">
        <f>[17]Source!X97</f>
        <v>53378.1</v>
      </c>
      <c r="S251" s="281">
        <f>[17]Source!Y96</f>
        <v>1778</v>
      </c>
      <c r="T251" s="281">
        <f>[17]Source!Y97</f>
        <v>25502.87</v>
      </c>
      <c r="U251" s="281">
        <f>ROUND((175/100)*ROUND([17]Source!R96, 2), 2)</f>
        <v>14</v>
      </c>
      <c r="V251" s="281">
        <f>ROUND((157/100)*ROUND([17]Source!R97, 2), 2)</f>
        <v>293.27999999999997</v>
      </c>
    </row>
    <row r="252" spans="1:22" x14ac:dyDescent="0.2">
      <c r="C252" s="316" t="s">
        <v>3632</v>
      </c>
    </row>
    <row r="253" spans="1:22" ht="14.25" x14ac:dyDescent="0.2">
      <c r="A253" s="301"/>
      <c r="B253" s="302"/>
      <c r="C253" s="302" t="s">
        <v>197</v>
      </c>
      <c r="D253" s="303"/>
      <c r="E253" s="286"/>
      <c r="F253" s="304">
        <v>63.5</v>
      </c>
      <c r="G253" s="305" t="s">
        <v>195</v>
      </c>
      <c r="H253" s="286">
        <v>1</v>
      </c>
      <c r="I253" s="304">
        <v>2540</v>
      </c>
      <c r="J253" s="286">
        <v>23.35</v>
      </c>
      <c r="K253" s="304">
        <v>59309</v>
      </c>
    </row>
    <row r="254" spans="1:22" ht="14.25" x14ac:dyDescent="0.2">
      <c r="A254" s="301"/>
      <c r="B254" s="302"/>
      <c r="C254" s="302" t="s">
        <v>184</v>
      </c>
      <c r="D254" s="303"/>
      <c r="E254" s="286"/>
      <c r="F254" s="304">
        <v>0.85</v>
      </c>
      <c r="G254" s="305" t="s">
        <v>195</v>
      </c>
      <c r="H254" s="286">
        <v>1</v>
      </c>
      <c r="I254" s="304">
        <v>34</v>
      </c>
      <c r="J254" s="286">
        <v>9.59</v>
      </c>
      <c r="K254" s="304">
        <v>326.06</v>
      </c>
    </row>
    <row r="255" spans="1:22" ht="14.25" x14ac:dyDescent="0.2">
      <c r="A255" s="301"/>
      <c r="B255" s="302"/>
      <c r="C255" s="302" t="s">
        <v>189</v>
      </c>
      <c r="D255" s="303"/>
      <c r="E255" s="286"/>
      <c r="F255" s="304">
        <v>0.2</v>
      </c>
      <c r="G255" s="305" t="s">
        <v>195</v>
      </c>
      <c r="H255" s="286">
        <v>1</v>
      </c>
      <c r="I255" s="306">
        <v>8</v>
      </c>
      <c r="J255" s="286">
        <v>23.35</v>
      </c>
      <c r="K255" s="306">
        <v>186.8</v>
      </c>
    </row>
    <row r="256" spans="1:22" ht="14.25" x14ac:dyDescent="0.2">
      <c r="A256" s="301"/>
      <c r="B256" s="302"/>
      <c r="C256" s="302" t="s">
        <v>205</v>
      </c>
      <c r="D256" s="303"/>
      <c r="E256" s="286"/>
      <c r="F256" s="304">
        <v>6.37</v>
      </c>
      <c r="G256" s="305" t="s">
        <v>195</v>
      </c>
      <c r="H256" s="286">
        <v>1</v>
      </c>
      <c r="I256" s="304">
        <v>254.8</v>
      </c>
      <c r="J256" s="286">
        <v>5.42</v>
      </c>
      <c r="K256" s="304">
        <v>1381.02</v>
      </c>
    </row>
    <row r="257" spans="1:22" ht="71.25" x14ac:dyDescent="0.2">
      <c r="A257" s="301" t="s">
        <v>2363</v>
      </c>
      <c r="B257" s="302" t="s">
        <v>3611</v>
      </c>
      <c r="C257" s="302" t="s">
        <v>1163</v>
      </c>
      <c r="D257" s="303" t="s">
        <v>3367</v>
      </c>
      <c r="E257" s="286">
        <v>4.08</v>
      </c>
      <c r="F257" s="304">
        <v>5768.97</v>
      </c>
      <c r="G257" s="315" t="s">
        <v>195</v>
      </c>
      <c r="H257" s="286">
        <v>1</v>
      </c>
      <c r="I257" s="304">
        <v>23537.4</v>
      </c>
      <c r="J257" s="286">
        <v>2.75</v>
      </c>
      <c r="K257" s="304">
        <v>64727.85</v>
      </c>
      <c r="Q257" s="281">
        <f>[17]Source!X98</f>
        <v>0</v>
      </c>
      <c r="R257" s="281">
        <f>[17]Source!X99</f>
        <v>0</v>
      </c>
      <c r="S257" s="281">
        <f>[17]Source!Y98</f>
        <v>0</v>
      </c>
      <c r="T257" s="281">
        <f>[17]Source!Y99</f>
        <v>0</v>
      </c>
      <c r="U257" s="281">
        <f>ROUND((175/100)*ROUND([17]Source!R98, 2), 2)</f>
        <v>0</v>
      </c>
      <c r="V257" s="281">
        <f>ROUND((157/100)*ROUND([17]Source!R99, 2), 2)</f>
        <v>0</v>
      </c>
    </row>
    <row r="258" spans="1:22" ht="14.25" x14ac:dyDescent="0.2">
      <c r="A258" s="301"/>
      <c r="B258" s="302"/>
      <c r="C258" s="302" t="s">
        <v>194</v>
      </c>
      <c r="D258" s="303" t="s">
        <v>187</v>
      </c>
      <c r="E258" s="286">
        <v>112</v>
      </c>
      <c r="F258" s="304"/>
      <c r="G258" s="305"/>
      <c r="H258" s="286"/>
      <c r="I258" s="304">
        <v>2844.8</v>
      </c>
      <c r="J258" s="286">
        <v>90</v>
      </c>
      <c r="K258" s="304">
        <v>53378.1</v>
      </c>
    </row>
    <row r="259" spans="1:22" ht="14.25" x14ac:dyDescent="0.2">
      <c r="A259" s="301"/>
      <c r="B259" s="302"/>
      <c r="C259" s="302" t="s">
        <v>193</v>
      </c>
      <c r="D259" s="303" t="s">
        <v>187</v>
      </c>
      <c r="E259" s="286">
        <v>70</v>
      </c>
      <c r="F259" s="304"/>
      <c r="G259" s="305"/>
      <c r="H259" s="286"/>
      <c r="I259" s="304">
        <v>1778</v>
      </c>
      <c r="J259" s="286">
        <v>43</v>
      </c>
      <c r="K259" s="304">
        <v>25502.87</v>
      </c>
    </row>
    <row r="260" spans="1:22" ht="14.25" x14ac:dyDescent="0.2">
      <c r="A260" s="301"/>
      <c r="B260" s="302"/>
      <c r="C260" s="302" t="s">
        <v>188</v>
      </c>
      <c r="D260" s="303" t="s">
        <v>187</v>
      </c>
      <c r="E260" s="286">
        <v>175</v>
      </c>
      <c r="F260" s="304"/>
      <c r="G260" s="305"/>
      <c r="H260" s="286"/>
      <c r="I260" s="304">
        <v>14</v>
      </c>
      <c r="J260" s="286">
        <v>157</v>
      </c>
      <c r="K260" s="304">
        <v>293.27999999999997</v>
      </c>
    </row>
    <row r="261" spans="1:22" ht="14.25" x14ac:dyDescent="0.2">
      <c r="A261" s="329"/>
      <c r="B261" s="330"/>
      <c r="C261" s="330" t="s">
        <v>192</v>
      </c>
      <c r="D261" s="331" t="s">
        <v>191</v>
      </c>
      <c r="E261" s="332">
        <v>5.15</v>
      </c>
      <c r="F261" s="335"/>
      <c r="G261" s="334" t="s">
        <v>195</v>
      </c>
      <c r="H261" s="332">
        <v>1</v>
      </c>
      <c r="I261" s="335">
        <v>206</v>
      </c>
      <c r="J261" s="332"/>
      <c r="K261" s="335"/>
    </row>
    <row r="262" spans="1:22" ht="15" x14ac:dyDescent="0.25">
      <c r="A262" s="336"/>
      <c r="B262" s="336"/>
      <c r="C262" s="337" t="s">
        <v>183</v>
      </c>
      <c r="D262" s="336"/>
      <c r="E262" s="336"/>
      <c r="F262" s="336"/>
      <c r="G262" s="336"/>
      <c r="H262" s="461">
        <v>31003</v>
      </c>
      <c r="I262" s="461"/>
      <c r="J262" s="461">
        <v>204918.18</v>
      </c>
      <c r="K262" s="461"/>
      <c r="O262" s="284">
        <f>I253+I254+I256+I258+I259+I260+SUM(I257:I257)</f>
        <v>31003</v>
      </c>
      <c r="P262" s="284">
        <f>K253+K254+K256+K258+K259+K260+SUM(K257:K257)</f>
        <v>204918.18</v>
      </c>
    </row>
    <row r="264" spans="1:22" ht="85.5" x14ac:dyDescent="0.2">
      <c r="A264" s="301" t="s">
        <v>2365</v>
      </c>
      <c r="B264" s="302" t="s">
        <v>3355</v>
      </c>
      <c r="C264" s="302" t="s">
        <v>1228</v>
      </c>
      <c r="D264" s="303" t="s">
        <v>1686</v>
      </c>
      <c r="E264" s="286">
        <v>3</v>
      </c>
      <c r="F264" s="304"/>
      <c r="G264" s="305"/>
      <c r="H264" s="286"/>
      <c r="I264" s="304"/>
      <c r="J264" s="286"/>
      <c r="K264" s="304"/>
      <c r="Q264" s="281">
        <f>[17]Source!X100</f>
        <v>86.99</v>
      </c>
      <c r="R264" s="281">
        <f>[17]Source!X101</f>
        <v>1632.23</v>
      </c>
      <c r="S264" s="281">
        <f>[17]Source!Y100</f>
        <v>54.37</v>
      </c>
      <c r="T264" s="281">
        <f>[17]Source!Y101</f>
        <v>779.84</v>
      </c>
      <c r="U264" s="281">
        <f>ROUND((175/100)*ROUND([17]Source!R100, 2), 2)</f>
        <v>1.05</v>
      </c>
      <c r="V264" s="281">
        <f>ROUND((157/100)*ROUND([17]Source!R101, 2), 2)</f>
        <v>22</v>
      </c>
    </row>
    <row r="265" spans="1:22" x14ac:dyDescent="0.2">
      <c r="C265" s="316" t="s">
        <v>3588</v>
      </c>
    </row>
    <row r="266" spans="1:22" ht="14.25" x14ac:dyDescent="0.2">
      <c r="A266" s="301"/>
      <c r="B266" s="302"/>
      <c r="C266" s="302" t="s">
        <v>197</v>
      </c>
      <c r="D266" s="303"/>
      <c r="E266" s="286"/>
      <c r="F266" s="304">
        <v>25.89</v>
      </c>
      <c r="G266" s="305" t="s">
        <v>195</v>
      </c>
      <c r="H266" s="286">
        <v>1</v>
      </c>
      <c r="I266" s="304">
        <v>77.67</v>
      </c>
      <c r="J266" s="286">
        <v>23.35</v>
      </c>
      <c r="K266" s="304">
        <v>1813.59</v>
      </c>
    </row>
    <row r="267" spans="1:22" ht="14.25" x14ac:dyDescent="0.2">
      <c r="A267" s="301"/>
      <c r="B267" s="302"/>
      <c r="C267" s="302" t="s">
        <v>184</v>
      </c>
      <c r="D267" s="303"/>
      <c r="E267" s="286"/>
      <c r="F267" s="304">
        <v>0.85</v>
      </c>
      <c r="G267" s="305" t="s">
        <v>195</v>
      </c>
      <c r="H267" s="286">
        <v>1</v>
      </c>
      <c r="I267" s="304">
        <v>2.5499999999999998</v>
      </c>
      <c r="J267" s="286">
        <v>9.59</v>
      </c>
      <c r="K267" s="304">
        <v>24.45</v>
      </c>
    </row>
    <row r="268" spans="1:22" ht="14.25" x14ac:dyDescent="0.2">
      <c r="A268" s="301"/>
      <c r="B268" s="302"/>
      <c r="C268" s="302" t="s">
        <v>189</v>
      </c>
      <c r="D268" s="303"/>
      <c r="E268" s="286"/>
      <c r="F268" s="304">
        <v>0.2</v>
      </c>
      <c r="G268" s="305" t="s">
        <v>195</v>
      </c>
      <c r="H268" s="286">
        <v>1</v>
      </c>
      <c r="I268" s="306">
        <v>0.6</v>
      </c>
      <c r="J268" s="286">
        <v>23.35</v>
      </c>
      <c r="K268" s="306">
        <v>14.01</v>
      </c>
    </row>
    <row r="269" spans="1:22" ht="14.25" x14ac:dyDescent="0.2">
      <c r="A269" s="301"/>
      <c r="B269" s="302"/>
      <c r="C269" s="302" t="s">
        <v>205</v>
      </c>
      <c r="D269" s="303"/>
      <c r="E269" s="286"/>
      <c r="F269" s="304">
        <v>9.59</v>
      </c>
      <c r="G269" s="305" t="s">
        <v>195</v>
      </c>
      <c r="H269" s="286">
        <v>1</v>
      </c>
      <c r="I269" s="304">
        <v>28.77</v>
      </c>
      <c r="J269" s="286">
        <v>5.42</v>
      </c>
      <c r="K269" s="304">
        <v>155.93</v>
      </c>
    </row>
    <row r="270" spans="1:22" ht="71.25" x14ac:dyDescent="0.2">
      <c r="A270" s="301" t="s">
        <v>3638</v>
      </c>
      <c r="B270" s="302" t="s">
        <v>3611</v>
      </c>
      <c r="C270" s="302" t="s">
        <v>1163</v>
      </c>
      <c r="D270" s="303" t="s">
        <v>3367</v>
      </c>
      <c r="E270" s="286">
        <v>0.30599999999999999</v>
      </c>
      <c r="F270" s="304">
        <v>5768.97</v>
      </c>
      <c r="G270" s="315" t="s">
        <v>195</v>
      </c>
      <c r="H270" s="286">
        <v>1</v>
      </c>
      <c r="I270" s="304">
        <v>1765.3</v>
      </c>
      <c r="J270" s="286">
        <v>2.75</v>
      </c>
      <c r="K270" s="304">
        <v>4854.58</v>
      </c>
      <c r="Q270" s="281">
        <f>[17]Source!X102</f>
        <v>0</v>
      </c>
      <c r="R270" s="281">
        <f>[17]Source!X103</f>
        <v>0</v>
      </c>
      <c r="S270" s="281">
        <f>[17]Source!Y102</f>
        <v>0</v>
      </c>
      <c r="T270" s="281">
        <f>[17]Source!Y103</f>
        <v>0</v>
      </c>
      <c r="U270" s="281">
        <f>ROUND((175/100)*ROUND([17]Source!R102, 2), 2)</f>
        <v>0</v>
      </c>
      <c r="V270" s="281">
        <f>ROUND((157/100)*ROUND([17]Source!R103, 2), 2)</f>
        <v>0</v>
      </c>
    </row>
    <row r="271" spans="1:22" ht="14.25" x14ac:dyDescent="0.2">
      <c r="A271" s="301"/>
      <c r="B271" s="302"/>
      <c r="C271" s="302" t="s">
        <v>194</v>
      </c>
      <c r="D271" s="303" t="s">
        <v>187</v>
      </c>
      <c r="E271" s="286">
        <v>112</v>
      </c>
      <c r="F271" s="304"/>
      <c r="G271" s="305"/>
      <c r="H271" s="286"/>
      <c r="I271" s="304">
        <v>86.99</v>
      </c>
      <c r="J271" s="286">
        <v>90</v>
      </c>
      <c r="K271" s="304">
        <v>1632.23</v>
      </c>
    </row>
    <row r="272" spans="1:22" ht="14.25" x14ac:dyDescent="0.2">
      <c r="A272" s="301"/>
      <c r="B272" s="302"/>
      <c r="C272" s="302" t="s">
        <v>193</v>
      </c>
      <c r="D272" s="303" t="s">
        <v>187</v>
      </c>
      <c r="E272" s="286">
        <v>70</v>
      </c>
      <c r="F272" s="304"/>
      <c r="G272" s="305"/>
      <c r="H272" s="286"/>
      <c r="I272" s="304">
        <v>54.37</v>
      </c>
      <c r="J272" s="286">
        <v>43</v>
      </c>
      <c r="K272" s="304">
        <v>779.84</v>
      </c>
    </row>
    <row r="273" spans="1:22" ht="14.25" x14ac:dyDescent="0.2">
      <c r="A273" s="301"/>
      <c r="B273" s="302"/>
      <c r="C273" s="302" t="s">
        <v>188</v>
      </c>
      <c r="D273" s="303" t="s">
        <v>187</v>
      </c>
      <c r="E273" s="286">
        <v>175</v>
      </c>
      <c r="F273" s="304"/>
      <c r="G273" s="305"/>
      <c r="H273" s="286"/>
      <c r="I273" s="304">
        <v>1.05</v>
      </c>
      <c r="J273" s="286">
        <v>157</v>
      </c>
      <c r="K273" s="304">
        <v>22</v>
      </c>
    </row>
    <row r="274" spans="1:22" ht="14.25" x14ac:dyDescent="0.2">
      <c r="A274" s="329"/>
      <c r="B274" s="330"/>
      <c r="C274" s="330" t="s">
        <v>192</v>
      </c>
      <c r="D274" s="331" t="s">
        <v>191</v>
      </c>
      <c r="E274" s="332">
        <v>2.1</v>
      </c>
      <c r="F274" s="335"/>
      <c r="G274" s="334" t="s">
        <v>195</v>
      </c>
      <c r="H274" s="332">
        <v>1</v>
      </c>
      <c r="I274" s="335">
        <v>6.3</v>
      </c>
      <c r="J274" s="332"/>
      <c r="K274" s="335"/>
    </row>
    <row r="275" spans="1:22" ht="15" x14ac:dyDescent="0.25">
      <c r="A275" s="336"/>
      <c r="B275" s="336"/>
      <c r="C275" s="337" t="s">
        <v>183</v>
      </c>
      <c r="D275" s="336"/>
      <c r="E275" s="336"/>
      <c r="F275" s="336"/>
      <c r="G275" s="336"/>
      <c r="H275" s="461">
        <v>2016.7</v>
      </c>
      <c r="I275" s="461"/>
      <c r="J275" s="461">
        <v>9282.6200000000008</v>
      </c>
      <c r="K275" s="461"/>
      <c r="O275" s="284">
        <f>I266+I267+I269+I271+I272+I273+SUM(I270:I270)</f>
        <v>2016.7</v>
      </c>
      <c r="P275" s="284">
        <f>K266+K267+K269+K271+K272+K273+SUM(K270:K270)</f>
        <v>9282.6200000000008</v>
      </c>
    </row>
    <row r="277" spans="1:22" ht="28.5" x14ac:dyDescent="0.2">
      <c r="A277" s="301" t="s">
        <v>3639</v>
      </c>
      <c r="B277" s="302" t="s">
        <v>3353</v>
      </c>
      <c r="C277" s="302" t="s">
        <v>1162</v>
      </c>
      <c r="D277" s="303" t="s">
        <v>1686</v>
      </c>
      <c r="E277" s="286">
        <v>1</v>
      </c>
      <c r="F277" s="304"/>
      <c r="G277" s="305"/>
      <c r="H277" s="286"/>
      <c r="I277" s="304"/>
      <c r="J277" s="286"/>
      <c r="K277" s="304"/>
      <c r="Q277" s="281">
        <f>[17]Source!X112</f>
        <v>42.67</v>
      </c>
      <c r="R277" s="281">
        <f>[17]Source!X113</f>
        <v>800.68</v>
      </c>
      <c r="S277" s="281">
        <f>[17]Source!Y112</f>
        <v>26.67</v>
      </c>
      <c r="T277" s="281">
        <f>[17]Source!Y113</f>
        <v>382.55</v>
      </c>
      <c r="U277" s="281">
        <f>ROUND((175/100)*ROUND([17]Source!R112, 2), 2)</f>
        <v>0.35</v>
      </c>
      <c r="V277" s="281">
        <f>ROUND((157/100)*ROUND([17]Source!R113, 2), 2)</f>
        <v>7.33</v>
      </c>
    </row>
    <row r="278" spans="1:22" x14ac:dyDescent="0.2">
      <c r="C278" s="316" t="s">
        <v>3640</v>
      </c>
    </row>
    <row r="279" spans="1:22" ht="14.25" x14ac:dyDescent="0.2">
      <c r="A279" s="301"/>
      <c r="B279" s="302"/>
      <c r="C279" s="302" t="s">
        <v>197</v>
      </c>
      <c r="D279" s="303"/>
      <c r="E279" s="286"/>
      <c r="F279" s="304">
        <v>38.1</v>
      </c>
      <c r="G279" s="305" t="s">
        <v>195</v>
      </c>
      <c r="H279" s="286">
        <v>1</v>
      </c>
      <c r="I279" s="304">
        <v>38.1</v>
      </c>
      <c r="J279" s="286">
        <v>23.35</v>
      </c>
      <c r="K279" s="304">
        <v>889.64</v>
      </c>
    </row>
    <row r="280" spans="1:22" ht="14.25" x14ac:dyDescent="0.2">
      <c r="A280" s="301"/>
      <c r="B280" s="302"/>
      <c r="C280" s="302" t="s">
        <v>184</v>
      </c>
      <c r="D280" s="303"/>
      <c r="E280" s="286"/>
      <c r="F280" s="304">
        <v>0.85</v>
      </c>
      <c r="G280" s="305" t="s">
        <v>195</v>
      </c>
      <c r="H280" s="286">
        <v>1</v>
      </c>
      <c r="I280" s="304">
        <v>0.85</v>
      </c>
      <c r="J280" s="286">
        <v>9.59</v>
      </c>
      <c r="K280" s="304">
        <v>8.15</v>
      </c>
    </row>
    <row r="281" spans="1:22" ht="14.25" x14ac:dyDescent="0.2">
      <c r="A281" s="301"/>
      <c r="B281" s="302"/>
      <c r="C281" s="302" t="s">
        <v>189</v>
      </c>
      <c r="D281" s="303"/>
      <c r="E281" s="286"/>
      <c r="F281" s="304">
        <v>0.2</v>
      </c>
      <c r="G281" s="305" t="s">
        <v>195</v>
      </c>
      <c r="H281" s="286">
        <v>1</v>
      </c>
      <c r="I281" s="306">
        <v>0.2</v>
      </c>
      <c r="J281" s="286">
        <v>23.35</v>
      </c>
      <c r="K281" s="306">
        <v>4.67</v>
      </c>
    </row>
    <row r="282" spans="1:22" ht="14.25" x14ac:dyDescent="0.2">
      <c r="A282" s="301"/>
      <c r="B282" s="302"/>
      <c r="C282" s="302" t="s">
        <v>205</v>
      </c>
      <c r="D282" s="303"/>
      <c r="E282" s="286"/>
      <c r="F282" s="304">
        <v>3.71</v>
      </c>
      <c r="G282" s="305" t="s">
        <v>195</v>
      </c>
      <c r="H282" s="286">
        <v>1</v>
      </c>
      <c r="I282" s="304">
        <v>3.71</v>
      </c>
      <c r="J282" s="286">
        <v>5.42</v>
      </c>
      <c r="K282" s="304">
        <v>20.11</v>
      </c>
    </row>
    <row r="283" spans="1:22" ht="71.25" x14ac:dyDescent="0.2">
      <c r="A283" s="301" t="s">
        <v>3641</v>
      </c>
      <c r="B283" s="302" t="s">
        <v>3642</v>
      </c>
      <c r="C283" s="302" t="s">
        <v>1227</v>
      </c>
      <c r="D283" s="303" t="s">
        <v>3367</v>
      </c>
      <c r="E283" s="286">
        <v>0.10199999999999999</v>
      </c>
      <c r="F283" s="304">
        <v>10735.24</v>
      </c>
      <c r="G283" s="315" t="s">
        <v>195</v>
      </c>
      <c r="H283" s="286">
        <v>1</v>
      </c>
      <c r="I283" s="304">
        <v>1094.99</v>
      </c>
      <c r="J283" s="286">
        <v>2.85</v>
      </c>
      <c r="K283" s="304">
        <v>3120.72</v>
      </c>
      <c r="Q283" s="281">
        <f>[17]Source!X114</f>
        <v>0</v>
      </c>
      <c r="R283" s="281">
        <f>[17]Source!X115</f>
        <v>0</v>
      </c>
      <c r="S283" s="281">
        <f>[17]Source!Y114</f>
        <v>0</v>
      </c>
      <c r="T283" s="281">
        <f>[17]Source!Y115</f>
        <v>0</v>
      </c>
      <c r="U283" s="281">
        <f>ROUND((175/100)*ROUND([17]Source!R114, 2), 2)</f>
        <v>0</v>
      </c>
      <c r="V283" s="281">
        <f>ROUND((157/100)*ROUND([17]Source!R115, 2), 2)</f>
        <v>0</v>
      </c>
    </row>
    <row r="284" spans="1:22" ht="14.25" x14ac:dyDescent="0.2">
      <c r="A284" s="301"/>
      <c r="B284" s="302"/>
      <c r="C284" s="302" t="s">
        <v>194</v>
      </c>
      <c r="D284" s="303" t="s">
        <v>187</v>
      </c>
      <c r="E284" s="286">
        <v>112</v>
      </c>
      <c r="F284" s="304"/>
      <c r="G284" s="305"/>
      <c r="H284" s="286"/>
      <c r="I284" s="304">
        <v>42.67</v>
      </c>
      <c r="J284" s="286">
        <v>90</v>
      </c>
      <c r="K284" s="304">
        <v>800.68</v>
      </c>
    </row>
    <row r="285" spans="1:22" ht="14.25" x14ac:dyDescent="0.2">
      <c r="A285" s="301"/>
      <c r="B285" s="302"/>
      <c r="C285" s="302" t="s">
        <v>193</v>
      </c>
      <c r="D285" s="303" t="s">
        <v>187</v>
      </c>
      <c r="E285" s="286">
        <v>70</v>
      </c>
      <c r="F285" s="304"/>
      <c r="G285" s="305"/>
      <c r="H285" s="286"/>
      <c r="I285" s="304">
        <v>26.67</v>
      </c>
      <c r="J285" s="286">
        <v>43</v>
      </c>
      <c r="K285" s="304">
        <v>382.55</v>
      </c>
    </row>
    <row r="286" spans="1:22" ht="14.25" x14ac:dyDescent="0.2">
      <c r="A286" s="301"/>
      <c r="B286" s="302"/>
      <c r="C286" s="302" t="s">
        <v>188</v>
      </c>
      <c r="D286" s="303" t="s">
        <v>187</v>
      </c>
      <c r="E286" s="286">
        <v>175</v>
      </c>
      <c r="F286" s="304"/>
      <c r="G286" s="305"/>
      <c r="H286" s="286"/>
      <c r="I286" s="304">
        <v>0.35</v>
      </c>
      <c r="J286" s="286">
        <v>157</v>
      </c>
      <c r="K286" s="304">
        <v>7.33</v>
      </c>
    </row>
    <row r="287" spans="1:22" ht="14.25" x14ac:dyDescent="0.2">
      <c r="A287" s="329"/>
      <c r="B287" s="330"/>
      <c r="C287" s="330" t="s">
        <v>192</v>
      </c>
      <c r="D287" s="331" t="s">
        <v>191</v>
      </c>
      <c r="E287" s="332">
        <v>3.09</v>
      </c>
      <c r="F287" s="335"/>
      <c r="G287" s="334" t="s">
        <v>195</v>
      </c>
      <c r="H287" s="332">
        <v>1</v>
      </c>
      <c r="I287" s="335">
        <v>3.09</v>
      </c>
      <c r="J287" s="332"/>
      <c r="K287" s="335"/>
    </row>
    <row r="288" spans="1:22" ht="15" x14ac:dyDescent="0.25">
      <c r="A288" s="336"/>
      <c r="B288" s="336"/>
      <c r="C288" s="337" t="s">
        <v>183</v>
      </c>
      <c r="D288" s="336"/>
      <c r="E288" s="336"/>
      <c r="F288" s="336"/>
      <c r="G288" s="336"/>
      <c r="H288" s="461">
        <v>1207.3399999999999</v>
      </c>
      <c r="I288" s="461"/>
      <c r="J288" s="461">
        <v>5229.18</v>
      </c>
      <c r="K288" s="461"/>
      <c r="O288" s="284">
        <f>I279+I280+I282+I284+I285+I286+SUM(I283:I283)</f>
        <v>1207.3399999999999</v>
      </c>
      <c r="P288" s="284">
        <f>K279+K280+K282+K284+K285+K286+SUM(K283:K283)</f>
        <v>5229.18</v>
      </c>
    </row>
    <row r="290" spans="1:22" ht="28.5" x14ac:dyDescent="0.2">
      <c r="A290" s="301" t="s">
        <v>2682</v>
      </c>
      <c r="B290" s="302" t="s">
        <v>3643</v>
      </c>
      <c r="C290" s="302" t="s">
        <v>1226</v>
      </c>
      <c r="D290" s="303" t="s">
        <v>1903</v>
      </c>
      <c r="E290" s="286">
        <v>1</v>
      </c>
      <c r="F290" s="304"/>
      <c r="G290" s="305"/>
      <c r="H290" s="286"/>
      <c r="I290" s="304"/>
      <c r="J290" s="286"/>
      <c r="K290" s="304"/>
      <c r="Q290" s="281">
        <f>[17]Source!X116</f>
        <v>66.959999999999994</v>
      </c>
      <c r="R290" s="281">
        <f>[17]Source!X117</f>
        <v>1256.49</v>
      </c>
      <c r="S290" s="281">
        <f>[17]Source!Y116</f>
        <v>41.85</v>
      </c>
      <c r="T290" s="281">
        <f>[17]Source!Y117</f>
        <v>572.4</v>
      </c>
      <c r="U290" s="281">
        <f>ROUND((175/100)*ROUND([17]Source!R116, 2), 2)</f>
        <v>1.1399999999999999</v>
      </c>
      <c r="V290" s="281">
        <f>ROUND((157/100)*ROUND([17]Source!R117, 2), 2)</f>
        <v>23.83</v>
      </c>
    </row>
    <row r="291" spans="1:22" ht="14.25" x14ac:dyDescent="0.2">
      <c r="A291" s="301"/>
      <c r="B291" s="302"/>
      <c r="C291" s="302" t="s">
        <v>197</v>
      </c>
      <c r="D291" s="303"/>
      <c r="E291" s="286"/>
      <c r="F291" s="304">
        <v>59.79</v>
      </c>
      <c r="G291" s="305" t="s">
        <v>195</v>
      </c>
      <c r="H291" s="286">
        <v>1</v>
      </c>
      <c r="I291" s="304">
        <v>59.79</v>
      </c>
      <c r="J291" s="286">
        <v>23.35</v>
      </c>
      <c r="K291" s="304">
        <v>1396.1</v>
      </c>
    </row>
    <row r="292" spans="1:22" ht="14.25" x14ac:dyDescent="0.2">
      <c r="A292" s="301"/>
      <c r="B292" s="302"/>
      <c r="C292" s="302" t="s">
        <v>184</v>
      </c>
      <c r="D292" s="303"/>
      <c r="E292" s="286"/>
      <c r="F292" s="304">
        <v>4.42</v>
      </c>
      <c r="G292" s="305" t="s">
        <v>195</v>
      </c>
      <c r="H292" s="286">
        <v>1</v>
      </c>
      <c r="I292" s="304">
        <v>4.42</v>
      </c>
      <c r="J292" s="286">
        <v>8</v>
      </c>
      <c r="K292" s="304">
        <v>35.36</v>
      </c>
    </row>
    <row r="293" spans="1:22" ht="14.25" x14ac:dyDescent="0.2">
      <c r="A293" s="301"/>
      <c r="B293" s="302"/>
      <c r="C293" s="302" t="s">
        <v>189</v>
      </c>
      <c r="D293" s="303"/>
      <c r="E293" s="286"/>
      <c r="F293" s="304">
        <v>0.65</v>
      </c>
      <c r="G293" s="305" t="s">
        <v>195</v>
      </c>
      <c r="H293" s="286">
        <v>1</v>
      </c>
      <c r="I293" s="306">
        <v>0.65</v>
      </c>
      <c r="J293" s="286">
        <v>23.35</v>
      </c>
      <c r="K293" s="306">
        <v>15.18</v>
      </c>
    </row>
    <row r="294" spans="1:22" ht="14.25" x14ac:dyDescent="0.2">
      <c r="A294" s="301"/>
      <c r="B294" s="302"/>
      <c r="C294" s="302" t="s">
        <v>205</v>
      </c>
      <c r="D294" s="303"/>
      <c r="E294" s="286"/>
      <c r="F294" s="304">
        <v>21.42</v>
      </c>
      <c r="G294" s="305" t="s">
        <v>195</v>
      </c>
      <c r="H294" s="286">
        <v>1</v>
      </c>
      <c r="I294" s="304">
        <v>21.42</v>
      </c>
      <c r="J294" s="286">
        <v>5.42</v>
      </c>
      <c r="K294" s="304">
        <v>116.1</v>
      </c>
    </row>
    <row r="295" spans="1:22" ht="54" x14ac:dyDescent="0.2">
      <c r="A295" s="301" t="s">
        <v>3644</v>
      </c>
      <c r="B295" s="302" t="s">
        <v>3645</v>
      </c>
      <c r="C295" s="302" t="s">
        <v>1225</v>
      </c>
      <c r="D295" s="303" t="s">
        <v>1661</v>
      </c>
      <c r="E295" s="286">
        <v>1</v>
      </c>
      <c r="F295" s="304">
        <v>1772.59</v>
      </c>
      <c r="G295" s="315" t="s">
        <v>195</v>
      </c>
      <c r="H295" s="286">
        <v>1</v>
      </c>
      <c r="I295" s="304">
        <v>1772.59</v>
      </c>
      <c r="J295" s="286">
        <v>5.42</v>
      </c>
      <c r="K295" s="304">
        <v>9607.44</v>
      </c>
      <c r="Q295" s="281">
        <f>[17]Source!X118</f>
        <v>0</v>
      </c>
      <c r="R295" s="281">
        <f>[17]Source!X119</f>
        <v>0</v>
      </c>
      <c r="S295" s="281">
        <f>[17]Source!Y118</f>
        <v>0</v>
      </c>
      <c r="T295" s="281">
        <f>[17]Source!Y119</f>
        <v>0</v>
      </c>
      <c r="U295" s="281">
        <f>ROUND((175/100)*ROUND([17]Source!R118, 2), 2)</f>
        <v>0</v>
      </c>
      <c r="V295" s="281">
        <f>ROUND((157/100)*ROUND([17]Source!R119, 2), 2)</f>
        <v>0</v>
      </c>
    </row>
    <row r="296" spans="1:22" ht="14.25" x14ac:dyDescent="0.2">
      <c r="A296" s="301"/>
      <c r="B296" s="302"/>
      <c r="C296" s="302" t="s">
        <v>194</v>
      </c>
      <c r="D296" s="303" t="s">
        <v>187</v>
      </c>
      <c r="E296" s="286">
        <v>112</v>
      </c>
      <c r="F296" s="304"/>
      <c r="G296" s="305"/>
      <c r="H296" s="286"/>
      <c r="I296" s="304">
        <v>66.959999999999994</v>
      </c>
      <c r="J296" s="286">
        <v>90</v>
      </c>
      <c r="K296" s="304">
        <v>1256.49</v>
      </c>
    </row>
    <row r="297" spans="1:22" ht="14.25" x14ac:dyDescent="0.2">
      <c r="A297" s="301"/>
      <c r="B297" s="302"/>
      <c r="C297" s="302" t="s">
        <v>193</v>
      </c>
      <c r="D297" s="303" t="s">
        <v>187</v>
      </c>
      <c r="E297" s="286">
        <v>70</v>
      </c>
      <c r="F297" s="304"/>
      <c r="G297" s="305"/>
      <c r="H297" s="286"/>
      <c r="I297" s="304">
        <v>41.85</v>
      </c>
      <c r="J297" s="286">
        <v>41</v>
      </c>
      <c r="K297" s="304">
        <v>572.4</v>
      </c>
    </row>
    <row r="298" spans="1:22" ht="14.25" x14ac:dyDescent="0.2">
      <c r="A298" s="301"/>
      <c r="B298" s="302"/>
      <c r="C298" s="302" t="s">
        <v>188</v>
      </c>
      <c r="D298" s="303" t="s">
        <v>187</v>
      </c>
      <c r="E298" s="286">
        <v>175</v>
      </c>
      <c r="F298" s="304"/>
      <c r="G298" s="305"/>
      <c r="H298" s="286"/>
      <c r="I298" s="304">
        <v>1.1399999999999999</v>
      </c>
      <c r="J298" s="286">
        <v>157</v>
      </c>
      <c r="K298" s="304">
        <v>23.83</v>
      </c>
    </row>
    <row r="299" spans="1:22" ht="14.25" x14ac:dyDescent="0.2">
      <c r="A299" s="329"/>
      <c r="B299" s="330"/>
      <c r="C299" s="330" t="s">
        <v>192</v>
      </c>
      <c r="D299" s="331" t="s">
        <v>191</v>
      </c>
      <c r="E299" s="332">
        <v>5.15</v>
      </c>
      <c r="F299" s="335"/>
      <c r="G299" s="334" t="s">
        <v>195</v>
      </c>
      <c r="H299" s="332">
        <v>1</v>
      </c>
      <c r="I299" s="335">
        <v>5.15</v>
      </c>
      <c r="J299" s="332"/>
      <c r="K299" s="335"/>
    </row>
    <row r="300" spans="1:22" ht="15" x14ac:dyDescent="0.25">
      <c r="A300" s="336"/>
      <c r="B300" s="336"/>
      <c r="C300" s="337" t="s">
        <v>183</v>
      </c>
      <c r="D300" s="336"/>
      <c r="E300" s="336"/>
      <c r="F300" s="336"/>
      <c r="G300" s="336"/>
      <c r="H300" s="461">
        <v>1968.17</v>
      </c>
      <c r="I300" s="461"/>
      <c r="J300" s="461">
        <v>13007.72</v>
      </c>
      <c r="K300" s="461"/>
      <c r="O300" s="284">
        <f>I291+I292+I294+I296+I297+I298+SUM(I295:I295)</f>
        <v>1968.17</v>
      </c>
      <c r="P300" s="284">
        <f>K291+K292+K294+K296+K297+K298+SUM(K295:K295)</f>
        <v>13007.72</v>
      </c>
    </row>
    <row r="303" spans="1:22" ht="16.5" x14ac:dyDescent="0.25">
      <c r="A303" s="448" t="s">
        <v>3447</v>
      </c>
      <c r="B303" s="448"/>
      <c r="C303" s="448"/>
      <c r="D303" s="448"/>
      <c r="E303" s="448"/>
      <c r="F303" s="448"/>
      <c r="G303" s="448"/>
      <c r="H303" s="448"/>
      <c r="I303" s="448"/>
      <c r="J303" s="448"/>
      <c r="K303" s="448"/>
    </row>
    <row r="304" spans="1:22" ht="82.5" x14ac:dyDescent="0.2">
      <c r="A304" s="338" t="s">
        <v>2368</v>
      </c>
      <c r="B304" s="339" t="s">
        <v>3522</v>
      </c>
      <c r="C304" s="339" t="s">
        <v>1224</v>
      </c>
      <c r="D304" s="340" t="s">
        <v>1661</v>
      </c>
      <c r="E304" s="341">
        <v>1</v>
      </c>
      <c r="F304" s="344">
        <v>41221.58</v>
      </c>
      <c r="G304" s="343" t="s">
        <v>195</v>
      </c>
      <c r="H304" s="341">
        <v>1</v>
      </c>
      <c r="I304" s="344">
        <v>41221.58</v>
      </c>
      <c r="J304" s="341">
        <v>4.4000000000000004</v>
      </c>
      <c r="K304" s="344">
        <v>181374.95</v>
      </c>
      <c r="Q304" s="281">
        <f>[17]Source!X127</f>
        <v>0</v>
      </c>
      <c r="R304" s="281">
        <f>[17]Source!X128</f>
        <v>0</v>
      </c>
      <c r="S304" s="281">
        <f>[17]Source!Y127</f>
        <v>0</v>
      </c>
      <c r="T304" s="281">
        <f>[17]Source!Y128</f>
        <v>0</v>
      </c>
      <c r="U304" s="281">
        <f>ROUND((175/100)*ROUND([17]Source!R127, 2), 2)</f>
        <v>0</v>
      </c>
      <c r="V304" s="281">
        <f>ROUND((157/100)*ROUND([17]Source!R128, 2), 2)</f>
        <v>0</v>
      </c>
    </row>
    <row r="305" spans="1:22" ht="15" x14ac:dyDescent="0.25">
      <c r="A305" s="345"/>
      <c r="B305" s="345"/>
      <c r="C305" s="346" t="s">
        <v>183</v>
      </c>
      <c r="D305" s="345"/>
      <c r="E305" s="345"/>
      <c r="F305" s="345"/>
      <c r="G305" s="345"/>
      <c r="H305" s="462">
        <v>41221.58</v>
      </c>
      <c r="I305" s="462"/>
      <c r="J305" s="462">
        <v>181374.95</v>
      </c>
      <c r="K305" s="462"/>
      <c r="O305" s="284">
        <f>I304</f>
        <v>41221.58</v>
      </c>
      <c r="P305" s="284">
        <f>K304</f>
        <v>181374.95</v>
      </c>
    </row>
    <row r="307" spans="1:22" ht="42.75" x14ac:dyDescent="0.2">
      <c r="A307" s="338" t="s">
        <v>3639</v>
      </c>
      <c r="B307" s="339" t="s">
        <v>3548</v>
      </c>
      <c r="C307" s="339" t="s">
        <v>1125</v>
      </c>
      <c r="D307" s="340" t="s">
        <v>1661</v>
      </c>
      <c r="E307" s="341">
        <v>1</v>
      </c>
      <c r="F307" s="344">
        <v>148.71</v>
      </c>
      <c r="G307" s="343" t="s">
        <v>195</v>
      </c>
      <c r="H307" s="341">
        <v>1</v>
      </c>
      <c r="I307" s="344">
        <v>148.71</v>
      </c>
      <c r="J307" s="341">
        <v>3.5</v>
      </c>
      <c r="K307" s="344">
        <v>520.49</v>
      </c>
      <c r="Q307" s="281">
        <f>[17]Source!X129</f>
        <v>0</v>
      </c>
      <c r="R307" s="281">
        <f>[17]Source!X130</f>
        <v>0</v>
      </c>
      <c r="S307" s="281">
        <f>[17]Source!Y129</f>
        <v>0</v>
      </c>
      <c r="T307" s="281">
        <f>[17]Source!Y130</f>
        <v>0</v>
      </c>
      <c r="U307" s="281">
        <f>ROUND((175/100)*ROUND([17]Source!R129, 2), 2)</f>
        <v>0</v>
      </c>
      <c r="V307" s="281">
        <f>ROUND((157/100)*ROUND([17]Source!R130, 2), 2)</f>
        <v>0</v>
      </c>
    </row>
    <row r="308" spans="1:22" ht="15" x14ac:dyDescent="0.25">
      <c r="A308" s="345"/>
      <c r="B308" s="345"/>
      <c r="C308" s="346" t="s">
        <v>183</v>
      </c>
      <c r="D308" s="345"/>
      <c r="E308" s="345"/>
      <c r="F308" s="345"/>
      <c r="G308" s="345"/>
      <c r="H308" s="462">
        <v>148.71</v>
      </c>
      <c r="I308" s="462"/>
      <c r="J308" s="462">
        <v>520.49</v>
      </c>
      <c r="K308" s="462"/>
      <c r="O308" s="284">
        <f>I307</f>
        <v>148.71</v>
      </c>
      <c r="P308" s="284">
        <f>K307</f>
        <v>520.49</v>
      </c>
    </row>
    <row r="310" spans="1:22" ht="42.75" x14ac:dyDescent="0.2">
      <c r="A310" s="338" t="s">
        <v>2682</v>
      </c>
      <c r="B310" s="339" t="s">
        <v>3549</v>
      </c>
      <c r="C310" s="339" t="s">
        <v>1124</v>
      </c>
      <c r="D310" s="340" t="s">
        <v>1661</v>
      </c>
      <c r="E310" s="341">
        <v>1</v>
      </c>
      <c r="F310" s="344">
        <v>77.11</v>
      </c>
      <c r="G310" s="343" t="s">
        <v>195</v>
      </c>
      <c r="H310" s="341">
        <v>1</v>
      </c>
      <c r="I310" s="344">
        <v>77.11</v>
      </c>
      <c r="J310" s="341">
        <v>4.6399999999999997</v>
      </c>
      <c r="K310" s="344">
        <v>357.79</v>
      </c>
      <c r="Q310" s="281">
        <f>[17]Source!X131</f>
        <v>0</v>
      </c>
      <c r="R310" s="281">
        <f>[17]Source!X132</f>
        <v>0</v>
      </c>
      <c r="S310" s="281">
        <f>[17]Source!Y131</f>
        <v>0</v>
      </c>
      <c r="T310" s="281">
        <f>[17]Source!Y132</f>
        <v>0</v>
      </c>
      <c r="U310" s="281">
        <f>ROUND((175/100)*ROUND([17]Source!R131, 2), 2)</f>
        <v>0</v>
      </c>
      <c r="V310" s="281">
        <f>ROUND((157/100)*ROUND([17]Source!R132, 2), 2)</f>
        <v>0</v>
      </c>
    </row>
    <row r="311" spans="1:22" ht="15" x14ac:dyDescent="0.25">
      <c r="A311" s="345"/>
      <c r="B311" s="345"/>
      <c r="C311" s="346" t="s">
        <v>183</v>
      </c>
      <c r="D311" s="345"/>
      <c r="E311" s="345"/>
      <c r="F311" s="345"/>
      <c r="G311" s="345"/>
      <c r="H311" s="462">
        <v>77.11</v>
      </c>
      <c r="I311" s="462"/>
      <c r="J311" s="462">
        <v>357.79</v>
      </c>
      <c r="K311" s="462"/>
      <c r="O311" s="284">
        <f>I310</f>
        <v>77.11</v>
      </c>
      <c r="P311" s="284">
        <f>K310</f>
        <v>357.79</v>
      </c>
    </row>
    <row r="313" spans="1:22" ht="68.25" x14ac:dyDescent="0.2">
      <c r="A313" s="338" t="s">
        <v>2683</v>
      </c>
      <c r="B313" s="339" t="s">
        <v>3522</v>
      </c>
      <c r="C313" s="339" t="s">
        <v>1223</v>
      </c>
      <c r="D313" s="340" t="s">
        <v>1661</v>
      </c>
      <c r="E313" s="341">
        <v>1</v>
      </c>
      <c r="F313" s="344">
        <v>3975.19</v>
      </c>
      <c r="G313" s="343" t="s">
        <v>195</v>
      </c>
      <c r="H313" s="341">
        <v>1</v>
      </c>
      <c r="I313" s="344">
        <v>3975.19</v>
      </c>
      <c r="J313" s="341">
        <v>4.4000000000000004</v>
      </c>
      <c r="K313" s="344">
        <v>17490.84</v>
      </c>
      <c r="Q313" s="281">
        <f>[17]Source!X133</f>
        <v>0</v>
      </c>
      <c r="R313" s="281">
        <f>[17]Source!X134</f>
        <v>0</v>
      </c>
      <c r="S313" s="281">
        <f>[17]Source!Y133</f>
        <v>0</v>
      </c>
      <c r="T313" s="281">
        <f>[17]Source!Y134</f>
        <v>0</v>
      </c>
      <c r="U313" s="281">
        <f>ROUND((175/100)*ROUND([17]Source!R133, 2), 2)</f>
        <v>0</v>
      </c>
      <c r="V313" s="281">
        <f>ROUND((157/100)*ROUND([17]Source!R134, 2), 2)</f>
        <v>0</v>
      </c>
    </row>
    <row r="314" spans="1:22" ht="15" x14ac:dyDescent="0.25">
      <c r="A314" s="345"/>
      <c r="B314" s="345"/>
      <c r="C314" s="346" t="s">
        <v>183</v>
      </c>
      <c r="D314" s="345"/>
      <c r="E314" s="345"/>
      <c r="F314" s="345"/>
      <c r="G314" s="345"/>
      <c r="H314" s="462">
        <v>3975.19</v>
      </c>
      <c r="I314" s="462"/>
      <c r="J314" s="462">
        <v>17490.84</v>
      </c>
      <c r="K314" s="462"/>
      <c r="O314" s="284">
        <f>I313</f>
        <v>3975.19</v>
      </c>
      <c r="P314" s="284">
        <f>K313</f>
        <v>17490.84</v>
      </c>
    </row>
    <row r="316" spans="1:22" ht="68.25" x14ac:dyDescent="0.2">
      <c r="A316" s="338" t="s">
        <v>2684</v>
      </c>
      <c r="B316" s="339" t="s">
        <v>3605</v>
      </c>
      <c r="C316" s="339" t="s">
        <v>1222</v>
      </c>
      <c r="D316" s="340" t="s">
        <v>1661</v>
      </c>
      <c r="E316" s="341">
        <v>1</v>
      </c>
      <c r="F316" s="344">
        <v>3099.43</v>
      </c>
      <c r="G316" s="343" t="s">
        <v>195</v>
      </c>
      <c r="H316" s="341">
        <v>1</v>
      </c>
      <c r="I316" s="344">
        <v>3099.43</v>
      </c>
      <c r="J316" s="341">
        <v>4.4000000000000004</v>
      </c>
      <c r="K316" s="344">
        <v>13637.49</v>
      </c>
      <c r="Q316" s="281">
        <f>[17]Source!X135</f>
        <v>0</v>
      </c>
      <c r="R316" s="281">
        <f>[17]Source!X136</f>
        <v>0</v>
      </c>
      <c r="S316" s="281">
        <f>[17]Source!Y135</f>
        <v>0</v>
      </c>
      <c r="T316" s="281">
        <f>[17]Source!Y136</f>
        <v>0</v>
      </c>
      <c r="U316" s="281">
        <f>ROUND((175/100)*ROUND([17]Source!R135, 2), 2)</f>
        <v>0</v>
      </c>
      <c r="V316" s="281">
        <f>ROUND((157/100)*ROUND([17]Source!R136, 2), 2)</f>
        <v>0</v>
      </c>
    </row>
    <row r="317" spans="1:22" ht="15" x14ac:dyDescent="0.25">
      <c r="A317" s="345"/>
      <c r="B317" s="345"/>
      <c r="C317" s="346" t="s">
        <v>183</v>
      </c>
      <c r="D317" s="345"/>
      <c r="E317" s="345"/>
      <c r="F317" s="345"/>
      <c r="G317" s="345"/>
      <c r="H317" s="462">
        <v>3099.43</v>
      </c>
      <c r="I317" s="462"/>
      <c r="J317" s="462">
        <v>13637.49</v>
      </c>
      <c r="K317" s="462"/>
      <c r="O317" s="284">
        <f>I316</f>
        <v>3099.43</v>
      </c>
      <c r="P317" s="284">
        <f>K316</f>
        <v>13637.49</v>
      </c>
    </row>
    <row r="319" spans="1:22" ht="99.75" x14ac:dyDescent="0.2">
      <c r="A319" s="338" t="s">
        <v>2686</v>
      </c>
      <c r="B319" s="339" t="s">
        <v>3646</v>
      </c>
      <c r="C319" s="339" t="s">
        <v>1221</v>
      </c>
      <c r="D319" s="340" t="s">
        <v>1661</v>
      </c>
      <c r="E319" s="341">
        <v>1</v>
      </c>
      <c r="F319" s="344">
        <v>969.46</v>
      </c>
      <c r="G319" s="343" t="s">
        <v>195</v>
      </c>
      <c r="H319" s="341">
        <v>1</v>
      </c>
      <c r="I319" s="344">
        <v>969.46</v>
      </c>
      <c r="J319" s="341">
        <v>5.0599999999999996</v>
      </c>
      <c r="K319" s="344">
        <v>4905.47</v>
      </c>
      <c r="Q319" s="281">
        <f>[17]Source!X139</f>
        <v>0</v>
      </c>
      <c r="R319" s="281">
        <f>[17]Source!X140</f>
        <v>0</v>
      </c>
      <c r="S319" s="281">
        <f>[17]Source!Y139</f>
        <v>0</v>
      </c>
      <c r="T319" s="281">
        <f>[17]Source!Y140</f>
        <v>0</v>
      </c>
      <c r="U319" s="281">
        <f>ROUND((175/100)*ROUND([17]Source!R139, 2), 2)</f>
        <v>0</v>
      </c>
      <c r="V319" s="281">
        <f>ROUND((157/100)*ROUND([17]Source!R140, 2), 2)</f>
        <v>0</v>
      </c>
    </row>
    <row r="320" spans="1:22" ht="15" x14ac:dyDescent="0.25">
      <c r="A320" s="345"/>
      <c r="B320" s="345"/>
      <c r="C320" s="346" t="s">
        <v>183</v>
      </c>
      <c r="D320" s="345"/>
      <c r="E320" s="345"/>
      <c r="F320" s="345"/>
      <c r="G320" s="345"/>
      <c r="H320" s="462">
        <v>969.46</v>
      </c>
      <c r="I320" s="462"/>
      <c r="J320" s="462">
        <v>4905.47</v>
      </c>
      <c r="K320" s="462"/>
      <c r="O320" s="284">
        <f>I319</f>
        <v>969.46</v>
      </c>
      <c r="P320" s="284">
        <f>K319</f>
        <v>4905.47</v>
      </c>
    </row>
    <row r="322" spans="1:22" ht="71.25" x14ac:dyDescent="0.2">
      <c r="A322" s="338" t="s">
        <v>2687</v>
      </c>
      <c r="B322" s="339" t="s">
        <v>3647</v>
      </c>
      <c r="C322" s="339" t="s">
        <v>1220</v>
      </c>
      <c r="D322" s="340" t="s">
        <v>1661</v>
      </c>
      <c r="E322" s="341">
        <v>1</v>
      </c>
      <c r="F322" s="344">
        <v>1793.94</v>
      </c>
      <c r="G322" s="343" t="s">
        <v>195</v>
      </c>
      <c r="H322" s="341">
        <v>1</v>
      </c>
      <c r="I322" s="344">
        <v>1793.94</v>
      </c>
      <c r="J322" s="341">
        <v>3.14</v>
      </c>
      <c r="K322" s="344">
        <v>5632.97</v>
      </c>
      <c r="Q322" s="281">
        <f>[17]Source!X141</f>
        <v>0</v>
      </c>
      <c r="R322" s="281">
        <f>[17]Source!X142</f>
        <v>0</v>
      </c>
      <c r="S322" s="281">
        <f>[17]Source!Y141</f>
        <v>0</v>
      </c>
      <c r="T322" s="281">
        <f>[17]Source!Y142</f>
        <v>0</v>
      </c>
      <c r="U322" s="281">
        <f>ROUND((175/100)*ROUND([17]Source!R141, 2), 2)</f>
        <v>0</v>
      </c>
      <c r="V322" s="281">
        <f>ROUND((157/100)*ROUND([17]Source!R142, 2), 2)</f>
        <v>0</v>
      </c>
    </row>
    <row r="323" spans="1:22" ht="15" x14ac:dyDescent="0.25">
      <c r="A323" s="345"/>
      <c r="B323" s="345"/>
      <c r="C323" s="346" t="s">
        <v>183</v>
      </c>
      <c r="D323" s="345"/>
      <c r="E323" s="345"/>
      <c r="F323" s="345"/>
      <c r="G323" s="345"/>
      <c r="H323" s="462">
        <v>1793.94</v>
      </c>
      <c r="I323" s="462"/>
      <c r="J323" s="462">
        <v>5632.97</v>
      </c>
      <c r="K323" s="462"/>
      <c r="O323" s="284">
        <f>I322</f>
        <v>1793.94</v>
      </c>
      <c r="P323" s="284">
        <f>K322</f>
        <v>5632.97</v>
      </c>
    </row>
    <row r="325" spans="1:22" ht="68.25" x14ac:dyDescent="0.2">
      <c r="A325" s="338" t="s">
        <v>2688</v>
      </c>
      <c r="B325" s="339" t="s">
        <v>3522</v>
      </c>
      <c r="C325" s="339" t="s">
        <v>1219</v>
      </c>
      <c r="D325" s="340" t="s">
        <v>1661</v>
      </c>
      <c r="E325" s="341">
        <v>1</v>
      </c>
      <c r="F325" s="344">
        <v>1455.94</v>
      </c>
      <c r="G325" s="343" t="s">
        <v>195</v>
      </c>
      <c r="H325" s="341">
        <v>1</v>
      </c>
      <c r="I325" s="344">
        <v>1455.94</v>
      </c>
      <c r="J325" s="341">
        <v>4.4000000000000004</v>
      </c>
      <c r="K325" s="344">
        <v>6406.14</v>
      </c>
      <c r="Q325" s="281">
        <f>[17]Source!X143</f>
        <v>0</v>
      </c>
      <c r="R325" s="281">
        <f>[17]Source!X144</f>
        <v>0</v>
      </c>
      <c r="S325" s="281">
        <f>[17]Source!Y143</f>
        <v>0</v>
      </c>
      <c r="T325" s="281">
        <f>[17]Source!Y144</f>
        <v>0</v>
      </c>
      <c r="U325" s="281">
        <f>ROUND((175/100)*ROUND([17]Source!R143, 2), 2)</f>
        <v>0</v>
      </c>
      <c r="V325" s="281">
        <f>ROUND((157/100)*ROUND([17]Source!R144, 2), 2)</f>
        <v>0</v>
      </c>
    </row>
    <row r="326" spans="1:22" ht="15" x14ac:dyDescent="0.25">
      <c r="A326" s="345"/>
      <c r="B326" s="345"/>
      <c r="C326" s="346" t="s">
        <v>183</v>
      </c>
      <c r="D326" s="345"/>
      <c r="E326" s="345"/>
      <c r="F326" s="345"/>
      <c r="G326" s="345"/>
      <c r="H326" s="462">
        <v>1455.94</v>
      </c>
      <c r="I326" s="462"/>
      <c r="J326" s="462">
        <v>6406.14</v>
      </c>
      <c r="K326" s="462"/>
      <c r="O326" s="284">
        <f>I325</f>
        <v>1455.94</v>
      </c>
      <c r="P326" s="284">
        <f>K325</f>
        <v>6406.14</v>
      </c>
    </row>
    <row r="328" spans="1:22" ht="42.75" x14ac:dyDescent="0.2">
      <c r="A328" s="338" t="s">
        <v>3648</v>
      </c>
      <c r="B328" s="339" t="s">
        <v>3649</v>
      </c>
      <c r="C328" s="339" t="s">
        <v>1218</v>
      </c>
      <c r="D328" s="340" t="s">
        <v>1661</v>
      </c>
      <c r="E328" s="341">
        <v>2</v>
      </c>
      <c r="F328" s="344">
        <v>698.81</v>
      </c>
      <c r="G328" s="343" t="s">
        <v>195</v>
      </c>
      <c r="H328" s="341">
        <v>1</v>
      </c>
      <c r="I328" s="344">
        <v>1397.62</v>
      </c>
      <c r="J328" s="341">
        <v>5.22</v>
      </c>
      <c r="K328" s="344">
        <v>7295.58</v>
      </c>
      <c r="Q328" s="281">
        <f>[17]Source!X145</f>
        <v>0</v>
      </c>
      <c r="R328" s="281">
        <f>[17]Source!X146</f>
        <v>0</v>
      </c>
      <c r="S328" s="281">
        <f>[17]Source!Y145</f>
        <v>0</v>
      </c>
      <c r="T328" s="281">
        <f>[17]Source!Y146</f>
        <v>0</v>
      </c>
      <c r="U328" s="281">
        <f>ROUND((175/100)*ROUND([17]Source!R145, 2), 2)</f>
        <v>0</v>
      </c>
      <c r="V328" s="281">
        <f>ROUND((157/100)*ROUND([17]Source!R146, 2), 2)</f>
        <v>0</v>
      </c>
    </row>
    <row r="329" spans="1:22" ht="15" x14ac:dyDescent="0.25">
      <c r="A329" s="345"/>
      <c r="B329" s="345"/>
      <c r="C329" s="346" t="s">
        <v>183</v>
      </c>
      <c r="D329" s="345"/>
      <c r="E329" s="345"/>
      <c r="F329" s="345"/>
      <c r="G329" s="345"/>
      <c r="H329" s="462">
        <v>1397.62</v>
      </c>
      <c r="I329" s="462"/>
      <c r="J329" s="462">
        <v>7295.58</v>
      </c>
      <c r="K329" s="462"/>
      <c r="O329" s="284">
        <f>I328</f>
        <v>1397.62</v>
      </c>
      <c r="P329" s="284">
        <f>K328</f>
        <v>7295.58</v>
      </c>
    </row>
    <row r="331" spans="1:22" ht="185.25" x14ac:dyDescent="0.2">
      <c r="A331" s="338" t="s">
        <v>2689</v>
      </c>
      <c r="B331" s="339" t="s">
        <v>3650</v>
      </c>
      <c r="C331" s="339" t="s">
        <v>1217</v>
      </c>
      <c r="D331" s="340" t="s">
        <v>1661</v>
      </c>
      <c r="E331" s="341">
        <v>2</v>
      </c>
      <c r="F331" s="344">
        <v>1305.95</v>
      </c>
      <c r="G331" s="343" t="s">
        <v>195</v>
      </c>
      <c r="H331" s="341">
        <v>1</v>
      </c>
      <c r="I331" s="344">
        <v>2611.9</v>
      </c>
      <c r="J331" s="341">
        <v>2.88</v>
      </c>
      <c r="K331" s="344">
        <v>7522.27</v>
      </c>
      <c r="Q331" s="281">
        <f>[17]Source!X147</f>
        <v>0</v>
      </c>
      <c r="R331" s="281">
        <f>[17]Source!X148</f>
        <v>0</v>
      </c>
      <c r="S331" s="281">
        <f>[17]Source!Y147</f>
        <v>0</v>
      </c>
      <c r="T331" s="281">
        <f>[17]Source!Y148</f>
        <v>0</v>
      </c>
      <c r="U331" s="281">
        <f>ROUND((175/100)*ROUND([17]Source!R147, 2), 2)</f>
        <v>0</v>
      </c>
      <c r="V331" s="281">
        <f>ROUND((157/100)*ROUND([17]Source!R148, 2), 2)</f>
        <v>0</v>
      </c>
    </row>
    <row r="332" spans="1:22" ht="15" x14ac:dyDescent="0.25">
      <c r="A332" s="345"/>
      <c r="B332" s="345"/>
      <c r="C332" s="346" t="s">
        <v>183</v>
      </c>
      <c r="D332" s="345"/>
      <c r="E332" s="345"/>
      <c r="F332" s="345"/>
      <c r="G332" s="345"/>
      <c r="H332" s="462">
        <v>2611.9</v>
      </c>
      <c r="I332" s="462"/>
      <c r="J332" s="462">
        <v>7522.27</v>
      </c>
      <c r="K332" s="462"/>
      <c r="O332" s="284">
        <f>I331</f>
        <v>2611.9</v>
      </c>
      <c r="P332" s="284">
        <f>K331</f>
        <v>7522.27</v>
      </c>
    </row>
    <row r="334" spans="1:22" ht="228" x14ac:dyDescent="0.2">
      <c r="A334" s="338" t="s">
        <v>2690</v>
      </c>
      <c r="B334" s="339" t="s">
        <v>3651</v>
      </c>
      <c r="C334" s="339" t="s">
        <v>1216</v>
      </c>
      <c r="D334" s="340" t="s">
        <v>1661</v>
      </c>
      <c r="E334" s="341">
        <v>8</v>
      </c>
      <c r="F334" s="344">
        <v>515.28</v>
      </c>
      <c r="G334" s="343" t="s">
        <v>195</v>
      </c>
      <c r="H334" s="341">
        <v>1</v>
      </c>
      <c r="I334" s="344">
        <v>4122.24</v>
      </c>
      <c r="J334" s="341">
        <v>3.68</v>
      </c>
      <c r="K334" s="344">
        <v>15169.84</v>
      </c>
      <c r="Q334" s="281">
        <f>[17]Source!X149</f>
        <v>0</v>
      </c>
      <c r="R334" s="281">
        <f>[17]Source!X150</f>
        <v>0</v>
      </c>
      <c r="S334" s="281">
        <f>[17]Source!Y149</f>
        <v>0</v>
      </c>
      <c r="T334" s="281">
        <f>[17]Source!Y150</f>
        <v>0</v>
      </c>
      <c r="U334" s="281">
        <f>ROUND((175/100)*ROUND([17]Source!R149, 2), 2)</f>
        <v>0</v>
      </c>
      <c r="V334" s="281">
        <f>ROUND((157/100)*ROUND([17]Source!R150, 2), 2)</f>
        <v>0</v>
      </c>
    </row>
    <row r="335" spans="1:22" ht="15" x14ac:dyDescent="0.25">
      <c r="A335" s="345"/>
      <c r="B335" s="345"/>
      <c r="C335" s="346" t="s">
        <v>183</v>
      </c>
      <c r="D335" s="345"/>
      <c r="E335" s="345"/>
      <c r="F335" s="345"/>
      <c r="G335" s="345"/>
      <c r="H335" s="462">
        <v>4122.24</v>
      </c>
      <c r="I335" s="462"/>
      <c r="J335" s="462">
        <v>15169.84</v>
      </c>
      <c r="K335" s="462"/>
      <c r="O335" s="284">
        <f>I334</f>
        <v>4122.24</v>
      </c>
      <c r="P335" s="284">
        <f>K334</f>
        <v>15169.84</v>
      </c>
    </row>
    <row r="337" spans="1:22" ht="171" x14ac:dyDescent="0.2">
      <c r="A337" s="338" t="s">
        <v>2693</v>
      </c>
      <c r="B337" s="339" t="s">
        <v>3652</v>
      </c>
      <c r="C337" s="339" t="s">
        <v>1215</v>
      </c>
      <c r="D337" s="340" t="s">
        <v>1661</v>
      </c>
      <c r="E337" s="341">
        <v>51</v>
      </c>
      <c r="F337" s="344">
        <v>433.01</v>
      </c>
      <c r="G337" s="343" t="s">
        <v>195</v>
      </c>
      <c r="H337" s="341">
        <v>1</v>
      </c>
      <c r="I337" s="344">
        <v>22083.51</v>
      </c>
      <c r="J337" s="341">
        <v>4.09</v>
      </c>
      <c r="K337" s="344">
        <v>90321.56</v>
      </c>
      <c r="Q337" s="281">
        <f>[17]Source!X155</f>
        <v>0</v>
      </c>
      <c r="R337" s="281">
        <f>[17]Source!X156</f>
        <v>0</v>
      </c>
      <c r="S337" s="281">
        <f>[17]Source!Y155</f>
        <v>0</v>
      </c>
      <c r="T337" s="281">
        <f>[17]Source!Y156</f>
        <v>0</v>
      </c>
      <c r="U337" s="281">
        <f>ROUND((175/100)*ROUND([17]Source!R155, 2), 2)</f>
        <v>0</v>
      </c>
      <c r="V337" s="281">
        <f>ROUND((157/100)*ROUND([17]Source!R156, 2), 2)</f>
        <v>0</v>
      </c>
    </row>
    <row r="338" spans="1:22" ht="15" x14ac:dyDescent="0.25">
      <c r="A338" s="345"/>
      <c r="B338" s="345"/>
      <c r="C338" s="346" t="s">
        <v>183</v>
      </c>
      <c r="D338" s="345"/>
      <c r="E338" s="345"/>
      <c r="F338" s="345"/>
      <c r="G338" s="345"/>
      <c r="H338" s="462">
        <v>22083.51</v>
      </c>
      <c r="I338" s="462"/>
      <c r="J338" s="462">
        <v>90321.56</v>
      </c>
      <c r="K338" s="462"/>
      <c r="O338" s="284">
        <f>I337</f>
        <v>22083.51</v>
      </c>
      <c r="P338" s="284">
        <f>K337</f>
        <v>90321.56</v>
      </c>
    </row>
    <row r="340" spans="1:22" ht="114" x14ac:dyDescent="0.2">
      <c r="A340" s="338" t="s">
        <v>3653</v>
      </c>
      <c r="B340" s="339" t="s">
        <v>3654</v>
      </c>
      <c r="C340" s="339" t="s">
        <v>1214</v>
      </c>
      <c r="D340" s="340" t="s">
        <v>1661</v>
      </c>
      <c r="E340" s="341">
        <v>8</v>
      </c>
      <c r="F340" s="344">
        <v>231.79</v>
      </c>
      <c r="G340" s="343" t="s">
        <v>195</v>
      </c>
      <c r="H340" s="341">
        <v>1</v>
      </c>
      <c r="I340" s="344">
        <v>1854.32</v>
      </c>
      <c r="J340" s="341">
        <v>4.05</v>
      </c>
      <c r="K340" s="344">
        <v>7510</v>
      </c>
      <c r="Q340" s="281">
        <f>[17]Source!X157</f>
        <v>0</v>
      </c>
      <c r="R340" s="281">
        <f>[17]Source!X158</f>
        <v>0</v>
      </c>
      <c r="S340" s="281">
        <f>[17]Source!Y157</f>
        <v>0</v>
      </c>
      <c r="T340" s="281">
        <f>[17]Source!Y158</f>
        <v>0</v>
      </c>
      <c r="U340" s="281">
        <f>ROUND((175/100)*ROUND([17]Source!R157, 2), 2)</f>
        <v>0</v>
      </c>
      <c r="V340" s="281">
        <f>ROUND((157/100)*ROUND([17]Source!R158, 2), 2)</f>
        <v>0</v>
      </c>
    </row>
    <row r="341" spans="1:22" ht="15" x14ac:dyDescent="0.25">
      <c r="A341" s="345"/>
      <c r="B341" s="345"/>
      <c r="C341" s="346" t="s">
        <v>183</v>
      </c>
      <c r="D341" s="345"/>
      <c r="E341" s="345"/>
      <c r="F341" s="345"/>
      <c r="G341" s="345"/>
      <c r="H341" s="462">
        <v>1854.32</v>
      </c>
      <c r="I341" s="462"/>
      <c r="J341" s="462">
        <v>7510</v>
      </c>
      <c r="K341" s="462"/>
      <c r="O341" s="284">
        <f>I340</f>
        <v>1854.32</v>
      </c>
      <c r="P341" s="284">
        <f>K340</f>
        <v>7510</v>
      </c>
    </row>
    <row r="343" spans="1:22" ht="71.25" x14ac:dyDescent="0.2">
      <c r="A343" s="338" t="s">
        <v>2694</v>
      </c>
      <c r="B343" s="339" t="s">
        <v>3655</v>
      </c>
      <c r="C343" s="339" t="s">
        <v>1213</v>
      </c>
      <c r="D343" s="340" t="s">
        <v>1661</v>
      </c>
      <c r="E343" s="341">
        <v>2</v>
      </c>
      <c r="F343" s="344">
        <v>366.99</v>
      </c>
      <c r="G343" s="343" t="s">
        <v>195</v>
      </c>
      <c r="H343" s="341">
        <v>1</v>
      </c>
      <c r="I343" s="344">
        <v>733.98</v>
      </c>
      <c r="J343" s="341">
        <v>4.22</v>
      </c>
      <c r="K343" s="344">
        <v>3097.4</v>
      </c>
      <c r="Q343" s="281">
        <f>[17]Source!X159</f>
        <v>0</v>
      </c>
      <c r="R343" s="281">
        <f>[17]Source!X160</f>
        <v>0</v>
      </c>
      <c r="S343" s="281">
        <f>[17]Source!Y159</f>
        <v>0</v>
      </c>
      <c r="T343" s="281">
        <f>[17]Source!Y160</f>
        <v>0</v>
      </c>
      <c r="U343" s="281">
        <f>ROUND((175/100)*ROUND([17]Source!R159, 2), 2)</f>
        <v>0</v>
      </c>
      <c r="V343" s="281">
        <f>ROUND((157/100)*ROUND([17]Source!R160, 2), 2)</f>
        <v>0</v>
      </c>
    </row>
    <row r="344" spans="1:22" ht="15" x14ac:dyDescent="0.25">
      <c r="A344" s="345"/>
      <c r="B344" s="345"/>
      <c r="C344" s="346" t="s">
        <v>183</v>
      </c>
      <c r="D344" s="345"/>
      <c r="E344" s="345"/>
      <c r="F344" s="345"/>
      <c r="G344" s="345"/>
      <c r="H344" s="462">
        <v>733.98</v>
      </c>
      <c r="I344" s="462"/>
      <c r="J344" s="462">
        <v>3097.4</v>
      </c>
      <c r="K344" s="462"/>
      <c r="O344" s="284">
        <f>I343</f>
        <v>733.98</v>
      </c>
      <c r="P344" s="284">
        <f>K343</f>
        <v>3097.4</v>
      </c>
    </row>
    <row r="346" spans="1:22" ht="285" x14ac:dyDescent="0.2">
      <c r="A346" s="338" t="s">
        <v>2695</v>
      </c>
      <c r="B346" s="339" t="s">
        <v>3656</v>
      </c>
      <c r="C346" s="339" t="s">
        <v>1212</v>
      </c>
      <c r="D346" s="340" t="s">
        <v>1661</v>
      </c>
      <c r="E346" s="341">
        <v>1</v>
      </c>
      <c r="F346" s="344">
        <v>560.04999999999995</v>
      </c>
      <c r="G346" s="343" t="s">
        <v>195</v>
      </c>
      <c r="H346" s="341">
        <v>1</v>
      </c>
      <c r="I346" s="344">
        <v>560.04999999999995</v>
      </c>
      <c r="J346" s="341">
        <v>4.05</v>
      </c>
      <c r="K346" s="344">
        <v>2268.1999999999998</v>
      </c>
      <c r="Q346" s="281">
        <f>[17]Source!X161</f>
        <v>0</v>
      </c>
      <c r="R346" s="281">
        <f>[17]Source!X162</f>
        <v>0</v>
      </c>
      <c r="S346" s="281">
        <f>[17]Source!Y161</f>
        <v>0</v>
      </c>
      <c r="T346" s="281">
        <f>[17]Source!Y162</f>
        <v>0</v>
      </c>
      <c r="U346" s="281">
        <f>ROUND((175/100)*ROUND([17]Source!R161, 2), 2)</f>
        <v>0</v>
      </c>
      <c r="V346" s="281">
        <f>ROUND((157/100)*ROUND([17]Source!R162, 2), 2)</f>
        <v>0</v>
      </c>
    </row>
    <row r="347" spans="1:22" ht="15" x14ac:dyDescent="0.25">
      <c r="A347" s="345"/>
      <c r="B347" s="345"/>
      <c r="C347" s="346" t="s">
        <v>183</v>
      </c>
      <c r="D347" s="345"/>
      <c r="E347" s="345"/>
      <c r="F347" s="345"/>
      <c r="G347" s="345"/>
      <c r="H347" s="462">
        <v>560.04999999999995</v>
      </c>
      <c r="I347" s="462"/>
      <c r="J347" s="462">
        <v>2268.1999999999998</v>
      </c>
      <c r="K347" s="462"/>
      <c r="O347" s="284">
        <f>I346</f>
        <v>560.04999999999995</v>
      </c>
      <c r="P347" s="284">
        <f>K346</f>
        <v>2268.1999999999998</v>
      </c>
    </row>
    <row r="350" spans="1:22" ht="15" x14ac:dyDescent="0.25">
      <c r="A350" s="447" t="s">
        <v>3449</v>
      </c>
      <c r="B350" s="447"/>
      <c r="C350" s="447"/>
      <c r="D350" s="447"/>
      <c r="E350" s="447"/>
      <c r="F350" s="447"/>
      <c r="G350" s="447"/>
      <c r="H350" s="445">
        <v>86104.98</v>
      </c>
      <c r="I350" s="446"/>
      <c r="J350" s="445">
        <v>363510.99</v>
      </c>
      <c r="K350" s="446"/>
    </row>
    <row r="351" spans="1:22" hidden="1" x14ac:dyDescent="0.2">
      <c r="A351" s="281" t="s">
        <v>182</v>
      </c>
      <c r="I351" s="281">
        <v>0</v>
      </c>
      <c r="J351" s="281">
        <v>0</v>
      </c>
    </row>
    <row r="352" spans="1:22" hidden="1" x14ac:dyDescent="0.2">
      <c r="A352" s="281" t="s">
        <v>181</v>
      </c>
      <c r="I352" s="281">
        <v>0</v>
      </c>
      <c r="J352" s="281">
        <v>0</v>
      </c>
    </row>
    <row r="354" spans="1:11" ht="15" x14ac:dyDescent="0.25">
      <c r="A354" s="447" t="s">
        <v>3657</v>
      </c>
      <c r="B354" s="447"/>
      <c r="C354" s="447"/>
      <c r="D354" s="447"/>
      <c r="E354" s="447"/>
      <c r="F354" s="447"/>
      <c r="G354" s="447"/>
      <c r="H354" s="445">
        <v>312631.53999999998</v>
      </c>
      <c r="I354" s="446"/>
      <c r="J354" s="445">
        <v>1995352.52</v>
      </c>
      <c r="K354" s="446"/>
    </row>
    <row r="355" spans="1:11" hidden="1" x14ac:dyDescent="0.2">
      <c r="A355" s="281" t="s">
        <v>182</v>
      </c>
      <c r="I355" s="281">
        <v>0</v>
      </c>
      <c r="J355" s="281">
        <v>0</v>
      </c>
    </row>
    <row r="356" spans="1:11" hidden="1" x14ac:dyDescent="0.2">
      <c r="A356" s="281" t="s">
        <v>181</v>
      </c>
      <c r="I356" s="281">
        <v>0</v>
      </c>
      <c r="J356" s="281">
        <v>0</v>
      </c>
    </row>
    <row r="358" spans="1:11" ht="15" x14ac:dyDescent="0.25">
      <c r="A358" s="447" t="s">
        <v>3658</v>
      </c>
      <c r="B358" s="447"/>
      <c r="C358" s="447"/>
      <c r="D358" s="447"/>
      <c r="E358" s="447"/>
      <c r="F358" s="447"/>
      <c r="G358" s="447"/>
      <c r="H358" s="445">
        <v>312631.53999999998</v>
      </c>
      <c r="I358" s="446"/>
      <c r="J358" s="445">
        <v>1995352.52</v>
      </c>
      <c r="K358" s="446"/>
    </row>
    <row r="359" spans="1:11" hidden="1" x14ac:dyDescent="0.2">
      <c r="A359" s="281" t="s">
        <v>182</v>
      </c>
      <c r="I359" s="281">
        <v>0</v>
      </c>
      <c r="J359" s="281">
        <v>0</v>
      </c>
    </row>
    <row r="360" spans="1:11" hidden="1" x14ac:dyDescent="0.2">
      <c r="A360" s="281" t="s">
        <v>181</v>
      </c>
      <c r="I360" s="281">
        <v>0</v>
      </c>
      <c r="J360" s="281">
        <v>0</v>
      </c>
    </row>
    <row r="361" spans="1:11" ht="14.25" x14ac:dyDescent="0.2">
      <c r="C361" s="442" t="s">
        <v>1920</v>
      </c>
      <c r="D361" s="442"/>
      <c r="E361" s="442"/>
      <c r="F361" s="442"/>
      <c r="G361" s="442"/>
      <c r="H361" s="443">
        <v>276024.17</v>
      </c>
      <c r="I361" s="443"/>
      <c r="J361" s="443">
        <v>1369004.68</v>
      </c>
      <c r="K361" s="443"/>
    </row>
    <row r="362" spans="1:11" ht="14.25" x14ac:dyDescent="0.2">
      <c r="C362" s="442" t="s">
        <v>1933</v>
      </c>
      <c r="D362" s="442"/>
      <c r="E362" s="442"/>
      <c r="F362" s="442"/>
      <c r="G362" s="442"/>
      <c r="H362" s="443">
        <v>254702.33</v>
      </c>
      <c r="I362" s="443"/>
      <c r="J362" s="443">
        <v>892700.68</v>
      </c>
      <c r="K362" s="443"/>
    </row>
    <row r="363" spans="1:11" ht="14.25" x14ac:dyDescent="0.2">
      <c r="C363" s="442" t="s">
        <v>1934</v>
      </c>
      <c r="D363" s="442"/>
      <c r="E363" s="442"/>
      <c r="F363" s="442"/>
      <c r="G363" s="442"/>
      <c r="H363" s="443">
        <v>168597.35</v>
      </c>
      <c r="I363" s="443"/>
      <c r="J363" s="443">
        <v>529189.68999999994</v>
      </c>
      <c r="K363" s="443"/>
    </row>
    <row r="364" spans="1:11" ht="14.25" x14ac:dyDescent="0.2">
      <c r="C364" s="442" t="s">
        <v>1935</v>
      </c>
      <c r="D364" s="442"/>
      <c r="E364" s="442"/>
      <c r="F364" s="442"/>
      <c r="G364" s="442"/>
      <c r="H364" s="443">
        <v>86104.98</v>
      </c>
      <c r="I364" s="443"/>
      <c r="J364" s="443">
        <v>363510.99</v>
      </c>
      <c r="K364" s="443"/>
    </row>
    <row r="365" spans="1:11" ht="14.25" x14ac:dyDescent="0.2">
      <c r="C365" s="442" t="s">
        <v>1938</v>
      </c>
      <c r="D365" s="442"/>
      <c r="E365" s="442"/>
      <c r="F365" s="442"/>
      <c r="G365" s="442"/>
      <c r="H365" s="443">
        <v>19866.97</v>
      </c>
      <c r="I365" s="443"/>
      <c r="J365" s="443">
        <v>463893.76000000001</v>
      </c>
      <c r="K365" s="443"/>
    </row>
    <row r="366" spans="1:11" ht="14.25" x14ac:dyDescent="0.2">
      <c r="C366" s="442" t="s">
        <v>1939</v>
      </c>
      <c r="D366" s="442"/>
      <c r="E366" s="442"/>
      <c r="F366" s="442"/>
      <c r="G366" s="442"/>
      <c r="H366" s="443">
        <v>0</v>
      </c>
      <c r="I366" s="443"/>
      <c r="J366" s="443">
        <v>0</v>
      </c>
      <c r="K366" s="443"/>
    </row>
    <row r="367" spans="1:11" ht="14.25" x14ac:dyDescent="0.2">
      <c r="C367" s="442" t="s">
        <v>1940</v>
      </c>
      <c r="D367" s="442"/>
      <c r="E367" s="442"/>
      <c r="F367" s="442"/>
      <c r="G367" s="442"/>
      <c r="H367" s="443">
        <v>226526.56</v>
      </c>
      <c r="I367" s="443"/>
      <c r="J367" s="443">
        <v>1631841.53</v>
      </c>
      <c r="K367" s="443"/>
    </row>
    <row r="368" spans="1:11" ht="14.25" x14ac:dyDescent="0.2">
      <c r="C368" s="442" t="s">
        <v>1941</v>
      </c>
      <c r="D368" s="442"/>
      <c r="E368" s="442"/>
      <c r="F368" s="442"/>
      <c r="G368" s="442"/>
      <c r="H368" s="443">
        <v>0</v>
      </c>
      <c r="I368" s="443"/>
      <c r="J368" s="443">
        <v>0</v>
      </c>
      <c r="K368" s="443"/>
    </row>
    <row r="369" spans="1:11" ht="14.25" x14ac:dyDescent="0.2">
      <c r="C369" s="442" t="s">
        <v>1942</v>
      </c>
      <c r="D369" s="442"/>
      <c r="E369" s="442"/>
      <c r="F369" s="442"/>
      <c r="G369" s="442"/>
      <c r="H369" s="443">
        <v>22251</v>
      </c>
      <c r="I369" s="443"/>
      <c r="J369" s="443">
        <v>417504.43</v>
      </c>
      <c r="K369" s="443"/>
    </row>
    <row r="370" spans="1:11" ht="14.25" x14ac:dyDescent="0.2">
      <c r="C370" s="442" t="s">
        <v>1943</v>
      </c>
      <c r="D370" s="442"/>
      <c r="E370" s="442"/>
      <c r="F370" s="442"/>
      <c r="G370" s="442"/>
      <c r="H370" s="443">
        <v>13906.9</v>
      </c>
      <c r="I370" s="443"/>
      <c r="J370" s="443">
        <v>199428.51</v>
      </c>
      <c r="K370" s="443"/>
    </row>
    <row r="371" spans="1:11" ht="14.25" x14ac:dyDescent="0.2">
      <c r="C371" s="442" t="s">
        <v>1944</v>
      </c>
      <c r="D371" s="442"/>
      <c r="E371" s="442"/>
      <c r="F371" s="442"/>
      <c r="G371" s="442"/>
      <c r="H371" s="443">
        <v>312631.53999999998</v>
      </c>
      <c r="I371" s="443"/>
      <c r="J371" s="443">
        <v>1995352.52</v>
      </c>
      <c r="K371" s="443"/>
    </row>
    <row r="374" spans="1:11" ht="14.25" x14ac:dyDescent="0.2">
      <c r="A374" s="440" t="s">
        <v>180</v>
      </c>
      <c r="B374" s="440"/>
      <c r="C374" s="347" t="s">
        <v>107</v>
      </c>
      <c r="D374" s="347"/>
      <c r="E374" s="347"/>
      <c r="F374" s="347"/>
      <c r="G374" s="347"/>
      <c r="H374" s="287" t="s">
        <v>107</v>
      </c>
      <c r="I374" s="287"/>
      <c r="J374" s="287"/>
      <c r="K374" s="287"/>
    </row>
    <row r="375" spans="1:11" ht="14.25" x14ac:dyDescent="0.2">
      <c r="A375" s="287"/>
      <c r="B375" s="287"/>
      <c r="C375" s="460" t="s">
        <v>72</v>
      </c>
      <c r="D375" s="460"/>
      <c r="E375" s="460"/>
      <c r="F375" s="460"/>
      <c r="G375" s="460"/>
      <c r="H375" s="287"/>
      <c r="I375" s="287"/>
      <c r="J375" s="287"/>
      <c r="K375" s="287"/>
    </row>
    <row r="376" spans="1:11" ht="14.25" x14ac:dyDescent="0.2">
      <c r="A376" s="287"/>
      <c r="B376" s="287"/>
      <c r="C376" s="287"/>
      <c r="D376" s="287"/>
      <c r="E376" s="287"/>
      <c r="F376" s="287"/>
      <c r="G376" s="287"/>
      <c r="H376" s="287"/>
      <c r="I376" s="287"/>
      <c r="J376" s="287"/>
      <c r="K376" s="287"/>
    </row>
    <row r="377" spans="1:11" ht="14.25" x14ac:dyDescent="0.2">
      <c r="A377" s="440" t="s">
        <v>179</v>
      </c>
      <c r="B377" s="440"/>
      <c r="C377" s="347" t="s">
        <v>107</v>
      </c>
      <c r="D377" s="347"/>
      <c r="E377" s="347"/>
      <c r="F377" s="347"/>
      <c r="G377" s="347"/>
      <c r="H377" s="287" t="s">
        <v>107</v>
      </c>
      <c r="I377" s="287"/>
      <c r="J377" s="287"/>
      <c r="K377" s="287"/>
    </row>
    <row r="378" spans="1:11" ht="14.25" x14ac:dyDescent="0.2">
      <c r="A378" s="287"/>
      <c r="B378" s="287"/>
      <c r="C378" s="460" t="s">
        <v>72</v>
      </c>
      <c r="D378" s="460"/>
      <c r="E378" s="460"/>
      <c r="F378" s="460"/>
      <c r="G378" s="460"/>
      <c r="H378" s="287"/>
      <c r="I378" s="287"/>
      <c r="J378" s="287"/>
      <c r="K378" s="287"/>
    </row>
  </sheetData>
  <mergeCells count="147"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36:K36"/>
    <mergeCell ref="J46:K46"/>
    <mergeCell ref="H46:I46"/>
    <mergeCell ref="J55:K55"/>
    <mergeCell ref="H55:I55"/>
    <mergeCell ref="J63:K63"/>
    <mergeCell ref="H63:I63"/>
    <mergeCell ref="J74:K74"/>
    <mergeCell ref="H74:I74"/>
    <mergeCell ref="J83:K83"/>
    <mergeCell ref="H83:I83"/>
    <mergeCell ref="J91:K91"/>
    <mergeCell ref="H91:I91"/>
    <mergeCell ref="J102:K102"/>
    <mergeCell ref="H102:I102"/>
    <mergeCell ref="J114:K114"/>
    <mergeCell ref="H114:I114"/>
    <mergeCell ref="J127:K127"/>
    <mergeCell ref="H127:I127"/>
    <mergeCell ref="J139:K139"/>
    <mergeCell ref="H139:I139"/>
    <mergeCell ref="J151:K151"/>
    <mergeCell ref="H151:I151"/>
    <mergeCell ref="J163:K163"/>
    <mergeCell ref="H163:I163"/>
    <mergeCell ref="J175:K175"/>
    <mergeCell ref="H175:I175"/>
    <mergeCell ref="J187:K187"/>
    <mergeCell ref="H187:I187"/>
    <mergeCell ref="J196:K196"/>
    <mergeCell ref="H196:I196"/>
    <mergeCell ref="J210:K210"/>
    <mergeCell ref="H210:I210"/>
    <mergeCell ref="J223:K223"/>
    <mergeCell ref="H223:I223"/>
    <mergeCell ref="J236:K236"/>
    <mergeCell ref="H236:I236"/>
    <mergeCell ref="J249:K249"/>
    <mergeCell ref="H249:I249"/>
    <mergeCell ref="J262:K262"/>
    <mergeCell ref="H262:I262"/>
    <mergeCell ref="J275:K275"/>
    <mergeCell ref="H275:I275"/>
    <mergeCell ref="J288:K288"/>
    <mergeCell ref="H288:I288"/>
    <mergeCell ref="J300:K300"/>
    <mergeCell ref="H300:I300"/>
    <mergeCell ref="A303:K303"/>
    <mergeCell ref="J305:K305"/>
    <mergeCell ref="H305:I305"/>
    <mergeCell ref="J308:K308"/>
    <mergeCell ref="H308:I308"/>
    <mergeCell ref="J311:K311"/>
    <mergeCell ref="H311:I311"/>
    <mergeCell ref="J314:K314"/>
    <mergeCell ref="H314:I314"/>
    <mergeCell ref="J317:K317"/>
    <mergeCell ref="H317:I317"/>
    <mergeCell ref="J320:K320"/>
    <mergeCell ref="H320:I320"/>
    <mergeCell ref="J323:K323"/>
    <mergeCell ref="H323:I323"/>
    <mergeCell ref="J326:K326"/>
    <mergeCell ref="H326:I326"/>
    <mergeCell ref="J329:K329"/>
    <mergeCell ref="H329:I329"/>
    <mergeCell ref="J332:K332"/>
    <mergeCell ref="H332:I332"/>
    <mergeCell ref="J335:K335"/>
    <mergeCell ref="H335:I335"/>
    <mergeCell ref="J338:K338"/>
    <mergeCell ref="H338:I338"/>
    <mergeCell ref="J341:K341"/>
    <mergeCell ref="H341:I341"/>
    <mergeCell ref="J344:K344"/>
    <mergeCell ref="H344:I344"/>
    <mergeCell ref="J347:K347"/>
    <mergeCell ref="H347:I347"/>
    <mergeCell ref="J350:K350"/>
    <mergeCell ref="H350:I350"/>
    <mergeCell ref="A350:G350"/>
    <mergeCell ref="J354:K354"/>
    <mergeCell ref="H354:I354"/>
    <mergeCell ref="A354:G354"/>
    <mergeCell ref="J358:K358"/>
    <mergeCell ref="H358:I358"/>
    <mergeCell ref="A358:G358"/>
    <mergeCell ref="C361:G361"/>
    <mergeCell ref="H361:I361"/>
    <mergeCell ref="J361:K361"/>
    <mergeCell ref="C362:G362"/>
    <mergeCell ref="H362:I362"/>
    <mergeCell ref="J362:K362"/>
    <mergeCell ref="C363:G363"/>
    <mergeCell ref="H363:I363"/>
    <mergeCell ref="J363:K363"/>
    <mergeCell ref="C364:G364"/>
    <mergeCell ref="H364:I364"/>
    <mergeCell ref="J364:K364"/>
    <mergeCell ref="C365:G365"/>
    <mergeCell ref="H365:I365"/>
    <mergeCell ref="J365:K365"/>
    <mergeCell ref="C378:G378"/>
    <mergeCell ref="C371:G371"/>
    <mergeCell ref="H371:I371"/>
    <mergeCell ref="J371:K371"/>
    <mergeCell ref="C366:G366"/>
    <mergeCell ref="H366:I366"/>
    <mergeCell ref="J366:K366"/>
    <mergeCell ref="C367:G367"/>
    <mergeCell ref="H367:I367"/>
    <mergeCell ref="J367:K367"/>
    <mergeCell ref="C368:G368"/>
    <mergeCell ref="H368:I368"/>
    <mergeCell ref="J368:K368"/>
    <mergeCell ref="A374:B374"/>
    <mergeCell ref="C375:G375"/>
    <mergeCell ref="A377:B377"/>
    <mergeCell ref="C369:G369"/>
    <mergeCell ref="H369:I369"/>
    <mergeCell ref="J369:K369"/>
    <mergeCell ref="C370:G370"/>
    <mergeCell ref="H370:I370"/>
    <mergeCell ref="J370:K370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AO349"/>
  <sheetViews>
    <sheetView zoomScaleNormal="100" workbookViewId="0">
      <selection sqref="A1:AO1048576"/>
    </sheetView>
  </sheetViews>
  <sheetFormatPr defaultColWidth="9.140625" defaultRowHeight="12.75" x14ac:dyDescent="0.2"/>
  <cols>
    <col min="1" max="1" width="5.7109375" style="281" customWidth="1"/>
    <col min="2" max="2" width="11.7109375" style="281" customWidth="1"/>
    <col min="3" max="3" width="40.7109375" style="281" customWidth="1"/>
    <col min="4" max="6" width="11.7109375" style="281" customWidth="1"/>
    <col min="7" max="7" width="12.7109375" style="281" customWidth="1"/>
    <col min="8" max="8" width="10.7109375" style="281" customWidth="1"/>
    <col min="9" max="11" width="12.7109375" style="281" customWidth="1"/>
    <col min="12" max="14" width="9.140625" style="281"/>
    <col min="15" max="30" width="0" style="281" hidden="1" customWidth="1"/>
    <col min="31" max="31" width="150.7109375" style="281" hidden="1" customWidth="1"/>
    <col min="32" max="36" width="0" style="281" hidden="1" customWidth="1"/>
    <col min="37" max="41" width="9.140625" style="281"/>
    <col min="42" max="16384" width="9.140625" style="160"/>
  </cols>
  <sheetData>
    <row r="1" spans="1:31" x14ac:dyDescent="0.2">
      <c r="A1" s="285" t="s">
        <v>1523</v>
      </c>
    </row>
    <row r="2" spans="1:31" ht="14.25" x14ac:dyDescent="0.2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7" t="s">
        <v>381</v>
      </c>
    </row>
    <row r="3" spans="1:31" ht="16.5" x14ac:dyDescent="0.25">
      <c r="A3" s="288"/>
      <c r="B3" s="458" t="s">
        <v>380</v>
      </c>
      <c r="C3" s="458"/>
      <c r="D3" s="458"/>
      <c r="E3" s="458"/>
      <c r="F3" s="287"/>
      <c r="G3" s="458" t="s">
        <v>0</v>
      </c>
      <c r="H3" s="458"/>
      <c r="I3" s="458"/>
      <c r="J3" s="458"/>
      <c r="K3" s="458"/>
    </row>
    <row r="4" spans="1:31" ht="14.25" x14ac:dyDescent="0.2">
      <c r="A4" s="287"/>
      <c r="B4" s="450"/>
      <c r="C4" s="450"/>
      <c r="D4" s="450"/>
      <c r="E4" s="450"/>
      <c r="F4" s="287"/>
      <c r="G4" s="450"/>
      <c r="H4" s="450"/>
      <c r="I4" s="450"/>
      <c r="J4" s="450"/>
      <c r="K4" s="450"/>
    </row>
    <row r="5" spans="1:31" ht="14.25" x14ac:dyDescent="0.2">
      <c r="A5" s="289"/>
      <c r="B5" s="289"/>
      <c r="C5" s="290"/>
      <c r="D5" s="290"/>
      <c r="E5" s="290"/>
      <c r="F5" s="287"/>
      <c r="G5" s="188"/>
      <c r="H5" s="290"/>
      <c r="I5" s="290"/>
      <c r="J5" s="290"/>
      <c r="K5" s="188"/>
    </row>
    <row r="6" spans="1:31" ht="14.25" x14ac:dyDescent="0.2">
      <c r="A6" s="188"/>
      <c r="B6" s="450" t="s">
        <v>1524</v>
      </c>
      <c r="C6" s="450"/>
      <c r="D6" s="450"/>
      <c r="E6" s="450"/>
      <c r="F6" s="287"/>
      <c r="G6" s="450" t="s">
        <v>1524</v>
      </c>
      <c r="H6" s="450"/>
      <c r="I6" s="450"/>
      <c r="J6" s="450"/>
      <c r="K6" s="450"/>
    </row>
    <row r="7" spans="1:31" ht="14.25" x14ac:dyDescent="0.2">
      <c r="A7" s="291"/>
      <c r="B7" s="459" t="s">
        <v>379</v>
      </c>
      <c r="C7" s="459"/>
      <c r="D7" s="459"/>
      <c r="E7" s="459"/>
      <c r="F7" s="287"/>
      <c r="G7" s="459" t="s">
        <v>379</v>
      </c>
      <c r="H7" s="459"/>
      <c r="I7" s="459"/>
      <c r="J7" s="459"/>
      <c r="K7" s="459"/>
    </row>
    <row r="9" spans="1:31" ht="14.25" x14ac:dyDescent="0.2">
      <c r="A9" s="287"/>
      <c r="B9" s="287"/>
      <c r="C9" s="287"/>
      <c r="D9" s="287"/>
      <c r="E9" s="287"/>
      <c r="F9" s="287"/>
      <c r="G9" s="287"/>
      <c r="H9" s="287"/>
      <c r="I9" s="287"/>
      <c r="J9" s="287"/>
      <c r="K9" s="287"/>
    </row>
    <row r="10" spans="1:31" ht="47.25" x14ac:dyDescent="0.25">
      <c r="A10" s="464" t="s">
        <v>3850</v>
      </c>
      <c r="B10" s="464"/>
      <c r="C10" s="464"/>
      <c r="D10" s="464"/>
      <c r="E10" s="464"/>
      <c r="F10" s="464"/>
      <c r="G10" s="464"/>
      <c r="H10" s="464"/>
      <c r="I10" s="464"/>
      <c r="J10" s="464"/>
      <c r="K10" s="464"/>
      <c r="AE10" s="319" t="str">
        <f>IF([18]Source!G12&lt;&gt;"Новый объект", [18]Source!G12,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60" t="s">
        <v>75</v>
      </c>
      <c r="B11" s="460"/>
      <c r="C11" s="460"/>
      <c r="D11" s="460"/>
      <c r="E11" s="460"/>
      <c r="F11" s="460"/>
      <c r="G11" s="460"/>
      <c r="H11" s="460"/>
      <c r="I11" s="460"/>
      <c r="J11" s="460"/>
      <c r="K11" s="460"/>
    </row>
    <row r="12" spans="1:31" ht="14.25" x14ac:dyDescent="0.2">
      <c r="A12" s="287"/>
      <c r="B12" s="287"/>
      <c r="C12" s="287"/>
      <c r="D12" s="287"/>
      <c r="E12" s="287"/>
      <c r="F12" s="287"/>
      <c r="G12" s="287"/>
      <c r="H12" s="287"/>
      <c r="I12" s="287"/>
      <c r="J12" s="287"/>
      <c r="K12" s="287"/>
    </row>
    <row r="13" spans="1:31" ht="15.75" x14ac:dyDescent="0.25">
      <c r="A13" s="464" t="s">
        <v>3897</v>
      </c>
      <c r="B13" s="465"/>
      <c r="C13" s="465"/>
      <c r="D13" s="465"/>
      <c r="E13" s="465"/>
      <c r="F13" s="465"/>
      <c r="G13" s="465"/>
      <c r="H13" s="465"/>
      <c r="I13" s="465"/>
      <c r="J13" s="465"/>
      <c r="K13" s="465"/>
    </row>
    <row r="14" spans="1:31" ht="14.25" x14ac:dyDescent="0.2">
      <c r="A14" s="287"/>
      <c r="B14" s="287"/>
      <c r="C14" s="287"/>
      <c r="D14" s="287"/>
      <c r="E14" s="287"/>
      <c r="F14" s="287"/>
      <c r="G14" s="287"/>
      <c r="H14" s="287"/>
      <c r="I14" s="287"/>
      <c r="J14" s="287"/>
      <c r="K14" s="287"/>
    </row>
    <row r="15" spans="1:31" ht="18" x14ac:dyDescent="0.25">
      <c r="A15" s="466" t="s">
        <v>177</v>
      </c>
      <c r="B15" s="466"/>
      <c r="C15" s="466"/>
      <c r="D15" s="466"/>
      <c r="E15" s="466"/>
      <c r="F15" s="466"/>
      <c r="G15" s="466"/>
      <c r="H15" s="466"/>
      <c r="I15" s="466"/>
      <c r="J15" s="466"/>
      <c r="K15" s="466"/>
    </row>
    <row r="16" spans="1:31" x14ac:dyDescent="0.2">
      <c r="A16" s="455" t="s">
        <v>378</v>
      </c>
      <c r="B16" s="456"/>
      <c r="C16" s="456"/>
      <c r="D16" s="456"/>
      <c r="E16" s="456"/>
      <c r="F16" s="456"/>
      <c r="G16" s="456"/>
      <c r="H16" s="456"/>
      <c r="I16" s="456"/>
      <c r="J16" s="456"/>
      <c r="K16" s="456"/>
    </row>
    <row r="17" spans="1:31" ht="14.25" x14ac:dyDescent="0.2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</row>
    <row r="18" spans="1:31" ht="14.25" x14ac:dyDescent="0.2">
      <c r="A18" s="463" t="s">
        <v>3569</v>
      </c>
      <c r="B18" s="463"/>
      <c r="C18" s="463"/>
      <c r="D18" s="463"/>
      <c r="E18" s="463"/>
      <c r="F18" s="463"/>
      <c r="G18" s="463"/>
      <c r="H18" s="463"/>
      <c r="I18" s="463"/>
      <c r="J18" s="463"/>
      <c r="K18" s="463"/>
    </row>
    <row r="19" spans="1:31" ht="14.25" x14ac:dyDescent="0.2">
      <c r="A19" s="293"/>
      <c r="B19" s="293"/>
      <c r="C19" s="293"/>
      <c r="D19" s="293"/>
      <c r="E19" s="293"/>
      <c r="F19" s="293"/>
      <c r="G19" s="293"/>
      <c r="H19" s="293"/>
      <c r="I19" s="293"/>
      <c r="J19" s="293"/>
      <c r="K19" s="293"/>
    </row>
    <row r="20" spans="1:31" ht="28.5" x14ac:dyDescent="0.2">
      <c r="A20" s="287"/>
      <c r="B20" s="287"/>
      <c r="C20" s="287"/>
      <c r="D20" s="287"/>
      <c r="E20" s="287"/>
      <c r="F20" s="287"/>
      <c r="G20" s="287"/>
      <c r="H20" s="287"/>
      <c r="I20" s="294" t="s">
        <v>377</v>
      </c>
      <c r="J20" s="294" t="s">
        <v>376</v>
      </c>
      <c r="K20" s="287"/>
    </row>
    <row r="21" spans="1:31" ht="15" x14ac:dyDescent="0.25">
      <c r="A21" s="287"/>
      <c r="B21" s="287"/>
      <c r="C21" s="287"/>
      <c r="D21" s="287"/>
      <c r="E21" s="287"/>
      <c r="F21" s="457" t="s">
        <v>375</v>
      </c>
      <c r="G21" s="457"/>
      <c r="H21" s="457"/>
      <c r="I21" s="295">
        <v>358.33</v>
      </c>
      <c r="J21" s="295">
        <v>2047.79</v>
      </c>
      <c r="K21" s="296" t="s">
        <v>366</v>
      </c>
    </row>
    <row r="22" spans="1:31" ht="14.25" x14ac:dyDescent="0.2">
      <c r="A22" s="287"/>
      <c r="B22" s="287"/>
      <c r="C22" s="287"/>
      <c r="D22" s="287"/>
      <c r="E22" s="287"/>
      <c r="F22" s="450" t="s">
        <v>374</v>
      </c>
      <c r="G22" s="450"/>
      <c r="H22" s="450"/>
      <c r="I22" s="297">
        <v>0</v>
      </c>
      <c r="J22" s="297">
        <v>0</v>
      </c>
      <c r="K22" s="287" t="s">
        <v>366</v>
      </c>
    </row>
    <row r="23" spans="1:31" ht="14.25" x14ac:dyDescent="0.2">
      <c r="A23" s="287"/>
      <c r="B23" s="287"/>
      <c r="C23" s="287"/>
      <c r="D23" s="287"/>
      <c r="E23" s="287"/>
      <c r="F23" s="450" t="s">
        <v>373</v>
      </c>
      <c r="G23" s="450"/>
      <c r="H23" s="450"/>
      <c r="I23" s="297">
        <v>242.53</v>
      </c>
      <c r="J23" s="297">
        <v>1535.97</v>
      </c>
      <c r="K23" s="287" t="s">
        <v>366</v>
      </c>
    </row>
    <row r="24" spans="1:31" ht="14.25" x14ac:dyDescent="0.2">
      <c r="A24" s="287"/>
      <c r="B24" s="287"/>
      <c r="C24" s="287"/>
      <c r="D24" s="287"/>
      <c r="E24" s="287"/>
      <c r="F24" s="450" t="s">
        <v>106</v>
      </c>
      <c r="G24" s="450"/>
      <c r="H24" s="450"/>
      <c r="I24" s="297">
        <v>115.8</v>
      </c>
      <c r="J24" s="297">
        <v>511.82</v>
      </c>
      <c r="K24" s="287" t="s">
        <v>366</v>
      </c>
    </row>
    <row r="25" spans="1:31" ht="14.25" x14ac:dyDescent="0.2">
      <c r="A25" s="287"/>
      <c r="B25" s="287"/>
      <c r="C25" s="287"/>
      <c r="D25" s="287"/>
      <c r="E25" s="287"/>
      <c r="F25" s="450" t="s">
        <v>372</v>
      </c>
      <c r="G25" s="450"/>
      <c r="H25" s="450"/>
      <c r="I25" s="297">
        <v>0</v>
      </c>
      <c r="J25" s="297">
        <v>0</v>
      </c>
      <c r="K25" s="287" t="s">
        <v>366</v>
      </c>
    </row>
    <row r="26" spans="1:31" ht="14.25" x14ac:dyDescent="0.2">
      <c r="A26" s="287"/>
      <c r="B26" s="287"/>
      <c r="C26" s="287"/>
      <c r="D26" s="287"/>
      <c r="E26" s="287"/>
      <c r="F26" s="450" t="s">
        <v>371</v>
      </c>
      <c r="G26" s="450"/>
      <c r="H26" s="450"/>
      <c r="I26" s="297">
        <v>19.13</v>
      </c>
      <c r="J26" s="297">
        <v>446.71</v>
      </c>
      <c r="K26" s="287" t="s">
        <v>366</v>
      </c>
    </row>
    <row r="27" spans="1:31" ht="14.25" x14ac:dyDescent="0.2">
      <c r="A27" s="287"/>
      <c r="B27" s="287"/>
      <c r="C27" s="287"/>
      <c r="D27" s="287"/>
      <c r="E27" s="287"/>
      <c r="F27" s="450" t="s">
        <v>370</v>
      </c>
      <c r="G27" s="450"/>
      <c r="H27" s="450"/>
      <c r="I27" s="297">
        <v>1512.89</v>
      </c>
      <c r="J27" s="297"/>
      <c r="K27" s="287" t="s">
        <v>369</v>
      </c>
    </row>
    <row r="28" spans="1:31" ht="14.25" hidden="1" x14ac:dyDescent="0.2">
      <c r="A28" s="287"/>
      <c r="B28" s="287"/>
      <c r="C28" s="287"/>
      <c r="D28" s="287"/>
      <c r="E28" s="287"/>
      <c r="F28" s="188" t="s">
        <v>368</v>
      </c>
      <c r="G28" s="188"/>
      <c r="H28" s="188"/>
      <c r="I28" s="297"/>
      <c r="J28" s="297"/>
      <c r="K28" s="287"/>
    </row>
    <row r="29" spans="1:31" ht="14.25" hidden="1" x14ac:dyDescent="0.2">
      <c r="A29" s="287"/>
      <c r="B29" s="287"/>
      <c r="C29" s="287"/>
      <c r="D29" s="287"/>
      <c r="E29" s="287"/>
      <c r="F29" s="419" t="s">
        <v>367</v>
      </c>
      <c r="G29" s="420"/>
      <c r="H29" s="420"/>
      <c r="I29" s="297">
        <v>0</v>
      </c>
      <c r="J29" s="297">
        <v>0</v>
      </c>
      <c r="K29" s="287" t="s">
        <v>366</v>
      </c>
    </row>
    <row r="30" spans="1:31" ht="14.25" x14ac:dyDescent="0.2">
      <c r="A30" s="287"/>
      <c r="B30" s="287"/>
      <c r="C30" s="287"/>
      <c r="D30" s="287"/>
      <c r="E30" s="287"/>
      <c r="F30" s="188"/>
      <c r="G30" s="188"/>
      <c r="H30" s="188"/>
      <c r="I30" s="297"/>
      <c r="J30" s="297"/>
      <c r="K30" s="287"/>
    </row>
    <row r="31" spans="1:31" ht="14.25" x14ac:dyDescent="0.2">
      <c r="A31" s="287" t="s">
        <v>365</v>
      </c>
      <c r="B31" s="287"/>
      <c r="C31" s="287"/>
      <c r="D31" s="287"/>
      <c r="E31" s="287"/>
      <c r="F31" s="188"/>
      <c r="G31" s="188"/>
      <c r="H31" s="188"/>
      <c r="I31" s="297"/>
      <c r="J31" s="297"/>
      <c r="K31" s="287"/>
    </row>
    <row r="32" spans="1:31" ht="14.25" x14ac:dyDescent="0.2">
      <c r="A32" s="463" t="s">
        <v>1249</v>
      </c>
      <c r="B32" s="463"/>
      <c r="C32" s="463"/>
      <c r="D32" s="463"/>
      <c r="E32" s="463"/>
      <c r="F32" s="463"/>
      <c r="G32" s="463"/>
      <c r="H32" s="463"/>
      <c r="I32" s="463"/>
      <c r="J32" s="463"/>
      <c r="K32" s="463"/>
      <c r="AE32" s="320" t="s">
        <v>1249</v>
      </c>
    </row>
    <row r="33" spans="1:22" ht="85.5" x14ac:dyDescent="0.2">
      <c r="A33" s="299" t="s">
        <v>81</v>
      </c>
      <c r="B33" s="299" t="s">
        <v>363</v>
      </c>
      <c r="C33" s="299" t="s">
        <v>83</v>
      </c>
      <c r="D33" s="299" t="s">
        <v>362</v>
      </c>
      <c r="E33" s="299" t="s">
        <v>361</v>
      </c>
      <c r="F33" s="299" t="s">
        <v>360</v>
      </c>
      <c r="G33" s="300" t="s">
        <v>359</v>
      </c>
      <c r="H33" s="300" t="s">
        <v>358</v>
      </c>
      <c r="I33" s="299" t="s">
        <v>357</v>
      </c>
      <c r="J33" s="299" t="s">
        <v>356</v>
      </c>
      <c r="K33" s="299" t="s">
        <v>355</v>
      </c>
    </row>
    <row r="34" spans="1:22" ht="14.25" x14ac:dyDescent="0.2">
      <c r="A34" s="299">
        <v>1</v>
      </c>
      <c r="B34" s="299">
        <v>2</v>
      </c>
      <c r="C34" s="299">
        <v>3</v>
      </c>
      <c r="D34" s="299">
        <v>4</v>
      </c>
      <c r="E34" s="299">
        <v>5</v>
      </c>
      <c r="F34" s="299">
        <v>6</v>
      </c>
      <c r="G34" s="299">
        <v>7</v>
      </c>
      <c r="H34" s="299">
        <v>8</v>
      </c>
      <c r="I34" s="299">
        <v>9</v>
      </c>
      <c r="J34" s="299">
        <v>10</v>
      </c>
      <c r="K34" s="299">
        <v>11</v>
      </c>
    </row>
    <row r="36" spans="1:22" ht="16.5" x14ac:dyDescent="0.25">
      <c r="A36" s="448" t="s">
        <v>3659</v>
      </c>
      <c r="B36" s="448"/>
      <c r="C36" s="448"/>
      <c r="D36" s="448"/>
      <c r="E36" s="448"/>
      <c r="F36" s="448"/>
      <c r="G36" s="448"/>
      <c r="H36" s="448"/>
      <c r="I36" s="448"/>
      <c r="J36" s="448"/>
      <c r="K36" s="448"/>
    </row>
    <row r="37" spans="1:22" ht="57" x14ac:dyDescent="0.2">
      <c r="A37" s="301" t="s">
        <v>1838</v>
      </c>
      <c r="B37" s="302" t="s">
        <v>3442</v>
      </c>
      <c r="C37" s="302" t="s">
        <v>1435</v>
      </c>
      <c r="D37" s="303" t="s">
        <v>1903</v>
      </c>
      <c r="E37" s="286">
        <v>1</v>
      </c>
      <c r="F37" s="321"/>
      <c r="G37" s="305"/>
      <c r="H37" s="286"/>
      <c r="I37" s="304"/>
      <c r="J37" s="286"/>
      <c r="K37" s="304"/>
      <c r="Q37" s="281">
        <f>[18]Source!X30</f>
        <v>26.3</v>
      </c>
      <c r="R37" s="281">
        <f>[18]Source!X31</f>
        <v>422.16</v>
      </c>
      <c r="S37" s="281">
        <f>[18]Source!Y30</f>
        <v>16.440000000000001</v>
      </c>
      <c r="T37" s="281">
        <f>[18]Source!Y31</f>
        <v>224.79</v>
      </c>
      <c r="U37" s="281">
        <f>ROUND((175/100)*ROUND([18]Source!R30, 2), 2)</f>
        <v>2.36</v>
      </c>
      <c r="V37" s="281">
        <f>ROUND((157/100)*ROUND([18]Source!R31, 2), 2)</f>
        <v>49.49</v>
      </c>
    </row>
    <row r="38" spans="1:22" ht="14.25" x14ac:dyDescent="0.2">
      <c r="A38" s="301"/>
      <c r="B38" s="302"/>
      <c r="C38" s="302" t="s">
        <v>197</v>
      </c>
      <c r="D38" s="303"/>
      <c r="E38" s="286"/>
      <c r="F38" s="321">
        <v>23.48</v>
      </c>
      <c r="G38" s="305" t="s">
        <v>195</v>
      </c>
      <c r="H38" s="286">
        <v>1</v>
      </c>
      <c r="I38" s="304">
        <v>23.48</v>
      </c>
      <c r="J38" s="286">
        <v>23.35</v>
      </c>
      <c r="K38" s="304">
        <v>548.26</v>
      </c>
    </row>
    <row r="39" spans="1:22" ht="14.25" x14ac:dyDescent="0.2">
      <c r="A39" s="301"/>
      <c r="B39" s="302"/>
      <c r="C39" s="302" t="s">
        <v>184</v>
      </c>
      <c r="D39" s="303"/>
      <c r="E39" s="286"/>
      <c r="F39" s="321">
        <v>5.84</v>
      </c>
      <c r="G39" s="305" t="s">
        <v>195</v>
      </c>
      <c r="H39" s="286">
        <v>1</v>
      </c>
      <c r="I39" s="304">
        <v>5.84</v>
      </c>
      <c r="J39" s="286">
        <v>9.51</v>
      </c>
      <c r="K39" s="304">
        <v>55.54</v>
      </c>
    </row>
    <row r="40" spans="1:22" ht="14.25" x14ac:dyDescent="0.2">
      <c r="A40" s="301"/>
      <c r="B40" s="302"/>
      <c r="C40" s="302" t="s">
        <v>189</v>
      </c>
      <c r="D40" s="303"/>
      <c r="E40" s="286"/>
      <c r="F40" s="321">
        <v>1.35</v>
      </c>
      <c r="G40" s="305" t="s">
        <v>195</v>
      </c>
      <c r="H40" s="286">
        <v>1</v>
      </c>
      <c r="I40" s="306">
        <v>1.35</v>
      </c>
      <c r="J40" s="286">
        <v>23.35</v>
      </c>
      <c r="K40" s="306">
        <v>31.52</v>
      </c>
    </row>
    <row r="41" spans="1:22" ht="14.25" x14ac:dyDescent="0.2">
      <c r="A41" s="301"/>
      <c r="B41" s="302"/>
      <c r="C41" s="302" t="s">
        <v>205</v>
      </c>
      <c r="D41" s="303"/>
      <c r="E41" s="286"/>
      <c r="F41" s="321">
        <v>0.14000000000000001</v>
      </c>
      <c r="G41" s="305" t="s">
        <v>195</v>
      </c>
      <c r="H41" s="286">
        <v>1</v>
      </c>
      <c r="I41" s="304">
        <v>0.14000000000000001</v>
      </c>
      <c r="J41" s="286">
        <v>5.43</v>
      </c>
      <c r="K41" s="304">
        <v>0.76</v>
      </c>
    </row>
    <row r="42" spans="1:22" ht="14.25" x14ac:dyDescent="0.2">
      <c r="A42" s="301"/>
      <c r="B42" s="302"/>
      <c r="C42" s="302" t="s">
        <v>194</v>
      </c>
      <c r="D42" s="303" t="s">
        <v>187</v>
      </c>
      <c r="E42" s="286">
        <v>112</v>
      </c>
      <c r="F42" s="321"/>
      <c r="G42" s="305"/>
      <c r="H42" s="286"/>
      <c r="I42" s="304">
        <v>26.3</v>
      </c>
      <c r="J42" s="286">
        <v>77</v>
      </c>
      <c r="K42" s="304">
        <v>422.16</v>
      </c>
    </row>
    <row r="43" spans="1:22" ht="14.25" x14ac:dyDescent="0.2">
      <c r="A43" s="301"/>
      <c r="B43" s="302"/>
      <c r="C43" s="302" t="s">
        <v>193</v>
      </c>
      <c r="D43" s="303" t="s">
        <v>187</v>
      </c>
      <c r="E43" s="286">
        <v>70</v>
      </c>
      <c r="F43" s="321"/>
      <c r="G43" s="305"/>
      <c r="H43" s="286"/>
      <c r="I43" s="304">
        <v>16.440000000000001</v>
      </c>
      <c r="J43" s="286">
        <v>41</v>
      </c>
      <c r="K43" s="304">
        <v>224.79</v>
      </c>
    </row>
    <row r="44" spans="1:22" ht="14.25" x14ac:dyDescent="0.2">
      <c r="A44" s="301"/>
      <c r="B44" s="302"/>
      <c r="C44" s="302" t="s">
        <v>188</v>
      </c>
      <c r="D44" s="303" t="s">
        <v>187</v>
      </c>
      <c r="E44" s="286">
        <v>175</v>
      </c>
      <c r="F44" s="321"/>
      <c r="G44" s="305"/>
      <c r="H44" s="286"/>
      <c r="I44" s="304">
        <v>2.36</v>
      </c>
      <c r="J44" s="286">
        <v>157</v>
      </c>
      <c r="K44" s="304">
        <v>49.49</v>
      </c>
    </row>
    <row r="45" spans="1:22" ht="14.25" x14ac:dyDescent="0.2">
      <c r="A45" s="329"/>
      <c r="B45" s="330"/>
      <c r="C45" s="330" t="s">
        <v>192</v>
      </c>
      <c r="D45" s="331" t="s">
        <v>191</v>
      </c>
      <c r="E45" s="332">
        <v>2.1</v>
      </c>
      <c r="F45" s="333"/>
      <c r="G45" s="334" t="s">
        <v>195</v>
      </c>
      <c r="H45" s="332">
        <v>1</v>
      </c>
      <c r="I45" s="335">
        <v>2.1</v>
      </c>
      <c r="J45" s="332"/>
      <c r="K45" s="335"/>
    </row>
    <row r="46" spans="1:22" ht="15" x14ac:dyDescent="0.25">
      <c r="A46" s="336"/>
      <c r="B46" s="336"/>
      <c r="C46" s="337" t="s">
        <v>183</v>
      </c>
      <c r="D46" s="336"/>
      <c r="E46" s="336"/>
      <c r="F46" s="336"/>
      <c r="G46" s="336"/>
      <c r="H46" s="461">
        <v>74.56</v>
      </c>
      <c r="I46" s="461"/>
      <c r="J46" s="461">
        <v>1301</v>
      </c>
      <c r="K46" s="461"/>
      <c r="O46" s="284">
        <f>I38+I39+I41+I42+I43+I44</f>
        <v>74.56</v>
      </c>
      <c r="P46" s="284">
        <f>K38+K39+K41+K42+K43+K44</f>
        <v>1301</v>
      </c>
    </row>
    <row r="48" spans="1:22" ht="42.75" x14ac:dyDescent="0.2">
      <c r="A48" s="301" t="s">
        <v>1840</v>
      </c>
      <c r="B48" s="302" t="s">
        <v>3660</v>
      </c>
      <c r="C48" s="302" t="s">
        <v>1434</v>
      </c>
      <c r="D48" s="303" t="s">
        <v>1903</v>
      </c>
      <c r="E48" s="286">
        <v>1</v>
      </c>
      <c r="F48" s="321"/>
      <c r="G48" s="305"/>
      <c r="H48" s="286"/>
      <c r="I48" s="304"/>
      <c r="J48" s="286"/>
      <c r="K48" s="304"/>
      <c r="Q48" s="281">
        <f>[18]Source!X32</f>
        <v>138.09</v>
      </c>
      <c r="R48" s="281">
        <f>[18]Source!X33</f>
        <v>2177.86</v>
      </c>
      <c r="S48" s="281">
        <f>[18]Source!Y32</f>
        <v>81.16</v>
      </c>
      <c r="T48" s="281">
        <f>[18]Source!Y33</f>
        <v>1159.6400000000001</v>
      </c>
      <c r="U48" s="281">
        <f>ROUND((175/100)*ROUND([18]Source!R32, 2), 2)</f>
        <v>13.49</v>
      </c>
      <c r="V48" s="281">
        <f>ROUND((157/100)*ROUND([18]Source!R33, 2), 2)</f>
        <v>282.64999999999998</v>
      </c>
    </row>
    <row r="49" spans="1:22" ht="14.25" x14ac:dyDescent="0.2">
      <c r="A49" s="301"/>
      <c r="B49" s="302"/>
      <c r="C49" s="302" t="s">
        <v>197</v>
      </c>
      <c r="D49" s="303"/>
      <c r="E49" s="286"/>
      <c r="F49" s="321">
        <v>121.13</v>
      </c>
      <c r="G49" s="305" t="s">
        <v>195</v>
      </c>
      <c r="H49" s="286">
        <v>1</v>
      </c>
      <c r="I49" s="304">
        <v>121.13</v>
      </c>
      <c r="J49" s="286">
        <v>23.35</v>
      </c>
      <c r="K49" s="304">
        <v>2828.39</v>
      </c>
    </row>
    <row r="50" spans="1:22" ht="14.25" x14ac:dyDescent="0.2">
      <c r="A50" s="301"/>
      <c r="B50" s="302"/>
      <c r="C50" s="302" t="s">
        <v>184</v>
      </c>
      <c r="D50" s="303"/>
      <c r="E50" s="286"/>
      <c r="F50" s="321">
        <v>33.47</v>
      </c>
      <c r="G50" s="305" t="s">
        <v>195</v>
      </c>
      <c r="H50" s="286">
        <v>1</v>
      </c>
      <c r="I50" s="304">
        <v>33.47</v>
      </c>
      <c r="J50" s="286">
        <v>9.5</v>
      </c>
      <c r="K50" s="304">
        <v>317.97000000000003</v>
      </c>
    </row>
    <row r="51" spans="1:22" ht="14.25" x14ac:dyDescent="0.2">
      <c r="A51" s="301"/>
      <c r="B51" s="302"/>
      <c r="C51" s="302" t="s">
        <v>189</v>
      </c>
      <c r="D51" s="303"/>
      <c r="E51" s="286"/>
      <c r="F51" s="321">
        <v>7.71</v>
      </c>
      <c r="G51" s="305" t="s">
        <v>195</v>
      </c>
      <c r="H51" s="286">
        <v>1</v>
      </c>
      <c r="I51" s="306">
        <v>7.71</v>
      </c>
      <c r="J51" s="286">
        <v>23.35</v>
      </c>
      <c r="K51" s="306">
        <v>180.03</v>
      </c>
    </row>
    <row r="52" spans="1:22" ht="14.25" x14ac:dyDescent="0.2">
      <c r="A52" s="301"/>
      <c r="B52" s="302"/>
      <c r="C52" s="302" t="s">
        <v>205</v>
      </c>
      <c r="D52" s="303"/>
      <c r="E52" s="286"/>
      <c r="F52" s="321">
        <v>3.43</v>
      </c>
      <c r="G52" s="305" t="s">
        <v>195</v>
      </c>
      <c r="H52" s="286">
        <v>1</v>
      </c>
      <c r="I52" s="304">
        <v>3.43</v>
      </c>
      <c r="J52" s="286">
        <v>5.42</v>
      </c>
      <c r="K52" s="304">
        <v>18.59</v>
      </c>
    </row>
    <row r="53" spans="1:22" ht="14.25" x14ac:dyDescent="0.2">
      <c r="A53" s="301"/>
      <c r="B53" s="302"/>
      <c r="C53" s="302" t="s">
        <v>194</v>
      </c>
      <c r="D53" s="303" t="s">
        <v>187</v>
      </c>
      <c r="E53" s="286">
        <v>112</v>
      </c>
      <c r="F53" s="321"/>
      <c r="G53" s="305"/>
      <c r="H53" s="286"/>
      <c r="I53" s="304">
        <v>138.09</v>
      </c>
      <c r="J53" s="286">
        <v>77</v>
      </c>
      <c r="K53" s="304">
        <v>2177.86</v>
      </c>
    </row>
    <row r="54" spans="1:22" ht="14.25" x14ac:dyDescent="0.2">
      <c r="A54" s="301"/>
      <c r="B54" s="302"/>
      <c r="C54" s="302" t="s">
        <v>193</v>
      </c>
      <c r="D54" s="303" t="s">
        <v>187</v>
      </c>
      <c r="E54" s="286">
        <v>70</v>
      </c>
      <c r="F54" s="321"/>
      <c r="G54" s="305"/>
      <c r="H54" s="286"/>
      <c r="I54" s="304">
        <v>81.16</v>
      </c>
      <c r="J54" s="286">
        <v>41</v>
      </c>
      <c r="K54" s="304">
        <v>1159.6400000000001</v>
      </c>
    </row>
    <row r="55" spans="1:22" ht="14.25" x14ac:dyDescent="0.2">
      <c r="A55" s="301"/>
      <c r="B55" s="302"/>
      <c r="C55" s="302" t="s">
        <v>188</v>
      </c>
      <c r="D55" s="303" t="s">
        <v>187</v>
      </c>
      <c r="E55" s="286">
        <v>175</v>
      </c>
      <c r="F55" s="321"/>
      <c r="G55" s="305"/>
      <c r="H55" s="286"/>
      <c r="I55" s="304">
        <v>13.49</v>
      </c>
      <c r="J55" s="286">
        <v>157</v>
      </c>
      <c r="K55" s="304">
        <v>282.64999999999998</v>
      </c>
    </row>
    <row r="56" spans="1:22" ht="14.25" x14ac:dyDescent="0.2">
      <c r="A56" s="329"/>
      <c r="B56" s="330"/>
      <c r="C56" s="330" t="s">
        <v>192</v>
      </c>
      <c r="D56" s="331" t="s">
        <v>191</v>
      </c>
      <c r="E56" s="332">
        <v>10.3</v>
      </c>
      <c r="F56" s="333"/>
      <c r="G56" s="334" t="s">
        <v>195</v>
      </c>
      <c r="H56" s="332">
        <v>1</v>
      </c>
      <c r="I56" s="335">
        <v>10.3</v>
      </c>
      <c r="J56" s="332"/>
      <c r="K56" s="335"/>
    </row>
    <row r="57" spans="1:22" ht="15" x14ac:dyDescent="0.25">
      <c r="A57" s="336"/>
      <c r="B57" s="336"/>
      <c r="C57" s="337" t="s">
        <v>183</v>
      </c>
      <c r="D57" s="336"/>
      <c r="E57" s="336"/>
      <c r="F57" s="336"/>
      <c r="G57" s="336"/>
      <c r="H57" s="461">
        <v>390.77</v>
      </c>
      <c r="I57" s="461"/>
      <c r="J57" s="461">
        <v>6785.1</v>
      </c>
      <c r="K57" s="461"/>
      <c r="O57" s="284">
        <f>I49+I50+I52+I53+I54+I55</f>
        <v>390.77</v>
      </c>
      <c r="P57" s="284">
        <f>K49+K50+K52+K53+K54+K55</f>
        <v>6785.1</v>
      </c>
    </row>
    <row r="59" spans="1:22" ht="42.75" x14ac:dyDescent="0.2">
      <c r="A59" s="301" t="s">
        <v>1842</v>
      </c>
      <c r="B59" s="302" t="s">
        <v>3660</v>
      </c>
      <c r="C59" s="302" t="s">
        <v>1433</v>
      </c>
      <c r="D59" s="303" t="s">
        <v>1903</v>
      </c>
      <c r="E59" s="286">
        <v>1</v>
      </c>
      <c r="F59" s="321"/>
      <c r="G59" s="305"/>
      <c r="H59" s="286"/>
      <c r="I59" s="304"/>
      <c r="J59" s="286"/>
      <c r="K59" s="304"/>
      <c r="Q59" s="281">
        <f>[18]Source!X34</f>
        <v>138.09</v>
      </c>
      <c r="R59" s="281">
        <f>[18]Source!X35</f>
        <v>2177.86</v>
      </c>
      <c r="S59" s="281">
        <f>[18]Source!Y34</f>
        <v>81.16</v>
      </c>
      <c r="T59" s="281">
        <f>[18]Source!Y35</f>
        <v>1159.6400000000001</v>
      </c>
      <c r="U59" s="281">
        <f>ROUND((175/100)*ROUND([18]Source!R34, 2), 2)</f>
        <v>13.49</v>
      </c>
      <c r="V59" s="281">
        <f>ROUND((157/100)*ROUND([18]Source!R35, 2), 2)</f>
        <v>282.64999999999998</v>
      </c>
    </row>
    <row r="60" spans="1:22" ht="14.25" x14ac:dyDescent="0.2">
      <c r="A60" s="301"/>
      <c r="B60" s="302"/>
      <c r="C60" s="302" t="s">
        <v>197</v>
      </c>
      <c r="D60" s="303"/>
      <c r="E60" s="286"/>
      <c r="F60" s="321">
        <v>121.13</v>
      </c>
      <c r="G60" s="305" t="s">
        <v>195</v>
      </c>
      <c r="H60" s="286">
        <v>1</v>
      </c>
      <c r="I60" s="304">
        <v>121.13</v>
      </c>
      <c r="J60" s="286">
        <v>23.35</v>
      </c>
      <c r="K60" s="304">
        <v>2828.39</v>
      </c>
    </row>
    <row r="61" spans="1:22" ht="14.25" x14ac:dyDescent="0.2">
      <c r="A61" s="301"/>
      <c r="B61" s="302"/>
      <c r="C61" s="302" t="s">
        <v>184</v>
      </c>
      <c r="D61" s="303"/>
      <c r="E61" s="286"/>
      <c r="F61" s="321">
        <v>33.47</v>
      </c>
      <c r="G61" s="305" t="s">
        <v>195</v>
      </c>
      <c r="H61" s="286">
        <v>1</v>
      </c>
      <c r="I61" s="304">
        <v>33.47</v>
      </c>
      <c r="J61" s="286">
        <v>9.5</v>
      </c>
      <c r="K61" s="304">
        <v>317.97000000000003</v>
      </c>
    </row>
    <row r="62" spans="1:22" ht="14.25" x14ac:dyDescent="0.2">
      <c r="A62" s="301"/>
      <c r="B62" s="302"/>
      <c r="C62" s="302" t="s">
        <v>189</v>
      </c>
      <c r="D62" s="303"/>
      <c r="E62" s="286"/>
      <c r="F62" s="321">
        <v>7.71</v>
      </c>
      <c r="G62" s="305" t="s">
        <v>195</v>
      </c>
      <c r="H62" s="286">
        <v>1</v>
      </c>
      <c r="I62" s="306">
        <v>7.71</v>
      </c>
      <c r="J62" s="286">
        <v>23.35</v>
      </c>
      <c r="K62" s="306">
        <v>180.03</v>
      </c>
    </row>
    <row r="63" spans="1:22" ht="14.25" x14ac:dyDescent="0.2">
      <c r="A63" s="301"/>
      <c r="B63" s="302"/>
      <c r="C63" s="302" t="s">
        <v>205</v>
      </c>
      <c r="D63" s="303"/>
      <c r="E63" s="286"/>
      <c r="F63" s="321">
        <v>3.43</v>
      </c>
      <c r="G63" s="305" t="s">
        <v>195</v>
      </c>
      <c r="H63" s="286">
        <v>1</v>
      </c>
      <c r="I63" s="304">
        <v>3.43</v>
      </c>
      <c r="J63" s="286">
        <v>5.42</v>
      </c>
      <c r="K63" s="304">
        <v>18.59</v>
      </c>
    </row>
    <row r="64" spans="1:22" ht="14.25" x14ac:dyDescent="0.2">
      <c r="A64" s="301"/>
      <c r="B64" s="302"/>
      <c r="C64" s="302" t="s">
        <v>194</v>
      </c>
      <c r="D64" s="303" t="s">
        <v>187</v>
      </c>
      <c r="E64" s="286">
        <v>112</v>
      </c>
      <c r="F64" s="321"/>
      <c r="G64" s="305"/>
      <c r="H64" s="286"/>
      <c r="I64" s="304">
        <v>138.09</v>
      </c>
      <c r="J64" s="286">
        <v>77</v>
      </c>
      <c r="K64" s="304">
        <v>2177.86</v>
      </c>
    </row>
    <row r="65" spans="1:22" ht="14.25" x14ac:dyDescent="0.2">
      <c r="A65" s="301"/>
      <c r="B65" s="302"/>
      <c r="C65" s="302" t="s">
        <v>193</v>
      </c>
      <c r="D65" s="303" t="s">
        <v>187</v>
      </c>
      <c r="E65" s="286">
        <v>70</v>
      </c>
      <c r="F65" s="321"/>
      <c r="G65" s="305"/>
      <c r="H65" s="286"/>
      <c r="I65" s="304">
        <v>81.16</v>
      </c>
      <c r="J65" s="286">
        <v>41</v>
      </c>
      <c r="K65" s="304">
        <v>1159.6400000000001</v>
      </c>
    </row>
    <row r="66" spans="1:22" ht="14.25" x14ac:dyDescent="0.2">
      <c r="A66" s="301"/>
      <c r="B66" s="302"/>
      <c r="C66" s="302" t="s">
        <v>188</v>
      </c>
      <c r="D66" s="303" t="s">
        <v>187</v>
      </c>
      <c r="E66" s="286">
        <v>175</v>
      </c>
      <c r="F66" s="321"/>
      <c r="G66" s="305"/>
      <c r="H66" s="286"/>
      <c r="I66" s="304">
        <v>13.49</v>
      </c>
      <c r="J66" s="286">
        <v>157</v>
      </c>
      <c r="K66" s="304">
        <v>282.64999999999998</v>
      </c>
    </row>
    <row r="67" spans="1:22" ht="14.25" x14ac:dyDescent="0.2">
      <c r="A67" s="329"/>
      <c r="B67" s="330"/>
      <c r="C67" s="330" t="s">
        <v>192</v>
      </c>
      <c r="D67" s="331" t="s">
        <v>191</v>
      </c>
      <c r="E67" s="332">
        <v>10.3</v>
      </c>
      <c r="F67" s="333"/>
      <c r="G67" s="334" t="s">
        <v>195</v>
      </c>
      <c r="H67" s="332">
        <v>1</v>
      </c>
      <c r="I67" s="335">
        <v>10.3</v>
      </c>
      <c r="J67" s="332"/>
      <c r="K67" s="335"/>
    </row>
    <row r="68" spans="1:22" ht="15" x14ac:dyDescent="0.25">
      <c r="A68" s="336"/>
      <c r="B68" s="336"/>
      <c r="C68" s="337" t="s">
        <v>183</v>
      </c>
      <c r="D68" s="336"/>
      <c r="E68" s="336"/>
      <c r="F68" s="336"/>
      <c r="G68" s="336"/>
      <c r="H68" s="461">
        <v>390.77</v>
      </c>
      <c r="I68" s="461"/>
      <c r="J68" s="461">
        <v>6785.1</v>
      </c>
      <c r="K68" s="461"/>
      <c r="O68" s="284">
        <f>I60+I61+I63+I64+I65+I66</f>
        <v>390.77</v>
      </c>
      <c r="P68" s="284">
        <f>K60+K61+K63+K64+K65+K66</f>
        <v>6785.1</v>
      </c>
    </row>
    <row r="70" spans="1:22" ht="28.5" x14ac:dyDescent="0.2">
      <c r="A70" s="301" t="s">
        <v>1844</v>
      </c>
      <c r="B70" s="302" t="s">
        <v>3599</v>
      </c>
      <c r="C70" s="302" t="s">
        <v>1432</v>
      </c>
      <c r="D70" s="303" t="s">
        <v>1903</v>
      </c>
      <c r="E70" s="286">
        <v>2</v>
      </c>
      <c r="F70" s="321"/>
      <c r="G70" s="305"/>
      <c r="H70" s="286"/>
      <c r="I70" s="304"/>
      <c r="J70" s="286"/>
      <c r="K70" s="304"/>
      <c r="Q70" s="281">
        <f>[18]Source!X36</f>
        <v>74.91</v>
      </c>
      <c r="R70" s="281">
        <f>[18]Source!X37</f>
        <v>1202.47</v>
      </c>
      <c r="S70" s="281">
        <f>[18]Source!Y36</f>
        <v>46.82</v>
      </c>
      <c r="T70" s="281">
        <f>[18]Source!Y37</f>
        <v>640.28</v>
      </c>
      <c r="U70" s="281">
        <f>ROUND((175/100)*ROUND([18]Source!R36, 2), 2)</f>
        <v>0</v>
      </c>
      <c r="V70" s="281">
        <f>ROUND((157/100)*ROUND([18]Source!R37, 2), 2)</f>
        <v>0</v>
      </c>
    </row>
    <row r="71" spans="1:22" ht="14.25" x14ac:dyDescent="0.2">
      <c r="A71" s="301"/>
      <c r="B71" s="302"/>
      <c r="C71" s="302" t="s">
        <v>197</v>
      </c>
      <c r="D71" s="303"/>
      <c r="E71" s="286"/>
      <c r="F71" s="321">
        <v>33.44</v>
      </c>
      <c r="G71" s="305" t="s">
        <v>195</v>
      </c>
      <c r="H71" s="286">
        <v>1</v>
      </c>
      <c r="I71" s="304">
        <v>66.88</v>
      </c>
      <c r="J71" s="286">
        <v>23.35</v>
      </c>
      <c r="K71" s="304">
        <v>1561.65</v>
      </c>
    </row>
    <row r="72" spans="1:22" ht="14.25" x14ac:dyDescent="0.2">
      <c r="A72" s="301"/>
      <c r="B72" s="302"/>
      <c r="C72" s="302" t="s">
        <v>205</v>
      </c>
      <c r="D72" s="303"/>
      <c r="E72" s="286"/>
      <c r="F72" s="321">
        <v>1.5</v>
      </c>
      <c r="G72" s="305" t="s">
        <v>195</v>
      </c>
      <c r="H72" s="286">
        <v>1</v>
      </c>
      <c r="I72" s="304">
        <v>3</v>
      </c>
      <c r="J72" s="286">
        <v>5.42</v>
      </c>
      <c r="K72" s="304">
        <v>16.260000000000002</v>
      </c>
    </row>
    <row r="73" spans="1:22" ht="14.25" x14ac:dyDescent="0.2">
      <c r="A73" s="301"/>
      <c r="B73" s="302"/>
      <c r="C73" s="302" t="s">
        <v>194</v>
      </c>
      <c r="D73" s="303" t="s">
        <v>187</v>
      </c>
      <c r="E73" s="286">
        <v>112</v>
      </c>
      <c r="F73" s="321"/>
      <c r="G73" s="305"/>
      <c r="H73" s="286"/>
      <c r="I73" s="304">
        <v>74.91</v>
      </c>
      <c r="J73" s="286">
        <v>77</v>
      </c>
      <c r="K73" s="304">
        <v>1202.47</v>
      </c>
    </row>
    <row r="74" spans="1:22" ht="14.25" x14ac:dyDescent="0.2">
      <c r="A74" s="301"/>
      <c r="B74" s="302"/>
      <c r="C74" s="302" t="s">
        <v>193</v>
      </c>
      <c r="D74" s="303" t="s">
        <v>187</v>
      </c>
      <c r="E74" s="286">
        <v>70</v>
      </c>
      <c r="F74" s="321"/>
      <c r="G74" s="305"/>
      <c r="H74" s="286"/>
      <c r="I74" s="304">
        <v>46.82</v>
      </c>
      <c r="J74" s="286">
        <v>41</v>
      </c>
      <c r="K74" s="304">
        <v>640.28</v>
      </c>
    </row>
    <row r="75" spans="1:22" ht="14.25" x14ac:dyDescent="0.2">
      <c r="A75" s="329"/>
      <c r="B75" s="330"/>
      <c r="C75" s="330" t="s">
        <v>192</v>
      </c>
      <c r="D75" s="331" t="s">
        <v>191</v>
      </c>
      <c r="E75" s="332">
        <v>2.65</v>
      </c>
      <c r="F75" s="333"/>
      <c r="G75" s="334" t="s">
        <v>195</v>
      </c>
      <c r="H75" s="332">
        <v>1</v>
      </c>
      <c r="I75" s="335">
        <v>5.3</v>
      </c>
      <c r="J75" s="332"/>
      <c r="K75" s="335"/>
    </row>
    <row r="76" spans="1:22" ht="15" x14ac:dyDescent="0.25">
      <c r="A76" s="336"/>
      <c r="B76" s="336"/>
      <c r="C76" s="337" t="s">
        <v>183</v>
      </c>
      <c r="D76" s="336"/>
      <c r="E76" s="336"/>
      <c r="F76" s="336"/>
      <c r="G76" s="336"/>
      <c r="H76" s="461">
        <v>191.61</v>
      </c>
      <c r="I76" s="461"/>
      <c r="J76" s="461">
        <v>3420.66</v>
      </c>
      <c r="K76" s="461"/>
      <c r="O76" s="284">
        <f>I71+I72+I73+I74</f>
        <v>191.61</v>
      </c>
      <c r="P76" s="284">
        <f>K71+K72+K73+K74</f>
        <v>3420.66</v>
      </c>
    </row>
    <row r="78" spans="1:22" ht="42.75" x14ac:dyDescent="0.2">
      <c r="A78" s="301" t="s">
        <v>1846</v>
      </c>
      <c r="B78" s="302" t="s">
        <v>3661</v>
      </c>
      <c r="C78" s="302" t="s">
        <v>1431</v>
      </c>
      <c r="D78" s="303" t="s">
        <v>1903</v>
      </c>
      <c r="E78" s="286">
        <v>2</v>
      </c>
      <c r="F78" s="321"/>
      <c r="G78" s="305"/>
      <c r="H78" s="286"/>
      <c r="I78" s="304"/>
      <c r="J78" s="286"/>
      <c r="K78" s="304"/>
      <c r="Q78" s="281">
        <f>[18]Source!X38</f>
        <v>121.27</v>
      </c>
      <c r="R78" s="281">
        <f>[18]Source!X39</f>
        <v>1946.82</v>
      </c>
      <c r="S78" s="281">
        <f>[18]Source!Y38</f>
        <v>75.8</v>
      </c>
      <c r="T78" s="281">
        <f>[18]Source!Y39</f>
        <v>1036.6199999999999</v>
      </c>
      <c r="U78" s="281">
        <f>ROUND((175/100)*ROUND([18]Source!R38, 2), 2)</f>
        <v>0</v>
      </c>
      <c r="V78" s="281">
        <f>ROUND((157/100)*ROUND([18]Source!R39, 2), 2)</f>
        <v>0</v>
      </c>
    </row>
    <row r="79" spans="1:22" ht="14.25" x14ac:dyDescent="0.2">
      <c r="A79" s="301"/>
      <c r="B79" s="302"/>
      <c r="C79" s="302" t="s">
        <v>197</v>
      </c>
      <c r="D79" s="303"/>
      <c r="E79" s="286"/>
      <c r="F79" s="321">
        <v>54.14</v>
      </c>
      <c r="G79" s="305" t="s">
        <v>195</v>
      </c>
      <c r="H79" s="286">
        <v>1</v>
      </c>
      <c r="I79" s="304">
        <v>108.28</v>
      </c>
      <c r="J79" s="286">
        <v>23.35</v>
      </c>
      <c r="K79" s="304">
        <v>2528.34</v>
      </c>
    </row>
    <row r="80" spans="1:22" ht="14.25" x14ac:dyDescent="0.2">
      <c r="A80" s="301"/>
      <c r="B80" s="302"/>
      <c r="C80" s="302" t="s">
        <v>205</v>
      </c>
      <c r="D80" s="303"/>
      <c r="E80" s="286"/>
      <c r="F80" s="321">
        <v>1.5</v>
      </c>
      <c r="G80" s="305" t="s">
        <v>195</v>
      </c>
      <c r="H80" s="286">
        <v>1</v>
      </c>
      <c r="I80" s="304">
        <v>3</v>
      </c>
      <c r="J80" s="286">
        <v>5.42</v>
      </c>
      <c r="K80" s="304">
        <v>16.260000000000002</v>
      </c>
    </row>
    <row r="81" spans="1:22" ht="14.25" x14ac:dyDescent="0.2">
      <c r="A81" s="301"/>
      <c r="B81" s="302"/>
      <c r="C81" s="302" t="s">
        <v>194</v>
      </c>
      <c r="D81" s="303" t="s">
        <v>187</v>
      </c>
      <c r="E81" s="286">
        <v>112</v>
      </c>
      <c r="F81" s="321"/>
      <c r="G81" s="305"/>
      <c r="H81" s="286"/>
      <c r="I81" s="304">
        <v>121.27</v>
      </c>
      <c r="J81" s="286">
        <v>77</v>
      </c>
      <c r="K81" s="304">
        <v>1946.82</v>
      </c>
    </row>
    <row r="82" spans="1:22" ht="14.25" x14ac:dyDescent="0.2">
      <c r="A82" s="301"/>
      <c r="B82" s="302"/>
      <c r="C82" s="302" t="s">
        <v>193</v>
      </c>
      <c r="D82" s="303" t="s">
        <v>187</v>
      </c>
      <c r="E82" s="286">
        <v>70</v>
      </c>
      <c r="F82" s="321"/>
      <c r="G82" s="305"/>
      <c r="H82" s="286"/>
      <c r="I82" s="304">
        <v>75.8</v>
      </c>
      <c r="J82" s="286">
        <v>41</v>
      </c>
      <c r="K82" s="304">
        <v>1036.6199999999999</v>
      </c>
    </row>
    <row r="83" spans="1:22" ht="14.25" x14ac:dyDescent="0.2">
      <c r="A83" s="329"/>
      <c r="B83" s="330"/>
      <c r="C83" s="330" t="s">
        <v>192</v>
      </c>
      <c r="D83" s="331" t="s">
        <v>191</v>
      </c>
      <c r="E83" s="332">
        <v>4.29</v>
      </c>
      <c r="F83" s="333"/>
      <c r="G83" s="334" t="s">
        <v>195</v>
      </c>
      <c r="H83" s="332">
        <v>1</v>
      </c>
      <c r="I83" s="335">
        <v>8.58</v>
      </c>
      <c r="J83" s="332"/>
      <c r="K83" s="335"/>
    </row>
    <row r="84" spans="1:22" ht="15" x14ac:dyDescent="0.25">
      <c r="A84" s="336"/>
      <c r="B84" s="336"/>
      <c r="C84" s="337" t="s">
        <v>183</v>
      </c>
      <c r="D84" s="336"/>
      <c r="E84" s="336"/>
      <c r="F84" s="336"/>
      <c r="G84" s="336"/>
      <c r="H84" s="461">
        <v>308.35000000000002</v>
      </c>
      <c r="I84" s="461"/>
      <c r="J84" s="461">
        <v>5528.04</v>
      </c>
      <c r="K84" s="461"/>
      <c r="O84" s="284">
        <f>I79+I80+I81+I82</f>
        <v>308.35000000000002</v>
      </c>
      <c r="P84" s="284">
        <f>K79+K80+K81+K82</f>
        <v>5528.04</v>
      </c>
    </row>
    <row r="86" spans="1:22" ht="42.75" x14ac:dyDescent="0.2">
      <c r="A86" s="301" t="s">
        <v>1849</v>
      </c>
      <c r="B86" s="302" t="s">
        <v>3662</v>
      </c>
      <c r="C86" s="302" t="s">
        <v>1430</v>
      </c>
      <c r="D86" s="303" t="s">
        <v>1536</v>
      </c>
      <c r="E86" s="286">
        <v>0.01</v>
      </c>
      <c r="F86" s="321"/>
      <c r="G86" s="305"/>
      <c r="H86" s="286"/>
      <c r="I86" s="304"/>
      <c r="J86" s="286"/>
      <c r="K86" s="304"/>
      <c r="Q86" s="281">
        <f>[18]Source!X40</f>
        <v>9.44</v>
      </c>
      <c r="R86" s="281">
        <f>[18]Source!X41</f>
        <v>148.87</v>
      </c>
      <c r="S86" s="281">
        <f>[18]Source!Y40</f>
        <v>5.55</v>
      </c>
      <c r="T86" s="281">
        <f>[18]Source!Y41</f>
        <v>79.27</v>
      </c>
      <c r="U86" s="281">
        <f>ROUND((175/100)*ROUND([18]Source!R40, 2), 2)</f>
        <v>0.02</v>
      </c>
      <c r="V86" s="281">
        <f>ROUND((157/100)*ROUND([18]Source!R41, 2), 2)</f>
        <v>0.36</v>
      </c>
    </row>
    <row r="87" spans="1:22" x14ac:dyDescent="0.2">
      <c r="C87" s="316" t="s">
        <v>3472</v>
      </c>
    </row>
    <row r="88" spans="1:22" ht="14.25" x14ac:dyDescent="0.2">
      <c r="A88" s="301"/>
      <c r="B88" s="302"/>
      <c r="C88" s="302" t="s">
        <v>197</v>
      </c>
      <c r="D88" s="303"/>
      <c r="E88" s="286"/>
      <c r="F88" s="321">
        <v>828.23</v>
      </c>
      <c r="G88" s="305" t="s">
        <v>195</v>
      </c>
      <c r="H88" s="286">
        <v>1</v>
      </c>
      <c r="I88" s="304">
        <v>8.2799999999999994</v>
      </c>
      <c r="J88" s="286">
        <v>23.35</v>
      </c>
      <c r="K88" s="304">
        <v>193.34</v>
      </c>
    </row>
    <row r="89" spans="1:22" ht="14.25" x14ac:dyDescent="0.2">
      <c r="A89" s="301"/>
      <c r="B89" s="302"/>
      <c r="C89" s="302" t="s">
        <v>184</v>
      </c>
      <c r="D89" s="303"/>
      <c r="E89" s="286"/>
      <c r="F89" s="321">
        <v>5.08</v>
      </c>
      <c r="G89" s="305" t="s">
        <v>195</v>
      </c>
      <c r="H89" s="286">
        <v>1</v>
      </c>
      <c r="I89" s="304">
        <v>0.05</v>
      </c>
      <c r="J89" s="286">
        <v>9.5299999999999994</v>
      </c>
      <c r="K89" s="304">
        <v>0.48</v>
      </c>
    </row>
    <row r="90" spans="1:22" ht="14.25" x14ac:dyDescent="0.2">
      <c r="A90" s="301"/>
      <c r="B90" s="302"/>
      <c r="C90" s="302" t="s">
        <v>189</v>
      </c>
      <c r="D90" s="303"/>
      <c r="E90" s="286"/>
      <c r="F90" s="321">
        <v>1.18</v>
      </c>
      <c r="G90" s="305" t="s">
        <v>195</v>
      </c>
      <c r="H90" s="286">
        <v>1</v>
      </c>
      <c r="I90" s="306">
        <v>0.01</v>
      </c>
      <c r="J90" s="286">
        <v>23.35</v>
      </c>
      <c r="K90" s="306">
        <v>0.23</v>
      </c>
    </row>
    <row r="91" spans="1:22" ht="14.25" x14ac:dyDescent="0.2">
      <c r="A91" s="301"/>
      <c r="B91" s="302"/>
      <c r="C91" s="302" t="s">
        <v>205</v>
      </c>
      <c r="D91" s="303"/>
      <c r="E91" s="286"/>
      <c r="F91" s="321">
        <v>29.89</v>
      </c>
      <c r="G91" s="305" t="s">
        <v>195</v>
      </c>
      <c r="H91" s="286">
        <v>1</v>
      </c>
      <c r="I91" s="304">
        <v>0.3</v>
      </c>
      <c r="J91" s="286">
        <v>5.42</v>
      </c>
      <c r="K91" s="304">
        <v>1.63</v>
      </c>
    </row>
    <row r="92" spans="1:22" ht="14.25" x14ac:dyDescent="0.2">
      <c r="A92" s="301"/>
      <c r="B92" s="302"/>
      <c r="C92" s="302" t="s">
        <v>194</v>
      </c>
      <c r="D92" s="303" t="s">
        <v>187</v>
      </c>
      <c r="E92" s="286">
        <v>112</v>
      </c>
      <c r="F92" s="321"/>
      <c r="G92" s="305"/>
      <c r="H92" s="286"/>
      <c r="I92" s="304">
        <v>9.44</v>
      </c>
      <c r="J92" s="286">
        <v>77</v>
      </c>
      <c r="K92" s="304">
        <v>148.87</v>
      </c>
    </row>
    <row r="93" spans="1:22" ht="14.25" x14ac:dyDescent="0.2">
      <c r="A93" s="301"/>
      <c r="B93" s="302"/>
      <c r="C93" s="302" t="s">
        <v>193</v>
      </c>
      <c r="D93" s="303" t="s">
        <v>187</v>
      </c>
      <c r="E93" s="286">
        <v>70</v>
      </c>
      <c r="F93" s="321"/>
      <c r="G93" s="305"/>
      <c r="H93" s="286"/>
      <c r="I93" s="304">
        <v>5.55</v>
      </c>
      <c r="J93" s="286">
        <v>41</v>
      </c>
      <c r="K93" s="304">
        <v>79.27</v>
      </c>
    </row>
    <row r="94" spans="1:22" ht="14.25" x14ac:dyDescent="0.2">
      <c r="A94" s="301"/>
      <c r="B94" s="302"/>
      <c r="C94" s="302" t="s">
        <v>188</v>
      </c>
      <c r="D94" s="303" t="s">
        <v>187</v>
      </c>
      <c r="E94" s="286">
        <v>175</v>
      </c>
      <c r="F94" s="321"/>
      <c r="G94" s="305"/>
      <c r="H94" s="286"/>
      <c r="I94" s="304">
        <v>0.02</v>
      </c>
      <c r="J94" s="286">
        <v>157</v>
      </c>
      <c r="K94" s="304">
        <v>0.36</v>
      </c>
    </row>
    <row r="95" spans="1:22" ht="14.25" x14ac:dyDescent="0.2">
      <c r="A95" s="329"/>
      <c r="B95" s="330"/>
      <c r="C95" s="330" t="s">
        <v>192</v>
      </c>
      <c r="D95" s="331" t="s">
        <v>191</v>
      </c>
      <c r="E95" s="332">
        <v>63.71</v>
      </c>
      <c r="F95" s="333"/>
      <c r="G95" s="334" t="s">
        <v>195</v>
      </c>
      <c r="H95" s="332">
        <v>1</v>
      </c>
      <c r="I95" s="335">
        <v>0.64</v>
      </c>
      <c r="J95" s="332"/>
      <c r="K95" s="335"/>
    </row>
    <row r="96" spans="1:22" ht="15" x14ac:dyDescent="0.25">
      <c r="A96" s="336"/>
      <c r="B96" s="336"/>
      <c r="C96" s="337" t="s">
        <v>183</v>
      </c>
      <c r="D96" s="336"/>
      <c r="E96" s="336"/>
      <c r="F96" s="336"/>
      <c r="G96" s="336"/>
      <c r="H96" s="461">
        <v>23.64</v>
      </c>
      <c r="I96" s="461"/>
      <c r="J96" s="461">
        <v>423.95</v>
      </c>
      <c r="K96" s="461"/>
      <c r="O96" s="284">
        <f>I88+I89+I91+I92+I93+I94</f>
        <v>23.64</v>
      </c>
      <c r="P96" s="284">
        <f>K88+K89+K91+K92+K93+K94</f>
        <v>423.95</v>
      </c>
    </row>
    <row r="98" spans="1:22" ht="28.5" x14ac:dyDescent="0.2">
      <c r="A98" s="301" t="s">
        <v>1859</v>
      </c>
      <c r="B98" s="302" t="s">
        <v>3440</v>
      </c>
      <c r="C98" s="302" t="s">
        <v>1152</v>
      </c>
      <c r="D98" s="303" t="s">
        <v>1903</v>
      </c>
      <c r="E98" s="286">
        <v>1</v>
      </c>
      <c r="F98" s="321"/>
      <c r="G98" s="305"/>
      <c r="H98" s="286"/>
      <c r="I98" s="304"/>
      <c r="J98" s="286"/>
      <c r="K98" s="304"/>
      <c r="Q98" s="281">
        <f>[18]Source!X44</f>
        <v>102.68</v>
      </c>
      <c r="R98" s="281">
        <f>[18]Source!X45</f>
        <v>1648.36</v>
      </c>
      <c r="S98" s="281">
        <f>[18]Source!Y44</f>
        <v>64.180000000000007</v>
      </c>
      <c r="T98" s="281">
        <f>[18]Source!Y45</f>
        <v>877.7</v>
      </c>
      <c r="U98" s="281">
        <f>ROUND((175/100)*ROUND([18]Source!R44, 2), 2)</f>
        <v>11.32</v>
      </c>
      <c r="V98" s="281">
        <f>ROUND((157/100)*ROUND([18]Source!R45, 2), 2)</f>
        <v>237.18</v>
      </c>
    </row>
    <row r="99" spans="1:22" ht="14.25" x14ac:dyDescent="0.2">
      <c r="A99" s="301"/>
      <c r="B99" s="302"/>
      <c r="C99" s="302" t="s">
        <v>197</v>
      </c>
      <c r="D99" s="303"/>
      <c r="E99" s="286"/>
      <c r="F99" s="321">
        <v>91.68</v>
      </c>
      <c r="G99" s="305" t="s">
        <v>195</v>
      </c>
      <c r="H99" s="286">
        <v>1</v>
      </c>
      <c r="I99" s="304">
        <v>91.68</v>
      </c>
      <c r="J99" s="286">
        <v>23.35</v>
      </c>
      <c r="K99" s="304">
        <v>2140.73</v>
      </c>
    </row>
    <row r="100" spans="1:22" ht="14.25" x14ac:dyDescent="0.2">
      <c r="A100" s="301"/>
      <c r="B100" s="302"/>
      <c r="C100" s="302" t="s">
        <v>184</v>
      </c>
      <c r="D100" s="303"/>
      <c r="E100" s="286"/>
      <c r="F100" s="321">
        <v>25.79</v>
      </c>
      <c r="G100" s="305" t="s">
        <v>195</v>
      </c>
      <c r="H100" s="286">
        <v>1</v>
      </c>
      <c r="I100" s="304">
        <v>25.79</v>
      </c>
      <c r="J100" s="286">
        <v>9.8699999999999992</v>
      </c>
      <c r="K100" s="304">
        <v>254.55</v>
      </c>
    </row>
    <row r="101" spans="1:22" ht="14.25" x14ac:dyDescent="0.2">
      <c r="A101" s="301"/>
      <c r="B101" s="302"/>
      <c r="C101" s="302" t="s">
        <v>189</v>
      </c>
      <c r="D101" s="303"/>
      <c r="E101" s="286"/>
      <c r="F101" s="321">
        <v>6.47</v>
      </c>
      <c r="G101" s="305" t="s">
        <v>195</v>
      </c>
      <c r="H101" s="286">
        <v>1</v>
      </c>
      <c r="I101" s="306">
        <v>6.47</v>
      </c>
      <c r="J101" s="286">
        <v>23.35</v>
      </c>
      <c r="K101" s="306">
        <v>151.07</v>
      </c>
    </row>
    <row r="102" spans="1:22" ht="14.25" x14ac:dyDescent="0.2">
      <c r="A102" s="301"/>
      <c r="B102" s="302"/>
      <c r="C102" s="302" t="s">
        <v>205</v>
      </c>
      <c r="D102" s="303"/>
      <c r="E102" s="286"/>
      <c r="F102" s="321">
        <v>5.74</v>
      </c>
      <c r="G102" s="305" t="s">
        <v>195</v>
      </c>
      <c r="H102" s="286">
        <v>1</v>
      </c>
      <c r="I102" s="304">
        <v>5.74</v>
      </c>
      <c r="J102" s="286">
        <v>5.42</v>
      </c>
      <c r="K102" s="304">
        <v>31.11</v>
      </c>
    </row>
    <row r="103" spans="1:22" ht="14.25" x14ac:dyDescent="0.2">
      <c r="A103" s="301"/>
      <c r="B103" s="302"/>
      <c r="C103" s="302" t="s">
        <v>194</v>
      </c>
      <c r="D103" s="303" t="s">
        <v>187</v>
      </c>
      <c r="E103" s="286">
        <v>112</v>
      </c>
      <c r="F103" s="321"/>
      <c r="G103" s="305"/>
      <c r="H103" s="286"/>
      <c r="I103" s="304">
        <v>102.68</v>
      </c>
      <c r="J103" s="286">
        <v>77</v>
      </c>
      <c r="K103" s="304">
        <v>1648.36</v>
      </c>
    </row>
    <row r="104" spans="1:22" ht="14.25" x14ac:dyDescent="0.2">
      <c r="A104" s="301"/>
      <c r="B104" s="302"/>
      <c r="C104" s="302" t="s">
        <v>193</v>
      </c>
      <c r="D104" s="303" t="s">
        <v>187</v>
      </c>
      <c r="E104" s="286">
        <v>70</v>
      </c>
      <c r="F104" s="321"/>
      <c r="G104" s="305"/>
      <c r="H104" s="286"/>
      <c r="I104" s="304">
        <v>64.180000000000007</v>
      </c>
      <c r="J104" s="286">
        <v>41</v>
      </c>
      <c r="K104" s="304">
        <v>877.7</v>
      </c>
    </row>
    <row r="105" spans="1:22" ht="14.25" x14ac:dyDescent="0.2">
      <c r="A105" s="301"/>
      <c r="B105" s="302"/>
      <c r="C105" s="302" t="s">
        <v>188</v>
      </c>
      <c r="D105" s="303" t="s">
        <v>187</v>
      </c>
      <c r="E105" s="286">
        <v>175</v>
      </c>
      <c r="F105" s="321"/>
      <c r="G105" s="305"/>
      <c r="H105" s="286"/>
      <c r="I105" s="304">
        <v>11.32</v>
      </c>
      <c r="J105" s="286">
        <v>157</v>
      </c>
      <c r="K105" s="304">
        <v>237.18</v>
      </c>
    </row>
    <row r="106" spans="1:22" ht="14.25" x14ac:dyDescent="0.2">
      <c r="A106" s="329"/>
      <c r="B106" s="330"/>
      <c r="C106" s="330" t="s">
        <v>192</v>
      </c>
      <c r="D106" s="331" t="s">
        <v>191</v>
      </c>
      <c r="E106" s="332">
        <v>8.1999999999999993</v>
      </c>
      <c r="F106" s="333"/>
      <c r="G106" s="334" t="s">
        <v>195</v>
      </c>
      <c r="H106" s="332">
        <v>1</v>
      </c>
      <c r="I106" s="335">
        <v>8.1999999999999993</v>
      </c>
      <c r="J106" s="332"/>
      <c r="K106" s="335"/>
    </row>
    <row r="107" spans="1:22" ht="15" x14ac:dyDescent="0.25">
      <c r="A107" s="336"/>
      <c r="B107" s="336"/>
      <c r="C107" s="337" t="s">
        <v>183</v>
      </c>
      <c r="D107" s="336"/>
      <c r="E107" s="336"/>
      <c r="F107" s="336"/>
      <c r="G107" s="336"/>
      <c r="H107" s="461">
        <v>301.39</v>
      </c>
      <c r="I107" s="461"/>
      <c r="J107" s="461">
        <v>5189.63</v>
      </c>
      <c r="K107" s="461"/>
      <c r="O107" s="284">
        <f>I99+I100+I102+I103+I104+I105</f>
        <v>301.39</v>
      </c>
      <c r="P107" s="284">
        <f>K99+K100+K102+K103+K104+K105</f>
        <v>5189.63</v>
      </c>
    </row>
    <row r="109" spans="1:22" ht="42.75" x14ac:dyDescent="0.2">
      <c r="A109" s="301" t="s">
        <v>1861</v>
      </c>
      <c r="B109" s="302" t="s">
        <v>3663</v>
      </c>
      <c r="C109" s="302" t="s">
        <v>1429</v>
      </c>
      <c r="D109" s="303" t="s">
        <v>1903</v>
      </c>
      <c r="E109" s="286">
        <v>1</v>
      </c>
      <c r="F109" s="321"/>
      <c r="G109" s="305"/>
      <c r="H109" s="286"/>
      <c r="I109" s="304"/>
      <c r="J109" s="286"/>
      <c r="K109" s="304"/>
      <c r="Q109" s="281">
        <f>[18]Source!X46</f>
        <v>45.75</v>
      </c>
      <c r="R109" s="281">
        <f>[18]Source!X47</f>
        <v>721.52</v>
      </c>
      <c r="S109" s="281">
        <f>[18]Source!Y46</f>
        <v>26.89</v>
      </c>
      <c r="T109" s="281">
        <f>[18]Source!Y47</f>
        <v>384.19</v>
      </c>
      <c r="U109" s="281">
        <f>ROUND((175/100)*ROUND([18]Source!R46, 2), 2)</f>
        <v>0</v>
      </c>
      <c r="V109" s="281">
        <f>ROUND((157/100)*ROUND([18]Source!R47, 2), 2)</f>
        <v>0</v>
      </c>
    </row>
    <row r="110" spans="1:22" ht="14.25" x14ac:dyDescent="0.2">
      <c r="A110" s="301"/>
      <c r="B110" s="302"/>
      <c r="C110" s="302" t="s">
        <v>197</v>
      </c>
      <c r="D110" s="303"/>
      <c r="E110" s="286"/>
      <c r="F110" s="321">
        <v>40.130000000000003</v>
      </c>
      <c r="G110" s="305" t="s">
        <v>195</v>
      </c>
      <c r="H110" s="286">
        <v>1</v>
      </c>
      <c r="I110" s="304">
        <v>40.130000000000003</v>
      </c>
      <c r="J110" s="286">
        <v>23.35</v>
      </c>
      <c r="K110" s="304">
        <v>937.04</v>
      </c>
    </row>
    <row r="111" spans="1:22" ht="14.25" x14ac:dyDescent="0.2">
      <c r="A111" s="301"/>
      <c r="B111" s="302"/>
      <c r="C111" s="302" t="s">
        <v>205</v>
      </c>
      <c r="D111" s="303"/>
      <c r="E111" s="286"/>
      <c r="F111" s="321">
        <v>1.5</v>
      </c>
      <c r="G111" s="305" t="s">
        <v>195</v>
      </c>
      <c r="H111" s="286">
        <v>1</v>
      </c>
      <c r="I111" s="304">
        <v>1.5</v>
      </c>
      <c r="J111" s="286">
        <v>5.42</v>
      </c>
      <c r="K111" s="304">
        <v>8.1300000000000008</v>
      </c>
    </row>
    <row r="112" spans="1:22" ht="14.25" x14ac:dyDescent="0.2">
      <c r="A112" s="301"/>
      <c r="B112" s="302"/>
      <c r="C112" s="302" t="s">
        <v>194</v>
      </c>
      <c r="D112" s="303" t="s">
        <v>187</v>
      </c>
      <c r="E112" s="286">
        <v>112</v>
      </c>
      <c r="F112" s="321"/>
      <c r="G112" s="305"/>
      <c r="H112" s="286"/>
      <c r="I112" s="304">
        <v>45.75</v>
      </c>
      <c r="J112" s="286">
        <v>77</v>
      </c>
      <c r="K112" s="304">
        <v>721.52</v>
      </c>
    </row>
    <row r="113" spans="1:22" ht="14.25" x14ac:dyDescent="0.2">
      <c r="A113" s="301"/>
      <c r="B113" s="302"/>
      <c r="C113" s="302" t="s">
        <v>193</v>
      </c>
      <c r="D113" s="303" t="s">
        <v>187</v>
      </c>
      <c r="E113" s="286">
        <v>70</v>
      </c>
      <c r="F113" s="321"/>
      <c r="G113" s="305"/>
      <c r="H113" s="286"/>
      <c r="I113" s="304">
        <v>26.89</v>
      </c>
      <c r="J113" s="286">
        <v>41</v>
      </c>
      <c r="K113" s="304">
        <v>384.19</v>
      </c>
    </row>
    <row r="114" spans="1:22" ht="14.25" x14ac:dyDescent="0.2">
      <c r="A114" s="329"/>
      <c r="B114" s="330"/>
      <c r="C114" s="330" t="s">
        <v>192</v>
      </c>
      <c r="D114" s="331" t="s">
        <v>191</v>
      </c>
      <c r="E114" s="332">
        <v>3.18</v>
      </c>
      <c r="F114" s="333"/>
      <c r="G114" s="334" t="s">
        <v>195</v>
      </c>
      <c r="H114" s="332">
        <v>1</v>
      </c>
      <c r="I114" s="335">
        <v>3.18</v>
      </c>
      <c r="J114" s="332"/>
      <c r="K114" s="335"/>
    </row>
    <row r="115" spans="1:22" ht="15" x14ac:dyDescent="0.25">
      <c r="A115" s="336"/>
      <c r="B115" s="336"/>
      <c r="C115" s="337" t="s">
        <v>183</v>
      </c>
      <c r="D115" s="336"/>
      <c r="E115" s="336"/>
      <c r="F115" s="336"/>
      <c r="G115" s="336"/>
      <c r="H115" s="461">
        <v>114.27</v>
      </c>
      <c r="I115" s="461"/>
      <c r="J115" s="461">
        <v>2050.88</v>
      </c>
      <c r="K115" s="461"/>
      <c r="O115" s="284">
        <f>I110+I111+I112+I113</f>
        <v>114.27</v>
      </c>
      <c r="P115" s="284">
        <f>K110+K111+K112+K113</f>
        <v>2050.88</v>
      </c>
    </row>
    <row r="117" spans="1:22" ht="42.75" x14ac:dyDescent="0.2">
      <c r="A117" s="301" t="s">
        <v>1867</v>
      </c>
      <c r="B117" s="302" t="s">
        <v>3618</v>
      </c>
      <c r="C117" s="302" t="s">
        <v>1428</v>
      </c>
      <c r="D117" s="303" t="s">
        <v>1903</v>
      </c>
      <c r="E117" s="286">
        <v>1</v>
      </c>
      <c r="F117" s="321"/>
      <c r="G117" s="305"/>
      <c r="H117" s="286"/>
      <c r="I117" s="304"/>
      <c r="J117" s="286"/>
      <c r="K117" s="304"/>
      <c r="Q117" s="281">
        <f>[18]Source!X50</f>
        <v>13.13</v>
      </c>
      <c r="R117" s="281">
        <f>[18]Source!X51</f>
        <v>207.12</v>
      </c>
      <c r="S117" s="281">
        <f>[18]Source!Y50</f>
        <v>7.72</v>
      </c>
      <c r="T117" s="281">
        <f>[18]Source!Y51</f>
        <v>110.29</v>
      </c>
      <c r="U117" s="281">
        <f>ROUND((175/100)*ROUND([18]Source!R50, 2), 2)</f>
        <v>4.92</v>
      </c>
      <c r="V117" s="281">
        <f>ROUND((157/100)*ROUND([18]Source!R51, 2), 2)</f>
        <v>103.01</v>
      </c>
    </row>
    <row r="118" spans="1:22" ht="14.25" x14ac:dyDescent="0.2">
      <c r="A118" s="301"/>
      <c r="B118" s="302"/>
      <c r="C118" s="302" t="s">
        <v>197</v>
      </c>
      <c r="D118" s="303"/>
      <c r="E118" s="286"/>
      <c r="F118" s="321">
        <v>11.52</v>
      </c>
      <c r="G118" s="305" t="s">
        <v>195</v>
      </c>
      <c r="H118" s="286">
        <v>1</v>
      </c>
      <c r="I118" s="304">
        <v>11.52</v>
      </c>
      <c r="J118" s="286">
        <v>23.35</v>
      </c>
      <c r="K118" s="304">
        <v>268.99</v>
      </c>
    </row>
    <row r="119" spans="1:22" ht="14.25" x14ac:dyDescent="0.2">
      <c r="A119" s="301"/>
      <c r="B119" s="302"/>
      <c r="C119" s="302" t="s">
        <v>184</v>
      </c>
      <c r="D119" s="303"/>
      <c r="E119" s="286"/>
      <c r="F119" s="321">
        <v>11.91</v>
      </c>
      <c r="G119" s="305" t="s">
        <v>195</v>
      </c>
      <c r="H119" s="286">
        <v>1</v>
      </c>
      <c r="I119" s="304">
        <v>11.91</v>
      </c>
      <c r="J119" s="286">
        <v>9.6</v>
      </c>
      <c r="K119" s="304">
        <v>114.34</v>
      </c>
    </row>
    <row r="120" spans="1:22" ht="14.25" x14ac:dyDescent="0.2">
      <c r="A120" s="301"/>
      <c r="B120" s="302"/>
      <c r="C120" s="302" t="s">
        <v>189</v>
      </c>
      <c r="D120" s="303"/>
      <c r="E120" s="286"/>
      <c r="F120" s="321">
        <v>2.81</v>
      </c>
      <c r="G120" s="305" t="s">
        <v>195</v>
      </c>
      <c r="H120" s="286">
        <v>1</v>
      </c>
      <c r="I120" s="306">
        <v>2.81</v>
      </c>
      <c r="J120" s="286">
        <v>23.35</v>
      </c>
      <c r="K120" s="306">
        <v>65.61</v>
      </c>
    </row>
    <row r="121" spans="1:22" ht="14.25" x14ac:dyDescent="0.2">
      <c r="A121" s="301"/>
      <c r="B121" s="302"/>
      <c r="C121" s="302" t="s">
        <v>205</v>
      </c>
      <c r="D121" s="303"/>
      <c r="E121" s="286"/>
      <c r="F121" s="321">
        <v>0.14000000000000001</v>
      </c>
      <c r="G121" s="305" t="s">
        <v>195</v>
      </c>
      <c r="H121" s="286">
        <v>1</v>
      </c>
      <c r="I121" s="304">
        <v>0.14000000000000001</v>
      </c>
      <c r="J121" s="286">
        <v>5.43</v>
      </c>
      <c r="K121" s="304">
        <v>0.76</v>
      </c>
    </row>
    <row r="122" spans="1:22" ht="14.25" x14ac:dyDescent="0.2">
      <c r="A122" s="301"/>
      <c r="B122" s="302"/>
      <c r="C122" s="302" t="s">
        <v>194</v>
      </c>
      <c r="D122" s="303" t="s">
        <v>187</v>
      </c>
      <c r="E122" s="286">
        <v>112</v>
      </c>
      <c r="F122" s="321"/>
      <c r="G122" s="305"/>
      <c r="H122" s="286"/>
      <c r="I122" s="304">
        <v>13.13</v>
      </c>
      <c r="J122" s="286">
        <v>77</v>
      </c>
      <c r="K122" s="304">
        <v>207.12</v>
      </c>
    </row>
    <row r="123" spans="1:22" ht="14.25" x14ac:dyDescent="0.2">
      <c r="A123" s="301"/>
      <c r="B123" s="302"/>
      <c r="C123" s="302" t="s">
        <v>193</v>
      </c>
      <c r="D123" s="303" t="s">
        <v>187</v>
      </c>
      <c r="E123" s="286">
        <v>70</v>
      </c>
      <c r="F123" s="321"/>
      <c r="G123" s="305"/>
      <c r="H123" s="286"/>
      <c r="I123" s="304">
        <v>7.72</v>
      </c>
      <c r="J123" s="286">
        <v>41</v>
      </c>
      <c r="K123" s="304">
        <v>110.29</v>
      </c>
    </row>
    <row r="124" spans="1:22" ht="14.25" x14ac:dyDescent="0.2">
      <c r="A124" s="301"/>
      <c r="B124" s="302"/>
      <c r="C124" s="302" t="s">
        <v>188</v>
      </c>
      <c r="D124" s="303" t="s">
        <v>187</v>
      </c>
      <c r="E124" s="286">
        <v>175</v>
      </c>
      <c r="F124" s="321"/>
      <c r="G124" s="305"/>
      <c r="H124" s="286"/>
      <c r="I124" s="304">
        <v>4.92</v>
      </c>
      <c r="J124" s="286">
        <v>157</v>
      </c>
      <c r="K124" s="304">
        <v>103.01</v>
      </c>
    </row>
    <row r="125" spans="1:22" ht="14.25" x14ac:dyDescent="0.2">
      <c r="A125" s="329"/>
      <c r="B125" s="330"/>
      <c r="C125" s="330" t="s">
        <v>192</v>
      </c>
      <c r="D125" s="331" t="s">
        <v>191</v>
      </c>
      <c r="E125" s="332">
        <v>1.03</v>
      </c>
      <c r="F125" s="333"/>
      <c r="G125" s="334" t="s">
        <v>195</v>
      </c>
      <c r="H125" s="332">
        <v>1</v>
      </c>
      <c r="I125" s="335">
        <v>1.03</v>
      </c>
      <c r="J125" s="332"/>
      <c r="K125" s="335"/>
    </row>
    <row r="126" spans="1:22" ht="15" x14ac:dyDescent="0.25">
      <c r="A126" s="336"/>
      <c r="B126" s="336"/>
      <c r="C126" s="337" t="s">
        <v>183</v>
      </c>
      <c r="D126" s="336"/>
      <c r="E126" s="336"/>
      <c r="F126" s="336"/>
      <c r="G126" s="336"/>
      <c r="H126" s="461">
        <v>49.34</v>
      </c>
      <c r="I126" s="461"/>
      <c r="J126" s="461">
        <v>804.51</v>
      </c>
      <c r="K126" s="461"/>
      <c r="O126" s="284">
        <f>I118+I119+I121+I122+I123+I124</f>
        <v>49.34</v>
      </c>
      <c r="P126" s="284">
        <f>K118+K119+K121+K122+K123+K124</f>
        <v>804.51</v>
      </c>
    </row>
    <row r="128" spans="1:22" ht="28.5" x14ac:dyDescent="0.2">
      <c r="A128" s="301" t="s">
        <v>1870</v>
      </c>
      <c r="B128" s="302" t="s">
        <v>3470</v>
      </c>
      <c r="C128" s="302" t="s">
        <v>1122</v>
      </c>
      <c r="D128" s="303" t="s">
        <v>1890</v>
      </c>
      <c r="E128" s="286">
        <v>1.1000000000000001</v>
      </c>
      <c r="F128" s="321"/>
      <c r="G128" s="305"/>
      <c r="H128" s="286"/>
      <c r="I128" s="304"/>
      <c r="J128" s="286"/>
      <c r="K128" s="304"/>
      <c r="Q128" s="281">
        <f>[18]Source!X52</f>
        <v>285.27</v>
      </c>
      <c r="R128" s="281">
        <f>[18]Source!X53</f>
        <v>4499.1899999999996</v>
      </c>
      <c r="S128" s="281">
        <f>[18]Source!Y52</f>
        <v>167.66</v>
      </c>
      <c r="T128" s="281">
        <f>[18]Source!Y53</f>
        <v>2395.67</v>
      </c>
      <c r="U128" s="281">
        <f>ROUND((175/100)*ROUND([18]Source!R52, 2), 2)</f>
        <v>2.2799999999999998</v>
      </c>
      <c r="V128" s="281">
        <f>ROUND((157/100)*ROUND([18]Source!R53, 2), 2)</f>
        <v>47.67</v>
      </c>
    </row>
    <row r="129" spans="1:22" x14ac:dyDescent="0.2">
      <c r="C129" s="316" t="s">
        <v>3664</v>
      </c>
    </row>
    <row r="130" spans="1:22" ht="14.25" x14ac:dyDescent="0.2">
      <c r="A130" s="301"/>
      <c r="B130" s="302"/>
      <c r="C130" s="302" t="s">
        <v>197</v>
      </c>
      <c r="D130" s="303"/>
      <c r="E130" s="286"/>
      <c r="F130" s="321">
        <v>227.49</v>
      </c>
      <c r="G130" s="305" t="s">
        <v>195</v>
      </c>
      <c r="H130" s="286">
        <v>1</v>
      </c>
      <c r="I130" s="304">
        <v>250.24</v>
      </c>
      <c r="J130" s="286">
        <v>23.35</v>
      </c>
      <c r="K130" s="304">
        <v>5843.1</v>
      </c>
    </row>
    <row r="131" spans="1:22" ht="14.25" x14ac:dyDescent="0.2">
      <c r="A131" s="301"/>
      <c r="B131" s="302"/>
      <c r="C131" s="302" t="s">
        <v>184</v>
      </c>
      <c r="D131" s="303"/>
      <c r="E131" s="286"/>
      <c r="F131" s="321">
        <v>6.98</v>
      </c>
      <c r="G131" s="305" t="s">
        <v>195</v>
      </c>
      <c r="H131" s="286">
        <v>1</v>
      </c>
      <c r="I131" s="304">
        <v>7.68</v>
      </c>
      <c r="J131" s="286">
        <v>8.39</v>
      </c>
      <c r="K131" s="304">
        <v>64.44</v>
      </c>
    </row>
    <row r="132" spans="1:22" ht="14.25" x14ac:dyDescent="0.2">
      <c r="A132" s="301"/>
      <c r="B132" s="302"/>
      <c r="C132" s="302" t="s">
        <v>189</v>
      </c>
      <c r="D132" s="303"/>
      <c r="E132" s="286"/>
      <c r="F132" s="321">
        <v>1.18</v>
      </c>
      <c r="G132" s="305" t="s">
        <v>195</v>
      </c>
      <c r="H132" s="286">
        <v>1</v>
      </c>
      <c r="I132" s="306">
        <v>1.3</v>
      </c>
      <c r="J132" s="286">
        <v>23.35</v>
      </c>
      <c r="K132" s="306">
        <v>30.36</v>
      </c>
    </row>
    <row r="133" spans="1:22" ht="14.25" x14ac:dyDescent="0.2">
      <c r="A133" s="301"/>
      <c r="B133" s="302"/>
      <c r="C133" s="302" t="s">
        <v>205</v>
      </c>
      <c r="D133" s="303"/>
      <c r="E133" s="286"/>
      <c r="F133" s="321">
        <v>2.4700000000000002</v>
      </c>
      <c r="G133" s="305" t="s">
        <v>195</v>
      </c>
      <c r="H133" s="286">
        <v>1</v>
      </c>
      <c r="I133" s="304">
        <v>2.72</v>
      </c>
      <c r="J133" s="286">
        <v>5.42</v>
      </c>
      <c r="K133" s="304">
        <v>14.74</v>
      </c>
    </row>
    <row r="134" spans="1:22" ht="14.25" x14ac:dyDescent="0.2">
      <c r="A134" s="301"/>
      <c r="B134" s="302"/>
      <c r="C134" s="302" t="s">
        <v>194</v>
      </c>
      <c r="D134" s="303" t="s">
        <v>187</v>
      </c>
      <c r="E134" s="286">
        <v>112</v>
      </c>
      <c r="F134" s="321"/>
      <c r="G134" s="305"/>
      <c r="H134" s="286"/>
      <c r="I134" s="304">
        <v>285.27</v>
      </c>
      <c r="J134" s="286">
        <v>77</v>
      </c>
      <c r="K134" s="304">
        <v>4499.1899999999996</v>
      </c>
    </row>
    <row r="135" spans="1:22" ht="14.25" x14ac:dyDescent="0.2">
      <c r="A135" s="301"/>
      <c r="B135" s="302"/>
      <c r="C135" s="302" t="s">
        <v>193</v>
      </c>
      <c r="D135" s="303" t="s">
        <v>187</v>
      </c>
      <c r="E135" s="286">
        <v>70</v>
      </c>
      <c r="F135" s="321"/>
      <c r="G135" s="305"/>
      <c r="H135" s="286"/>
      <c r="I135" s="304">
        <v>167.66</v>
      </c>
      <c r="J135" s="286">
        <v>41</v>
      </c>
      <c r="K135" s="304">
        <v>2395.67</v>
      </c>
    </row>
    <row r="136" spans="1:22" ht="14.25" x14ac:dyDescent="0.2">
      <c r="A136" s="301"/>
      <c r="B136" s="302"/>
      <c r="C136" s="302" t="s">
        <v>188</v>
      </c>
      <c r="D136" s="303" t="s">
        <v>187</v>
      </c>
      <c r="E136" s="286">
        <v>175</v>
      </c>
      <c r="F136" s="321"/>
      <c r="G136" s="305"/>
      <c r="H136" s="286"/>
      <c r="I136" s="304">
        <v>2.2799999999999998</v>
      </c>
      <c r="J136" s="286">
        <v>157</v>
      </c>
      <c r="K136" s="304">
        <v>47.67</v>
      </c>
    </row>
    <row r="137" spans="1:22" ht="14.25" x14ac:dyDescent="0.2">
      <c r="A137" s="329"/>
      <c r="B137" s="330"/>
      <c r="C137" s="330" t="s">
        <v>192</v>
      </c>
      <c r="D137" s="331" t="s">
        <v>191</v>
      </c>
      <c r="E137" s="332">
        <v>14.64</v>
      </c>
      <c r="F137" s="333"/>
      <c r="G137" s="334" t="s">
        <v>195</v>
      </c>
      <c r="H137" s="332">
        <v>1</v>
      </c>
      <c r="I137" s="335">
        <v>16.100000000000001</v>
      </c>
      <c r="J137" s="332"/>
      <c r="K137" s="335"/>
    </row>
    <row r="138" spans="1:22" ht="15" x14ac:dyDescent="0.25">
      <c r="A138" s="336"/>
      <c r="B138" s="336"/>
      <c r="C138" s="337" t="s">
        <v>183</v>
      </c>
      <c r="D138" s="336"/>
      <c r="E138" s="336"/>
      <c r="F138" s="336"/>
      <c r="G138" s="336"/>
      <c r="H138" s="461">
        <v>715.85</v>
      </c>
      <c r="I138" s="461"/>
      <c r="J138" s="461">
        <v>12864.81</v>
      </c>
      <c r="K138" s="461"/>
      <c r="O138" s="284">
        <f>I130+I131+I133+I134+I135+I136</f>
        <v>715.85</v>
      </c>
      <c r="P138" s="284">
        <f>K130+K131+K133+K134+K135+K136</f>
        <v>12864.81</v>
      </c>
    </row>
    <row r="140" spans="1:22" ht="14.25" x14ac:dyDescent="0.2">
      <c r="A140" s="301" t="s">
        <v>1877</v>
      </c>
      <c r="B140" s="302" t="s">
        <v>3665</v>
      </c>
      <c r="C140" s="302" t="s">
        <v>1425</v>
      </c>
      <c r="D140" s="303" t="s">
        <v>1903</v>
      </c>
      <c r="E140" s="286">
        <v>15</v>
      </c>
      <c r="F140" s="321"/>
      <c r="G140" s="305"/>
      <c r="H140" s="286"/>
      <c r="I140" s="304"/>
      <c r="J140" s="286"/>
      <c r="K140" s="304"/>
      <c r="Q140" s="281">
        <f>[18]Source!X54</f>
        <v>431.6</v>
      </c>
      <c r="R140" s="281">
        <f>[18]Source!X55</f>
        <v>6807.04</v>
      </c>
      <c r="S140" s="281">
        <f>[18]Source!Y54</f>
        <v>253.66</v>
      </c>
      <c r="T140" s="281">
        <f>[18]Source!Y55</f>
        <v>3624.53</v>
      </c>
      <c r="U140" s="281">
        <f>ROUND((175/100)*ROUND([18]Source!R54, 2), 2)</f>
        <v>0</v>
      </c>
      <c r="V140" s="281">
        <f>ROUND((157/100)*ROUND([18]Source!R55, 2), 2)</f>
        <v>0</v>
      </c>
    </row>
    <row r="141" spans="1:22" ht="14.25" x14ac:dyDescent="0.2">
      <c r="A141" s="301"/>
      <c r="B141" s="302"/>
      <c r="C141" s="302" t="s">
        <v>197</v>
      </c>
      <c r="D141" s="303"/>
      <c r="E141" s="286"/>
      <c r="F141" s="321">
        <v>25.24</v>
      </c>
      <c r="G141" s="305" t="s">
        <v>195</v>
      </c>
      <c r="H141" s="286">
        <v>1</v>
      </c>
      <c r="I141" s="304">
        <v>378.6</v>
      </c>
      <c r="J141" s="286">
        <v>23.35</v>
      </c>
      <c r="K141" s="304">
        <v>8840.31</v>
      </c>
    </row>
    <row r="142" spans="1:22" ht="14.25" x14ac:dyDescent="0.2">
      <c r="A142" s="301"/>
      <c r="B142" s="302"/>
      <c r="C142" s="302" t="s">
        <v>205</v>
      </c>
      <c r="D142" s="303"/>
      <c r="E142" s="286"/>
      <c r="F142" s="321">
        <v>13.16</v>
      </c>
      <c r="G142" s="305" t="s">
        <v>195</v>
      </c>
      <c r="H142" s="286">
        <v>1</v>
      </c>
      <c r="I142" s="304">
        <v>197.4</v>
      </c>
      <c r="J142" s="286">
        <v>5.42</v>
      </c>
      <c r="K142" s="304">
        <v>1069.9100000000001</v>
      </c>
    </row>
    <row r="143" spans="1:22" ht="14.25" x14ac:dyDescent="0.2">
      <c r="A143" s="301" t="s">
        <v>2116</v>
      </c>
      <c r="B143" s="302" t="s">
        <v>3666</v>
      </c>
      <c r="C143" s="302" t="s">
        <v>1427</v>
      </c>
      <c r="D143" s="303" t="s">
        <v>1661</v>
      </c>
      <c r="E143" s="286">
        <v>15</v>
      </c>
      <c r="F143" s="321">
        <v>53.88</v>
      </c>
      <c r="G143" s="315" t="s">
        <v>195</v>
      </c>
      <c r="H143" s="286">
        <v>1</v>
      </c>
      <c r="I143" s="304">
        <v>808.2</v>
      </c>
      <c r="J143" s="286">
        <v>1.29</v>
      </c>
      <c r="K143" s="304">
        <v>1042.58</v>
      </c>
      <c r="Q143" s="281">
        <f>[18]Source!X56</f>
        <v>0</v>
      </c>
      <c r="R143" s="281">
        <f>[18]Source!X57</f>
        <v>0</v>
      </c>
      <c r="S143" s="281">
        <f>[18]Source!Y56</f>
        <v>0</v>
      </c>
      <c r="T143" s="281">
        <f>[18]Source!Y57</f>
        <v>0</v>
      </c>
      <c r="U143" s="281">
        <f>ROUND((175/100)*ROUND([18]Source!R56, 2), 2)</f>
        <v>0</v>
      </c>
      <c r="V143" s="281">
        <f>ROUND((157/100)*ROUND([18]Source!R57, 2), 2)</f>
        <v>0</v>
      </c>
    </row>
    <row r="144" spans="1:22" ht="14.25" x14ac:dyDescent="0.2">
      <c r="A144" s="301"/>
      <c r="B144" s="302"/>
      <c r="C144" s="302" t="s">
        <v>194</v>
      </c>
      <c r="D144" s="303" t="s">
        <v>187</v>
      </c>
      <c r="E144" s="286">
        <v>112</v>
      </c>
      <c r="F144" s="321"/>
      <c r="G144" s="305"/>
      <c r="H144" s="286"/>
      <c r="I144" s="304">
        <v>431.6</v>
      </c>
      <c r="J144" s="286">
        <v>77</v>
      </c>
      <c r="K144" s="304">
        <v>6807.04</v>
      </c>
    </row>
    <row r="145" spans="1:22" ht="14.25" x14ac:dyDescent="0.2">
      <c r="A145" s="301"/>
      <c r="B145" s="302"/>
      <c r="C145" s="302" t="s">
        <v>193</v>
      </c>
      <c r="D145" s="303" t="s">
        <v>187</v>
      </c>
      <c r="E145" s="286">
        <v>70</v>
      </c>
      <c r="F145" s="321"/>
      <c r="G145" s="305"/>
      <c r="H145" s="286"/>
      <c r="I145" s="304">
        <v>253.66</v>
      </c>
      <c r="J145" s="286">
        <v>41</v>
      </c>
      <c r="K145" s="304">
        <v>3624.53</v>
      </c>
    </row>
    <row r="146" spans="1:22" ht="14.25" x14ac:dyDescent="0.2">
      <c r="A146" s="329"/>
      <c r="B146" s="330"/>
      <c r="C146" s="330" t="s">
        <v>192</v>
      </c>
      <c r="D146" s="331" t="s">
        <v>191</v>
      </c>
      <c r="E146" s="332">
        <v>2</v>
      </c>
      <c r="F146" s="333"/>
      <c r="G146" s="334" t="s">
        <v>195</v>
      </c>
      <c r="H146" s="332">
        <v>1</v>
      </c>
      <c r="I146" s="335">
        <v>30</v>
      </c>
      <c r="J146" s="332"/>
      <c r="K146" s="335"/>
    </row>
    <row r="147" spans="1:22" ht="15" x14ac:dyDescent="0.25">
      <c r="A147" s="336"/>
      <c r="B147" s="336"/>
      <c r="C147" s="337" t="s">
        <v>183</v>
      </c>
      <c r="D147" s="336"/>
      <c r="E147" s="336"/>
      <c r="F147" s="336"/>
      <c r="G147" s="336"/>
      <c r="H147" s="461">
        <v>2069.46</v>
      </c>
      <c r="I147" s="461"/>
      <c r="J147" s="461">
        <v>21384.37</v>
      </c>
      <c r="K147" s="461"/>
      <c r="O147" s="284">
        <f>I141+I142+I144+I145+SUM(I143:I143)</f>
        <v>2069.46</v>
      </c>
      <c r="P147" s="284">
        <f>K141+K142+K144+K145+SUM(K143:K143)</f>
        <v>21384.37</v>
      </c>
    </row>
    <row r="149" spans="1:22" ht="57" x14ac:dyDescent="0.2">
      <c r="A149" s="301" t="s">
        <v>1889</v>
      </c>
      <c r="B149" s="302" t="s">
        <v>3622</v>
      </c>
      <c r="C149" s="302" t="s">
        <v>1243</v>
      </c>
      <c r="D149" s="303" t="s">
        <v>1903</v>
      </c>
      <c r="E149" s="286">
        <v>19</v>
      </c>
      <c r="F149" s="321"/>
      <c r="G149" s="305"/>
      <c r="H149" s="286"/>
      <c r="I149" s="304"/>
      <c r="J149" s="286"/>
      <c r="K149" s="304"/>
      <c r="Q149" s="281">
        <f>[18]Source!X58</f>
        <v>459.19</v>
      </c>
      <c r="R149" s="281">
        <f>[18]Source!X59</f>
        <v>7242.14</v>
      </c>
      <c r="S149" s="281">
        <f>[18]Source!Y58</f>
        <v>269.88</v>
      </c>
      <c r="T149" s="281">
        <f>[18]Source!Y59</f>
        <v>3856.21</v>
      </c>
      <c r="U149" s="281">
        <f>ROUND((175/100)*ROUND([18]Source!R58, 2), 2)</f>
        <v>0.33</v>
      </c>
      <c r="V149" s="281">
        <f>ROUND((157/100)*ROUND([18]Source!R59, 2), 2)</f>
        <v>6.97</v>
      </c>
    </row>
    <row r="150" spans="1:22" ht="14.25" x14ac:dyDescent="0.2">
      <c r="A150" s="301"/>
      <c r="B150" s="302"/>
      <c r="C150" s="302" t="s">
        <v>197</v>
      </c>
      <c r="D150" s="303"/>
      <c r="E150" s="286"/>
      <c r="F150" s="321">
        <v>21.2</v>
      </c>
      <c r="G150" s="305" t="s">
        <v>195</v>
      </c>
      <c r="H150" s="286">
        <v>1</v>
      </c>
      <c r="I150" s="304">
        <v>402.8</v>
      </c>
      <c r="J150" s="286">
        <v>23.35</v>
      </c>
      <c r="K150" s="304">
        <v>9405.3799999999992</v>
      </c>
    </row>
    <row r="151" spans="1:22" ht="14.25" x14ac:dyDescent="0.2">
      <c r="A151" s="301"/>
      <c r="B151" s="302"/>
      <c r="C151" s="302" t="s">
        <v>184</v>
      </c>
      <c r="D151" s="303"/>
      <c r="E151" s="286"/>
      <c r="F151" s="321">
        <v>0.06</v>
      </c>
      <c r="G151" s="305" t="s">
        <v>195</v>
      </c>
      <c r="H151" s="286">
        <v>1</v>
      </c>
      <c r="I151" s="304">
        <v>1.1399999999999999</v>
      </c>
      <c r="J151" s="286">
        <v>8.33</v>
      </c>
      <c r="K151" s="304">
        <v>9.5</v>
      </c>
    </row>
    <row r="152" spans="1:22" ht="14.25" x14ac:dyDescent="0.2">
      <c r="A152" s="301"/>
      <c r="B152" s="302"/>
      <c r="C152" s="302" t="s">
        <v>189</v>
      </c>
      <c r="D152" s="303"/>
      <c r="E152" s="286"/>
      <c r="F152" s="321">
        <v>0.01</v>
      </c>
      <c r="G152" s="305" t="s">
        <v>195</v>
      </c>
      <c r="H152" s="286">
        <v>1</v>
      </c>
      <c r="I152" s="306">
        <v>0.19</v>
      </c>
      <c r="J152" s="286">
        <v>23.35</v>
      </c>
      <c r="K152" s="306">
        <v>4.4400000000000004</v>
      </c>
    </row>
    <row r="153" spans="1:22" ht="14.25" x14ac:dyDescent="0.2">
      <c r="A153" s="301"/>
      <c r="B153" s="302"/>
      <c r="C153" s="302" t="s">
        <v>205</v>
      </c>
      <c r="D153" s="303"/>
      <c r="E153" s="286"/>
      <c r="F153" s="321">
        <v>1.26</v>
      </c>
      <c r="G153" s="305" t="s">
        <v>195</v>
      </c>
      <c r="H153" s="286">
        <v>1</v>
      </c>
      <c r="I153" s="304">
        <v>23.94</v>
      </c>
      <c r="J153" s="286">
        <v>5.42</v>
      </c>
      <c r="K153" s="304">
        <v>129.75</v>
      </c>
    </row>
    <row r="154" spans="1:22" ht="39.75" x14ac:dyDescent="0.2">
      <c r="A154" s="301" t="s">
        <v>1892</v>
      </c>
      <c r="B154" s="302" t="s">
        <v>3441</v>
      </c>
      <c r="C154" s="302" t="s">
        <v>1426</v>
      </c>
      <c r="D154" s="303" t="s">
        <v>1661</v>
      </c>
      <c r="E154" s="286">
        <v>19</v>
      </c>
      <c r="F154" s="321">
        <v>22.27</v>
      </c>
      <c r="G154" s="315" t="s">
        <v>195</v>
      </c>
      <c r="H154" s="286">
        <v>1</v>
      </c>
      <c r="I154" s="304">
        <v>423.13</v>
      </c>
      <c r="J154" s="286">
        <v>5.42</v>
      </c>
      <c r="K154" s="304">
        <v>2293.36</v>
      </c>
      <c r="Q154" s="281">
        <f>[18]Source!X60</f>
        <v>0</v>
      </c>
      <c r="R154" s="281">
        <f>[18]Source!X61</f>
        <v>0</v>
      </c>
      <c r="S154" s="281">
        <f>[18]Source!Y60</f>
        <v>0</v>
      </c>
      <c r="T154" s="281">
        <f>[18]Source!Y61</f>
        <v>0</v>
      </c>
      <c r="U154" s="281">
        <f>ROUND((175/100)*ROUND([18]Source!R60, 2), 2)</f>
        <v>0</v>
      </c>
      <c r="V154" s="281">
        <f>ROUND((157/100)*ROUND([18]Source!R61, 2), 2)</f>
        <v>0</v>
      </c>
    </row>
    <row r="155" spans="1:22" ht="14.25" x14ac:dyDescent="0.2">
      <c r="A155" s="301"/>
      <c r="B155" s="302"/>
      <c r="C155" s="302" t="s">
        <v>194</v>
      </c>
      <c r="D155" s="303" t="s">
        <v>187</v>
      </c>
      <c r="E155" s="286">
        <v>112</v>
      </c>
      <c r="F155" s="321"/>
      <c r="G155" s="305"/>
      <c r="H155" s="286"/>
      <c r="I155" s="304">
        <v>459.19</v>
      </c>
      <c r="J155" s="286">
        <v>77</v>
      </c>
      <c r="K155" s="304">
        <v>7242.14</v>
      </c>
    </row>
    <row r="156" spans="1:22" ht="14.25" x14ac:dyDescent="0.2">
      <c r="A156" s="301"/>
      <c r="B156" s="302"/>
      <c r="C156" s="302" t="s">
        <v>193</v>
      </c>
      <c r="D156" s="303" t="s">
        <v>187</v>
      </c>
      <c r="E156" s="286">
        <v>70</v>
      </c>
      <c r="F156" s="321"/>
      <c r="G156" s="305"/>
      <c r="H156" s="286"/>
      <c r="I156" s="304">
        <v>269.88</v>
      </c>
      <c r="J156" s="286">
        <v>41</v>
      </c>
      <c r="K156" s="304">
        <v>3856.21</v>
      </c>
    </row>
    <row r="157" spans="1:22" ht="14.25" x14ac:dyDescent="0.2">
      <c r="A157" s="301"/>
      <c r="B157" s="302"/>
      <c r="C157" s="302" t="s">
        <v>188</v>
      </c>
      <c r="D157" s="303" t="s">
        <v>187</v>
      </c>
      <c r="E157" s="286">
        <v>175</v>
      </c>
      <c r="F157" s="321"/>
      <c r="G157" s="305"/>
      <c r="H157" s="286"/>
      <c r="I157" s="304">
        <v>0.33</v>
      </c>
      <c r="J157" s="286">
        <v>157</v>
      </c>
      <c r="K157" s="304">
        <v>6.97</v>
      </c>
    </row>
    <row r="158" spans="1:22" ht="14.25" x14ac:dyDescent="0.2">
      <c r="A158" s="329"/>
      <c r="B158" s="330"/>
      <c r="C158" s="330" t="s">
        <v>192</v>
      </c>
      <c r="D158" s="331" t="s">
        <v>191</v>
      </c>
      <c r="E158" s="332">
        <v>1.68</v>
      </c>
      <c r="F158" s="333"/>
      <c r="G158" s="334" t="s">
        <v>195</v>
      </c>
      <c r="H158" s="332">
        <v>1</v>
      </c>
      <c r="I158" s="335">
        <v>31.92</v>
      </c>
      <c r="J158" s="332"/>
      <c r="K158" s="335"/>
    </row>
    <row r="159" spans="1:22" ht="15" x14ac:dyDescent="0.25">
      <c r="A159" s="336"/>
      <c r="B159" s="336"/>
      <c r="C159" s="337" t="s">
        <v>183</v>
      </c>
      <c r="D159" s="336"/>
      <c r="E159" s="336"/>
      <c r="F159" s="336"/>
      <c r="G159" s="336"/>
      <c r="H159" s="461">
        <v>1580.41</v>
      </c>
      <c r="I159" s="461"/>
      <c r="J159" s="461">
        <v>22943.31</v>
      </c>
      <c r="K159" s="461"/>
      <c r="O159" s="284">
        <f>I150+I151+I153+I155+I156+I157+SUM(I154:I154)</f>
        <v>1580.41</v>
      </c>
      <c r="P159" s="284">
        <f>K150+K151+K153+K155+K156+K157+SUM(K154:K154)</f>
        <v>22943.31</v>
      </c>
    </row>
    <row r="161" spans="1:22" ht="14.25" x14ac:dyDescent="0.2">
      <c r="A161" s="301" t="s">
        <v>1894</v>
      </c>
      <c r="B161" s="302" t="s">
        <v>3665</v>
      </c>
      <c r="C161" s="302" t="s">
        <v>1425</v>
      </c>
      <c r="D161" s="303" t="s">
        <v>1903</v>
      </c>
      <c r="E161" s="286">
        <v>6</v>
      </c>
      <c r="F161" s="321"/>
      <c r="G161" s="305"/>
      <c r="H161" s="286"/>
      <c r="I161" s="304"/>
      <c r="J161" s="286"/>
      <c r="K161" s="304"/>
      <c r="Q161" s="281">
        <f>[18]Source!X64</f>
        <v>172.64</v>
      </c>
      <c r="R161" s="281">
        <f>[18]Source!X65</f>
        <v>2722.81</v>
      </c>
      <c r="S161" s="281">
        <f>[18]Source!Y64</f>
        <v>101.46</v>
      </c>
      <c r="T161" s="281">
        <f>[18]Source!Y65</f>
        <v>1449.81</v>
      </c>
      <c r="U161" s="281">
        <f>ROUND((175/100)*ROUND([18]Source!R64, 2), 2)</f>
        <v>0</v>
      </c>
      <c r="V161" s="281">
        <f>ROUND((157/100)*ROUND([18]Source!R65, 2), 2)</f>
        <v>0</v>
      </c>
    </row>
    <row r="162" spans="1:22" ht="14.25" x14ac:dyDescent="0.2">
      <c r="A162" s="301"/>
      <c r="B162" s="302"/>
      <c r="C162" s="302" t="s">
        <v>197</v>
      </c>
      <c r="D162" s="303"/>
      <c r="E162" s="286"/>
      <c r="F162" s="321">
        <v>25.24</v>
      </c>
      <c r="G162" s="305" t="s">
        <v>195</v>
      </c>
      <c r="H162" s="286">
        <v>1</v>
      </c>
      <c r="I162" s="304">
        <v>151.44</v>
      </c>
      <c r="J162" s="286">
        <v>23.35</v>
      </c>
      <c r="K162" s="304">
        <v>3536.12</v>
      </c>
    </row>
    <row r="163" spans="1:22" ht="14.25" x14ac:dyDescent="0.2">
      <c r="A163" s="301"/>
      <c r="B163" s="302"/>
      <c r="C163" s="302" t="s">
        <v>205</v>
      </c>
      <c r="D163" s="303"/>
      <c r="E163" s="286"/>
      <c r="F163" s="321">
        <v>13.16</v>
      </c>
      <c r="G163" s="305" t="s">
        <v>195</v>
      </c>
      <c r="H163" s="286">
        <v>1</v>
      </c>
      <c r="I163" s="304">
        <v>78.959999999999994</v>
      </c>
      <c r="J163" s="286">
        <v>5.42</v>
      </c>
      <c r="K163" s="304">
        <v>427.96</v>
      </c>
    </row>
    <row r="164" spans="1:22" ht="39.75" x14ac:dyDescent="0.2">
      <c r="A164" s="301" t="s">
        <v>1896</v>
      </c>
      <c r="B164" s="302" t="s">
        <v>3441</v>
      </c>
      <c r="C164" s="302" t="s">
        <v>1424</v>
      </c>
      <c r="D164" s="303" t="s">
        <v>1661</v>
      </c>
      <c r="E164" s="286">
        <v>6</v>
      </c>
      <c r="F164" s="321">
        <v>21.48</v>
      </c>
      <c r="G164" s="315" t="s">
        <v>195</v>
      </c>
      <c r="H164" s="286">
        <v>1</v>
      </c>
      <c r="I164" s="304">
        <v>128.88</v>
      </c>
      <c r="J164" s="286">
        <v>5.42</v>
      </c>
      <c r="K164" s="304">
        <v>698.53</v>
      </c>
      <c r="Q164" s="281">
        <f>[18]Source!X66</f>
        <v>0</v>
      </c>
      <c r="R164" s="281">
        <f>[18]Source!X67</f>
        <v>0</v>
      </c>
      <c r="S164" s="281">
        <f>[18]Source!Y66</f>
        <v>0</v>
      </c>
      <c r="T164" s="281">
        <f>[18]Source!Y67</f>
        <v>0</v>
      </c>
      <c r="U164" s="281">
        <f>ROUND((175/100)*ROUND([18]Source!R66, 2), 2)</f>
        <v>0</v>
      </c>
      <c r="V164" s="281">
        <f>ROUND((157/100)*ROUND([18]Source!R67, 2), 2)</f>
        <v>0</v>
      </c>
    </row>
    <row r="165" spans="1:22" ht="14.25" x14ac:dyDescent="0.2">
      <c r="A165" s="301"/>
      <c r="B165" s="302"/>
      <c r="C165" s="302" t="s">
        <v>194</v>
      </c>
      <c r="D165" s="303" t="s">
        <v>187</v>
      </c>
      <c r="E165" s="286">
        <v>112</v>
      </c>
      <c r="F165" s="321"/>
      <c r="G165" s="305"/>
      <c r="H165" s="286"/>
      <c r="I165" s="304">
        <v>172.64</v>
      </c>
      <c r="J165" s="286">
        <v>77</v>
      </c>
      <c r="K165" s="304">
        <v>2722.81</v>
      </c>
    </row>
    <row r="166" spans="1:22" ht="14.25" x14ac:dyDescent="0.2">
      <c r="A166" s="301"/>
      <c r="B166" s="302"/>
      <c r="C166" s="302" t="s">
        <v>193</v>
      </c>
      <c r="D166" s="303" t="s">
        <v>187</v>
      </c>
      <c r="E166" s="286">
        <v>70</v>
      </c>
      <c r="F166" s="321"/>
      <c r="G166" s="305"/>
      <c r="H166" s="286"/>
      <c r="I166" s="304">
        <v>101.46</v>
      </c>
      <c r="J166" s="286">
        <v>41</v>
      </c>
      <c r="K166" s="304">
        <v>1449.81</v>
      </c>
    </row>
    <row r="167" spans="1:22" ht="14.25" x14ac:dyDescent="0.2">
      <c r="A167" s="329"/>
      <c r="B167" s="330"/>
      <c r="C167" s="330" t="s">
        <v>192</v>
      </c>
      <c r="D167" s="331" t="s">
        <v>191</v>
      </c>
      <c r="E167" s="332">
        <v>2</v>
      </c>
      <c r="F167" s="333"/>
      <c r="G167" s="334" t="s">
        <v>195</v>
      </c>
      <c r="H167" s="332">
        <v>1</v>
      </c>
      <c r="I167" s="335">
        <v>12</v>
      </c>
      <c r="J167" s="332"/>
      <c r="K167" s="335"/>
    </row>
    <row r="168" spans="1:22" ht="15" x14ac:dyDescent="0.25">
      <c r="A168" s="336"/>
      <c r="B168" s="336"/>
      <c r="C168" s="337" t="s">
        <v>183</v>
      </c>
      <c r="D168" s="336"/>
      <c r="E168" s="336"/>
      <c r="F168" s="336"/>
      <c r="G168" s="336"/>
      <c r="H168" s="461">
        <v>633.38</v>
      </c>
      <c r="I168" s="461"/>
      <c r="J168" s="461">
        <v>8835.23</v>
      </c>
      <c r="K168" s="461"/>
      <c r="O168" s="284">
        <f>I162+I163+I165+I166+SUM(I164:I164)</f>
        <v>633.38</v>
      </c>
      <c r="P168" s="284">
        <f>K162+K163+K165+K166+SUM(K164:K164)</f>
        <v>8835.23</v>
      </c>
    </row>
    <row r="170" spans="1:22" ht="28.5" x14ac:dyDescent="0.2">
      <c r="A170" s="301" t="s">
        <v>1902</v>
      </c>
      <c r="B170" s="302" t="s">
        <v>3667</v>
      </c>
      <c r="C170" s="302" t="s">
        <v>1423</v>
      </c>
      <c r="D170" s="303" t="s">
        <v>1903</v>
      </c>
      <c r="E170" s="286">
        <v>102</v>
      </c>
      <c r="F170" s="321"/>
      <c r="G170" s="305"/>
      <c r="H170" s="286"/>
      <c r="I170" s="304"/>
      <c r="J170" s="286"/>
      <c r="K170" s="304"/>
      <c r="Q170" s="281">
        <f>[18]Source!X68</f>
        <v>2767.46</v>
      </c>
      <c r="R170" s="281">
        <f>[18]Source!X69</f>
        <v>43647.03</v>
      </c>
      <c r="S170" s="281">
        <f>[18]Source!Y68</f>
        <v>1626.49</v>
      </c>
      <c r="T170" s="281">
        <f>[18]Source!Y69</f>
        <v>23240.63</v>
      </c>
      <c r="U170" s="281">
        <f>ROUND((175/100)*ROUND([18]Source!R68, 2), 2)</f>
        <v>0</v>
      </c>
      <c r="V170" s="281">
        <f>ROUND((157/100)*ROUND([18]Source!R69, 2), 2)</f>
        <v>0</v>
      </c>
    </row>
    <row r="171" spans="1:22" ht="14.25" x14ac:dyDescent="0.2">
      <c r="A171" s="301"/>
      <c r="B171" s="302"/>
      <c r="C171" s="302" t="s">
        <v>197</v>
      </c>
      <c r="D171" s="303"/>
      <c r="E171" s="286"/>
      <c r="F171" s="321">
        <v>23.8</v>
      </c>
      <c r="G171" s="305" t="s">
        <v>195</v>
      </c>
      <c r="H171" s="286">
        <v>1</v>
      </c>
      <c r="I171" s="304">
        <v>2427.6</v>
      </c>
      <c r="J171" s="286">
        <v>23.35</v>
      </c>
      <c r="K171" s="304">
        <v>56684.46</v>
      </c>
    </row>
    <row r="172" spans="1:22" ht="14.25" x14ac:dyDescent="0.2">
      <c r="A172" s="301"/>
      <c r="B172" s="302"/>
      <c r="C172" s="302" t="s">
        <v>205</v>
      </c>
      <c r="D172" s="303"/>
      <c r="E172" s="286"/>
      <c r="F172" s="321">
        <v>0.91</v>
      </c>
      <c r="G172" s="305" t="s">
        <v>195</v>
      </c>
      <c r="H172" s="286">
        <v>1</v>
      </c>
      <c r="I172" s="304">
        <v>92.82</v>
      </c>
      <c r="J172" s="286">
        <v>5.42</v>
      </c>
      <c r="K172" s="304">
        <v>503.08</v>
      </c>
    </row>
    <row r="173" spans="1:22" ht="39.75" x14ac:dyDescent="0.2">
      <c r="A173" s="301" t="s">
        <v>1904</v>
      </c>
      <c r="B173" s="302" t="s">
        <v>3441</v>
      </c>
      <c r="C173" s="302" t="s">
        <v>1422</v>
      </c>
      <c r="D173" s="303" t="s">
        <v>1661</v>
      </c>
      <c r="E173" s="286">
        <v>102</v>
      </c>
      <c r="F173" s="321">
        <v>195.65</v>
      </c>
      <c r="G173" s="315" t="s">
        <v>195</v>
      </c>
      <c r="H173" s="286">
        <v>1</v>
      </c>
      <c r="I173" s="304">
        <v>19956.3</v>
      </c>
      <c r="J173" s="286">
        <v>5.42</v>
      </c>
      <c r="K173" s="304">
        <v>108163.15</v>
      </c>
      <c r="Q173" s="281">
        <f>[18]Source!X70</f>
        <v>0</v>
      </c>
      <c r="R173" s="281">
        <f>[18]Source!X71</f>
        <v>0</v>
      </c>
      <c r="S173" s="281">
        <f>[18]Source!Y70</f>
        <v>0</v>
      </c>
      <c r="T173" s="281">
        <f>[18]Source!Y71</f>
        <v>0</v>
      </c>
      <c r="U173" s="281">
        <f>ROUND((175/100)*ROUND([18]Source!R70, 2), 2)</f>
        <v>0</v>
      </c>
      <c r="V173" s="281">
        <f>ROUND((157/100)*ROUND([18]Source!R71, 2), 2)</f>
        <v>0</v>
      </c>
    </row>
    <row r="174" spans="1:22" ht="14.25" x14ac:dyDescent="0.2">
      <c r="A174" s="301"/>
      <c r="B174" s="302"/>
      <c r="C174" s="302" t="s">
        <v>194</v>
      </c>
      <c r="D174" s="303" t="s">
        <v>187</v>
      </c>
      <c r="E174" s="286">
        <v>112</v>
      </c>
      <c r="F174" s="321"/>
      <c r="G174" s="305"/>
      <c r="H174" s="286"/>
      <c r="I174" s="304">
        <v>2767.46</v>
      </c>
      <c r="J174" s="286">
        <v>77</v>
      </c>
      <c r="K174" s="304">
        <v>43647.03</v>
      </c>
    </row>
    <row r="175" spans="1:22" ht="14.25" x14ac:dyDescent="0.2">
      <c r="A175" s="301"/>
      <c r="B175" s="302"/>
      <c r="C175" s="302" t="s">
        <v>193</v>
      </c>
      <c r="D175" s="303" t="s">
        <v>187</v>
      </c>
      <c r="E175" s="286">
        <v>70</v>
      </c>
      <c r="F175" s="321"/>
      <c r="G175" s="305"/>
      <c r="H175" s="286"/>
      <c r="I175" s="304">
        <v>1626.49</v>
      </c>
      <c r="J175" s="286">
        <v>41</v>
      </c>
      <c r="K175" s="304">
        <v>23240.63</v>
      </c>
    </row>
    <row r="176" spans="1:22" ht="14.25" x14ac:dyDescent="0.2">
      <c r="A176" s="329"/>
      <c r="B176" s="330"/>
      <c r="C176" s="330" t="s">
        <v>192</v>
      </c>
      <c r="D176" s="331" t="s">
        <v>191</v>
      </c>
      <c r="E176" s="332">
        <v>2</v>
      </c>
      <c r="F176" s="333"/>
      <c r="G176" s="334" t="s">
        <v>195</v>
      </c>
      <c r="H176" s="332">
        <v>1</v>
      </c>
      <c r="I176" s="335">
        <v>204</v>
      </c>
      <c r="J176" s="332"/>
      <c r="K176" s="335"/>
    </row>
    <row r="177" spans="1:22" ht="15" x14ac:dyDescent="0.25">
      <c r="A177" s="336"/>
      <c r="B177" s="336"/>
      <c r="C177" s="337" t="s">
        <v>183</v>
      </c>
      <c r="D177" s="336"/>
      <c r="E177" s="336"/>
      <c r="F177" s="336"/>
      <c r="G177" s="336"/>
      <c r="H177" s="461">
        <v>26870.67</v>
      </c>
      <c r="I177" s="461"/>
      <c r="J177" s="461">
        <v>232238.35</v>
      </c>
      <c r="K177" s="461"/>
      <c r="O177" s="284">
        <f>I171+I172+I174+I175+SUM(I173:I173)</f>
        <v>26870.67</v>
      </c>
      <c r="P177" s="284">
        <f>K171+K172+K174+K175+SUM(K173:K173)</f>
        <v>232238.35</v>
      </c>
    </row>
    <row r="179" spans="1:22" ht="42.75" x14ac:dyDescent="0.2">
      <c r="A179" s="301" t="s">
        <v>1906</v>
      </c>
      <c r="B179" s="302" t="s">
        <v>3668</v>
      </c>
      <c r="C179" s="302" t="s">
        <v>1421</v>
      </c>
      <c r="D179" s="303" t="s">
        <v>3669</v>
      </c>
      <c r="E179" s="286">
        <v>0.02</v>
      </c>
      <c r="F179" s="321"/>
      <c r="G179" s="305"/>
      <c r="H179" s="286"/>
      <c r="I179" s="304"/>
      <c r="J179" s="286"/>
      <c r="K179" s="304"/>
      <c r="Q179" s="281">
        <f>[18]Source!X72</f>
        <v>1.1299999999999999</v>
      </c>
      <c r="R179" s="281">
        <f>[18]Source!X73</f>
        <v>18.16</v>
      </c>
      <c r="S179" s="281">
        <f>[18]Source!Y72</f>
        <v>0.71</v>
      </c>
      <c r="T179" s="281">
        <f>[18]Source!Y73</f>
        <v>9.67</v>
      </c>
      <c r="U179" s="281">
        <f>ROUND((175/100)*ROUND([18]Source!R72, 2), 2)</f>
        <v>0</v>
      </c>
      <c r="V179" s="281">
        <f>ROUND((157/100)*ROUND([18]Source!R73, 2), 2)</f>
        <v>0</v>
      </c>
    </row>
    <row r="180" spans="1:22" x14ac:dyDescent="0.2">
      <c r="C180" s="316" t="s">
        <v>3670</v>
      </c>
    </row>
    <row r="181" spans="1:22" ht="14.25" x14ac:dyDescent="0.2">
      <c r="A181" s="301"/>
      <c r="B181" s="302"/>
      <c r="C181" s="302" t="s">
        <v>197</v>
      </c>
      <c r="D181" s="303"/>
      <c r="E181" s="286"/>
      <c r="F181" s="321">
        <v>50.7</v>
      </c>
      <c r="G181" s="305" t="s">
        <v>195</v>
      </c>
      <c r="H181" s="286">
        <v>1</v>
      </c>
      <c r="I181" s="304">
        <v>1.01</v>
      </c>
      <c r="J181" s="286">
        <v>23.35</v>
      </c>
      <c r="K181" s="304">
        <v>23.58</v>
      </c>
    </row>
    <row r="182" spans="1:22" ht="14.25" x14ac:dyDescent="0.2">
      <c r="A182" s="301"/>
      <c r="B182" s="302"/>
      <c r="C182" s="302" t="s">
        <v>205</v>
      </c>
      <c r="D182" s="303"/>
      <c r="E182" s="286"/>
      <c r="F182" s="321">
        <v>5.53</v>
      </c>
      <c r="G182" s="305" t="s">
        <v>195</v>
      </c>
      <c r="H182" s="286">
        <v>1</v>
      </c>
      <c r="I182" s="304">
        <v>0.11</v>
      </c>
      <c r="J182" s="286">
        <v>5.42</v>
      </c>
      <c r="K182" s="304">
        <v>0.6</v>
      </c>
    </row>
    <row r="183" spans="1:22" ht="285" x14ac:dyDescent="0.2">
      <c r="A183" s="322" t="s">
        <v>1909</v>
      </c>
      <c r="B183" s="323" t="s">
        <v>3656</v>
      </c>
      <c r="C183" s="323" t="s">
        <v>1212</v>
      </c>
      <c r="D183" s="324" t="s">
        <v>1661</v>
      </c>
      <c r="E183" s="325">
        <v>2</v>
      </c>
      <c r="F183" s="326">
        <v>560.04999999999995</v>
      </c>
      <c r="G183" s="327" t="s">
        <v>195</v>
      </c>
      <c r="H183" s="325">
        <v>1</v>
      </c>
      <c r="I183" s="328">
        <v>1120.0999999999999</v>
      </c>
      <c r="J183" s="325">
        <v>4.05</v>
      </c>
      <c r="K183" s="328">
        <v>4536.41</v>
      </c>
      <c r="Q183" s="281">
        <f>[18]Source!X74</f>
        <v>0</v>
      </c>
      <c r="R183" s="281">
        <f>[18]Source!X75</f>
        <v>0</v>
      </c>
      <c r="S183" s="281">
        <f>[18]Source!Y74</f>
        <v>0</v>
      </c>
      <c r="T183" s="281">
        <f>[18]Source!Y75</f>
        <v>0</v>
      </c>
      <c r="U183" s="281">
        <f>ROUND((175/100)*ROUND([18]Source!R74, 2), 2)</f>
        <v>0</v>
      </c>
      <c r="V183" s="281">
        <f>ROUND((157/100)*ROUND([18]Source!R75, 2), 2)</f>
        <v>0</v>
      </c>
    </row>
    <row r="184" spans="1:22" ht="14.25" x14ac:dyDescent="0.2">
      <c r="A184" s="301"/>
      <c r="B184" s="302"/>
      <c r="C184" s="302" t="s">
        <v>194</v>
      </c>
      <c r="D184" s="303" t="s">
        <v>187</v>
      </c>
      <c r="E184" s="286">
        <v>112</v>
      </c>
      <c r="F184" s="321"/>
      <c r="G184" s="305"/>
      <c r="H184" s="286"/>
      <c r="I184" s="304">
        <v>1.1299999999999999</v>
      </c>
      <c r="J184" s="286">
        <v>77</v>
      </c>
      <c r="K184" s="304">
        <v>18.16</v>
      </c>
    </row>
    <row r="185" spans="1:22" ht="14.25" x14ac:dyDescent="0.2">
      <c r="A185" s="301"/>
      <c r="B185" s="302"/>
      <c r="C185" s="302" t="s">
        <v>193</v>
      </c>
      <c r="D185" s="303" t="s">
        <v>187</v>
      </c>
      <c r="E185" s="286">
        <v>70</v>
      </c>
      <c r="F185" s="321"/>
      <c r="G185" s="305"/>
      <c r="H185" s="286"/>
      <c r="I185" s="304">
        <v>0.71</v>
      </c>
      <c r="J185" s="286">
        <v>41</v>
      </c>
      <c r="K185" s="304">
        <v>9.67</v>
      </c>
    </row>
    <row r="186" spans="1:22" ht="14.25" x14ac:dyDescent="0.2">
      <c r="A186" s="329"/>
      <c r="B186" s="330"/>
      <c r="C186" s="330" t="s">
        <v>192</v>
      </c>
      <c r="D186" s="331" t="s">
        <v>191</v>
      </c>
      <c r="E186" s="332">
        <v>3.9</v>
      </c>
      <c r="F186" s="333"/>
      <c r="G186" s="334" t="s">
        <v>195</v>
      </c>
      <c r="H186" s="332">
        <v>1</v>
      </c>
      <c r="I186" s="335">
        <v>0.08</v>
      </c>
      <c r="J186" s="332"/>
      <c r="K186" s="335"/>
    </row>
    <row r="187" spans="1:22" ht="15" x14ac:dyDescent="0.25">
      <c r="A187" s="336"/>
      <c r="B187" s="336"/>
      <c r="C187" s="337" t="s">
        <v>183</v>
      </c>
      <c r="D187" s="336"/>
      <c r="E187" s="336"/>
      <c r="F187" s="336"/>
      <c r="G187" s="336"/>
      <c r="H187" s="461">
        <v>1123.06</v>
      </c>
      <c r="I187" s="461"/>
      <c r="J187" s="461">
        <v>4588.42</v>
      </c>
      <c r="K187" s="461"/>
      <c r="O187" s="284">
        <f>I181+I182+I184+I185+SUM(I183:I183)</f>
        <v>1123.06</v>
      </c>
      <c r="P187" s="284">
        <f>K181+K182+K184+K185+SUM(K183:K183)</f>
        <v>4588.42</v>
      </c>
    </row>
    <row r="189" spans="1:22" ht="28.5" x14ac:dyDescent="0.2">
      <c r="A189" s="301" t="s">
        <v>1922</v>
      </c>
      <c r="B189" s="302" t="s">
        <v>3663</v>
      </c>
      <c r="C189" s="302" t="s">
        <v>1420</v>
      </c>
      <c r="D189" s="303" t="s">
        <v>1903</v>
      </c>
      <c r="E189" s="286">
        <v>2</v>
      </c>
      <c r="F189" s="321"/>
      <c r="G189" s="305"/>
      <c r="H189" s="286"/>
      <c r="I189" s="304"/>
      <c r="J189" s="286"/>
      <c r="K189" s="304"/>
      <c r="Q189" s="281">
        <f>[18]Source!X80</f>
        <v>91.5</v>
      </c>
      <c r="R189" s="281">
        <f>[18]Source!X81</f>
        <v>1443.03</v>
      </c>
      <c r="S189" s="281">
        <f>[18]Source!Y80</f>
        <v>53.77</v>
      </c>
      <c r="T189" s="281">
        <f>[18]Source!Y81</f>
        <v>768.37</v>
      </c>
      <c r="U189" s="281">
        <f>ROUND((175/100)*ROUND([18]Source!R80, 2), 2)</f>
        <v>0</v>
      </c>
      <c r="V189" s="281">
        <f>ROUND((157/100)*ROUND([18]Source!R81, 2), 2)</f>
        <v>0</v>
      </c>
    </row>
    <row r="190" spans="1:22" ht="14.25" x14ac:dyDescent="0.2">
      <c r="A190" s="301"/>
      <c r="B190" s="302"/>
      <c r="C190" s="302" t="s">
        <v>197</v>
      </c>
      <c r="D190" s="303"/>
      <c r="E190" s="286"/>
      <c r="F190" s="321">
        <v>40.130000000000003</v>
      </c>
      <c r="G190" s="305" t="s">
        <v>195</v>
      </c>
      <c r="H190" s="286">
        <v>1</v>
      </c>
      <c r="I190" s="304">
        <v>80.260000000000005</v>
      </c>
      <c r="J190" s="286">
        <v>23.35</v>
      </c>
      <c r="K190" s="304">
        <v>1874.07</v>
      </c>
    </row>
    <row r="191" spans="1:22" ht="14.25" x14ac:dyDescent="0.2">
      <c r="A191" s="301"/>
      <c r="B191" s="302"/>
      <c r="C191" s="302" t="s">
        <v>205</v>
      </c>
      <c r="D191" s="303"/>
      <c r="E191" s="286"/>
      <c r="F191" s="321">
        <v>1.5</v>
      </c>
      <c r="G191" s="305" t="s">
        <v>195</v>
      </c>
      <c r="H191" s="286">
        <v>1</v>
      </c>
      <c r="I191" s="304">
        <v>3</v>
      </c>
      <c r="J191" s="286">
        <v>5.42</v>
      </c>
      <c r="K191" s="304">
        <v>16.260000000000002</v>
      </c>
    </row>
    <row r="192" spans="1:22" ht="42.75" x14ac:dyDescent="0.2">
      <c r="A192" s="322" t="s">
        <v>2333</v>
      </c>
      <c r="B192" s="323" t="s">
        <v>3649</v>
      </c>
      <c r="C192" s="323" t="s">
        <v>1218</v>
      </c>
      <c r="D192" s="324" t="s">
        <v>1661</v>
      </c>
      <c r="E192" s="325">
        <v>4</v>
      </c>
      <c r="F192" s="326">
        <v>698.81</v>
      </c>
      <c r="G192" s="327" t="s">
        <v>195</v>
      </c>
      <c r="H192" s="325">
        <v>1</v>
      </c>
      <c r="I192" s="328">
        <v>2795.24</v>
      </c>
      <c r="J192" s="325">
        <v>5.22</v>
      </c>
      <c r="K192" s="328">
        <v>14591.15</v>
      </c>
      <c r="Q192" s="281">
        <f>[18]Source!X82</f>
        <v>0</v>
      </c>
      <c r="R192" s="281">
        <f>[18]Source!X83</f>
        <v>0</v>
      </c>
      <c r="S192" s="281">
        <f>[18]Source!Y82</f>
        <v>0</v>
      </c>
      <c r="T192" s="281">
        <f>[18]Source!Y83</f>
        <v>0</v>
      </c>
      <c r="U192" s="281">
        <f>ROUND((175/100)*ROUND([18]Source!R82, 2), 2)</f>
        <v>0</v>
      </c>
      <c r="V192" s="281">
        <f>ROUND((157/100)*ROUND([18]Source!R83, 2), 2)</f>
        <v>0</v>
      </c>
    </row>
    <row r="193" spans="1:22" ht="42.75" x14ac:dyDescent="0.2">
      <c r="A193" s="322" t="s">
        <v>3671</v>
      </c>
      <c r="B193" s="323" t="s">
        <v>3672</v>
      </c>
      <c r="C193" s="323" t="s">
        <v>1419</v>
      </c>
      <c r="D193" s="324" t="s">
        <v>1661</v>
      </c>
      <c r="E193" s="325">
        <v>2</v>
      </c>
      <c r="F193" s="326">
        <v>759.13</v>
      </c>
      <c r="G193" s="327" t="s">
        <v>195</v>
      </c>
      <c r="H193" s="325">
        <v>1</v>
      </c>
      <c r="I193" s="328">
        <v>1518.26</v>
      </c>
      <c r="J193" s="325">
        <v>4.67</v>
      </c>
      <c r="K193" s="328">
        <v>7090.27</v>
      </c>
      <c r="Q193" s="281">
        <f>[18]Source!X84</f>
        <v>0</v>
      </c>
      <c r="R193" s="281">
        <f>[18]Source!X85</f>
        <v>0</v>
      </c>
      <c r="S193" s="281">
        <f>[18]Source!Y84</f>
        <v>0</v>
      </c>
      <c r="T193" s="281">
        <f>[18]Source!Y85</f>
        <v>0</v>
      </c>
      <c r="U193" s="281">
        <f>ROUND((175/100)*ROUND([18]Source!R84, 2), 2)</f>
        <v>0</v>
      </c>
      <c r="V193" s="281">
        <f>ROUND((157/100)*ROUND([18]Source!R85, 2), 2)</f>
        <v>0</v>
      </c>
    </row>
    <row r="194" spans="1:22" ht="14.25" x14ac:dyDescent="0.2">
      <c r="A194" s="301"/>
      <c r="B194" s="302"/>
      <c r="C194" s="302" t="s">
        <v>194</v>
      </c>
      <c r="D194" s="303" t="s">
        <v>187</v>
      </c>
      <c r="E194" s="286">
        <v>112</v>
      </c>
      <c r="F194" s="321"/>
      <c r="G194" s="305"/>
      <c r="H194" s="286"/>
      <c r="I194" s="304">
        <v>91.5</v>
      </c>
      <c r="J194" s="286">
        <v>77</v>
      </c>
      <c r="K194" s="304">
        <v>1443.03</v>
      </c>
    </row>
    <row r="195" spans="1:22" ht="14.25" x14ac:dyDescent="0.2">
      <c r="A195" s="301"/>
      <c r="B195" s="302"/>
      <c r="C195" s="302" t="s">
        <v>193</v>
      </c>
      <c r="D195" s="303" t="s">
        <v>187</v>
      </c>
      <c r="E195" s="286">
        <v>70</v>
      </c>
      <c r="F195" s="321"/>
      <c r="G195" s="305"/>
      <c r="H195" s="286"/>
      <c r="I195" s="304">
        <v>53.77</v>
      </c>
      <c r="J195" s="286">
        <v>41</v>
      </c>
      <c r="K195" s="304">
        <v>768.37</v>
      </c>
    </row>
    <row r="196" spans="1:22" ht="14.25" x14ac:dyDescent="0.2">
      <c r="A196" s="329"/>
      <c r="B196" s="330"/>
      <c r="C196" s="330" t="s">
        <v>192</v>
      </c>
      <c r="D196" s="331" t="s">
        <v>191</v>
      </c>
      <c r="E196" s="332">
        <v>3.18</v>
      </c>
      <c r="F196" s="333"/>
      <c r="G196" s="334" t="s">
        <v>195</v>
      </c>
      <c r="H196" s="332">
        <v>1</v>
      </c>
      <c r="I196" s="335">
        <v>6.36</v>
      </c>
      <c r="J196" s="332"/>
      <c r="K196" s="335"/>
    </row>
    <row r="197" spans="1:22" ht="15" x14ac:dyDescent="0.25">
      <c r="A197" s="336"/>
      <c r="B197" s="336"/>
      <c r="C197" s="337" t="s">
        <v>183</v>
      </c>
      <c r="D197" s="336"/>
      <c r="E197" s="336"/>
      <c r="F197" s="336"/>
      <c r="G197" s="336"/>
      <c r="H197" s="461">
        <v>4542.03</v>
      </c>
      <c r="I197" s="461"/>
      <c r="J197" s="461">
        <v>25783.15</v>
      </c>
      <c r="K197" s="461"/>
      <c r="O197" s="284">
        <f>I190+I191+I194+I195+SUM(I192:I193)</f>
        <v>4542.03</v>
      </c>
      <c r="P197" s="284">
        <f>K190+K191+K194+K195+SUM(K192:K193)</f>
        <v>25783.15</v>
      </c>
    </row>
    <row r="199" spans="1:22" ht="71.25" x14ac:dyDescent="0.2">
      <c r="A199" s="301" t="s">
        <v>1927</v>
      </c>
      <c r="B199" s="302" t="s">
        <v>3347</v>
      </c>
      <c r="C199" s="302" t="s">
        <v>1171</v>
      </c>
      <c r="D199" s="303" t="s">
        <v>1686</v>
      </c>
      <c r="E199" s="286">
        <v>40</v>
      </c>
      <c r="F199" s="321"/>
      <c r="G199" s="305"/>
      <c r="H199" s="286"/>
      <c r="I199" s="304"/>
      <c r="J199" s="286"/>
      <c r="K199" s="304"/>
      <c r="Q199" s="281">
        <f>[18]Source!X86</f>
        <v>8767.06</v>
      </c>
      <c r="R199" s="281">
        <f>[18]Source!X87</f>
        <v>138269.54999999999</v>
      </c>
      <c r="S199" s="281">
        <f>[18]Source!Y86</f>
        <v>5152.57</v>
      </c>
      <c r="T199" s="281">
        <f>[18]Source!Y87</f>
        <v>73624.039999999994</v>
      </c>
      <c r="U199" s="281">
        <f>ROUND((175/100)*ROUND([18]Source!R86, 2), 2)</f>
        <v>399.7</v>
      </c>
      <c r="V199" s="281">
        <f>ROUND((157/100)*ROUND([18]Source!R87, 2), 2)</f>
        <v>8373.0300000000007</v>
      </c>
    </row>
    <row r="200" spans="1:22" x14ac:dyDescent="0.2">
      <c r="C200" s="316" t="s">
        <v>3632</v>
      </c>
    </row>
    <row r="201" spans="1:22" ht="14.25" x14ac:dyDescent="0.2">
      <c r="A201" s="301"/>
      <c r="B201" s="302"/>
      <c r="C201" s="302" t="s">
        <v>197</v>
      </c>
      <c r="D201" s="303"/>
      <c r="E201" s="286"/>
      <c r="F201" s="321">
        <v>192.26</v>
      </c>
      <c r="G201" s="305" t="s">
        <v>195</v>
      </c>
      <c r="H201" s="286">
        <v>1</v>
      </c>
      <c r="I201" s="304">
        <v>7690.4</v>
      </c>
      <c r="J201" s="286">
        <v>23.35</v>
      </c>
      <c r="K201" s="304">
        <v>179570.84</v>
      </c>
    </row>
    <row r="202" spans="1:22" ht="14.25" x14ac:dyDescent="0.2">
      <c r="A202" s="301"/>
      <c r="B202" s="302"/>
      <c r="C202" s="302" t="s">
        <v>184</v>
      </c>
      <c r="D202" s="303"/>
      <c r="E202" s="286"/>
      <c r="F202" s="321">
        <v>32.869999999999997</v>
      </c>
      <c r="G202" s="305" t="s">
        <v>195</v>
      </c>
      <c r="H202" s="286">
        <v>1</v>
      </c>
      <c r="I202" s="304">
        <v>1314.8</v>
      </c>
      <c r="J202" s="286">
        <v>8.48</v>
      </c>
      <c r="K202" s="304">
        <v>11149.5</v>
      </c>
    </row>
    <row r="203" spans="1:22" ht="14.25" x14ac:dyDescent="0.2">
      <c r="A203" s="301"/>
      <c r="B203" s="302"/>
      <c r="C203" s="302" t="s">
        <v>189</v>
      </c>
      <c r="D203" s="303"/>
      <c r="E203" s="286"/>
      <c r="F203" s="321">
        <v>5.71</v>
      </c>
      <c r="G203" s="305" t="s">
        <v>195</v>
      </c>
      <c r="H203" s="286">
        <v>1</v>
      </c>
      <c r="I203" s="306">
        <v>228.4</v>
      </c>
      <c r="J203" s="286">
        <v>23.35</v>
      </c>
      <c r="K203" s="306">
        <v>5333.14</v>
      </c>
    </row>
    <row r="204" spans="1:22" ht="14.25" x14ac:dyDescent="0.2">
      <c r="A204" s="301"/>
      <c r="B204" s="302"/>
      <c r="C204" s="302" t="s">
        <v>205</v>
      </c>
      <c r="D204" s="303"/>
      <c r="E204" s="286"/>
      <c r="F204" s="321">
        <v>314.29000000000002</v>
      </c>
      <c r="G204" s="305" t="s">
        <v>195</v>
      </c>
      <c r="H204" s="286">
        <v>1</v>
      </c>
      <c r="I204" s="304">
        <v>12571.6</v>
      </c>
      <c r="J204" s="286">
        <v>5.42</v>
      </c>
      <c r="K204" s="304">
        <v>68138.070000000007</v>
      </c>
    </row>
    <row r="205" spans="1:22" ht="57" x14ac:dyDescent="0.2">
      <c r="A205" s="301" t="s">
        <v>2335</v>
      </c>
      <c r="B205" s="302" t="s">
        <v>3349</v>
      </c>
      <c r="C205" s="302" t="s">
        <v>1232</v>
      </c>
      <c r="D205" s="303" t="s">
        <v>1552</v>
      </c>
      <c r="E205" s="286">
        <v>4080</v>
      </c>
      <c r="F205" s="321">
        <v>3.45</v>
      </c>
      <c r="G205" s="315" t="s">
        <v>195</v>
      </c>
      <c r="H205" s="286">
        <v>1</v>
      </c>
      <c r="I205" s="304">
        <v>14076</v>
      </c>
      <c r="J205" s="286">
        <v>6.37</v>
      </c>
      <c r="K205" s="304">
        <v>89664.12</v>
      </c>
      <c r="Q205" s="281">
        <f>[18]Source!X88</f>
        <v>0</v>
      </c>
      <c r="R205" s="281">
        <f>[18]Source!X89</f>
        <v>0</v>
      </c>
      <c r="S205" s="281">
        <f>[18]Source!Y88</f>
        <v>0</v>
      </c>
      <c r="T205" s="281">
        <f>[18]Source!Y89</f>
        <v>0</v>
      </c>
      <c r="U205" s="281">
        <f>ROUND((175/100)*ROUND([18]Source!R88, 2), 2)</f>
        <v>0</v>
      </c>
      <c r="V205" s="281">
        <f>ROUND((157/100)*ROUND([18]Source!R89, 2), 2)</f>
        <v>0</v>
      </c>
    </row>
    <row r="206" spans="1:22" ht="42.75" x14ac:dyDescent="0.2">
      <c r="A206" s="301" t="s">
        <v>3673</v>
      </c>
      <c r="B206" s="302" t="s">
        <v>3350</v>
      </c>
      <c r="C206" s="302" t="s">
        <v>1169</v>
      </c>
      <c r="D206" s="303" t="s">
        <v>1536</v>
      </c>
      <c r="E206" s="286">
        <v>100</v>
      </c>
      <c r="F206" s="321">
        <v>146.88999999999999</v>
      </c>
      <c r="G206" s="315" t="s">
        <v>195</v>
      </c>
      <c r="H206" s="286">
        <v>1</v>
      </c>
      <c r="I206" s="304">
        <v>14689</v>
      </c>
      <c r="J206" s="286">
        <v>1.19</v>
      </c>
      <c r="K206" s="304">
        <v>17479.91</v>
      </c>
      <c r="Q206" s="281">
        <f>[18]Source!X90</f>
        <v>0</v>
      </c>
      <c r="R206" s="281">
        <f>[18]Source!X91</f>
        <v>0</v>
      </c>
      <c r="S206" s="281">
        <f>[18]Source!Y90</f>
        <v>0</v>
      </c>
      <c r="T206" s="281">
        <f>[18]Source!Y91</f>
        <v>0</v>
      </c>
      <c r="U206" s="281">
        <f>ROUND((175/100)*ROUND([18]Source!R90, 2), 2)</f>
        <v>0</v>
      </c>
      <c r="V206" s="281">
        <f>ROUND((157/100)*ROUND([18]Source!R91, 2), 2)</f>
        <v>0</v>
      </c>
    </row>
    <row r="207" spans="1:22" ht="14.25" x14ac:dyDescent="0.2">
      <c r="A207" s="301"/>
      <c r="B207" s="302"/>
      <c r="C207" s="302" t="s">
        <v>194</v>
      </c>
      <c r="D207" s="303" t="s">
        <v>187</v>
      </c>
      <c r="E207" s="286">
        <v>112</v>
      </c>
      <c r="F207" s="321"/>
      <c r="G207" s="305"/>
      <c r="H207" s="286"/>
      <c r="I207" s="304">
        <v>8767.06</v>
      </c>
      <c r="J207" s="286">
        <v>77</v>
      </c>
      <c r="K207" s="304">
        <v>138269.54999999999</v>
      </c>
    </row>
    <row r="208" spans="1:22" ht="14.25" x14ac:dyDescent="0.2">
      <c r="A208" s="301"/>
      <c r="B208" s="302"/>
      <c r="C208" s="302" t="s">
        <v>193</v>
      </c>
      <c r="D208" s="303" t="s">
        <v>187</v>
      </c>
      <c r="E208" s="286">
        <v>70</v>
      </c>
      <c r="F208" s="321"/>
      <c r="G208" s="305"/>
      <c r="H208" s="286"/>
      <c r="I208" s="304">
        <v>5152.57</v>
      </c>
      <c r="J208" s="286">
        <v>41</v>
      </c>
      <c r="K208" s="304">
        <v>73624.039999999994</v>
      </c>
    </row>
    <row r="209" spans="1:22" ht="14.25" x14ac:dyDescent="0.2">
      <c r="A209" s="301"/>
      <c r="B209" s="302"/>
      <c r="C209" s="302" t="s">
        <v>188</v>
      </c>
      <c r="D209" s="303" t="s">
        <v>187</v>
      </c>
      <c r="E209" s="286">
        <v>175</v>
      </c>
      <c r="F209" s="321"/>
      <c r="G209" s="305"/>
      <c r="H209" s="286"/>
      <c r="I209" s="304">
        <v>399.7</v>
      </c>
      <c r="J209" s="286">
        <v>157</v>
      </c>
      <c r="K209" s="304">
        <v>8373.0300000000007</v>
      </c>
    </row>
    <row r="210" spans="1:22" ht="14.25" x14ac:dyDescent="0.2">
      <c r="A210" s="329"/>
      <c r="B210" s="330"/>
      <c r="C210" s="330" t="s">
        <v>192</v>
      </c>
      <c r="D210" s="331" t="s">
        <v>191</v>
      </c>
      <c r="E210" s="332">
        <v>15</v>
      </c>
      <c r="F210" s="333"/>
      <c r="G210" s="334" t="s">
        <v>195</v>
      </c>
      <c r="H210" s="332">
        <v>1</v>
      </c>
      <c r="I210" s="335">
        <v>600</v>
      </c>
      <c r="J210" s="332"/>
      <c r="K210" s="335"/>
    </row>
    <row r="211" spans="1:22" ht="15" x14ac:dyDescent="0.25">
      <c r="A211" s="336"/>
      <c r="B211" s="336"/>
      <c r="C211" s="337" t="s">
        <v>183</v>
      </c>
      <c r="D211" s="336"/>
      <c r="E211" s="336"/>
      <c r="F211" s="336"/>
      <c r="G211" s="336"/>
      <c r="H211" s="461">
        <v>64661.13</v>
      </c>
      <c r="I211" s="461"/>
      <c r="J211" s="461">
        <v>586269.06000000006</v>
      </c>
      <c r="K211" s="461"/>
      <c r="O211" s="284">
        <f>I201+I202+I204+I207+I208+I209+SUM(I205:I206)</f>
        <v>64661.13</v>
      </c>
      <c r="P211" s="284">
        <f>K201+K202+K204+K207+K208+K209+SUM(K205:K206)</f>
        <v>586269.06000000006</v>
      </c>
    </row>
    <row r="213" spans="1:22" ht="28.5" x14ac:dyDescent="0.2">
      <c r="A213" s="301" t="s">
        <v>1929</v>
      </c>
      <c r="B213" s="302" t="s">
        <v>3341</v>
      </c>
      <c r="C213" s="302" t="s">
        <v>1167</v>
      </c>
      <c r="D213" s="303" t="s">
        <v>1686</v>
      </c>
      <c r="E213" s="286">
        <v>8</v>
      </c>
      <c r="F213" s="321"/>
      <c r="G213" s="305"/>
      <c r="H213" s="286"/>
      <c r="I213" s="304"/>
      <c r="J213" s="286"/>
      <c r="K213" s="304"/>
      <c r="Q213" s="281">
        <f>[18]Source!X92</f>
        <v>4481.1099999999997</v>
      </c>
      <c r="R213" s="281">
        <f>[18]Source!X93</f>
        <v>70673.820000000007</v>
      </c>
      <c r="S213" s="281">
        <f>[18]Source!Y92</f>
        <v>2633.64</v>
      </c>
      <c r="T213" s="281">
        <f>[18]Source!Y93</f>
        <v>37631.51</v>
      </c>
      <c r="U213" s="281">
        <f>ROUND((175/100)*ROUND([18]Source!R92, 2), 2)</f>
        <v>55.16</v>
      </c>
      <c r="V213" s="281">
        <f>ROUND((157/100)*ROUND([18]Source!R93, 2), 2)</f>
        <v>1155.5</v>
      </c>
    </row>
    <row r="214" spans="1:22" x14ac:dyDescent="0.2">
      <c r="C214" s="316" t="s">
        <v>3585</v>
      </c>
    </row>
    <row r="215" spans="1:22" ht="14.25" x14ac:dyDescent="0.2">
      <c r="A215" s="301"/>
      <c r="B215" s="302"/>
      <c r="C215" s="302" t="s">
        <v>197</v>
      </c>
      <c r="D215" s="303"/>
      <c r="E215" s="286"/>
      <c r="F215" s="321">
        <v>491.35</v>
      </c>
      <c r="G215" s="305" t="s">
        <v>195</v>
      </c>
      <c r="H215" s="286">
        <v>1</v>
      </c>
      <c r="I215" s="304">
        <v>3930.8</v>
      </c>
      <c r="J215" s="286">
        <v>23.35</v>
      </c>
      <c r="K215" s="304">
        <v>91784.18</v>
      </c>
    </row>
    <row r="216" spans="1:22" ht="14.25" x14ac:dyDescent="0.2">
      <c r="A216" s="301"/>
      <c r="B216" s="302"/>
      <c r="C216" s="302" t="s">
        <v>184</v>
      </c>
      <c r="D216" s="303"/>
      <c r="E216" s="286"/>
      <c r="F216" s="321">
        <v>29.47</v>
      </c>
      <c r="G216" s="305" t="s">
        <v>195</v>
      </c>
      <c r="H216" s="286">
        <v>1</v>
      </c>
      <c r="I216" s="304">
        <v>235.76</v>
      </c>
      <c r="J216" s="286">
        <v>7.76</v>
      </c>
      <c r="K216" s="304">
        <v>1829.5</v>
      </c>
    </row>
    <row r="217" spans="1:22" ht="14.25" x14ac:dyDescent="0.2">
      <c r="A217" s="301"/>
      <c r="B217" s="302"/>
      <c r="C217" s="302" t="s">
        <v>189</v>
      </c>
      <c r="D217" s="303"/>
      <c r="E217" s="286"/>
      <c r="F217" s="321">
        <v>3.94</v>
      </c>
      <c r="G217" s="305" t="s">
        <v>195</v>
      </c>
      <c r="H217" s="286">
        <v>1</v>
      </c>
      <c r="I217" s="306">
        <v>31.52</v>
      </c>
      <c r="J217" s="286">
        <v>23.35</v>
      </c>
      <c r="K217" s="306">
        <v>735.99</v>
      </c>
    </row>
    <row r="218" spans="1:22" ht="14.25" x14ac:dyDescent="0.2">
      <c r="A218" s="301"/>
      <c r="B218" s="302"/>
      <c r="C218" s="302" t="s">
        <v>205</v>
      </c>
      <c r="D218" s="303"/>
      <c r="E218" s="286"/>
      <c r="F218" s="321">
        <v>1844.59</v>
      </c>
      <c r="G218" s="305" t="s">
        <v>195</v>
      </c>
      <c r="H218" s="286">
        <v>1</v>
      </c>
      <c r="I218" s="304">
        <v>14756.72</v>
      </c>
      <c r="J218" s="286">
        <v>5.42</v>
      </c>
      <c r="K218" s="304">
        <v>79981.42</v>
      </c>
    </row>
    <row r="219" spans="1:22" ht="42.75" x14ac:dyDescent="0.2">
      <c r="A219" s="301" t="s">
        <v>2337</v>
      </c>
      <c r="B219" s="302" t="s">
        <v>3635</v>
      </c>
      <c r="C219" s="302" t="s">
        <v>1418</v>
      </c>
      <c r="D219" s="303" t="s">
        <v>1552</v>
      </c>
      <c r="E219" s="286">
        <v>800</v>
      </c>
      <c r="F219" s="321">
        <v>6.34</v>
      </c>
      <c r="G219" s="315" t="s">
        <v>195</v>
      </c>
      <c r="H219" s="286">
        <v>1</v>
      </c>
      <c r="I219" s="304">
        <v>5072</v>
      </c>
      <c r="J219" s="286">
        <v>2.31</v>
      </c>
      <c r="K219" s="304">
        <v>11716.32</v>
      </c>
      <c r="Q219" s="281">
        <f>[18]Source!X94</f>
        <v>0</v>
      </c>
      <c r="R219" s="281">
        <f>[18]Source!X95</f>
        <v>0</v>
      </c>
      <c r="S219" s="281">
        <f>[18]Source!Y94</f>
        <v>0</v>
      </c>
      <c r="T219" s="281">
        <f>[18]Source!Y95</f>
        <v>0</v>
      </c>
      <c r="U219" s="281">
        <f>ROUND((175/100)*ROUND([18]Source!R94, 2), 2)</f>
        <v>0</v>
      </c>
      <c r="V219" s="281">
        <f>ROUND((157/100)*ROUND([18]Source!R95, 2), 2)</f>
        <v>0</v>
      </c>
    </row>
    <row r="220" spans="1:22" ht="14.25" x14ac:dyDescent="0.2">
      <c r="A220" s="301"/>
      <c r="B220" s="302"/>
      <c r="C220" s="302" t="s">
        <v>194</v>
      </c>
      <c r="D220" s="303" t="s">
        <v>187</v>
      </c>
      <c r="E220" s="286">
        <v>112</v>
      </c>
      <c r="F220" s="321"/>
      <c r="G220" s="305"/>
      <c r="H220" s="286"/>
      <c r="I220" s="304">
        <v>4481.1099999999997</v>
      </c>
      <c r="J220" s="286">
        <v>77</v>
      </c>
      <c r="K220" s="304">
        <v>70673.820000000007</v>
      </c>
    </row>
    <row r="221" spans="1:22" ht="14.25" x14ac:dyDescent="0.2">
      <c r="A221" s="301"/>
      <c r="B221" s="302"/>
      <c r="C221" s="302" t="s">
        <v>193</v>
      </c>
      <c r="D221" s="303" t="s">
        <v>187</v>
      </c>
      <c r="E221" s="286">
        <v>70</v>
      </c>
      <c r="F221" s="321"/>
      <c r="G221" s="305"/>
      <c r="H221" s="286"/>
      <c r="I221" s="304">
        <v>2633.64</v>
      </c>
      <c r="J221" s="286">
        <v>41</v>
      </c>
      <c r="K221" s="304">
        <v>37631.51</v>
      </c>
    </row>
    <row r="222" spans="1:22" ht="14.25" x14ac:dyDescent="0.2">
      <c r="A222" s="301"/>
      <c r="B222" s="302"/>
      <c r="C222" s="302" t="s">
        <v>188</v>
      </c>
      <c r="D222" s="303" t="s">
        <v>187</v>
      </c>
      <c r="E222" s="286">
        <v>175</v>
      </c>
      <c r="F222" s="321"/>
      <c r="G222" s="305"/>
      <c r="H222" s="286"/>
      <c r="I222" s="304">
        <v>55.16</v>
      </c>
      <c r="J222" s="286">
        <v>157</v>
      </c>
      <c r="K222" s="304">
        <v>1155.5</v>
      </c>
    </row>
    <row r="223" spans="1:22" ht="14.25" x14ac:dyDescent="0.2">
      <c r="A223" s="329"/>
      <c r="B223" s="330"/>
      <c r="C223" s="330" t="s">
        <v>192</v>
      </c>
      <c r="D223" s="331" t="s">
        <v>191</v>
      </c>
      <c r="E223" s="332">
        <v>40.67</v>
      </c>
      <c r="F223" s="333"/>
      <c r="G223" s="334" t="s">
        <v>195</v>
      </c>
      <c r="H223" s="332">
        <v>1</v>
      </c>
      <c r="I223" s="335">
        <v>325.36</v>
      </c>
      <c r="J223" s="332"/>
      <c r="K223" s="335"/>
    </row>
    <row r="224" spans="1:22" ht="15" x14ac:dyDescent="0.25">
      <c r="A224" s="336"/>
      <c r="B224" s="336"/>
      <c r="C224" s="337" t="s">
        <v>183</v>
      </c>
      <c r="D224" s="336"/>
      <c r="E224" s="336"/>
      <c r="F224" s="336"/>
      <c r="G224" s="336"/>
      <c r="H224" s="461">
        <v>31165.19</v>
      </c>
      <c r="I224" s="461"/>
      <c r="J224" s="461">
        <v>294772.25</v>
      </c>
      <c r="K224" s="461"/>
      <c r="O224" s="284">
        <f>I215+I216+I218+I220+I221+I222+SUM(I219:I219)</f>
        <v>31165.19</v>
      </c>
      <c r="P224" s="284">
        <f>K215+K216+K218+K220+K221+K222+SUM(K219:K219)</f>
        <v>294772.25</v>
      </c>
    </row>
    <row r="226" spans="1:22" ht="71.25" x14ac:dyDescent="0.2">
      <c r="A226" s="301" t="s">
        <v>2346</v>
      </c>
      <c r="B226" s="302" t="s">
        <v>3455</v>
      </c>
      <c r="C226" s="302" t="s">
        <v>1165</v>
      </c>
      <c r="D226" s="303" t="s">
        <v>1686</v>
      </c>
      <c r="E226" s="286">
        <v>40</v>
      </c>
      <c r="F226" s="321"/>
      <c r="G226" s="305"/>
      <c r="H226" s="286"/>
      <c r="I226" s="304"/>
      <c r="J226" s="286"/>
      <c r="K226" s="304"/>
      <c r="Q226" s="281">
        <f>[18]Source!X110</f>
        <v>2895.6</v>
      </c>
      <c r="R226" s="281">
        <f>[18]Source!X111</f>
        <v>45667.93</v>
      </c>
      <c r="S226" s="281">
        <f>[18]Source!Y110</f>
        <v>1701.8</v>
      </c>
      <c r="T226" s="281">
        <f>[18]Source!Y111</f>
        <v>24316.69</v>
      </c>
      <c r="U226" s="281">
        <f>ROUND((175/100)*ROUND([18]Source!R110, 2), 2)</f>
        <v>14</v>
      </c>
      <c r="V226" s="281">
        <f>ROUND((157/100)*ROUND([18]Source!R111, 2), 2)</f>
        <v>293.27999999999997</v>
      </c>
    </row>
    <row r="227" spans="1:22" x14ac:dyDescent="0.2">
      <c r="C227" s="316" t="s">
        <v>3632</v>
      </c>
    </row>
    <row r="228" spans="1:22" ht="14.25" x14ac:dyDescent="0.2">
      <c r="A228" s="301"/>
      <c r="B228" s="302"/>
      <c r="C228" s="302" t="s">
        <v>197</v>
      </c>
      <c r="D228" s="303"/>
      <c r="E228" s="286"/>
      <c r="F228" s="321">
        <v>63.5</v>
      </c>
      <c r="G228" s="305" t="s">
        <v>195</v>
      </c>
      <c r="H228" s="286">
        <v>1</v>
      </c>
      <c r="I228" s="304">
        <v>2540</v>
      </c>
      <c r="J228" s="286">
        <v>23.35</v>
      </c>
      <c r="K228" s="304">
        <v>59309</v>
      </c>
    </row>
    <row r="229" spans="1:22" ht="14.25" x14ac:dyDescent="0.2">
      <c r="A229" s="301"/>
      <c r="B229" s="302"/>
      <c r="C229" s="302" t="s">
        <v>184</v>
      </c>
      <c r="D229" s="303"/>
      <c r="E229" s="286"/>
      <c r="F229" s="321">
        <v>0.85</v>
      </c>
      <c r="G229" s="305" t="s">
        <v>195</v>
      </c>
      <c r="H229" s="286">
        <v>1</v>
      </c>
      <c r="I229" s="304">
        <v>34</v>
      </c>
      <c r="J229" s="286">
        <v>9.59</v>
      </c>
      <c r="K229" s="304">
        <v>326.06</v>
      </c>
    </row>
    <row r="230" spans="1:22" ht="14.25" x14ac:dyDescent="0.2">
      <c r="A230" s="301"/>
      <c r="B230" s="302"/>
      <c r="C230" s="302" t="s">
        <v>189</v>
      </c>
      <c r="D230" s="303"/>
      <c r="E230" s="286"/>
      <c r="F230" s="321">
        <v>0.2</v>
      </c>
      <c r="G230" s="305" t="s">
        <v>195</v>
      </c>
      <c r="H230" s="286">
        <v>1</v>
      </c>
      <c r="I230" s="306">
        <v>8</v>
      </c>
      <c r="J230" s="286">
        <v>23.35</v>
      </c>
      <c r="K230" s="306">
        <v>186.8</v>
      </c>
    </row>
    <row r="231" spans="1:22" ht="14.25" x14ac:dyDescent="0.2">
      <c r="A231" s="301"/>
      <c r="B231" s="302"/>
      <c r="C231" s="302" t="s">
        <v>205</v>
      </c>
      <c r="D231" s="303"/>
      <c r="E231" s="286"/>
      <c r="F231" s="321">
        <v>6.37</v>
      </c>
      <c r="G231" s="305" t="s">
        <v>195</v>
      </c>
      <c r="H231" s="286">
        <v>1</v>
      </c>
      <c r="I231" s="304">
        <v>254.8</v>
      </c>
      <c r="J231" s="286">
        <v>5.42</v>
      </c>
      <c r="K231" s="304">
        <v>1381.02</v>
      </c>
    </row>
    <row r="232" spans="1:22" ht="71.25" x14ac:dyDescent="0.2">
      <c r="A232" s="301" t="s">
        <v>2350</v>
      </c>
      <c r="B232" s="302" t="s">
        <v>3674</v>
      </c>
      <c r="C232" s="302" t="s">
        <v>1417</v>
      </c>
      <c r="D232" s="303" t="s">
        <v>3367</v>
      </c>
      <c r="E232" s="286">
        <v>4.12</v>
      </c>
      <c r="F232" s="321">
        <v>19210.599999999999</v>
      </c>
      <c r="G232" s="315" t="s">
        <v>195</v>
      </c>
      <c r="H232" s="286">
        <v>1</v>
      </c>
      <c r="I232" s="304">
        <v>79147.67</v>
      </c>
      <c r="J232" s="286">
        <v>1.21</v>
      </c>
      <c r="K232" s="304">
        <v>95768.68</v>
      </c>
      <c r="Q232" s="281">
        <f>[18]Source!X112</f>
        <v>0</v>
      </c>
      <c r="R232" s="281">
        <f>[18]Source!X113</f>
        <v>0</v>
      </c>
      <c r="S232" s="281">
        <f>[18]Source!Y112</f>
        <v>0</v>
      </c>
      <c r="T232" s="281">
        <f>[18]Source!Y113</f>
        <v>0</v>
      </c>
      <c r="U232" s="281">
        <f>ROUND((175/100)*ROUND([18]Source!R112, 2), 2)</f>
        <v>0</v>
      </c>
      <c r="V232" s="281">
        <f>ROUND((157/100)*ROUND([18]Source!R113, 2), 2)</f>
        <v>0</v>
      </c>
    </row>
    <row r="233" spans="1:22" ht="14.25" x14ac:dyDescent="0.2">
      <c r="A233" s="301"/>
      <c r="B233" s="302"/>
      <c r="C233" s="302" t="s">
        <v>194</v>
      </c>
      <c r="D233" s="303" t="s">
        <v>187</v>
      </c>
      <c r="E233" s="286">
        <v>112</v>
      </c>
      <c r="F233" s="321"/>
      <c r="G233" s="305"/>
      <c r="H233" s="286"/>
      <c r="I233" s="304">
        <v>2895.6</v>
      </c>
      <c r="J233" s="286">
        <v>77</v>
      </c>
      <c r="K233" s="304">
        <v>45667.93</v>
      </c>
    </row>
    <row r="234" spans="1:22" ht="14.25" x14ac:dyDescent="0.2">
      <c r="A234" s="301"/>
      <c r="B234" s="302"/>
      <c r="C234" s="302" t="s">
        <v>193</v>
      </c>
      <c r="D234" s="303" t="s">
        <v>187</v>
      </c>
      <c r="E234" s="286">
        <v>70</v>
      </c>
      <c r="F234" s="321"/>
      <c r="G234" s="305"/>
      <c r="H234" s="286"/>
      <c r="I234" s="304">
        <v>1701.8</v>
      </c>
      <c r="J234" s="286">
        <v>41</v>
      </c>
      <c r="K234" s="304">
        <v>24316.69</v>
      </c>
    </row>
    <row r="235" spans="1:22" ht="14.25" x14ac:dyDescent="0.2">
      <c r="A235" s="301"/>
      <c r="B235" s="302"/>
      <c r="C235" s="302" t="s">
        <v>188</v>
      </c>
      <c r="D235" s="303" t="s">
        <v>187</v>
      </c>
      <c r="E235" s="286">
        <v>175</v>
      </c>
      <c r="F235" s="321"/>
      <c r="G235" s="305"/>
      <c r="H235" s="286"/>
      <c r="I235" s="304">
        <v>14</v>
      </c>
      <c r="J235" s="286">
        <v>157</v>
      </c>
      <c r="K235" s="304">
        <v>293.27999999999997</v>
      </c>
    </row>
    <row r="236" spans="1:22" ht="14.25" x14ac:dyDescent="0.2">
      <c r="A236" s="329"/>
      <c r="B236" s="330"/>
      <c r="C236" s="330" t="s">
        <v>192</v>
      </c>
      <c r="D236" s="331" t="s">
        <v>191</v>
      </c>
      <c r="E236" s="332">
        <v>5.15</v>
      </c>
      <c r="F236" s="333"/>
      <c r="G236" s="334" t="s">
        <v>195</v>
      </c>
      <c r="H236" s="332">
        <v>1</v>
      </c>
      <c r="I236" s="335">
        <v>206</v>
      </c>
      <c r="J236" s="332"/>
      <c r="K236" s="335"/>
    </row>
    <row r="237" spans="1:22" ht="15" x14ac:dyDescent="0.25">
      <c r="A237" s="336"/>
      <c r="B237" s="336"/>
      <c r="C237" s="337" t="s">
        <v>183</v>
      </c>
      <c r="D237" s="336"/>
      <c r="E237" s="336"/>
      <c r="F237" s="336"/>
      <c r="G237" s="336"/>
      <c r="H237" s="461">
        <v>86587.87</v>
      </c>
      <c r="I237" s="461"/>
      <c r="J237" s="461">
        <v>227062.66</v>
      </c>
      <c r="K237" s="461"/>
      <c r="O237" s="284">
        <f>I228+I229+I231+I233+I234+I235+SUM(I232:I232)</f>
        <v>86587.87</v>
      </c>
      <c r="P237" s="284">
        <f>K228+K229+K231+K233+K234+K235+SUM(K232:K232)</f>
        <v>227062.66</v>
      </c>
    </row>
    <row r="239" spans="1:22" ht="28.5" x14ac:dyDescent="0.2">
      <c r="A239" s="301" t="s">
        <v>2353</v>
      </c>
      <c r="B239" s="302" t="s">
        <v>3353</v>
      </c>
      <c r="C239" s="302" t="s">
        <v>1162</v>
      </c>
      <c r="D239" s="303" t="s">
        <v>1686</v>
      </c>
      <c r="E239" s="286">
        <v>8</v>
      </c>
      <c r="F239" s="321"/>
      <c r="G239" s="305"/>
      <c r="H239" s="286"/>
      <c r="I239" s="304"/>
      <c r="J239" s="286"/>
      <c r="K239" s="304"/>
      <c r="Q239" s="281">
        <f>[18]Source!X114</f>
        <v>341.38</v>
      </c>
      <c r="R239" s="281">
        <f>[18]Source!X115</f>
        <v>5480.15</v>
      </c>
      <c r="S239" s="281">
        <f>[18]Source!Y114</f>
        <v>213.36</v>
      </c>
      <c r="T239" s="281">
        <f>[18]Source!Y115</f>
        <v>2918</v>
      </c>
      <c r="U239" s="281">
        <f>ROUND((175/100)*ROUND([18]Source!R114, 2), 2)</f>
        <v>2.8</v>
      </c>
      <c r="V239" s="281">
        <f>ROUND((157/100)*ROUND([18]Source!R115, 2), 2)</f>
        <v>58.66</v>
      </c>
    </row>
    <row r="240" spans="1:22" x14ac:dyDescent="0.2">
      <c r="C240" s="316" t="s">
        <v>3585</v>
      </c>
    </row>
    <row r="241" spans="1:22" ht="14.25" x14ac:dyDescent="0.2">
      <c r="A241" s="301"/>
      <c r="B241" s="302"/>
      <c r="C241" s="302" t="s">
        <v>197</v>
      </c>
      <c r="D241" s="303"/>
      <c r="E241" s="286"/>
      <c r="F241" s="321">
        <v>38.1</v>
      </c>
      <c r="G241" s="305" t="s">
        <v>195</v>
      </c>
      <c r="H241" s="286">
        <v>1</v>
      </c>
      <c r="I241" s="304">
        <v>304.8</v>
      </c>
      <c r="J241" s="286">
        <v>23.35</v>
      </c>
      <c r="K241" s="304">
        <v>7117.08</v>
      </c>
    </row>
    <row r="242" spans="1:22" ht="14.25" x14ac:dyDescent="0.2">
      <c r="A242" s="301"/>
      <c r="B242" s="302"/>
      <c r="C242" s="302" t="s">
        <v>184</v>
      </c>
      <c r="D242" s="303"/>
      <c r="E242" s="286"/>
      <c r="F242" s="321">
        <v>0.85</v>
      </c>
      <c r="G242" s="305" t="s">
        <v>195</v>
      </c>
      <c r="H242" s="286">
        <v>1</v>
      </c>
      <c r="I242" s="304">
        <v>6.8</v>
      </c>
      <c r="J242" s="286">
        <v>9.59</v>
      </c>
      <c r="K242" s="304">
        <v>65.209999999999994</v>
      </c>
    </row>
    <row r="243" spans="1:22" ht="14.25" x14ac:dyDescent="0.2">
      <c r="A243" s="301"/>
      <c r="B243" s="302"/>
      <c r="C243" s="302" t="s">
        <v>189</v>
      </c>
      <c r="D243" s="303"/>
      <c r="E243" s="286"/>
      <c r="F243" s="321">
        <v>0.2</v>
      </c>
      <c r="G243" s="305" t="s">
        <v>195</v>
      </c>
      <c r="H243" s="286">
        <v>1</v>
      </c>
      <c r="I243" s="306">
        <v>1.6</v>
      </c>
      <c r="J243" s="286">
        <v>23.35</v>
      </c>
      <c r="K243" s="306">
        <v>37.36</v>
      </c>
    </row>
    <row r="244" spans="1:22" ht="14.25" x14ac:dyDescent="0.2">
      <c r="A244" s="301"/>
      <c r="B244" s="302"/>
      <c r="C244" s="302" t="s">
        <v>205</v>
      </c>
      <c r="D244" s="303"/>
      <c r="E244" s="286"/>
      <c r="F244" s="321">
        <v>3.71</v>
      </c>
      <c r="G244" s="305" t="s">
        <v>195</v>
      </c>
      <c r="H244" s="286">
        <v>1</v>
      </c>
      <c r="I244" s="304">
        <v>29.68</v>
      </c>
      <c r="J244" s="286">
        <v>5.42</v>
      </c>
      <c r="K244" s="304">
        <v>160.87</v>
      </c>
    </row>
    <row r="245" spans="1:22" ht="71.25" x14ac:dyDescent="0.2">
      <c r="A245" s="301" t="s">
        <v>2355</v>
      </c>
      <c r="B245" s="302" t="s">
        <v>3674</v>
      </c>
      <c r="C245" s="302" t="s">
        <v>1417</v>
      </c>
      <c r="D245" s="303" t="s">
        <v>3367</v>
      </c>
      <c r="E245" s="286">
        <v>0.82399999999999995</v>
      </c>
      <c r="F245" s="321">
        <v>19210.599999999999</v>
      </c>
      <c r="G245" s="315" t="s">
        <v>195</v>
      </c>
      <c r="H245" s="286">
        <v>1</v>
      </c>
      <c r="I245" s="304">
        <v>15829.53</v>
      </c>
      <c r="J245" s="286">
        <v>1.21</v>
      </c>
      <c r="K245" s="304">
        <v>19153.73</v>
      </c>
      <c r="Q245" s="281">
        <f>[18]Source!X116</f>
        <v>0</v>
      </c>
      <c r="R245" s="281">
        <f>[18]Source!X117</f>
        <v>0</v>
      </c>
      <c r="S245" s="281">
        <f>[18]Source!Y116</f>
        <v>0</v>
      </c>
      <c r="T245" s="281">
        <f>[18]Source!Y117</f>
        <v>0</v>
      </c>
      <c r="U245" s="281">
        <f>ROUND((175/100)*ROUND([18]Source!R116, 2), 2)</f>
        <v>0</v>
      </c>
      <c r="V245" s="281">
        <f>ROUND((157/100)*ROUND([18]Source!R117, 2), 2)</f>
        <v>0</v>
      </c>
    </row>
    <row r="246" spans="1:22" ht="14.25" x14ac:dyDescent="0.2">
      <c r="A246" s="301"/>
      <c r="B246" s="302"/>
      <c r="C246" s="302" t="s">
        <v>194</v>
      </c>
      <c r="D246" s="303" t="s">
        <v>187</v>
      </c>
      <c r="E246" s="286">
        <v>112</v>
      </c>
      <c r="F246" s="321"/>
      <c r="G246" s="305"/>
      <c r="H246" s="286"/>
      <c r="I246" s="304">
        <v>341.38</v>
      </c>
      <c r="J246" s="286">
        <v>77</v>
      </c>
      <c r="K246" s="304">
        <v>5480.15</v>
      </c>
    </row>
    <row r="247" spans="1:22" ht="14.25" x14ac:dyDescent="0.2">
      <c r="A247" s="301"/>
      <c r="B247" s="302"/>
      <c r="C247" s="302" t="s">
        <v>193</v>
      </c>
      <c r="D247" s="303" t="s">
        <v>187</v>
      </c>
      <c r="E247" s="286">
        <v>70</v>
      </c>
      <c r="F247" s="321"/>
      <c r="G247" s="305"/>
      <c r="H247" s="286"/>
      <c r="I247" s="304">
        <v>213.36</v>
      </c>
      <c r="J247" s="286">
        <v>41</v>
      </c>
      <c r="K247" s="304">
        <v>2918</v>
      </c>
    </row>
    <row r="248" spans="1:22" ht="14.25" x14ac:dyDescent="0.2">
      <c r="A248" s="301"/>
      <c r="B248" s="302"/>
      <c r="C248" s="302" t="s">
        <v>188</v>
      </c>
      <c r="D248" s="303" t="s">
        <v>187</v>
      </c>
      <c r="E248" s="286">
        <v>175</v>
      </c>
      <c r="F248" s="321"/>
      <c r="G248" s="305"/>
      <c r="H248" s="286"/>
      <c r="I248" s="304">
        <v>2.8</v>
      </c>
      <c r="J248" s="286">
        <v>157</v>
      </c>
      <c r="K248" s="304">
        <v>58.66</v>
      </c>
    </row>
    <row r="249" spans="1:22" ht="14.25" x14ac:dyDescent="0.2">
      <c r="A249" s="329"/>
      <c r="B249" s="330"/>
      <c r="C249" s="330" t="s">
        <v>192</v>
      </c>
      <c r="D249" s="331" t="s">
        <v>191</v>
      </c>
      <c r="E249" s="332">
        <v>3.09</v>
      </c>
      <c r="F249" s="333"/>
      <c r="G249" s="334" t="s">
        <v>195</v>
      </c>
      <c r="H249" s="332">
        <v>1</v>
      </c>
      <c r="I249" s="335">
        <v>24.72</v>
      </c>
      <c r="J249" s="332"/>
      <c r="K249" s="335"/>
    </row>
    <row r="250" spans="1:22" ht="15" x14ac:dyDescent="0.25">
      <c r="A250" s="336"/>
      <c r="B250" s="336"/>
      <c r="C250" s="337" t="s">
        <v>183</v>
      </c>
      <c r="D250" s="336"/>
      <c r="E250" s="336"/>
      <c r="F250" s="336"/>
      <c r="G250" s="336"/>
      <c r="H250" s="461">
        <v>16728.349999999999</v>
      </c>
      <c r="I250" s="461"/>
      <c r="J250" s="461">
        <v>34953.699999999997</v>
      </c>
      <c r="K250" s="461"/>
      <c r="O250" s="284">
        <f>I241+I242+I244+I246+I247+I248+SUM(I245:I245)</f>
        <v>16728.349999999999</v>
      </c>
      <c r="P250" s="284">
        <f>K241+K242+K244+K246+K247+K248+SUM(K245:K245)</f>
        <v>34953.699999999997</v>
      </c>
    </row>
    <row r="252" spans="1:22" ht="85.5" x14ac:dyDescent="0.2">
      <c r="A252" s="301" t="s">
        <v>2361</v>
      </c>
      <c r="B252" s="302" t="s">
        <v>3355</v>
      </c>
      <c r="C252" s="302" t="s">
        <v>1228</v>
      </c>
      <c r="D252" s="303" t="s">
        <v>1686</v>
      </c>
      <c r="E252" s="286">
        <v>0.2</v>
      </c>
      <c r="F252" s="321"/>
      <c r="G252" s="305"/>
      <c r="H252" s="286"/>
      <c r="I252" s="304"/>
      <c r="J252" s="286"/>
      <c r="K252" s="304"/>
      <c r="Q252" s="281">
        <f>[18]Source!X122</f>
        <v>5.8</v>
      </c>
      <c r="R252" s="281">
        <f>[18]Source!X123</f>
        <v>93.13</v>
      </c>
      <c r="S252" s="281">
        <f>[18]Source!Y122</f>
        <v>3.63</v>
      </c>
      <c r="T252" s="281">
        <f>[18]Source!Y123</f>
        <v>49.59</v>
      </c>
      <c r="U252" s="281">
        <f>ROUND((175/100)*ROUND([18]Source!R122, 2), 2)</f>
        <v>7.0000000000000007E-2</v>
      </c>
      <c r="V252" s="281">
        <f>ROUND((157/100)*ROUND([18]Source!R123, 2), 2)</f>
        <v>1.46</v>
      </c>
    </row>
    <row r="253" spans="1:22" x14ac:dyDescent="0.2">
      <c r="C253" s="316" t="s">
        <v>3273</v>
      </c>
    </row>
    <row r="254" spans="1:22" ht="14.25" x14ac:dyDescent="0.2">
      <c r="A254" s="301"/>
      <c r="B254" s="302"/>
      <c r="C254" s="302" t="s">
        <v>197</v>
      </c>
      <c r="D254" s="303"/>
      <c r="E254" s="286"/>
      <c r="F254" s="321">
        <v>25.89</v>
      </c>
      <c r="G254" s="305" t="s">
        <v>195</v>
      </c>
      <c r="H254" s="286">
        <v>1</v>
      </c>
      <c r="I254" s="304">
        <v>5.18</v>
      </c>
      <c r="J254" s="286">
        <v>23.35</v>
      </c>
      <c r="K254" s="304">
        <v>120.95</v>
      </c>
    </row>
    <row r="255" spans="1:22" ht="14.25" x14ac:dyDescent="0.2">
      <c r="A255" s="301"/>
      <c r="B255" s="302"/>
      <c r="C255" s="302" t="s">
        <v>184</v>
      </c>
      <c r="D255" s="303"/>
      <c r="E255" s="286"/>
      <c r="F255" s="321">
        <v>0.85</v>
      </c>
      <c r="G255" s="305" t="s">
        <v>195</v>
      </c>
      <c r="H255" s="286">
        <v>1</v>
      </c>
      <c r="I255" s="304">
        <v>0.17</v>
      </c>
      <c r="J255" s="286">
        <v>9.59</v>
      </c>
      <c r="K255" s="304">
        <v>1.63</v>
      </c>
    </row>
    <row r="256" spans="1:22" ht="14.25" x14ac:dyDescent="0.2">
      <c r="A256" s="301"/>
      <c r="B256" s="302"/>
      <c r="C256" s="302" t="s">
        <v>189</v>
      </c>
      <c r="D256" s="303"/>
      <c r="E256" s="286"/>
      <c r="F256" s="321">
        <v>0.2</v>
      </c>
      <c r="G256" s="305" t="s">
        <v>195</v>
      </c>
      <c r="H256" s="286">
        <v>1</v>
      </c>
      <c r="I256" s="306">
        <v>0.04</v>
      </c>
      <c r="J256" s="286">
        <v>23.35</v>
      </c>
      <c r="K256" s="306">
        <v>0.93</v>
      </c>
    </row>
    <row r="257" spans="1:22" ht="14.25" x14ac:dyDescent="0.2">
      <c r="A257" s="301"/>
      <c r="B257" s="302"/>
      <c r="C257" s="302" t="s">
        <v>205</v>
      </c>
      <c r="D257" s="303"/>
      <c r="E257" s="286"/>
      <c r="F257" s="321">
        <v>9.59</v>
      </c>
      <c r="G257" s="305" t="s">
        <v>195</v>
      </c>
      <c r="H257" s="286">
        <v>1</v>
      </c>
      <c r="I257" s="304">
        <v>1.92</v>
      </c>
      <c r="J257" s="286">
        <v>5.42</v>
      </c>
      <c r="K257" s="304">
        <v>10.41</v>
      </c>
    </row>
    <row r="258" spans="1:22" ht="57" x14ac:dyDescent="0.2">
      <c r="A258" s="301" t="s">
        <v>2363</v>
      </c>
      <c r="B258" s="302" t="s">
        <v>3675</v>
      </c>
      <c r="C258" s="302" t="s">
        <v>1416</v>
      </c>
      <c r="D258" s="303" t="s">
        <v>3367</v>
      </c>
      <c r="E258" s="286">
        <v>2.06E-2</v>
      </c>
      <c r="F258" s="321">
        <v>3147.57</v>
      </c>
      <c r="G258" s="315" t="s">
        <v>195</v>
      </c>
      <c r="H258" s="286">
        <v>1</v>
      </c>
      <c r="I258" s="304">
        <v>64.84</v>
      </c>
      <c r="J258" s="286">
        <v>8.0299999999999994</v>
      </c>
      <c r="K258" s="304">
        <v>520.66999999999996</v>
      </c>
      <c r="Q258" s="281">
        <f>[18]Source!X124</f>
        <v>0</v>
      </c>
      <c r="R258" s="281">
        <f>[18]Source!X125</f>
        <v>0</v>
      </c>
      <c r="S258" s="281">
        <f>[18]Source!Y124</f>
        <v>0</v>
      </c>
      <c r="T258" s="281">
        <f>[18]Source!Y125</f>
        <v>0</v>
      </c>
      <c r="U258" s="281">
        <f>ROUND((175/100)*ROUND([18]Source!R124, 2), 2)</f>
        <v>0</v>
      </c>
      <c r="V258" s="281">
        <f>ROUND((157/100)*ROUND([18]Source!R125, 2), 2)</f>
        <v>0</v>
      </c>
    </row>
    <row r="259" spans="1:22" ht="14.25" x14ac:dyDescent="0.2">
      <c r="A259" s="301"/>
      <c r="B259" s="302"/>
      <c r="C259" s="302" t="s">
        <v>194</v>
      </c>
      <c r="D259" s="303" t="s">
        <v>187</v>
      </c>
      <c r="E259" s="286">
        <v>112</v>
      </c>
      <c r="F259" s="321"/>
      <c r="G259" s="305"/>
      <c r="H259" s="286"/>
      <c r="I259" s="304">
        <v>5.8</v>
      </c>
      <c r="J259" s="286">
        <v>77</v>
      </c>
      <c r="K259" s="304">
        <v>93.13</v>
      </c>
    </row>
    <row r="260" spans="1:22" ht="14.25" x14ac:dyDescent="0.2">
      <c r="A260" s="301"/>
      <c r="B260" s="302"/>
      <c r="C260" s="302" t="s">
        <v>193</v>
      </c>
      <c r="D260" s="303" t="s">
        <v>187</v>
      </c>
      <c r="E260" s="286">
        <v>70</v>
      </c>
      <c r="F260" s="321"/>
      <c r="G260" s="305"/>
      <c r="H260" s="286"/>
      <c r="I260" s="304">
        <v>3.63</v>
      </c>
      <c r="J260" s="286">
        <v>41</v>
      </c>
      <c r="K260" s="304">
        <v>49.59</v>
      </c>
    </row>
    <row r="261" spans="1:22" ht="14.25" x14ac:dyDescent="0.2">
      <c r="A261" s="301"/>
      <c r="B261" s="302"/>
      <c r="C261" s="302" t="s">
        <v>188</v>
      </c>
      <c r="D261" s="303" t="s">
        <v>187</v>
      </c>
      <c r="E261" s="286">
        <v>175</v>
      </c>
      <c r="F261" s="321"/>
      <c r="G261" s="305"/>
      <c r="H261" s="286"/>
      <c r="I261" s="304">
        <v>7.0000000000000007E-2</v>
      </c>
      <c r="J261" s="286">
        <v>157</v>
      </c>
      <c r="K261" s="304">
        <v>1.46</v>
      </c>
    </row>
    <row r="262" spans="1:22" ht="14.25" x14ac:dyDescent="0.2">
      <c r="A262" s="329"/>
      <c r="B262" s="330"/>
      <c r="C262" s="330" t="s">
        <v>192</v>
      </c>
      <c r="D262" s="331" t="s">
        <v>191</v>
      </c>
      <c r="E262" s="332">
        <v>2.1</v>
      </c>
      <c r="F262" s="333"/>
      <c r="G262" s="334" t="s">
        <v>195</v>
      </c>
      <c r="H262" s="332">
        <v>1</v>
      </c>
      <c r="I262" s="335">
        <v>0.42</v>
      </c>
      <c r="J262" s="332"/>
      <c r="K262" s="335"/>
    </row>
    <row r="263" spans="1:22" ht="15" x14ac:dyDescent="0.25">
      <c r="A263" s="336"/>
      <c r="B263" s="336"/>
      <c r="C263" s="337" t="s">
        <v>183</v>
      </c>
      <c r="D263" s="336"/>
      <c r="E263" s="336"/>
      <c r="F263" s="336"/>
      <c r="G263" s="336"/>
      <c r="H263" s="461">
        <v>81.61</v>
      </c>
      <c r="I263" s="461"/>
      <c r="J263" s="461">
        <v>797.84</v>
      </c>
      <c r="K263" s="461"/>
      <c r="O263" s="284">
        <f>I254+I255+I257+I259+I260+I261+SUM(I258:I258)</f>
        <v>81.61</v>
      </c>
      <c r="P263" s="284">
        <f>K254+K255+K257+K259+K260+K261+SUM(K258:K258)</f>
        <v>797.84</v>
      </c>
    </row>
    <row r="265" spans="1:22" ht="85.5" x14ac:dyDescent="0.2">
      <c r="A265" s="301" t="s">
        <v>2365</v>
      </c>
      <c r="B265" s="302" t="s">
        <v>3355</v>
      </c>
      <c r="C265" s="302" t="s">
        <v>1228</v>
      </c>
      <c r="D265" s="303" t="s">
        <v>1686</v>
      </c>
      <c r="E265" s="286">
        <v>3</v>
      </c>
      <c r="F265" s="321"/>
      <c r="G265" s="305"/>
      <c r="H265" s="286"/>
      <c r="I265" s="304"/>
      <c r="J265" s="286"/>
      <c r="K265" s="304"/>
      <c r="Q265" s="281">
        <f>[18]Source!X126</f>
        <v>86.99</v>
      </c>
      <c r="R265" s="281">
        <f>[18]Source!X127</f>
        <v>1396.46</v>
      </c>
      <c r="S265" s="281">
        <f>[18]Source!Y126</f>
        <v>54.37</v>
      </c>
      <c r="T265" s="281">
        <f>[18]Source!Y127</f>
        <v>743.57</v>
      </c>
      <c r="U265" s="281">
        <f>ROUND((175/100)*ROUND([18]Source!R126, 2), 2)</f>
        <v>1.05</v>
      </c>
      <c r="V265" s="281">
        <f>ROUND((157/100)*ROUND([18]Source!R127, 2), 2)</f>
        <v>22</v>
      </c>
    </row>
    <row r="266" spans="1:22" x14ac:dyDescent="0.2">
      <c r="C266" s="316" t="s">
        <v>3588</v>
      </c>
    </row>
    <row r="267" spans="1:22" ht="14.25" x14ac:dyDescent="0.2">
      <c r="A267" s="301"/>
      <c r="B267" s="302"/>
      <c r="C267" s="302" t="s">
        <v>197</v>
      </c>
      <c r="D267" s="303"/>
      <c r="E267" s="286"/>
      <c r="F267" s="321">
        <v>25.89</v>
      </c>
      <c r="G267" s="305" t="s">
        <v>195</v>
      </c>
      <c r="H267" s="286">
        <v>1</v>
      </c>
      <c r="I267" s="304">
        <v>77.67</v>
      </c>
      <c r="J267" s="286">
        <v>23.35</v>
      </c>
      <c r="K267" s="304">
        <v>1813.59</v>
      </c>
    </row>
    <row r="268" spans="1:22" ht="14.25" x14ac:dyDescent="0.2">
      <c r="A268" s="301"/>
      <c r="B268" s="302"/>
      <c r="C268" s="302" t="s">
        <v>184</v>
      </c>
      <c r="D268" s="303"/>
      <c r="E268" s="286"/>
      <c r="F268" s="321">
        <v>0.85</v>
      </c>
      <c r="G268" s="305" t="s">
        <v>195</v>
      </c>
      <c r="H268" s="286">
        <v>1</v>
      </c>
      <c r="I268" s="304">
        <v>2.5499999999999998</v>
      </c>
      <c r="J268" s="286">
        <v>9.59</v>
      </c>
      <c r="K268" s="304">
        <v>24.45</v>
      </c>
    </row>
    <row r="269" spans="1:22" ht="14.25" x14ac:dyDescent="0.2">
      <c r="A269" s="301"/>
      <c r="B269" s="302"/>
      <c r="C269" s="302" t="s">
        <v>189</v>
      </c>
      <c r="D269" s="303"/>
      <c r="E269" s="286"/>
      <c r="F269" s="321">
        <v>0.2</v>
      </c>
      <c r="G269" s="305" t="s">
        <v>195</v>
      </c>
      <c r="H269" s="286">
        <v>1</v>
      </c>
      <c r="I269" s="306">
        <v>0.6</v>
      </c>
      <c r="J269" s="286">
        <v>23.35</v>
      </c>
      <c r="K269" s="306">
        <v>14.01</v>
      </c>
    </row>
    <row r="270" spans="1:22" ht="14.25" x14ac:dyDescent="0.2">
      <c r="A270" s="301"/>
      <c r="B270" s="302"/>
      <c r="C270" s="302" t="s">
        <v>205</v>
      </c>
      <c r="D270" s="303"/>
      <c r="E270" s="286"/>
      <c r="F270" s="321">
        <v>9.59</v>
      </c>
      <c r="G270" s="305" t="s">
        <v>195</v>
      </c>
      <c r="H270" s="286">
        <v>1</v>
      </c>
      <c r="I270" s="304">
        <v>28.77</v>
      </c>
      <c r="J270" s="286">
        <v>5.42</v>
      </c>
      <c r="K270" s="304">
        <v>155.93</v>
      </c>
    </row>
    <row r="271" spans="1:22" ht="71.25" x14ac:dyDescent="0.2">
      <c r="A271" s="301" t="s">
        <v>3638</v>
      </c>
      <c r="B271" s="302" t="s">
        <v>3676</v>
      </c>
      <c r="C271" s="302" t="s">
        <v>1415</v>
      </c>
      <c r="D271" s="303" t="s">
        <v>3367</v>
      </c>
      <c r="E271" s="286">
        <v>0.309</v>
      </c>
      <c r="F271" s="321">
        <v>6409.56</v>
      </c>
      <c r="G271" s="315" t="s">
        <v>195</v>
      </c>
      <c r="H271" s="286">
        <v>1</v>
      </c>
      <c r="I271" s="304">
        <v>1980.55</v>
      </c>
      <c r="J271" s="286">
        <v>7.38</v>
      </c>
      <c r="K271" s="304">
        <v>14616.46</v>
      </c>
      <c r="Q271" s="281">
        <f>[18]Source!X128</f>
        <v>0</v>
      </c>
      <c r="R271" s="281">
        <f>[18]Source!X129</f>
        <v>0</v>
      </c>
      <c r="S271" s="281">
        <f>[18]Source!Y128</f>
        <v>0</v>
      </c>
      <c r="T271" s="281">
        <f>[18]Source!Y129</f>
        <v>0</v>
      </c>
      <c r="U271" s="281">
        <f>ROUND((175/100)*ROUND([18]Source!R128, 2), 2)</f>
        <v>0</v>
      </c>
      <c r="V271" s="281">
        <f>ROUND((157/100)*ROUND([18]Source!R129, 2), 2)</f>
        <v>0</v>
      </c>
    </row>
    <row r="272" spans="1:22" ht="14.25" x14ac:dyDescent="0.2">
      <c r="A272" s="301"/>
      <c r="B272" s="302"/>
      <c r="C272" s="302" t="s">
        <v>194</v>
      </c>
      <c r="D272" s="303" t="s">
        <v>187</v>
      </c>
      <c r="E272" s="286">
        <v>112</v>
      </c>
      <c r="F272" s="321"/>
      <c r="G272" s="305"/>
      <c r="H272" s="286"/>
      <c r="I272" s="304">
        <v>86.99</v>
      </c>
      <c r="J272" s="286">
        <v>77</v>
      </c>
      <c r="K272" s="304">
        <v>1396.46</v>
      </c>
    </row>
    <row r="273" spans="1:22" ht="14.25" x14ac:dyDescent="0.2">
      <c r="A273" s="301"/>
      <c r="B273" s="302"/>
      <c r="C273" s="302" t="s">
        <v>193</v>
      </c>
      <c r="D273" s="303" t="s">
        <v>187</v>
      </c>
      <c r="E273" s="286">
        <v>70</v>
      </c>
      <c r="F273" s="321"/>
      <c r="G273" s="305"/>
      <c r="H273" s="286"/>
      <c r="I273" s="304">
        <v>54.37</v>
      </c>
      <c r="J273" s="286">
        <v>41</v>
      </c>
      <c r="K273" s="304">
        <v>743.57</v>
      </c>
    </row>
    <row r="274" spans="1:22" ht="14.25" x14ac:dyDescent="0.2">
      <c r="A274" s="301"/>
      <c r="B274" s="302"/>
      <c r="C274" s="302" t="s">
        <v>188</v>
      </c>
      <c r="D274" s="303" t="s">
        <v>187</v>
      </c>
      <c r="E274" s="286">
        <v>175</v>
      </c>
      <c r="F274" s="321"/>
      <c r="G274" s="305"/>
      <c r="H274" s="286"/>
      <c r="I274" s="304">
        <v>1.05</v>
      </c>
      <c r="J274" s="286">
        <v>157</v>
      </c>
      <c r="K274" s="304">
        <v>22</v>
      </c>
    </row>
    <row r="275" spans="1:22" ht="14.25" x14ac:dyDescent="0.2">
      <c r="A275" s="329"/>
      <c r="B275" s="330"/>
      <c r="C275" s="330" t="s">
        <v>192</v>
      </c>
      <c r="D275" s="331" t="s">
        <v>191</v>
      </c>
      <c r="E275" s="332">
        <v>2.1</v>
      </c>
      <c r="F275" s="333"/>
      <c r="G275" s="334" t="s">
        <v>195</v>
      </c>
      <c r="H275" s="332">
        <v>1</v>
      </c>
      <c r="I275" s="335">
        <v>6.3</v>
      </c>
      <c r="J275" s="332"/>
      <c r="K275" s="335"/>
    </row>
    <row r="276" spans="1:22" ht="15" x14ac:dyDescent="0.25">
      <c r="A276" s="336"/>
      <c r="B276" s="336"/>
      <c r="C276" s="337" t="s">
        <v>183</v>
      </c>
      <c r="D276" s="336"/>
      <c r="E276" s="336"/>
      <c r="F276" s="336"/>
      <c r="G276" s="336"/>
      <c r="H276" s="461">
        <v>2231.9499999999998</v>
      </c>
      <c r="I276" s="461"/>
      <c r="J276" s="461">
        <v>18772.46</v>
      </c>
      <c r="K276" s="461"/>
      <c r="O276" s="284">
        <f>I267+I268+I270+I272+I273+I274+SUM(I271:I271)</f>
        <v>2231.9499999999998</v>
      </c>
      <c r="P276" s="284">
        <f>K267+K268+K270+K272+K273+K274+SUM(K271:K271)</f>
        <v>18772.46</v>
      </c>
    </row>
    <row r="279" spans="1:22" ht="16.5" x14ac:dyDescent="0.25">
      <c r="A279" s="448" t="s">
        <v>3677</v>
      </c>
      <c r="B279" s="448"/>
      <c r="C279" s="448"/>
      <c r="D279" s="448"/>
      <c r="E279" s="448"/>
      <c r="F279" s="448"/>
      <c r="G279" s="448"/>
      <c r="H279" s="448"/>
      <c r="I279" s="448"/>
      <c r="J279" s="448"/>
      <c r="K279" s="448"/>
    </row>
    <row r="280" spans="1:22" ht="54" x14ac:dyDescent="0.2">
      <c r="A280" s="338" t="s">
        <v>2368</v>
      </c>
      <c r="B280" s="339" t="s">
        <v>3448</v>
      </c>
      <c r="C280" s="339" t="s">
        <v>1414</v>
      </c>
      <c r="D280" s="340" t="s">
        <v>1661</v>
      </c>
      <c r="E280" s="341">
        <v>1</v>
      </c>
      <c r="F280" s="342">
        <v>8880.2000000000007</v>
      </c>
      <c r="G280" s="343" t="s">
        <v>195</v>
      </c>
      <c r="H280" s="341">
        <v>1</v>
      </c>
      <c r="I280" s="344">
        <v>8880.2000000000007</v>
      </c>
      <c r="J280" s="341">
        <v>4.4000000000000004</v>
      </c>
      <c r="K280" s="344">
        <v>39072.879999999997</v>
      </c>
      <c r="Q280" s="281">
        <f>[18]Source!X139</f>
        <v>0</v>
      </c>
      <c r="R280" s="281">
        <f>[18]Source!X140</f>
        <v>0</v>
      </c>
      <c r="S280" s="281">
        <f>[18]Source!Y139</f>
        <v>0</v>
      </c>
      <c r="T280" s="281">
        <f>[18]Source!Y140</f>
        <v>0</v>
      </c>
      <c r="U280" s="281">
        <f>ROUND((175/100)*ROUND([18]Source!R139, 2), 2)</f>
        <v>0</v>
      </c>
      <c r="V280" s="281">
        <f>ROUND((157/100)*ROUND([18]Source!R140, 2), 2)</f>
        <v>0</v>
      </c>
    </row>
    <row r="281" spans="1:22" ht="15" x14ac:dyDescent="0.25">
      <c r="A281" s="345"/>
      <c r="B281" s="345"/>
      <c r="C281" s="346" t="s">
        <v>183</v>
      </c>
      <c r="D281" s="345"/>
      <c r="E281" s="345"/>
      <c r="F281" s="345"/>
      <c r="G281" s="345"/>
      <c r="H281" s="462">
        <v>8880.2000000000007</v>
      </c>
      <c r="I281" s="462"/>
      <c r="J281" s="462">
        <v>39072.879999999997</v>
      </c>
      <c r="K281" s="462"/>
      <c r="O281" s="284">
        <f>I280</f>
        <v>8880.2000000000007</v>
      </c>
      <c r="P281" s="284">
        <f>K280</f>
        <v>39072.879999999997</v>
      </c>
    </row>
    <row r="283" spans="1:22" ht="54" x14ac:dyDescent="0.2">
      <c r="A283" s="338" t="s">
        <v>3639</v>
      </c>
      <c r="B283" s="339" t="s">
        <v>3448</v>
      </c>
      <c r="C283" s="339" t="s">
        <v>1413</v>
      </c>
      <c r="D283" s="340" t="s">
        <v>1661</v>
      </c>
      <c r="E283" s="341">
        <v>1</v>
      </c>
      <c r="F283" s="342">
        <v>12151.97</v>
      </c>
      <c r="G283" s="343" t="s">
        <v>195</v>
      </c>
      <c r="H283" s="341">
        <v>1</v>
      </c>
      <c r="I283" s="344">
        <v>12151.97</v>
      </c>
      <c r="J283" s="341">
        <v>4.4000000000000004</v>
      </c>
      <c r="K283" s="344">
        <v>53468.67</v>
      </c>
      <c r="Q283" s="281">
        <f>[18]Source!X141</f>
        <v>0</v>
      </c>
      <c r="R283" s="281">
        <f>[18]Source!X142</f>
        <v>0</v>
      </c>
      <c r="S283" s="281">
        <f>[18]Source!Y141</f>
        <v>0</v>
      </c>
      <c r="T283" s="281">
        <f>[18]Source!Y142</f>
        <v>0</v>
      </c>
      <c r="U283" s="281">
        <f>ROUND((175/100)*ROUND([18]Source!R141, 2), 2)</f>
        <v>0</v>
      </c>
      <c r="V283" s="281">
        <f>ROUND((157/100)*ROUND([18]Source!R142, 2), 2)</f>
        <v>0</v>
      </c>
    </row>
    <row r="284" spans="1:22" ht="15" x14ac:dyDescent="0.25">
      <c r="A284" s="345"/>
      <c r="B284" s="345"/>
      <c r="C284" s="346" t="s">
        <v>183</v>
      </c>
      <c r="D284" s="345"/>
      <c r="E284" s="345"/>
      <c r="F284" s="345"/>
      <c r="G284" s="345"/>
      <c r="H284" s="462">
        <v>12151.97</v>
      </c>
      <c r="I284" s="462"/>
      <c r="J284" s="462">
        <v>53468.67</v>
      </c>
      <c r="K284" s="462"/>
      <c r="O284" s="284">
        <f>I283</f>
        <v>12151.97</v>
      </c>
      <c r="P284" s="284">
        <f>K283</f>
        <v>53468.67</v>
      </c>
    </row>
    <row r="286" spans="1:22" ht="54" x14ac:dyDescent="0.2">
      <c r="A286" s="338" t="s">
        <v>2682</v>
      </c>
      <c r="B286" s="339" t="s">
        <v>3448</v>
      </c>
      <c r="C286" s="339" t="s">
        <v>1412</v>
      </c>
      <c r="D286" s="340" t="s">
        <v>1661</v>
      </c>
      <c r="E286" s="341">
        <v>1</v>
      </c>
      <c r="F286" s="342">
        <v>8880.2000000000007</v>
      </c>
      <c r="G286" s="343" t="s">
        <v>195</v>
      </c>
      <c r="H286" s="341">
        <v>1</v>
      </c>
      <c r="I286" s="344">
        <v>8880.2000000000007</v>
      </c>
      <c r="J286" s="341">
        <v>4.4000000000000004</v>
      </c>
      <c r="K286" s="344">
        <v>39072.879999999997</v>
      </c>
      <c r="Q286" s="281">
        <f>[18]Source!X143</f>
        <v>0</v>
      </c>
      <c r="R286" s="281">
        <f>[18]Source!X144</f>
        <v>0</v>
      </c>
      <c r="S286" s="281">
        <f>[18]Source!Y143</f>
        <v>0</v>
      </c>
      <c r="T286" s="281">
        <f>[18]Source!Y144</f>
        <v>0</v>
      </c>
      <c r="U286" s="281">
        <f>ROUND((175/100)*ROUND([18]Source!R143, 2), 2)</f>
        <v>0</v>
      </c>
      <c r="V286" s="281">
        <f>ROUND((157/100)*ROUND([18]Source!R144, 2), 2)</f>
        <v>0</v>
      </c>
    </row>
    <row r="287" spans="1:22" ht="15" x14ac:dyDescent="0.25">
      <c r="A287" s="345"/>
      <c r="B287" s="345"/>
      <c r="C287" s="346" t="s">
        <v>183</v>
      </c>
      <c r="D287" s="345"/>
      <c r="E287" s="345"/>
      <c r="F287" s="345"/>
      <c r="G287" s="345"/>
      <c r="H287" s="462">
        <v>8880.2000000000007</v>
      </c>
      <c r="I287" s="462"/>
      <c r="J287" s="462">
        <v>39072.879999999997</v>
      </c>
      <c r="K287" s="462"/>
      <c r="O287" s="284">
        <f>I286</f>
        <v>8880.2000000000007</v>
      </c>
      <c r="P287" s="284">
        <f>K286</f>
        <v>39072.879999999997</v>
      </c>
    </row>
    <row r="289" spans="1:22" ht="54" x14ac:dyDescent="0.2">
      <c r="A289" s="338" t="s">
        <v>2683</v>
      </c>
      <c r="B289" s="339" t="s">
        <v>3448</v>
      </c>
      <c r="C289" s="339" t="s">
        <v>1411</v>
      </c>
      <c r="D289" s="340" t="s">
        <v>1661</v>
      </c>
      <c r="E289" s="341">
        <v>2</v>
      </c>
      <c r="F289" s="342">
        <v>13065.03</v>
      </c>
      <c r="G289" s="343" t="s">
        <v>195</v>
      </c>
      <c r="H289" s="341">
        <v>1</v>
      </c>
      <c r="I289" s="344">
        <v>26130.06</v>
      </c>
      <c r="J289" s="341">
        <v>4.4000000000000004</v>
      </c>
      <c r="K289" s="344">
        <v>114972.26</v>
      </c>
      <c r="Q289" s="281">
        <f>[18]Source!X145</f>
        <v>0</v>
      </c>
      <c r="R289" s="281">
        <f>[18]Source!X146</f>
        <v>0</v>
      </c>
      <c r="S289" s="281">
        <f>[18]Source!Y145</f>
        <v>0</v>
      </c>
      <c r="T289" s="281">
        <f>[18]Source!Y146</f>
        <v>0</v>
      </c>
      <c r="U289" s="281">
        <f>ROUND((175/100)*ROUND([18]Source!R145, 2), 2)</f>
        <v>0</v>
      </c>
      <c r="V289" s="281">
        <f>ROUND((157/100)*ROUND([18]Source!R146, 2), 2)</f>
        <v>0</v>
      </c>
    </row>
    <row r="290" spans="1:22" ht="15" x14ac:dyDescent="0.25">
      <c r="A290" s="345"/>
      <c r="B290" s="345"/>
      <c r="C290" s="346" t="s">
        <v>183</v>
      </c>
      <c r="D290" s="345"/>
      <c r="E290" s="345"/>
      <c r="F290" s="345"/>
      <c r="G290" s="345"/>
      <c r="H290" s="462">
        <v>26130.06</v>
      </c>
      <c r="I290" s="462"/>
      <c r="J290" s="462">
        <v>114972.26</v>
      </c>
      <c r="K290" s="462"/>
      <c r="O290" s="284">
        <f>I289</f>
        <v>26130.06</v>
      </c>
      <c r="P290" s="284">
        <f>K289</f>
        <v>114972.26</v>
      </c>
    </row>
    <row r="292" spans="1:22" ht="54" x14ac:dyDescent="0.2">
      <c r="A292" s="338" t="s">
        <v>2684</v>
      </c>
      <c r="B292" s="339" t="s">
        <v>3448</v>
      </c>
      <c r="C292" s="339" t="s">
        <v>1410</v>
      </c>
      <c r="D292" s="340" t="s">
        <v>1661</v>
      </c>
      <c r="E292" s="341">
        <v>1</v>
      </c>
      <c r="F292" s="342">
        <v>10035.48</v>
      </c>
      <c r="G292" s="343" t="s">
        <v>195</v>
      </c>
      <c r="H292" s="341">
        <v>1</v>
      </c>
      <c r="I292" s="344">
        <v>10035.48</v>
      </c>
      <c r="J292" s="341">
        <v>4.4000000000000004</v>
      </c>
      <c r="K292" s="344">
        <v>44156.11</v>
      </c>
      <c r="Q292" s="281">
        <f>[18]Source!X147</f>
        <v>0</v>
      </c>
      <c r="R292" s="281">
        <f>[18]Source!X148</f>
        <v>0</v>
      </c>
      <c r="S292" s="281">
        <f>[18]Source!Y147</f>
        <v>0</v>
      </c>
      <c r="T292" s="281">
        <f>[18]Source!Y148</f>
        <v>0</v>
      </c>
      <c r="U292" s="281">
        <f>ROUND((175/100)*ROUND([18]Source!R147, 2), 2)</f>
        <v>0</v>
      </c>
      <c r="V292" s="281">
        <f>ROUND((157/100)*ROUND([18]Source!R148, 2), 2)</f>
        <v>0</v>
      </c>
    </row>
    <row r="293" spans="1:22" ht="15" x14ac:dyDescent="0.25">
      <c r="A293" s="345"/>
      <c r="B293" s="345"/>
      <c r="C293" s="346" t="s">
        <v>183</v>
      </c>
      <c r="D293" s="345"/>
      <c r="E293" s="345"/>
      <c r="F293" s="345"/>
      <c r="G293" s="345"/>
      <c r="H293" s="462">
        <v>10035.48</v>
      </c>
      <c r="I293" s="462"/>
      <c r="J293" s="462">
        <v>44156.11</v>
      </c>
      <c r="K293" s="462"/>
      <c r="O293" s="284">
        <f>I292</f>
        <v>10035.48</v>
      </c>
      <c r="P293" s="284">
        <f>K292</f>
        <v>44156.11</v>
      </c>
    </row>
    <row r="295" spans="1:22" ht="39.75" x14ac:dyDescent="0.2">
      <c r="A295" s="329" t="s">
        <v>2685</v>
      </c>
      <c r="B295" s="330" t="s">
        <v>3448</v>
      </c>
      <c r="C295" s="330" t="s">
        <v>1409</v>
      </c>
      <c r="D295" s="331" t="s">
        <v>1661</v>
      </c>
      <c r="E295" s="332">
        <v>1</v>
      </c>
      <c r="F295" s="333">
        <v>892.03</v>
      </c>
      <c r="G295" s="334" t="s">
        <v>195</v>
      </c>
      <c r="H295" s="332">
        <v>1</v>
      </c>
      <c r="I295" s="335">
        <v>892.03</v>
      </c>
      <c r="J295" s="332">
        <v>5.42</v>
      </c>
      <c r="K295" s="335">
        <v>4834.8</v>
      </c>
      <c r="Q295" s="281">
        <f>[18]Source!X149</f>
        <v>0</v>
      </c>
      <c r="R295" s="281">
        <f>[18]Source!X150</f>
        <v>0</v>
      </c>
      <c r="S295" s="281">
        <f>[18]Source!Y149</f>
        <v>0</v>
      </c>
      <c r="T295" s="281">
        <f>[18]Source!Y150</f>
        <v>0</v>
      </c>
      <c r="U295" s="281">
        <f>ROUND((175/100)*ROUND([18]Source!R149, 2), 2)</f>
        <v>0</v>
      </c>
      <c r="V295" s="281">
        <f>ROUND((157/100)*ROUND([18]Source!R150, 2), 2)</f>
        <v>0</v>
      </c>
    </row>
    <row r="296" spans="1:22" ht="15" x14ac:dyDescent="0.25">
      <c r="A296" s="336"/>
      <c r="B296" s="336"/>
      <c r="C296" s="337" t="s">
        <v>183</v>
      </c>
      <c r="D296" s="336"/>
      <c r="E296" s="336"/>
      <c r="F296" s="336"/>
      <c r="G296" s="336"/>
      <c r="H296" s="461">
        <v>892.03</v>
      </c>
      <c r="I296" s="461"/>
      <c r="J296" s="461">
        <v>4834.8</v>
      </c>
      <c r="K296" s="461"/>
      <c r="O296" s="284">
        <f>I295</f>
        <v>892.03</v>
      </c>
      <c r="P296" s="284">
        <f>K295</f>
        <v>4834.8</v>
      </c>
    </row>
    <row r="298" spans="1:22" ht="54" x14ac:dyDescent="0.2">
      <c r="A298" s="338" t="s">
        <v>2686</v>
      </c>
      <c r="B298" s="339" t="s">
        <v>3448</v>
      </c>
      <c r="C298" s="339" t="s">
        <v>1408</v>
      </c>
      <c r="D298" s="340" t="s">
        <v>1661</v>
      </c>
      <c r="E298" s="341">
        <v>1</v>
      </c>
      <c r="F298" s="342">
        <v>18584.419999999998</v>
      </c>
      <c r="G298" s="343" t="s">
        <v>195</v>
      </c>
      <c r="H298" s="341">
        <v>1</v>
      </c>
      <c r="I298" s="344">
        <v>18584.419999999998</v>
      </c>
      <c r="J298" s="341">
        <v>4.4000000000000004</v>
      </c>
      <c r="K298" s="344">
        <v>81771.45</v>
      </c>
      <c r="Q298" s="281">
        <f>[18]Source!X151</f>
        <v>0</v>
      </c>
      <c r="R298" s="281">
        <f>[18]Source!X152</f>
        <v>0</v>
      </c>
      <c r="S298" s="281">
        <f>[18]Source!Y151</f>
        <v>0</v>
      </c>
      <c r="T298" s="281">
        <f>[18]Source!Y152</f>
        <v>0</v>
      </c>
      <c r="U298" s="281">
        <f>ROUND((175/100)*ROUND([18]Source!R151, 2), 2)</f>
        <v>0</v>
      </c>
      <c r="V298" s="281">
        <f>ROUND((157/100)*ROUND([18]Source!R152, 2), 2)</f>
        <v>0</v>
      </c>
    </row>
    <row r="299" spans="1:22" ht="15" x14ac:dyDescent="0.25">
      <c r="A299" s="345"/>
      <c r="B299" s="345"/>
      <c r="C299" s="346" t="s">
        <v>183</v>
      </c>
      <c r="D299" s="345"/>
      <c r="E299" s="345"/>
      <c r="F299" s="345"/>
      <c r="G299" s="345"/>
      <c r="H299" s="462">
        <v>18584.419999999998</v>
      </c>
      <c r="I299" s="462"/>
      <c r="J299" s="462">
        <v>81771.45</v>
      </c>
      <c r="K299" s="462"/>
      <c r="O299" s="284">
        <f>I298</f>
        <v>18584.419999999998</v>
      </c>
      <c r="P299" s="284">
        <f>K298</f>
        <v>81771.45</v>
      </c>
    </row>
    <row r="301" spans="1:22" ht="39.75" x14ac:dyDescent="0.2">
      <c r="A301" s="329" t="s">
        <v>2687</v>
      </c>
      <c r="B301" s="330" t="s">
        <v>3448</v>
      </c>
      <c r="C301" s="330" t="s">
        <v>1407</v>
      </c>
      <c r="D301" s="331" t="s">
        <v>1661</v>
      </c>
      <c r="E301" s="332">
        <v>1</v>
      </c>
      <c r="F301" s="333">
        <v>4405.66</v>
      </c>
      <c r="G301" s="334" t="s">
        <v>195</v>
      </c>
      <c r="H301" s="332">
        <v>1</v>
      </c>
      <c r="I301" s="335">
        <v>4405.66</v>
      </c>
      <c r="J301" s="332">
        <v>5.42</v>
      </c>
      <c r="K301" s="335">
        <v>23878.68</v>
      </c>
      <c r="Q301" s="281">
        <f>[18]Source!X153</f>
        <v>0</v>
      </c>
      <c r="R301" s="281">
        <f>[18]Source!X154</f>
        <v>0</v>
      </c>
      <c r="S301" s="281">
        <f>[18]Source!Y153</f>
        <v>0</v>
      </c>
      <c r="T301" s="281">
        <f>[18]Source!Y154</f>
        <v>0</v>
      </c>
      <c r="U301" s="281">
        <f>ROUND((175/100)*ROUND([18]Source!R153, 2), 2)</f>
        <v>0</v>
      </c>
      <c r="V301" s="281">
        <f>ROUND((157/100)*ROUND([18]Source!R154, 2), 2)</f>
        <v>0</v>
      </c>
    </row>
    <row r="302" spans="1:22" ht="15" x14ac:dyDescent="0.25">
      <c r="A302" s="336"/>
      <c r="B302" s="336"/>
      <c r="C302" s="337" t="s">
        <v>183</v>
      </c>
      <c r="D302" s="336"/>
      <c r="E302" s="336"/>
      <c r="F302" s="336"/>
      <c r="G302" s="336"/>
      <c r="H302" s="461">
        <v>4405.66</v>
      </c>
      <c r="I302" s="461"/>
      <c r="J302" s="461">
        <v>23878.68</v>
      </c>
      <c r="K302" s="461"/>
      <c r="O302" s="284">
        <f>I301</f>
        <v>4405.66</v>
      </c>
      <c r="P302" s="284">
        <f>K301</f>
        <v>23878.68</v>
      </c>
    </row>
    <row r="304" spans="1:22" ht="39.75" x14ac:dyDescent="0.2">
      <c r="A304" s="329" t="s">
        <v>2688</v>
      </c>
      <c r="B304" s="330" t="s">
        <v>3448</v>
      </c>
      <c r="C304" s="330" t="s">
        <v>1406</v>
      </c>
      <c r="D304" s="331" t="s">
        <v>1661</v>
      </c>
      <c r="E304" s="332">
        <v>1</v>
      </c>
      <c r="F304" s="333">
        <v>751.82</v>
      </c>
      <c r="G304" s="334" t="s">
        <v>195</v>
      </c>
      <c r="H304" s="332">
        <v>1</v>
      </c>
      <c r="I304" s="335">
        <v>751.82</v>
      </c>
      <c r="J304" s="332">
        <v>5.42</v>
      </c>
      <c r="K304" s="335">
        <v>4074.86</v>
      </c>
      <c r="Q304" s="281">
        <f>[18]Source!X155</f>
        <v>0</v>
      </c>
      <c r="R304" s="281">
        <f>[18]Source!X156</f>
        <v>0</v>
      </c>
      <c r="S304" s="281">
        <f>[18]Source!Y155</f>
        <v>0</v>
      </c>
      <c r="T304" s="281">
        <f>[18]Source!Y156</f>
        <v>0</v>
      </c>
      <c r="U304" s="281">
        <f>ROUND((175/100)*ROUND([18]Source!R155, 2), 2)</f>
        <v>0</v>
      </c>
      <c r="V304" s="281">
        <f>ROUND((157/100)*ROUND([18]Source!R156, 2), 2)</f>
        <v>0</v>
      </c>
    </row>
    <row r="305" spans="1:22" ht="15" x14ac:dyDescent="0.25">
      <c r="A305" s="336"/>
      <c r="B305" s="336"/>
      <c r="C305" s="337" t="s">
        <v>183</v>
      </c>
      <c r="D305" s="336"/>
      <c r="E305" s="336"/>
      <c r="F305" s="336"/>
      <c r="G305" s="336"/>
      <c r="H305" s="461">
        <v>751.82</v>
      </c>
      <c r="I305" s="461"/>
      <c r="J305" s="461">
        <v>4074.86</v>
      </c>
      <c r="K305" s="461"/>
      <c r="O305" s="284">
        <f>I304</f>
        <v>751.82</v>
      </c>
      <c r="P305" s="284">
        <f>K304</f>
        <v>4074.86</v>
      </c>
    </row>
    <row r="307" spans="1:22" ht="39.75" x14ac:dyDescent="0.2">
      <c r="A307" s="329" t="s">
        <v>2689</v>
      </c>
      <c r="B307" s="330" t="s">
        <v>3448</v>
      </c>
      <c r="C307" s="330" t="s">
        <v>1405</v>
      </c>
      <c r="D307" s="331" t="s">
        <v>1661</v>
      </c>
      <c r="E307" s="332">
        <v>1</v>
      </c>
      <c r="F307" s="333">
        <v>286.47000000000003</v>
      </c>
      <c r="G307" s="334" t="s">
        <v>195</v>
      </c>
      <c r="H307" s="332">
        <v>1</v>
      </c>
      <c r="I307" s="335">
        <v>286.47000000000003</v>
      </c>
      <c r="J307" s="332">
        <v>5.42</v>
      </c>
      <c r="K307" s="335">
        <v>1552.67</v>
      </c>
      <c r="Q307" s="281">
        <f>[18]Source!X159</f>
        <v>0</v>
      </c>
      <c r="R307" s="281">
        <f>[18]Source!X160</f>
        <v>0</v>
      </c>
      <c r="S307" s="281">
        <f>[18]Source!Y159</f>
        <v>0</v>
      </c>
      <c r="T307" s="281">
        <f>[18]Source!Y160</f>
        <v>0</v>
      </c>
      <c r="U307" s="281">
        <f>ROUND((175/100)*ROUND([18]Source!R159, 2), 2)</f>
        <v>0</v>
      </c>
      <c r="V307" s="281">
        <f>ROUND((157/100)*ROUND([18]Source!R160, 2), 2)</f>
        <v>0</v>
      </c>
    </row>
    <row r="308" spans="1:22" ht="15" x14ac:dyDescent="0.25">
      <c r="A308" s="336"/>
      <c r="B308" s="336"/>
      <c r="C308" s="337" t="s">
        <v>183</v>
      </c>
      <c r="D308" s="336"/>
      <c r="E308" s="336"/>
      <c r="F308" s="336"/>
      <c r="G308" s="336"/>
      <c r="H308" s="461">
        <v>286.47000000000003</v>
      </c>
      <c r="I308" s="461"/>
      <c r="J308" s="461">
        <v>1552.67</v>
      </c>
      <c r="K308" s="461"/>
      <c r="O308" s="284">
        <f>I307</f>
        <v>286.47000000000003</v>
      </c>
      <c r="P308" s="284">
        <f>K307</f>
        <v>1552.67</v>
      </c>
    </row>
    <row r="310" spans="1:22" ht="54" x14ac:dyDescent="0.2">
      <c r="A310" s="329" t="s">
        <v>2690</v>
      </c>
      <c r="B310" s="330" t="s">
        <v>3448</v>
      </c>
      <c r="C310" s="330" t="s">
        <v>1404</v>
      </c>
      <c r="D310" s="331" t="s">
        <v>1661</v>
      </c>
      <c r="E310" s="332">
        <v>1</v>
      </c>
      <c r="F310" s="333">
        <v>792.96</v>
      </c>
      <c r="G310" s="334" t="s">
        <v>195</v>
      </c>
      <c r="H310" s="332">
        <v>1</v>
      </c>
      <c r="I310" s="335">
        <v>792.96</v>
      </c>
      <c r="J310" s="332">
        <v>5.42</v>
      </c>
      <c r="K310" s="335">
        <v>4297.84</v>
      </c>
      <c r="Q310" s="281">
        <f>[18]Source!X161</f>
        <v>0</v>
      </c>
      <c r="R310" s="281">
        <f>[18]Source!X162</f>
        <v>0</v>
      </c>
      <c r="S310" s="281">
        <f>[18]Source!Y161</f>
        <v>0</v>
      </c>
      <c r="T310" s="281">
        <f>[18]Source!Y162</f>
        <v>0</v>
      </c>
      <c r="U310" s="281">
        <f>ROUND((175/100)*ROUND([18]Source!R161, 2), 2)</f>
        <v>0</v>
      </c>
      <c r="V310" s="281">
        <f>ROUND((157/100)*ROUND([18]Source!R162, 2), 2)</f>
        <v>0</v>
      </c>
    </row>
    <row r="311" spans="1:22" ht="15" x14ac:dyDescent="0.25">
      <c r="A311" s="336"/>
      <c r="B311" s="336"/>
      <c r="C311" s="337" t="s">
        <v>183</v>
      </c>
      <c r="D311" s="336"/>
      <c r="E311" s="336"/>
      <c r="F311" s="336"/>
      <c r="G311" s="336"/>
      <c r="H311" s="461">
        <v>792.96</v>
      </c>
      <c r="I311" s="461"/>
      <c r="J311" s="461">
        <v>4297.84</v>
      </c>
      <c r="K311" s="461"/>
      <c r="O311" s="284">
        <f>I310</f>
        <v>792.96</v>
      </c>
      <c r="P311" s="284">
        <f>K310</f>
        <v>4297.84</v>
      </c>
    </row>
    <row r="313" spans="1:22" ht="54" x14ac:dyDescent="0.2">
      <c r="A313" s="338" t="s">
        <v>2691</v>
      </c>
      <c r="B313" s="339" t="s">
        <v>3448</v>
      </c>
      <c r="C313" s="339" t="s">
        <v>1403</v>
      </c>
      <c r="D313" s="340" t="s">
        <v>1661</v>
      </c>
      <c r="E313" s="341">
        <v>11</v>
      </c>
      <c r="F313" s="342">
        <v>2045.83</v>
      </c>
      <c r="G313" s="343" t="s">
        <v>195</v>
      </c>
      <c r="H313" s="341">
        <v>1</v>
      </c>
      <c r="I313" s="344">
        <v>22504.13</v>
      </c>
      <c r="J313" s="341">
        <v>4.4000000000000004</v>
      </c>
      <c r="K313" s="344">
        <v>99018.17</v>
      </c>
      <c r="Q313" s="281">
        <f>[18]Source!X163</f>
        <v>0</v>
      </c>
      <c r="R313" s="281">
        <f>[18]Source!X164</f>
        <v>0</v>
      </c>
      <c r="S313" s="281">
        <f>[18]Source!Y163</f>
        <v>0</v>
      </c>
      <c r="T313" s="281">
        <f>[18]Source!Y164</f>
        <v>0</v>
      </c>
      <c r="U313" s="281">
        <f>ROUND((175/100)*ROUND([18]Source!R163, 2), 2)</f>
        <v>0</v>
      </c>
      <c r="V313" s="281">
        <f>ROUND((157/100)*ROUND([18]Source!R164, 2), 2)</f>
        <v>0</v>
      </c>
    </row>
    <row r="314" spans="1:22" ht="15" x14ac:dyDescent="0.25">
      <c r="A314" s="345"/>
      <c r="B314" s="345"/>
      <c r="C314" s="346" t="s">
        <v>183</v>
      </c>
      <c r="D314" s="345"/>
      <c r="E314" s="345"/>
      <c r="F314" s="345"/>
      <c r="G314" s="345"/>
      <c r="H314" s="462">
        <v>22504.13</v>
      </c>
      <c r="I314" s="462"/>
      <c r="J314" s="462">
        <v>99018.17</v>
      </c>
      <c r="K314" s="462"/>
      <c r="O314" s="284">
        <f>I313</f>
        <v>22504.13</v>
      </c>
      <c r="P314" s="284">
        <f>K313</f>
        <v>99018.17</v>
      </c>
    </row>
    <row r="316" spans="1:22" ht="54" x14ac:dyDescent="0.2">
      <c r="A316" s="338" t="s">
        <v>2692</v>
      </c>
      <c r="B316" s="339" t="s">
        <v>3448</v>
      </c>
      <c r="C316" s="339" t="s">
        <v>1402</v>
      </c>
      <c r="D316" s="340" t="s">
        <v>1661</v>
      </c>
      <c r="E316" s="341">
        <v>1</v>
      </c>
      <c r="F316" s="342">
        <v>3196.78</v>
      </c>
      <c r="G316" s="343" t="s">
        <v>195</v>
      </c>
      <c r="H316" s="341">
        <v>1</v>
      </c>
      <c r="I316" s="344">
        <v>3196.78</v>
      </c>
      <c r="J316" s="341">
        <v>4.4000000000000004</v>
      </c>
      <c r="K316" s="344">
        <v>14065.83</v>
      </c>
      <c r="Q316" s="281">
        <f>[18]Source!X165</f>
        <v>0</v>
      </c>
      <c r="R316" s="281">
        <f>[18]Source!X166</f>
        <v>0</v>
      </c>
      <c r="S316" s="281">
        <f>[18]Source!Y165</f>
        <v>0</v>
      </c>
      <c r="T316" s="281">
        <f>[18]Source!Y166</f>
        <v>0</v>
      </c>
      <c r="U316" s="281">
        <f>ROUND((175/100)*ROUND([18]Source!R165, 2), 2)</f>
        <v>0</v>
      </c>
      <c r="V316" s="281">
        <f>ROUND((157/100)*ROUND([18]Source!R166, 2), 2)</f>
        <v>0</v>
      </c>
    </row>
    <row r="317" spans="1:22" ht="15" x14ac:dyDescent="0.25">
      <c r="A317" s="345"/>
      <c r="B317" s="345"/>
      <c r="C317" s="346" t="s">
        <v>183</v>
      </c>
      <c r="D317" s="345"/>
      <c r="E317" s="345"/>
      <c r="F317" s="345"/>
      <c r="G317" s="345"/>
      <c r="H317" s="462">
        <v>3196.78</v>
      </c>
      <c r="I317" s="462"/>
      <c r="J317" s="462">
        <v>14065.83</v>
      </c>
      <c r="K317" s="462"/>
      <c r="O317" s="284">
        <f>I316</f>
        <v>3196.78</v>
      </c>
      <c r="P317" s="284">
        <f>K316</f>
        <v>14065.83</v>
      </c>
    </row>
    <row r="320" spans="1:22" ht="15" x14ac:dyDescent="0.25">
      <c r="A320" s="447" t="s">
        <v>3678</v>
      </c>
      <c r="B320" s="447"/>
      <c r="C320" s="447"/>
      <c r="D320" s="447"/>
      <c r="E320" s="447"/>
      <c r="F320" s="447"/>
      <c r="G320" s="447"/>
      <c r="H320" s="445">
        <v>117492.18</v>
      </c>
      <c r="I320" s="446"/>
      <c r="J320" s="445">
        <v>524237.1</v>
      </c>
      <c r="K320" s="446"/>
    </row>
    <row r="321" spans="1:11" hidden="1" x14ac:dyDescent="0.2">
      <c r="A321" s="281" t="s">
        <v>182</v>
      </c>
      <c r="I321" s="281">
        <v>0</v>
      </c>
      <c r="J321" s="281">
        <v>0</v>
      </c>
    </row>
    <row r="322" spans="1:11" hidden="1" x14ac:dyDescent="0.2">
      <c r="A322" s="281" t="s">
        <v>181</v>
      </c>
      <c r="I322" s="281">
        <v>0</v>
      </c>
      <c r="J322" s="281">
        <v>0</v>
      </c>
    </row>
    <row r="324" spans="1:11" ht="15" x14ac:dyDescent="0.25">
      <c r="A324" s="447" t="s">
        <v>3679</v>
      </c>
      <c r="B324" s="447"/>
      <c r="C324" s="447"/>
      <c r="D324" s="447"/>
      <c r="E324" s="447"/>
      <c r="F324" s="447"/>
      <c r="G324" s="447"/>
      <c r="H324" s="445">
        <v>358327.84</v>
      </c>
      <c r="I324" s="446"/>
      <c r="J324" s="445">
        <v>2047791.58</v>
      </c>
      <c r="K324" s="446"/>
    </row>
    <row r="325" spans="1:11" hidden="1" x14ac:dyDescent="0.2">
      <c r="A325" s="281" t="s">
        <v>182</v>
      </c>
      <c r="I325" s="281">
        <v>0</v>
      </c>
      <c r="J325" s="281">
        <v>0</v>
      </c>
    </row>
    <row r="326" spans="1:11" hidden="1" x14ac:dyDescent="0.2">
      <c r="A326" s="281" t="s">
        <v>181</v>
      </c>
      <c r="I326" s="281">
        <v>0</v>
      </c>
      <c r="J326" s="281">
        <v>0</v>
      </c>
    </row>
    <row r="328" spans="1:11" ht="15" x14ac:dyDescent="0.25">
      <c r="A328" s="447" t="s">
        <v>3680</v>
      </c>
      <c r="B328" s="447"/>
      <c r="C328" s="447"/>
      <c r="D328" s="447"/>
      <c r="E328" s="447"/>
      <c r="F328" s="447"/>
      <c r="G328" s="447"/>
      <c r="H328" s="445">
        <v>358327.84</v>
      </c>
      <c r="I328" s="446"/>
      <c r="J328" s="445">
        <v>2047791.58</v>
      </c>
      <c r="K328" s="446"/>
    </row>
    <row r="329" spans="1:11" hidden="1" x14ac:dyDescent="0.2">
      <c r="A329" s="281" t="s">
        <v>182</v>
      </c>
      <c r="I329" s="281">
        <v>0</v>
      </c>
      <c r="J329" s="281">
        <v>0</v>
      </c>
    </row>
    <row r="330" spans="1:11" hidden="1" x14ac:dyDescent="0.2">
      <c r="A330" s="281" t="s">
        <v>181</v>
      </c>
      <c r="I330" s="281">
        <v>0</v>
      </c>
      <c r="J330" s="281">
        <v>0</v>
      </c>
    </row>
    <row r="331" spans="1:11" ht="14.25" x14ac:dyDescent="0.2">
      <c r="C331" s="442" t="s">
        <v>1920</v>
      </c>
      <c r="D331" s="442"/>
      <c r="E331" s="442"/>
      <c r="F331" s="442"/>
      <c r="G331" s="442"/>
      <c r="H331" s="443">
        <v>323711.74</v>
      </c>
      <c r="I331" s="443"/>
      <c r="J331" s="443">
        <v>1517963.48</v>
      </c>
      <c r="K331" s="443"/>
    </row>
    <row r="332" spans="1:11" ht="14.25" x14ac:dyDescent="0.2">
      <c r="C332" s="442" t="s">
        <v>1933</v>
      </c>
      <c r="D332" s="442"/>
      <c r="E332" s="442"/>
      <c r="F332" s="442"/>
      <c r="G332" s="442"/>
      <c r="H332" s="443">
        <v>303165</v>
      </c>
      <c r="I332" s="443"/>
      <c r="J332" s="443">
        <v>1063674.55</v>
      </c>
      <c r="K332" s="443"/>
    </row>
    <row r="333" spans="1:11" ht="14.25" x14ac:dyDescent="0.2">
      <c r="C333" s="442" t="s">
        <v>1934</v>
      </c>
      <c r="D333" s="442"/>
      <c r="E333" s="442"/>
      <c r="F333" s="442"/>
      <c r="G333" s="442"/>
      <c r="H333" s="443">
        <v>187368.16</v>
      </c>
      <c r="I333" s="443"/>
      <c r="J333" s="443">
        <v>551858.47</v>
      </c>
      <c r="K333" s="443"/>
    </row>
    <row r="334" spans="1:11" ht="14.25" x14ac:dyDescent="0.2">
      <c r="C334" s="442" t="s">
        <v>1935</v>
      </c>
      <c r="D334" s="442"/>
      <c r="E334" s="442"/>
      <c r="F334" s="442"/>
      <c r="G334" s="442"/>
      <c r="H334" s="443">
        <v>115796.84</v>
      </c>
      <c r="I334" s="443"/>
      <c r="J334" s="443">
        <v>511816.08</v>
      </c>
      <c r="K334" s="443"/>
    </row>
    <row r="335" spans="1:11" ht="14.25" x14ac:dyDescent="0.2">
      <c r="C335" s="442" t="s">
        <v>1937</v>
      </c>
      <c r="D335" s="442"/>
      <c r="E335" s="442"/>
      <c r="F335" s="442"/>
      <c r="G335" s="442"/>
      <c r="H335" s="443">
        <v>297.70999999999998</v>
      </c>
      <c r="I335" s="443"/>
      <c r="J335" s="443">
        <v>6951.52</v>
      </c>
      <c r="K335" s="443"/>
    </row>
    <row r="336" spans="1:11" ht="14.25" x14ac:dyDescent="0.2">
      <c r="C336" s="442" t="s">
        <v>1938</v>
      </c>
      <c r="D336" s="442"/>
      <c r="E336" s="442"/>
      <c r="F336" s="442"/>
      <c r="G336" s="442"/>
      <c r="H336" s="443">
        <v>18833.310000000001</v>
      </c>
      <c r="I336" s="443"/>
      <c r="J336" s="443">
        <v>439757.79</v>
      </c>
      <c r="K336" s="443"/>
    </row>
    <row r="337" spans="1:11" ht="14.25" x14ac:dyDescent="0.2">
      <c r="C337" s="442" t="s">
        <v>1939</v>
      </c>
      <c r="D337" s="442"/>
      <c r="E337" s="442"/>
      <c r="F337" s="442"/>
      <c r="G337" s="442"/>
      <c r="H337" s="443">
        <v>0</v>
      </c>
      <c r="I337" s="443"/>
      <c r="J337" s="443">
        <v>0</v>
      </c>
      <c r="K337" s="443"/>
    </row>
    <row r="338" spans="1:11" ht="14.25" x14ac:dyDescent="0.2">
      <c r="C338" s="442" t="s">
        <v>1940</v>
      </c>
      <c r="D338" s="442"/>
      <c r="E338" s="442"/>
      <c r="F338" s="442"/>
      <c r="G338" s="442"/>
      <c r="H338" s="443">
        <v>242531</v>
      </c>
      <c r="I338" s="443"/>
      <c r="J338" s="443">
        <v>1535975.5</v>
      </c>
      <c r="K338" s="443"/>
    </row>
    <row r="339" spans="1:11" ht="14.25" x14ac:dyDescent="0.2">
      <c r="C339" s="442" t="s">
        <v>1941</v>
      </c>
      <c r="D339" s="442"/>
      <c r="E339" s="442"/>
      <c r="F339" s="442"/>
      <c r="G339" s="442"/>
      <c r="H339" s="443">
        <v>0</v>
      </c>
      <c r="I339" s="443"/>
      <c r="J339" s="443">
        <v>0</v>
      </c>
      <c r="K339" s="443"/>
    </row>
    <row r="340" spans="1:11" ht="14.25" x14ac:dyDescent="0.2">
      <c r="C340" s="442" t="s">
        <v>1942</v>
      </c>
      <c r="D340" s="442"/>
      <c r="E340" s="442"/>
      <c r="F340" s="442"/>
      <c r="G340" s="442"/>
      <c r="H340" s="443">
        <v>21456.39</v>
      </c>
      <c r="I340" s="443"/>
      <c r="J340" s="443">
        <v>338613.48</v>
      </c>
      <c r="K340" s="443"/>
    </row>
    <row r="341" spans="1:11" ht="14.25" x14ac:dyDescent="0.2">
      <c r="C341" s="442" t="s">
        <v>1943</v>
      </c>
      <c r="D341" s="442"/>
      <c r="E341" s="442"/>
      <c r="F341" s="442"/>
      <c r="G341" s="442"/>
      <c r="H341" s="443">
        <v>12638.72</v>
      </c>
      <c r="I341" s="443"/>
      <c r="J341" s="443">
        <v>180300.71</v>
      </c>
      <c r="K341" s="443"/>
    </row>
    <row r="342" spans="1:11" ht="14.25" x14ac:dyDescent="0.2">
      <c r="C342" s="442" t="s">
        <v>1944</v>
      </c>
      <c r="D342" s="442"/>
      <c r="E342" s="442"/>
      <c r="F342" s="442"/>
      <c r="G342" s="442"/>
      <c r="H342" s="443">
        <v>358327.84</v>
      </c>
      <c r="I342" s="443"/>
      <c r="J342" s="443">
        <v>2047791.58</v>
      </c>
      <c r="K342" s="443"/>
    </row>
    <row r="345" spans="1:11" ht="14.25" x14ac:dyDescent="0.2">
      <c r="A345" s="440" t="s">
        <v>180</v>
      </c>
      <c r="B345" s="440"/>
      <c r="C345" s="347" t="s">
        <v>107</v>
      </c>
      <c r="D345" s="347"/>
      <c r="E345" s="347"/>
      <c r="F345" s="347"/>
      <c r="G345" s="347"/>
      <c r="H345" s="287" t="s">
        <v>107</v>
      </c>
      <c r="I345" s="287"/>
      <c r="J345" s="287"/>
      <c r="K345" s="287"/>
    </row>
    <row r="346" spans="1:11" ht="14.25" x14ac:dyDescent="0.2">
      <c r="A346" s="287"/>
      <c r="B346" s="287"/>
      <c r="C346" s="460" t="s">
        <v>72</v>
      </c>
      <c r="D346" s="460"/>
      <c r="E346" s="460"/>
      <c r="F346" s="460"/>
      <c r="G346" s="460"/>
      <c r="H346" s="287"/>
      <c r="I346" s="287"/>
      <c r="J346" s="287"/>
      <c r="K346" s="287"/>
    </row>
    <row r="347" spans="1:11" ht="14.25" x14ac:dyDescent="0.2">
      <c r="A347" s="287"/>
      <c r="B347" s="287"/>
      <c r="C347" s="287"/>
      <c r="D347" s="287"/>
      <c r="E347" s="287"/>
      <c r="F347" s="287"/>
      <c r="G347" s="287"/>
      <c r="H347" s="287"/>
      <c r="I347" s="287"/>
      <c r="J347" s="287"/>
      <c r="K347" s="287"/>
    </row>
    <row r="348" spans="1:11" ht="14.25" x14ac:dyDescent="0.2">
      <c r="A348" s="440" t="s">
        <v>179</v>
      </c>
      <c r="B348" s="440"/>
      <c r="C348" s="347" t="s">
        <v>107</v>
      </c>
      <c r="D348" s="347"/>
      <c r="E348" s="347"/>
      <c r="F348" s="347"/>
      <c r="G348" s="347"/>
      <c r="H348" s="287" t="s">
        <v>107</v>
      </c>
      <c r="I348" s="287"/>
      <c r="J348" s="287"/>
      <c r="K348" s="287"/>
    </row>
    <row r="349" spans="1:11" ht="14.25" x14ac:dyDescent="0.2">
      <c r="A349" s="287"/>
      <c r="B349" s="287"/>
      <c r="C349" s="460" t="s">
        <v>72</v>
      </c>
      <c r="D349" s="460"/>
      <c r="E349" s="460"/>
      <c r="F349" s="460"/>
      <c r="G349" s="460"/>
      <c r="H349" s="287"/>
      <c r="I349" s="287"/>
      <c r="J349" s="287"/>
      <c r="K349" s="287"/>
    </row>
  </sheetData>
  <mergeCells count="144"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36:K36"/>
    <mergeCell ref="J46:K46"/>
    <mergeCell ref="H46:I46"/>
    <mergeCell ref="J57:K57"/>
    <mergeCell ref="H57:I57"/>
    <mergeCell ref="J68:K68"/>
    <mergeCell ref="H68:I68"/>
    <mergeCell ref="J76:K76"/>
    <mergeCell ref="H76:I76"/>
    <mergeCell ref="J84:K84"/>
    <mergeCell ref="H84:I84"/>
    <mergeCell ref="J96:K96"/>
    <mergeCell ref="H96:I96"/>
    <mergeCell ref="J107:K107"/>
    <mergeCell ref="H107:I107"/>
    <mergeCell ref="J115:K115"/>
    <mergeCell ref="H115:I115"/>
    <mergeCell ref="J126:K126"/>
    <mergeCell ref="H126:I126"/>
    <mergeCell ref="J138:K138"/>
    <mergeCell ref="H138:I138"/>
    <mergeCell ref="J147:K147"/>
    <mergeCell ref="H147:I147"/>
    <mergeCell ref="J159:K159"/>
    <mergeCell ref="H159:I159"/>
    <mergeCell ref="J168:K168"/>
    <mergeCell ref="H168:I168"/>
    <mergeCell ref="J177:K177"/>
    <mergeCell ref="H177:I177"/>
    <mergeCell ref="J187:K187"/>
    <mergeCell ref="H187:I187"/>
    <mergeCell ref="J197:K197"/>
    <mergeCell ref="H197:I197"/>
    <mergeCell ref="J211:K211"/>
    <mergeCell ref="H211:I211"/>
    <mergeCell ref="J224:K224"/>
    <mergeCell ref="H224:I224"/>
    <mergeCell ref="J237:K237"/>
    <mergeCell ref="H237:I237"/>
    <mergeCell ref="J250:K250"/>
    <mergeCell ref="H250:I250"/>
    <mergeCell ref="J263:K263"/>
    <mergeCell ref="H263:I263"/>
    <mergeCell ref="J276:K276"/>
    <mergeCell ref="H276:I276"/>
    <mergeCell ref="A279:K279"/>
    <mergeCell ref="J281:K281"/>
    <mergeCell ref="H281:I281"/>
    <mergeCell ref="J284:K284"/>
    <mergeCell ref="H284:I284"/>
    <mergeCell ref="J287:K287"/>
    <mergeCell ref="H287:I287"/>
    <mergeCell ref="J290:K290"/>
    <mergeCell ref="H290:I290"/>
    <mergeCell ref="J293:K293"/>
    <mergeCell ref="H293:I293"/>
    <mergeCell ref="J296:K296"/>
    <mergeCell ref="H296:I296"/>
    <mergeCell ref="J299:K299"/>
    <mergeCell ref="H299:I299"/>
    <mergeCell ref="J302:K302"/>
    <mergeCell ref="H302:I302"/>
    <mergeCell ref="J305:K305"/>
    <mergeCell ref="H305:I305"/>
    <mergeCell ref="J308:K308"/>
    <mergeCell ref="H308:I308"/>
    <mergeCell ref="J311:K311"/>
    <mergeCell ref="H311:I311"/>
    <mergeCell ref="J314:K314"/>
    <mergeCell ref="H314:I314"/>
    <mergeCell ref="J317:K317"/>
    <mergeCell ref="H317:I317"/>
    <mergeCell ref="J320:K320"/>
    <mergeCell ref="H320:I320"/>
    <mergeCell ref="A320:G320"/>
    <mergeCell ref="J324:K324"/>
    <mergeCell ref="H324:I324"/>
    <mergeCell ref="A324:G324"/>
    <mergeCell ref="J328:K328"/>
    <mergeCell ref="H328:I328"/>
    <mergeCell ref="A328:G328"/>
    <mergeCell ref="C331:G331"/>
    <mergeCell ref="H331:I331"/>
    <mergeCell ref="J331:K331"/>
    <mergeCell ref="C332:G332"/>
    <mergeCell ref="H332:I332"/>
    <mergeCell ref="J332:K332"/>
    <mergeCell ref="C333:G333"/>
    <mergeCell ref="H333:I333"/>
    <mergeCell ref="J333:K333"/>
    <mergeCell ref="C334:G334"/>
    <mergeCell ref="H334:I334"/>
    <mergeCell ref="J334:K334"/>
    <mergeCell ref="C335:G335"/>
    <mergeCell ref="H335:I335"/>
    <mergeCell ref="J335:K335"/>
    <mergeCell ref="C336:G336"/>
    <mergeCell ref="H336:I336"/>
    <mergeCell ref="J336:K336"/>
    <mergeCell ref="C337:G337"/>
    <mergeCell ref="H337:I337"/>
    <mergeCell ref="J337:K337"/>
    <mergeCell ref="A345:B345"/>
    <mergeCell ref="C346:G346"/>
    <mergeCell ref="A348:B348"/>
    <mergeCell ref="C349:G349"/>
    <mergeCell ref="C341:G341"/>
    <mergeCell ref="H341:I341"/>
    <mergeCell ref="C338:G338"/>
    <mergeCell ref="H338:I338"/>
    <mergeCell ref="J338:K338"/>
    <mergeCell ref="J341:K341"/>
    <mergeCell ref="C342:G342"/>
    <mergeCell ref="H342:I342"/>
    <mergeCell ref="J342:K342"/>
    <mergeCell ref="C339:G339"/>
    <mergeCell ref="H339:I339"/>
    <mergeCell ref="J339:K339"/>
    <mergeCell ref="C340:G340"/>
    <mergeCell ref="H340:I340"/>
    <mergeCell ref="J340:K340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AL673"/>
  <sheetViews>
    <sheetView zoomScaleNormal="100" workbookViewId="0">
      <selection sqref="A1:AL1048576"/>
    </sheetView>
  </sheetViews>
  <sheetFormatPr defaultColWidth="9.140625" defaultRowHeight="12.75" x14ac:dyDescent="0.2"/>
  <cols>
    <col min="1" max="1" width="5.7109375" style="281" customWidth="1"/>
    <col min="2" max="2" width="11.7109375" style="281" customWidth="1"/>
    <col min="3" max="3" width="40.7109375" style="281" customWidth="1"/>
    <col min="4" max="6" width="11.7109375" style="281" customWidth="1"/>
    <col min="7" max="7" width="12.7109375" style="281" customWidth="1"/>
    <col min="8" max="8" width="10.7109375" style="281" customWidth="1"/>
    <col min="9" max="11" width="12.7109375" style="281" customWidth="1"/>
    <col min="12" max="14" width="9.140625" style="281"/>
    <col min="15" max="30" width="0" style="281" hidden="1" customWidth="1"/>
    <col min="31" max="31" width="150.7109375" style="281" hidden="1" customWidth="1"/>
    <col min="32" max="32" width="104.7109375" style="281" hidden="1" customWidth="1"/>
    <col min="33" max="36" width="0" style="281" hidden="1" customWidth="1"/>
    <col min="37" max="38" width="9.140625" style="281"/>
    <col min="39" max="16384" width="9.140625" style="160"/>
  </cols>
  <sheetData>
    <row r="1" spans="1:31" x14ac:dyDescent="0.2">
      <c r="A1" s="285" t="s">
        <v>1523</v>
      </c>
    </row>
    <row r="2" spans="1:31" ht="14.25" x14ac:dyDescent="0.2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7" t="s">
        <v>381</v>
      </c>
    </row>
    <row r="3" spans="1:31" ht="16.5" x14ac:dyDescent="0.25">
      <c r="A3" s="288"/>
      <c r="B3" s="458" t="s">
        <v>380</v>
      </c>
      <c r="C3" s="458"/>
      <c r="D3" s="458"/>
      <c r="E3" s="458"/>
      <c r="F3" s="287"/>
      <c r="G3" s="458" t="s">
        <v>0</v>
      </c>
      <c r="H3" s="458"/>
      <c r="I3" s="458"/>
      <c r="J3" s="458"/>
      <c r="K3" s="458"/>
    </row>
    <row r="4" spans="1:31" ht="14.25" x14ac:dyDescent="0.2">
      <c r="A4" s="287"/>
      <c r="B4" s="450"/>
      <c r="C4" s="450"/>
      <c r="D4" s="450"/>
      <c r="E4" s="450"/>
      <c r="F4" s="287"/>
      <c r="G4" s="450"/>
      <c r="H4" s="450"/>
      <c r="I4" s="450"/>
      <c r="J4" s="450"/>
      <c r="K4" s="450"/>
    </row>
    <row r="5" spans="1:31" ht="14.25" x14ac:dyDescent="0.2">
      <c r="A5" s="289"/>
      <c r="B5" s="289"/>
      <c r="C5" s="290"/>
      <c r="D5" s="290"/>
      <c r="E5" s="290"/>
      <c r="F5" s="287"/>
      <c r="G5" s="188"/>
      <c r="H5" s="290"/>
      <c r="I5" s="290"/>
      <c r="J5" s="290"/>
      <c r="K5" s="188"/>
    </row>
    <row r="6" spans="1:31" ht="14.25" x14ac:dyDescent="0.2">
      <c r="A6" s="188"/>
      <c r="B6" s="450" t="s">
        <v>1524</v>
      </c>
      <c r="C6" s="450"/>
      <c r="D6" s="450"/>
      <c r="E6" s="450"/>
      <c r="F6" s="287"/>
      <c r="G6" s="450" t="s">
        <v>1524</v>
      </c>
      <c r="H6" s="450"/>
      <c r="I6" s="450"/>
      <c r="J6" s="450"/>
      <c r="K6" s="450"/>
    </row>
    <row r="7" spans="1:31" ht="14.25" x14ac:dyDescent="0.2">
      <c r="A7" s="291"/>
      <c r="B7" s="459" t="s">
        <v>379</v>
      </c>
      <c r="C7" s="459"/>
      <c r="D7" s="459"/>
      <c r="E7" s="459"/>
      <c r="F7" s="287"/>
      <c r="G7" s="459" t="s">
        <v>379</v>
      </c>
      <c r="H7" s="459"/>
      <c r="I7" s="459"/>
      <c r="J7" s="459"/>
      <c r="K7" s="459"/>
    </row>
    <row r="9" spans="1:31" ht="14.25" x14ac:dyDescent="0.2">
      <c r="A9" s="287"/>
      <c r="B9" s="287"/>
      <c r="C9" s="287"/>
      <c r="D9" s="287"/>
      <c r="E9" s="287"/>
      <c r="F9" s="287"/>
      <c r="G9" s="287"/>
      <c r="H9" s="287"/>
      <c r="I9" s="287"/>
      <c r="J9" s="287"/>
      <c r="K9" s="287"/>
    </row>
    <row r="10" spans="1:31" ht="47.25" x14ac:dyDescent="0.25">
      <c r="A10" s="464" t="s">
        <v>3850</v>
      </c>
      <c r="B10" s="464"/>
      <c r="C10" s="464"/>
      <c r="D10" s="464"/>
      <c r="E10" s="464"/>
      <c r="F10" s="464"/>
      <c r="G10" s="464"/>
      <c r="H10" s="464"/>
      <c r="I10" s="464"/>
      <c r="J10" s="464"/>
      <c r="K10" s="464"/>
      <c r="AE10" s="319" t="str">
        <f>IF([19]Source!G12&lt;&gt;"Новый объект", [19]Source!G12,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60" t="s">
        <v>75</v>
      </c>
      <c r="B11" s="460"/>
      <c r="C11" s="460"/>
      <c r="D11" s="460"/>
      <c r="E11" s="460"/>
      <c r="F11" s="460"/>
      <c r="G11" s="460"/>
      <c r="H11" s="460"/>
      <c r="I11" s="460"/>
      <c r="J11" s="460"/>
      <c r="K11" s="460"/>
    </row>
    <row r="12" spans="1:31" ht="14.25" x14ac:dyDescent="0.2">
      <c r="A12" s="287"/>
      <c r="B12" s="287"/>
      <c r="C12" s="287"/>
      <c r="D12" s="287"/>
      <c r="E12" s="287"/>
      <c r="F12" s="287"/>
      <c r="G12" s="287"/>
      <c r="H12" s="287"/>
      <c r="I12" s="287"/>
      <c r="J12" s="287"/>
      <c r="K12" s="287"/>
    </row>
    <row r="13" spans="1:31" ht="15.75" x14ac:dyDescent="0.25">
      <c r="A13" s="464" t="s">
        <v>3898</v>
      </c>
      <c r="B13" s="465"/>
      <c r="C13" s="465"/>
      <c r="D13" s="465"/>
      <c r="E13" s="465"/>
      <c r="F13" s="465"/>
      <c r="G13" s="465"/>
      <c r="H13" s="465"/>
      <c r="I13" s="465"/>
      <c r="J13" s="465"/>
      <c r="K13" s="465"/>
    </row>
    <row r="14" spans="1:31" ht="14.25" x14ac:dyDescent="0.2">
      <c r="A14" s="287"/>
      <c r="B14" s="287"/>
      <c r="C14" s="287"/>
      <c r="D14" s="287"/>
      <c r="E14" s="287"/>
      <c r="F14" s="287"/>
      <c r="G14" s="287"/>
      <c r="H14" s="287"/>
      <c r="I14" s="287"/>
      <c r="J14" s="287"/>
      <c r="K14" s="287"/>
    </row>
    <row r="15" spans="1:31" ht="18" x14ac:dyDescent="0.25">
      <c r="A15" s="466" t="s">
        <v>170</v>
      </c>
      <c r="B15" s="466"/>
      <c r="C15" s="466"/>
      <c r="D15" s="466"/>
      <c r="E15" s="466"/>
      <c r="F15" s="466"/>
      <c r="G15" s="466"/>
      <c r="H15" s="466"/>
      <c r="I15" s="466"/>
      <c r="J15" s="466"/>
      <c r="K15" s="466"/>
    </row>
    <row r="16" spans="1:31" x14ac:dyDescent="0.2">
      <c r="A16" s="455" t="s">
        <v>378</v>
      </c>
      <c r="B16" s="456"/>
      <c r="C16" s="456"/>
      <c r="D16" s="456"/>
      <c r="E16" s="456"/>
      <c r="F16" s="456"/>
      <c r="G16" s="456"/>
      <c r="H16" s="456"/>
      <c r="I16" s="456"/>
      <c r="J16" s="456"/>
      <c r="K16" s="456"/>
    </row>
    <row r="17" spans="1:31" ht="14.25" x14ac:dyDescent="0.2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</row>
    <row r="18" spans="1:31" ht="14.25" x14ac:dyDescent="0.2">
      <c r="A18" s="463" t="s">
        <v>3681</v>
      </c>
      <c r="B18" s="463"/>
      <c r="C18" s="463"/>
      <c r="D18" s="463"/>
      <c r="E18" s="463"/>
      <c r="F18" s="463"/>
      <c r="G18" s="463"/>
      <c r="H18" s="463"/>
      <c r="I18" s="463"/>
      <c r="J18" s="463"/>
      <c r="K18" s="463"/>
    </row>
    <row r="19" spans="1:31" ht="14.25" x14ac:dyDescent="0.2">
      <c r="A19" s="293"/>
      <c r="B19" s="293"/>
      <c r="C19" s="293"/>
      <c r="D19" s="293"/>
      <c r="E19" s="293"/>
      <c r="F19" s="293"/>
      <c r="G19" s="293"/>
      <c r="H19" s="293"/>
      <c r="I19" s="293"/>
      <c r="J19" s="293"/>
      <c r="K19" s="293"/>
    </row>
    <row r="20" spans="1:31" ht="28.5" x14ac:dyDescent="0.2">
      <c r="A20" s="287"/>
      <c r="B20" s="287"/>
      <c r="C20" s="287"/>
      <c r="D20" s="287"/>
      <c r="E20" s="287"/>
      <c r="F20" s="287"/>
      <c r="G20" s="287"/>
      <c r="H20" s="287"/>
      <c r="I20" s="294" t="s">
        <v>377</v>
      </c>
      <c r="J20" s="294" t="s">
        <v>376</v>
      </c>
      <c r="K20" s="287"/>
    </row>
    <row r="21" spans="1:31" ht="15" x14ac:dyDescent="0.25">
      <c r="A21" s="287"/>
      <c r="B21" s="287"/>
      <c r="C21" s="287"/>
      <c r="D21" s="287"/>
      <c r="E21" s="287"/>
      <c r="F21" s="457" t="s">
        <v>375</v>
      </c>
      <c r="G21" s="457"/>
      <c r="H21" s="457"/>
      <c r="I21" s="295">
        <v>146.4</v>
      </c>
      <c r="J21" s="295">
        <v>782.54</v>
      </c>
      <c r="K21" s="296" t="s">
        <v>366</v>
      </c>
    </row>
    <row r="22" spans="1:31" ht="14.25" x14ac:dyDescent="0.2">
      <c r="A22" s="287"/>
      <c r="B22" s="287"/>
      <c r="C22" s="287"/>
      <c r="D22" s="287"/>
      <c r="E22" s="287"/>
      <c r="F22" s="450" t="s">
        <v>374</v>
      </c>
      <c r="G22" s="450"/>
      <c r="H22" s="450"/>
      <c r="I22" s="297">
        <v>0</v>
      </c>
      <c r="J22" s="297">
        <v>0</v>
      </c>
      <c r="K22" s="287" t="s">
        <v>366</v>
      </c>
    </row>
    <row r="23" spans="1:31" ht="14.25" x14ac:dyDescent="0.2">
      <c r="A23" s="287"/>
      <c r="B23" s="287"/>
      <c r="C23" s="287"/>
      <c r="D23" s="287"/>
      <c r="E23" s="287"/>
      <c r="F23" s="450" t="s">
        <v>373</v>
      </c>
      <c r="G23" s="450"/>
      <c r="H23" s="450"/>
      <c r="I23" s="297">
        <v>17.2</v>
      </c>
      <c r="J23" s="297">
        <v>167.34</v>
      </c>
      <c r="K23" s="287" t="s">
        <v>366</v>
      </c>
    </row>
    <row r="24" spans="1:31" ht="14.25" x14ac:dyDescent="0.2">
      <c r="A24" s="287"/>
      <c r="B24" s="287"/>
      <c r="C24" s="287"/>
      <c r="D24" s="287"/>
      <c r="E24" s="287"/>
      <c r="F24" s="450" t="s">
        <v>106</v>
      </c>
      <c r="G24" s="450"/>
      <c r="H24" s="450"/>
      <c r="I24" s="297">
        <v>126.93</v>
      </c>
      <c r="J24" s="297">
        <v>569.91999999999996</v>
      </c>
      <c r="K24" s="287" t="s">
        <v>366</v>
      </c>
    </row>
    <row r="25" spans="1:31" ht="14.25" x14ac:dyDescent="0.2">
      <c r="A25" s="287"/>
      <c r="B25" s="287"/>
      <c r="C25" s="287"/>
      <c r="D25" s="287"/>
      <c r="E25" s="287"/>
      <c r="F25" s="450" t="s">
        <v>372</v>
      </c>
      <c r="G25" s="450"/>
      <c r="H25" s="450"/>
      <c r="I25" s="297">
        <v>2.27</v>
      </c>
      <c r="J25" s="297">
        <v>45.28</v>
      </c>
      <c r="K25" s="287" t="s">
        <v>366</v>
      </c>
    </row>
    <row r="26" spans="1:31" ht="14.25" x14ac:dyDescent="0.2">
      <c r="A26" s="287"/>
      <c r="B26" s="287"/>
      <c r="C26" s="287"/>
      <c r="D26" s="287"/>
      <c r="E26" s="287"/>
      <c r="F26" s="450" t="s">
        <v>371</v>
      </c>
      <c r="G26" s="450"/>
      <c r="H26" s="450"/>
      <c r="I26" s="297">
        <v>3.29</v>
      </c>
      <c r="J26" s="297">
        <v>76.91</v>
      </c>
      <c r="K26" s="287" t="s">
        <v>366</v>
      </c>
    </row>
    <row r="27" spans="1:31" ht="14.25" x14ac:dyDescent="0.2">
      <c r="A27" s="287"/>
      <c r="B27" s="287"/>
      <c r="C27" s="287"/>
      <c r="D27" s="287"/>
      <c r="E27" s="287"/>
      <c r="F27" s="450" t="s">
        <v>370</v>
      </c>
      <c r="G27" s="450"/>
      <c r="H27" s="450"/>
      <c r="I27" s="297">
        <v>245.46</v>
      </c>
      <c r="J27" s="297"/>
      <c r="K27" s="287" t="s">
        <v>369</v>
      </c>
    </row>
    <row r="28" spans="1:31" ht="14.25" hidden="1" x14ac:dyDescent="0.2">
      <c r="A28" s="287"/>
      <c r="B28" s="287"/>
      <c r="C28" s="287"/>
      <c r="D28" s="287"/>
      <c r="E28" s="287"/>
      <c r="F28" s="188" t="s">
        <v>368</v>
      </c>
      <c r="G28" s="188"/>
      <c r="H28" s="188"/>
      <c r="I28" s="297"/>
      <c r="J28" s="297"/>
      <c r="K28" s="287"/>
    </row>
    <row r="29" spans="1:31" ht="14.25" hidden="1" x14ac:dyDescent="0.2">
      <c r="A29" s="287"/>
      <c r="B29" s="287"/>
      <c r="C29" s="287"/>
      <c r="D29" s="287"/>
      <c r="E29" s="287"/>
      <c r="F29" s="419" t="s">
        <v>367</v>
      </c>
      <c r="G29" s="420"/>
      <c r="H29" s="420"/>
      <c r="I29" s="297">
        <v>0</v>
      </c>
      <c r="J29" s="297">
        <v>0</v>
      </c>
      <c r="K29" s="287" t="s">
        <v>366</v>
      </c>
    </row>
    <row r="30" spans="1:31" ht="14.25" x14ac:dyDescent="0.2">
      <c r="A30" s="287"/>
      <c r="B30" s="287"/>
      <c r="C30" s="287"/>
      <c r="D30" s="287"/>
      <c r="E30" s="287"/>
      <c r="F30" s="188"/>
      <c r="G30" s="188"/>
      <c r="H30" s="188"/>
      <c r="I30" s="297"/>
      <c r="J30" s="297"/>
      <c r="K30" s="287"/>
    </row>
    <row r="31" spans="1:31" ht="14.25" x14ac:dyDescent="0.2">
      <c r="A31" s="287" t="s">
        <v>365</v>
      </c>
      <c r="B31" s="287"/>
      <c r="C31" s="287"/>
      <c r="D31" s="287"/>
      <c r="E31" s="287"/>
      <c r="F31" s="188"/>
      <c r="G31" s="188"/>
      <c r="H31" s="188"/>
      <c r="I31" s="297"/>
      <c r="J31" s="297"/>
      <c r="K31" s="287"/>
    </row>
    <row r="32" spans="1:31" ht="28.5" x14ac:dyDescent="0.2">
      <c r="A32" s="463" t="s">
        <v>364</v>
      </c>
      <c r="B32" s="463"/>
      <c r="C32" s="463"/>
      <c r="D32" s="463"/>
      <c r="E32" s="463"/>
      <c r="F32" s="463"/>
      <c r="G32" s="463"/>
      <c r="H32" s="463"/>
      <c r="I32" s="463"/>
      <c r="J32" s="463"/>
      <c r="K32" s="463"/>
      <c r="AE32" s="320" t="s">
        <v>364</v>
      </c>
    </row>
    <row r="33" spans="1:22" ht="85.5" x14ac:dyDescent="0.2">
      <c r="A33" s="299" t="s">
        <v>81</v>
      </c>
      <c r="B33" s="299" t="s">
        <v>363</v>
      </c>
      <c r="C33" s="299" t="s">
        <v>83</v>
      </c>
      <c r="D33" s="299" t="s">
        <v>362</v>
      </c>
      <c r="E33" s="299" t="s">
        <v>361</v>
      </c>
      <c r="F33" s="299" t="s">
        <v>360</v>
      </c>
      <c r="G33" s="300" t="s">
        <v>359</v>
      </c>
      <c r="H33" s="300" t="s">
        <v>358</v>
      </c>
      <c r="I33" s="299" t="s">
        <v>357</v>
      </c>
      <c r="J33" s="299" t="s">
        <v>356</v>
      </c>
      <c r="K33" s="299" t="s">
        <v>355</v>
      </c>
    </row>
    <row r="34" spans="1:22" ht="14.25" x14ac:dyDescent="0.2">
      <c r="A34" s="299">
        <v>1</v>
      </c>
      <c r="B34" s="299">
        <v>2</v>
      </c>
      <c r="C34" s="299">
        <v>3</v>
      </c>
      <c r="D34" s="299">
        <v>4</v>
      </c>
      <c r="E34" s="299">
        <v>5</v>
      </c>
      <c r="F34" s="299">
        <v>6</v>
      </c>
      <c r="G34" s="299">
        <v>7</v>
      </c>
      <c r="H34" s="299">
        <v>8</v>
      </c>
      <c r="I34" s="299">
        <v>9</v>
      </c>
      <c r="J34" s="299">
        <v>10</v>
      </c>
      <c r="K34" s="299">
        <v>11</v>
      </c>
    </row>
    <row r="36" spans="1:22" ht="16.5" x14ac:dyDescent="0.25">
      <c r="A36" s="448" t="s">
        <v>3682</v>
      </c>
      <c r="B36" s="448"/>
      <c r="C36" s="448"/>
      <c r="D36" s="448"/>
      <c r="E36" s="448"/>
      <c r="F36" s="448"/>
      <c r="G36" s="448"/>
      <c r="H36" s="448"/>
      <c r="I36" s="448"/>
      <c r="J36" s="448"/>
      <c r="K36" s="448"/>
    </row>
    <row r="37" spans="1:22" ht="28.5" x14ac:dyDescent="0.2">
      <c r="A37" s="301" t="s">
        <v>719</v>
      </c>
      <c r="B37" s="302" t="s">
        <v>3408</v>
      </c>
      <c r="C37" s="302" t="s">
        <v>1129</v>
      </c>
      <c r="D37" s="303" t="s">
        <v>1903</v>
      </c>
      <c r="E37" s="286">
        <v>1</v>
      </c>
      <c r="F37" s="321"/>
      <c r="G37" s="305"/>
      <c r="H37" s="286"/>
      <c r="I37" s="304"/>
      <c r="J37" s="286"/>
      <c r="K37" s="304"/>
      <c r="Q37" s="281">
        <f>[19]Source!X28</f>
        <v>21.59</v>
      </c>
      <c r="R37" s="281">
        <f>[19]Source!X29</f>
        <v>340.53</v>
      </c>
      <c r="S37" s="281">
        <f>[19]Source!Y28</f>
        <v>12.69</v>
      </c>
      <c r="T37" s="281">
        <f>[19]Source!Y29</f>
        <v>181.32</v>
      </c>
      <c r="U37" s="281">
        <f>ROUND((175/100)*ROUND([19]Source!R28, 2), 2)</f>
        <v>0</v>
      </c>
      <c r="V37" s="281">
        <f>ROUND((157/100)*ROUND([19]Source!R29, 2), 2)</f>
        <v>0</v>
      </c>
    </row>
    <row r="38" spans="1:22" ht="14.25" x14ac:dyDescent="0.2">
      <c r="A38" s="301"/>
      <c r="B38" s="302"/>
      <c r="C38" s="302" t="s">
        <v>197</v>
      </c>
      <c r="D38" s="303"/>
      <c r="E38" s="286"/>
      <c r="F38" s="321">
        <v>18.940000000000001</v>
      </c>
      <c r="G38" s="305" t="s">
        <v>195</v>
      </c>
      <c r="H38" s="286">
        <v>1</v>
      </c>
      <c r="I38" s="304">
        <v>18.940000000000001</v>
      </c>
      <c r="J38" s="286">
        <v>23.35</v>
      </c>
      <c r="K38" s="304">
        <v>442.25</v>
      </c>
    </row>
    <row r="39" spans="1:22" ht="14.25" x14ac:dyDescent="0.2">
      <c r="A39" s="301"/>
      <c r="B39" s="302"/>
      <c r="C39" s="302" t="s">
        <v>184</v>
      </c>
      <c r="D39" s="303"/>
      <c r="E39" s="286"/>
      <c r="F39" s="321">
        <v>0.05</v>
      </c>
      <c r="G39" s="305" t="s">
        <v>195</v>
      </c>
      <c r="H39" s="286">
        <v>1</v>
      </c>
      <c r="I39" s="304">
        <v>0.05</v>
      </c>
      <c r="J39" s="286">
        <v>5.4</v>
      </c>
      <c r="K39" s="304">
        <v>0.27</v>
      </c>
    </row>
    <row r="40" spans="1:22" ht="14.25" x14ac:dyDescent="0.2">
      <c r="A40" s="301"/>
      <c r="B40" s="302"/>
      <c r="C40" s="302" t="s">
        <v>205</v>
      </c>
      <c r="D40" s="303"/>
      <c r="E40" s="286"/>
      <c r="F40" s="321">
        <v>1.5</v>
      </c>
      <c r="G40" s="305" t="s">
        <v>195</v>
      </c>
      <c r="H40" s="286">
        <v>1</v>
      </c>
      <c r="I40" s="304">
        <v>1.5</v>
      </c>
      <c r="J40" s="286">
        <v>5.42</v>
      </c>
      <c r="K40" s="304">
        <v>8.1300000000000008</v>
      </c>
    </row>
    <row r="41" spans="1:22" ht="42.75" x14ac:dyDescent="0.2">
      <c r="A41" s="322" t="s">
        <v>1531</v>
      </c>
      <c r="B41" s="323" t="s">
        <v>3672</v>
      </c>
      <c r="C41" s="323" t="s">
        <v>1419</v>
      </c>
      <c r="D41" s="324" t="s">
        <v>1661</v>
      </c>
      <c r="E41" s="325">
        <v>1</v>
      </c>
      <c r="F41" s="326">
        <v>759.13</v>
      </c>
      <c r="G41" s="327" t="s">
        <v>195</v>
      </c>
      <c r="H41" s="325">
        <v>1</v>
      </c>
      <c r="I41" s="328">
        <v>759.13</v>
      </c>
      <c r="J41" s="325">
        <v>4.67</v>
      </c>
      <c r="K41" s="328">
        <v>3545.14</v>
      </c>
      <c r="Q41" s="281">
        <f>[19]Source!X30</f>
        <v>0</v>
      </c>
      <c r="R41" s="281">
        <f>[19]Source!X31</f>
        <v>0</v>
      </c>
      <c r="S41" s="281">
        <f>[19]Source!Y30</f>
        <v>0</v>
      </c>
      <c r="T41" s="281">
        <f>[19]Source!Y31</f>
        <v>0</v>
      </c>
      <c r="U41" s="281">
        <f>ROUND((175/100)*ROUND([19]Source!R30, 2), 2)</f>
        <v>0</v>
      </c>
      <c r="V41" s="281">
        <f>ROUND((157/100)*ROUND([19]Source!R31, 2), 2)</f>
        <v>0</v>
      </c>
    </row>
    <row r="42" spans="1:22" ht="42.75" x14ac:dyDescent="0.2">
      <c r="A42" s="322" t="s">
        <v>3138</v>
      </c>
      <c r="B42" s="323" t="s">
        <v>3468</v>
      </c>
      <c r="C42" s="323" t="s">
        <v>1353</v>
      </c>
      <c r="D42" s="324" t="s">
        <v>1661</v>
      </c>
      <c r="E42" s="325">
        <v>2</v>
      </c>
      <c r="F42" s="326">
        <v>89.39</v>
      </c>
      <c r="G42" s="327" t="s">
        <v>195</v>
      </c>
      <c r="H42" s="325">
        <v>1</v>
      </c>
      <c r="I42" s="328">
        <v>178.78</v>
      </c>
      <c r="J42" s="325">
        <v>4.96</v>
      </c>
      <c r="K42" s="328">
        <v>886.75</v>
      </c>
      <c r="Q42" s="281">
        <f>[19]Source!X32</f>
        <v>0</v>
      </c>
      <c r="R42" s="281">
        <f>[19]Source!X33</f>
        <v>0</v>
      </c>
      <c r="S42" s="281">
        <f>[19]Source!Y32</f>
        <v>0</v>
      </c>
      <c r="T42" s="281">
        <f>[19]Source!Y33</f>
        <v>0</v>
      </c>
      <c r="U42" s="281">
        <f>ROUND((175/100)*ROUND([19]Source!R32, 2), 2)</f>
        <v>0</v>
      </c>
      <c r="V42" s="281">
        <f>ROUND((157/100)*ROUND([19]Source!R33, 2), 2)</f>
        <v>0</v>
      </c>
    </row>
    <row r="43" spans="1:22" ht="14.25" x14ac:dyDescent="0.2">
      <c r="A43" s="301"/>
      <c r="B43" s="302"/>
      <c r="C43" s="302" t="s">
        <v>194</v>
      </c>
      <c r="D43" s="303" t="s">
        <v>187</v>
      </c>
      <c r="E43" s="286">
        <v>114</v>
      </c>
      <c r="F43" s="321"/>
      <c r="G43" s="305"/>
      <c r="H43" s="286"/>
      <c r="I43" s="304">
        <v>21.59</v>
      </c>
      <c r="J43" s="286">
        <v>77</v>
      </c>
      <c r="K43" s="304">
        <v>340.53</v>
      </c>
    </row>
    <row r="44" spans="1:22" ht="14.25" x14ac:dyDescent="0.2">
      <c r="A44" s="301"/>
      <c r="B44" s="302"/>
      <c r="C44" s="302" t="s">
        <v>193</v>
      </c>
      <c r="D44" s="303" t="s">
        <v>187</v>
      </c>
      <c r="E44" s="286">
        <v>67</v>
      </c>
      <c r="F44" s="321"/>
      <c r="G44" s="305"/>
      <c r="H44" s="286"/>
      <c r="I44" s="304">
        <v>12.69</v>
      </c>
      <c r="J44" s="286">
        <v>41</v>
      </c>
      <c r="K44" s="304">
        <v>181.32</v>
      </c>
    </row>
    <row r="45" spans="1:22" ht="14.25" x14ac:dyDescent="0.2">
      <c r="A45" s="329"/>
      <c r="B45" s="330"/>
      <c r="C45" s="330" t="s">
        <v>192</v>
      </c>
      <c r="D45" s="331" t="s">
        <v>191</v>
      </c>
      <c r="E45" s="332">
        <v>1.36</v>
      </c>
      <c r="F45" s="333"/>
      <c r="G45" s="334" t="s">
        <v>195</v>
      </c>
      <c r="H45" s="332">
        <v>1</v>
      </c>
      <c r="I45" s="335">
        <v>1.36</v>
      </c>
      <c r="J45" s="332"/>
      <c r="K45" s="335"/>
    </row>
    <row r="46" spans="1:22" ht="15" x14ac:dyDescent="0.25">
      <c r="A46" s="336"/>
      <c r="B46" s="336"/>
      <c r="C46" s="337" t="s">
        <v>183</v>
      </c>
      <c r="D46" s="336"/>
      <c r="E46" s="336"/>
      <c r="F46" s="336"/>
      <c r="G46" s="336"/>
      <c r="H46" s="461">
        <v>992.68</v>
      </c>
      <c r="I46" s="461"/>
      <c r="J46" s="461">
        <v>5404.39</v>
      </c>
      <c r="K46" s="461"/>
      <c r="O46" s="284">
        <f>I38+I39+I40+I43+I44+SUM(I41:I42)</f>
        <v>992.68</v>
      </c>
      <c r="P46" s="284">
        <f>K38+K39+K40+K43+K44+SUM(K41:K42)</f>
        <v>5404.39</v>
      </c>
    </row>
    <row r="48" spans="1:22" ht="28.5" x14ac:dyDescent="0.2">
      <c r="A48" s="301" t="s">
        <v>1534</v>
      </c>
      <c r="B48" s="302" t="s">
        <v>3683</v>
      </c>
      <c r="C48" s="302" t="s">
        <v>1465</v>
      </c>
      <c r="D48" s="303" t="s">
        <v>1903</v>
      </c>
      <c r="E48" s="286">
        <v>2</v>
      </c>
      <c r="F48" s="321"/>
      <c r="G48" s="305"/>
      <c r="H48" s="286"/>
      <c r="I48" s="304"/>
      <c r="J48" s="286"/>
      <c r="K48" s="304"/>
      <c r="Q48" s="281">
        <f>[19]Source!X34</f>
        <v>97.81</v>
      </c>
      <c r="R48" s="281">
        <f>[19]Source!X35</f>
        <v>1542.64</v>
      </c>
      <c r="S48" s="281">
        <f>[19]Source!Y34</f>
        <v>57.49</v>
      </c>
      <c r="T48" s="281">
        <f>[19]Source!Y35</f>
        <v>821.41</v>
      </c>
      <c r="U48" s="281">
        <f>ROUND((175/100)*ROUND([19]Source!R34, 2), 2)</f>
        <v>0.04</v>
      </c>
      <c r="V48" s="281">
        <f>ROUND((157/100)*ROUND([19]Source!R35, 2), 2)</f>
        <v>0.74</v>
      </c>
    </row>
    <row r="49" spans="1:22" ht="14.25" x14ac:dyDescent="0.2">
      <c r="A49" s="301"/>
      <c r="B49" s="302"/>
      <c r="C49" s="302" t="s">
        <v>197</v>
      </c>
      <c r="D49" s="303"/>
      <c r="E49" s="286"/>
      <c r="F49" s="321">
        <v>42.9</v>
      </c>
      <c r="G49" s="305" t="s">
        <v>195</v>
      </c>
      <c r="H49" s="286">
        <v>1</v>
      </c>
      <c r="I49" s="304">
        <v>85.8</v>
      </c>
      <c r="J49" s="286">
        <v>23.35</v>
      </c>
      <c r="K49" s="304">
        <v>2003.43</v>
      </c>
    </row>
    <row r="50" spans="1:22" ht="14.25" x14ac:dyDescent="0.2">
      <c r="A50" s="301"/>
      <c r="B50" s="302"/>
      <c r="C50" s="302" t="s">
        <v>184</v>
      </c>
      <c r="D50" s="303"/>
      <c r="E50" s="286"/>
      <c r="F50" s="321">
        <v>0.05</v>
      </c>
      <c r="G50" s="305" t="s">
        <v>195</v>
      </c>
      <c r="H50" s="286">
        <v>1</v>
      </c>
      <c r="I50" s="304">
        <v>0.1</v>
      </c>
      <c r="J50" s="286">
        <v>9</v>
      </c>
      <c r="K50" s="304">
        <v>0.9</v>
      </c>
    </row>
    <row r="51" spans="1:22" ht="14.25" x14ac:dyDescent="0.2">
      <c r="A51" s="301"/>
      <c r="B51" s="302"/>
      <c r="C51" s="302" t="s">
        <v>189</v>
      </c>
      <c r="D51" s="303"/>
      <c r="E51" s="286"/>
      <c r="F51" s="321">
        <v>0.01</v>
      </c>
      <c r="G51" s="305" t="s">
        <v>195</v>
      </c>
      <c r="H51" s="286">
        <v>1</v>
      </c>
      <c r="I51" s="306">
        <v>0.02</v>
      </c>
      <c r="J51" s="286">
        <v>23.35</v>
      </c>
      <c r="K51" s="306">
        <v>0.47</v>
      </c>
    </row>
    <row r="52" spans="1:22" ht="14.25" x14ac:dyDescent="0.2">
      <c r="A52" s="301"/>
      <c r="B52" s="302"/>
      <c r="C52" s="302" t="s">
        <v>205</v>
      </c>
      <c r="D52" s="303"/>
      <c r="E52" s="286"/>
      <c r="F52" s="321">
        <v>3.15</v>
      </c>
      <c r="G52" s="305" t="s">
        <v>195</v>
      </c>
      <c r="H52" s="286">
        <v>1</v>
      </c>
      <c r="I52" s="304">
        <v>6.3</v>
      </c>
      <c r="J52" s="286">
        <v>5.42</v>
      </c>
      <c r="K52" s="304">
        <v>34.15</v>
      </c>
    </row>
    <row r="53" spans="1:22" ht="85.5" x14ac:dyDescent="0.2">
      <c r="A53" s="322" t="s">
        <v>1538</v>
      </c>
      <c r="B53" s="323" t="s">
        <v>3684</v>
      </c>
      <c r="C53" s="323" t="s">
        <v>1466</v>
      </c>
      <c r="D53" s="324" t="s">
        <v>1661</v>
      </c>
      <c r="E53" s="325">
        <v>2</v>
      </c>
      <c r="F53" s="326">
        <v>1306.02</v>
      </c>
      <c r="G53" s="327" t="s">
        <v>195</v>
      </c>
      <c r="H53" s="325">
        <v>1</v>
      </c>
      <c r="I53" s="328">
        <v>2612.04</v>
      </c>
      <c r="J53" s="325">
        <v>2.88</v>
      </c>
      <c r="K53" s="328">
        <v>7522.68</v>
      </c>
      <c r="Q53" s="281">
        <f>[19]Source!X36</f>
        <v>0</v>
      </c>
      <c r="R53" s="281">
        <f>[19]Source!X37</f>
        <v>0</v>
      </c>
      <c r="S53" s="281">
        <f>[19]Source!Y36</f>
        <v>0</v>
      </c>
      <c r="T53" s="281">
        <f>[19]Source!Y37</f>
        <v>0</v>
      </c>
      <c r="U53" s="281">
        <f>ROUND((175/100)*ROUND([19]Source!R36, 2), 2)</f>
        <v>0</v>
      </c>
      <c r="V53" s="281">
        <f>ROUND((157/100)*ROUND([19]Source!R37, 2), 2)</f>
        <v>0</v>
      </c>
    </row>
    <row r="54" spans="1:22" ht="14.25" x14ac:dyDescent="0.2">
      <c r="A54" s="301"/>
      <c r="B54" s="302"/>
      <c r="C54" s="302" t="s">
        <v>194</v>
      </c>
      <c r="D54" s="303" t="s">
        <v>187</v>
      </c>
      <c r="E54" s="286">
        <v>114</v>
      </c>
      <c r="F54" s="321"/>
      <c r="G54" s="305"/>
      <c r="H54" s="286"/>
      <c r="I54" s="304">
        <v>97.81</v>
      </c>
      <c r="J54" s="286">
        <v>77</v>
      </c>
      <c r="K54" s="304">
        <v>1542.64</v>
      </c>
    </row>
    <row r="55" spans="1:22" ht="14.25" x14ac:dyDescent="0.2">
      <c r="A55" s="301"/>
      <c r="B55" s="302"/>
      <c r="C55" s="302" t="s">
        <v>193</v>
      </c>
      <c r="D55" s="303" t="s">
        <v>187</v>
      </c>
      <c r="E55" s="286">
        <v>67</v>
      </c>
      <c r="F55" s="321"/>
      <c r="G55" s="305"/>
      <c r="H55" s="286"/>
      <c r="I55" s="304">
        <v>57.49</v>
      </c>
      <c r="J55" s="286">
        <v>41</v>
      </c>
      <c r="K55" s="304">
        <v>821.41</v>
      </c>
    </row>
    <row r="56" spans="1:22" ht="14.25" x14ac:dyDescent="0.2">
      <c r="A56" s="301"/>
      <c r="B56" s="302"/>
      <c r="C56" s="302" t="s">
        <v>188</v>
      </c>
      <c r="D56" s="303" t="s">
        <v>187</v>
      </c>
      <c r="E56" s="286">
        <v>175</v>
      </c>
      <c r="F56" s="321"/>
      <c r="G56" s="305"/>
      <c r="H56" s="286"/>
      <c r="I56" s="304">
        <v>0.04</v>
      </c>
      <c r="J56" s="286">
        <v>157</v>
      </c>
      <c r="K56" s="304">
        <v>0.74</v>
      </c>
    </row>
    <row r="57" spans="1:22" ht="14.25" x14ac:dyDescent="0.2">
      <c r="A57" s="329"/>
      <c r="B57" s="330"/>
      <c r="C57" s="330" t="s">
        <v>192</v>
      </c>
      <c r="D57" s="331" t="s">
        <v>191</v>
      </c>
      <c r="E57" s="332">
        <v>3.3</v>
      </c>
      <c r="F57" s="333"/>
      <c r="G57" s="334" t="s">
        <v>195</v>
      </c>
      <c r="H57" s="332">
        <v>1</v>
      </c>
      <c r="I57" s="335">
        <v>6.6</v>
      </c>
      <c r="J57" s="332"/>
      <c r="K57" s="335"/>
    </row>
    <row r="58" spans="1:22" ht="15" x14ac:dyDescent="0.25">
      <c r="A58" s="336"/>
      <c r="B58" s="336"/>
      <c r="C58" s="337" t="s">
        <v>183</v>
      </c>
      <c r="D58" s="336"/>
      <c r="E58" s="336"/>
      <c r="F58" s="336"/>
      <c r="G58" s="336"/>
      <c r="H58" s="461">
        <v>2859.58</v>
      </c>
      <c r="I58" s="461"/>
      <c r="J58" s="461">
        <v>11925.95</v>
      </c>
      <c r="K58" s="461"/>
      <c r="O58" s="284">
        <f>I49+I50+I52+I54+I55+I56+SUM(I53:I53)</f>
        <v>2859.58</v>
      </c>
      <c r="P58" s="284">
        <f>K49+K50+K52+K54+K55+K56+SUM(K53:K53)</f>
        <v>11925.95</v>
      </c>
    </row>
    <row r="61" spans="1:22" ht="15" x14ac:dyDescent="0.25">
      <c r="A61" s="447" t="s">
        <v>3685</v>
      </c>
      <c r="B61" s="447"/>
      <c r="C61" s="447"/>
      <c r="D61" s="447"/>
      <c r="E61" s="447"/>
      <c r="F61" s="447"/>
      <c r="G61" s="447"/>
      <c r="H61" s="445">
        <v>3852.26</v>
      </c>
      <c r="I61" s="446"/>
      <c r="J61" s="445">
        <v>17330.34</v>
      </c>
      <c r="K61" s="446"/>
    </row>
    <row r="62" spans="1:22" hidden="1" x14ac:dyDescent="0.2">
      <c r="A62" s="281" t="s">
        <v>182</v>
      </c>
      <c r="I62" s="281">
        <v>0</v>
      </c>
      <c r="J62" s="281">
        <v>0</v>
      </c>
    </row>
    <row r="63" spans="1:22" hidden="1" x14ac:dyDescent="0.2">
      <c r="A63" s="281" t="s">
        <v>181</v>
      </c>
      <c r="I63" s="281">
        <v>0</v>
      </c>
      <c r="J63" s="281">
        <v>0</v>
      </c>
    </row>
    <row r="65" spans="1:22" ht="16.5" x14ac:dyDescent="0.25">
      <c r="A65" s="448" t="s">
        <v>3686</v>
      </c>
      <c r="B65" s="448"/>
      <c r="C65" s="448"/>
      <c r="D65" s="448"/>
      <c r="E65" s="448"/>
      <c r="F65" s="448"/>
      <c r="G65" s="448"/>
      <c r="H65" s="448"/>
      <c r="I65" s="448"/>
      <c r="J65" s="448"/>
      <c r="K65" s="448"/>
    </row>
    <row r="66" spans="1:22" ht="28.5" x14ac:dyDescent="0.2">
      <c r="A66" s="301" t="s">
        <v>104</v>
      </c>
      <c r="B66" s="302" t="s">
        <v>3683</v>
      </c>
      <c r="C66" s="302" t="s">
        <v>1465</v>
      </c>
      <c r="D66" s="303" t="s">
        <v>1903</v>
      </c>
      <c r="E66" s="286">
        <v>1</v>
      </c>
      <c r="F66" s="321"/>
      <c r="G66" s="305"/>
      <c r="H66" s="286"/>
      <c r="I66" s="304"/>
      <c r="J66" s="286"/>
      <c r="K66" s="304"/>
      <c r="Q66" s="281">
        <f>[19]Source!X73</f>
        <v>48.91</v>
      </c>
      <c r="R66" s="281">
        <f>[19]Source!X74</f>
        <v>771.32</v>
      </c>
      <c r="S66" s="281">
        <f>[19]Source!Y73</f>
        <v>28.74</v>
      </c>
      <c r="T66" s="281">
        <f>[19]Source!Y74</f>
        <v>410.71</v>
      </c>
      <c r="U66" s="281">
        <f>ROUND((175/100)*ROUND([19]Source!R73, 2), 2)</f>
        <v>0.02</v>
      </c>
      <c r="V66" s="281">
        <f>ROUND((157/100)*ROUND([19]Source!R74, 2), 2)</f>
        <v>0.36</v>
      </c>
    </row>
    <row r="67" spans="1:22" ht="14.25" x14ac:dyDescent="0.2">
      <c r="A67" s="301"/>
      <c r="B67" s="302"/>
      <c r="C67" s="302" t="s">
        <v>197</v>
      </c>
      <c r="D67" s="303"/>
      <c r="E67" s="286"/>
      <c r="F67" s="321">
        <v>42.9</v>
      </c>
      <c r="G67" s="305" t="s">
        <v>195</v>
      </c>
      <c r="H67" s="286">
        <v>1</v>
      </c>
      <c r="I67" s="304">
        <v>42.9</v>
      </c>
      <c r="J67" s="286">
        <v>23.35</v>
      </c>
      <c r="K67" s="304">
        <v>1001.72</v>
      </c>
    </row>
    <row r="68" spans="1:22" ht="14.25" x14ac:dyDescent="0.2">
      <c r="A68" s="301"/>
      <c r="B68" s="302"/>
      <c r="C68" s="302" t="s">
        <v>184</v>
      </c>
      <c r="D68" s="303"/>
      <c r="E68" s="286"/>
      <c r="F68" s="321">
        <v>0.05</v>
      </c>
      <c r="G68" s="305" t="s">
        <v>195</v>
      </c>
      <c r="H68" s="286">
        <v>1</v>
      </c>
      <c r="I68" s="304">
        <v>0.05</v>
      </c>
      <c r="J68" s="286">
        <v>9</v>
      </c>
      <c r="K68" s="304">
        <v>0.45</v>
      </c>
    </row>
    <row r="69" spans="1:22" ht="14.25" x14ac:dyDescent="0.2">
      <c r="A69" s="301"/>
      <c r="B69" s="302"/>
      <c r="C69" s="302" t="s">
        <v>189</v>
      </c>
      <c r="D69" s="303"/>
      <c r="E69" s="286"/>
      <c r="F69" s="321">
        <v>0.01</v>
      </c>
      <c r="G69" s="305" t="s">
        <v>195</v>
      </c>
      <c r="H69" s="286">
        <v>1</v>
      </c>
      <c r="I69" s="306">
        <v>0.01</v>
      </c>
      <c r="J69" s="286">
        <v>23.35</v>
      </c>
      <c r="K69" s="306">
        <v>0.23</v>
      </c>
    </row>
    <row r="70" spans="1:22" ht="14.25" x14ac:dyDescent="0.2">
      <c r="A70" s="301"/>
      <c r="B70" s="302"/>
      <c r="C70" s="302" t="s">
        <v>205</v>
      </c>
      <c r="D70" s="303"/>
      <c r="E70" s="286"/>
      <c r="F70" s="321">
        <v>3.15</v>
      </c>
      <c r="G70" s="305" t="s">
        <v>195</v>
      </c>
      <c r="H70" s="286">
        <v>1</v>
      </c>
      <c r="I70" s="304">
        <v>3.15</v>
      </c>
      <c r="J70" s="286">
        <v>5.42</v>
      </c>
      <c r="K70" s="304">
        <v>17.07</v>
      </c>
    </row>
    <row r="71" spans="1:22" ht="142.5" x14ac:dyDescent="0.2">
      <c r="A71" s="322" t="s">
        <v>1542</v>
      </c>
      <c r="B71" s="323" t="s">
        <v>3687</v>
      </c>
      <c r="C71" s="323" t="s">
        <v>1464</v>
      </c>
      <c r="D71" s="324" t="s">
        <v>1913</v>
      </c>
      <c r="E71" s="325">
        <v>1</v>
      </c>
      <c r="F71" s="326">
        <v>580.54</v>
      </c>
      <c r="G71" s="327" t="s">
        <v>195</v>
      </c>
      <c r="H71" s="325">
        <v>1</v>
      </c>
      <c r="I71" s="328">
        <v>580.54</v>
      </c>
      <c r="J71" s="325">
        <v>9.8000000000000007</v>
      </c>
      <c r="K71" s="328">
        <v>5689.29</v>
      </c>
      <c r="Q71" s="281">
        <f>[19]Source!X75</f>
        <v>0</v>
      </c>
      <c r="R71" s="281">
        <f>[19]Source!X76</f>
        <v>0</v>
      </c>
      <c r="S71" s="281">
        <f>[19]Source!Y75</f>
        <v>0</v>
      </c>
      <c r="T71" s="281">
        <f>[19]Source!Y76</f>
        <v>0</v>
      </c>
      <c r="U71" s="281">
        <f>ROUND((175/100)*ROUND([19]Source!R75, 2), 2)</f>
        <v>0</v>
      </c>
      <c r="V71" s="281">
        <f>ROUND((157/100)*ROUND([19]Source!R76, 2), 2)</f>
        <v>0</v>
      </c>
    </row>
    <row r="72" spans="1:22" ht="57" x14ac:dyDescent="0.2">
      <c r="A72" s="322" t="s">
        <v>3234</v>
      </c>
      <c r="B72" s="323" t="s">
        <v>3688</v>
      </c>
      <c r="C72" s="323" t="s">
        <v>1463</v>
      </c>
      <c r="D72" s="324" t="s">
        <v>1661</v>
      </c>
      <c r="E72" s="325">
        <v>2</v>
      </c>
      <c r="F72" s="326">
        <v>99.15</v>
      </c>
      <c r="G72" s="327" t="s">
        <v>195</v>
      </c>
      <c r="H72" s="325">
        <v>1</v>
      </c>
      <c r="I72" s="328">
        <v>198.3</v>
      </c>
      <c r="J72" s="325">
        <v>4.87</v>
      </c>
      <c r="K72" s="328">
        <v>965.72</v>
      </c>
      <c r="Q72" s="281">
        <f>[19]Source!X77</f>
        <v>0</v>
      </c>
      <c r="R72" s="281">
        <f>[19]Source!X78</f>
        <v>0</v>
      </c>
      <c r="S72" s="281">
        <f>[19]Source!Y77</f>
        <v>0</v>
      </c>
      <c r="T72" s="281">
        <f>[19]Source!Y78</f>
        <v>0</v>
      </c>
      <c r="U72" s="281">
        <f>ROUND((175/100)*ROUND([19]Source!R77, 2), 2)</f>
        <v>0</v>
      </c>
      <c r="V72" s="281">
        <f>ROUND((157/100)*ROUND([19]Source!R78, 2), 2)</f>
        <v>0</v>
      </c>
    </row>
    <row r="73" spans="1:22" ht="14.25" x14ac:dyDescent="0.2">
      <c r="A73" s="301"/>
      <c r="B73" s="302"/>
      <c r="C73" s="302" t="s">
        <v>194</v>
      </c>
      <c r="D73" s="303" t="s">
        <v>187</v>
      </c>
      <c r="E73" s="286">
        <v>114</v>
      </c>
      <c r="F73" s="321"/>
      <c r="G73" s="305"/>
      <c r="H73" s="286"/>
      <c r="I73" s="304">
        <v>48.91</v>
      </c>
      <c r="J73" s="286">
        <v>77</v>
      </c>
      <c r="K73" s="304">
        <v>771.32</v>
      </c>
    </row>
    <row r="74" spans="1:22" ht="14.25" x14ac:dyDescent="0.2">
      <c r="A74" s="301"/>
      <c r="B74" s="302"/>
      <c r="C74" s="302" t="s">
        <v>193</v>
      </c>
      <c r="D74" s="303" t="s">
        <v>187</v>
      </c>
      <c r="E74" s="286">
        <v>67</v>
      </c>
      <c r="F74" s="321"/>
      <c r="G74" s="305"/>
      <c r="H74" s="286"/>
      <c r="I74" s="304">
        <v>28.74</v>
      </c>
      <c r="J74" s="286">
        <v>41</v>
      </c>
      <c r="K74" s="304">
        <v>410.71</v>
      </c>
    </row>
    <row r="75" spans="1:22" ht="14.25" x14ac:dyDescent="0.2">
      <c r="A75" s="301"/>
      <c r="B75" s="302"/>
      <c r="C75" s="302" t="s">
        <v>188</v>
      </c>
      <c r="D75" s="303" t="s">
        <v>187</v>
      </c>
      <c r="E75" s="286">
        <v>175</v>
      </c>
      <c r="F75" s="321"/>
      <c r="G75" s="305"/>
      <c r="H75" s="286"/>
      <c r="I75" s="304">
        <v>0.02</v>
      </c>
      <c r="J75" s="286">
        <v>157</v>
      </c>
      <c r="K75" s="304">
        <v>0.36</v>
      </c>
    </row>
    <row r="76" spans="1:22" ht="14.25" x14ac:dyDescent="0.2">
      <c r="A76" s="329"/>
      <c r="B76" s="330"/>
      <c r="C76" s="330" t="s">
        <v>192</v>
      </c>
      <c r="D76" s="331" t="s">
        <v>191</v>
      </c>
      <c r="E76" s="332">
        <v>3.3</v>
      </c>
      <c r="F76" s="333"/>
      <c r="G76" s="334" t="s">
        <v>195</v>
      </c>
      <c r="H76" s="332">
        <v>1</v>
      </c>
      <c r="I76" s="335">
        <v>3.3</v>
      </c>
      <c r="J76" s="332"/>
      <c r="K76" s="335"/>
    </row>
    <row r="77" spans="1:22" ht="15" x14ac:dyDescent="0.25">
      <c r="A77" s="336"/>
      <c r="B77" s="336"/>
      <c r="C77" s="337" t="s">
        <v>183</v>
      </c>
      <c r="D77" s="336"/>
      <c r="E77" s="336"/>
      <c r="F77" s="336"/>
      <c r="G77" s="336"/>
      <c r="H77" s="461">
        <v>902.61</v>
      </c>
      <c r="I77" s="461"/>
      <c r="J77" s="461">
        <v>8856.64</v>
      </c>
      <c r="K77" s="461"/>
      <c r="O77" s="284">
        <f>I67+I68+I70+I73+I74+I75+SUM(I71:I72)</f>
        <v>902.61</v>
      </c>
      <c r="P77" s="284">
        <f>K67+K68+K70+K73+K74+K75+SUM(K71:K72)</f>
        <v>8856.64</v>
      </c>
    </row>
    <row r="79" spans="1:22" ht="42.75" x14ac:dyDescent="0.2">
      <c r="A79" s="301" t="s">
        <v>1546</v>
      </c>
      <c r="B79" s="302" t="s">
        <v>3689</v>
      </c>
      <c r="C79" s="302" t="s">
        <v>1462</v>
      </c>
      <c r="D79" s="303" t="s">
        <v>3669</v>
      </c>
      <c r="E79" s="286">
        <v>0.1</v>
      </c>
      <c r="F79" s="321"/>
      <c r="G79" s="305"/>
      <c r="H79" s="286"/>
      <c r="I79" s="304"/>
      <c r="J79" s="286"/>
      <c r="K79" s="304"/>
      <c r="Q79" s="281">
        <f>[19]Source!X79</f>
        <v>8</v>
      </c>
      <c r="R79" s="281">
        <f>[19]Source!X80</f>
        <v>126.22</v>
      </c>
      <c r="S79" s="281">
        <f>[19]Source!Y79</f>
        <v>4.7</v>
      </c>
      <c r="T79" s="281">
        <f>[19]Source!Y80</f>
        <v>67.209999999999994</v>
      </c>
      <c r="U79" s="281">
        <f>ROUND((175/100)*ROUND([19]Source!R79, 2), 2)</f>
        <v>0</v>
      </c>
      <c r="V79" s="281">
        <f>ROUND((157/100)*ROUND([19]Source!R80, 2), 2)</f>
        <v>0</v>
      </c>
    </row>
    <row r="80" spans="1:22" x14ac:dyDescent="0.2">
      <c r="C80" s="316" t="s">
        <v>1891</v>
      </c>
    </row>
    <row r="81" spans="1:22" ht="14.25" x14ac:dyDescent="0.2">
      <c r="A81" s="301"/>
      <c r="B81" s="302"/>
      <c r="C81" s="302" t="s">
        <v>197</v>
      </c>
      <c r="D81" s="303"/>
      <c r="E81" s="286"/>
      <c r="F81" s="321">
        <v>70.2</v>
      </c>
      <c r="G81" s="305" t="s">
        <v>195</v>
      </c>
      <c r="H81" s="286">
        <v>1</v>
      </c>
      <c r="I81" s="304">
        <v>7.02</v>
      </c>
      <c r="J81" s="286">
        <v>23.35</v>
      </c>
      <c r="K81" s="304">
        <v>163.92</v>
      </c>
    </row>
    <row r="82" spans="1:22" ht="14.25" x14ac:dyDescent="0.2">
      <c r="A82" s="301"/>
      <c r="B82" s="302"/>
      <c r="C82" s="302" t="s">
        <v>184</v>
      </c>
      <c r="D82" s="303"/>
      <c r="E82" s="286"/>
      <c r="F82" s="321">
        <v>0.06</v>
      </c>
      <c r="G82" s="305" t="s">
        <v>195</v>
      </c>
      <c r="H82" s="286">
        <v>1</v>
      </c>
      <c r="I82" s="304">
        <v>0.01</v>
      </c>
      <c r="J82" s="286">
        <v>8.33</v>
      </c>
      <c r="K82" s="304">
        <v>0.08</v>
      </c>
    </row>
    <row r="83" spans="1:22" ht="14.25" x14ac:dyDescent="0.2">
      <c r="A83" s="301"/>
      <c r="B83" s="302"/>
      <c r="C83" s="302" t="s">
        <v>205</v>
      </c>
      <c r="D83" s="303"/>
      <c r="E83" s="286"/>
      <c r="F83" s="321">
        <v>9.0299999999999994</v>
      </c>
      <c r="G83" s="305" t="s">
        <v>195</v>
      </c>
      <c r="H83" s="286">
        <v>1</v>
      </c>
      <c r="I83" s="304">
        <v>0.9</v>
      </c>
      <c r="J83" s="286">
        <v>5.42</v>
      </c>
      <c r="K83" s="304">
        <v>4.88</v>
      </c>
    </row>
    <row r="84" spans="1:22" ht="285" x14ac:dyDescent="0.2">
      <c r="A84" s="322" t="s">
        <v>1550</v>
      </c>
      <c r="B84" s="323" t="s">
        <v>3656</v>
      </c>
      <c r="C84" s="323" t="s">
        <v>1212</v>
      </c>
      <c r="D84" s="324" t="s">
        <v>1661</v>
      </c>
      <c r="E84" s="325">
        <v>1</v>
      </c>
      <c r="F84" s="326">
        <v>560.04999999999995</v>
      </c>
      <c r="G84" s="327" t="s">
        <v>195</v>
      </c>
      <c r="H84" s="325">
        <v>1</v>
      </c>
      <c r="I84" s="328">
        <v>560.04999999999995</v>
      </c>
      <c r="J84" s="325">
        <v>4.05</v>
      </c>
      <c r="K84" s="328">
        <v>2268.1999999999998</v>
      </c>
      <c r="Q84" s="281">
        <f>[19]Source!X81</f>
        <v>0</v>
      </c>
      <c r="R84" s="281">
        <f>[19]Source!X82</f>
        <v>0</v>
      </c>
      <c r="S84" s="281">
        <f>[19]Source!Y81</f>
        <v>0</v>
      </c>
      <c r="T84" s="281">
        <f>[19]Source!Y82</f>
        <v>0</v>
      </c>
      <c r="U84" s="281">
        <f>ROUND((175/100)*ROUND([19]Source!R81, 2), 2)</f>
        <v>0</v>
      </c>
      <c r="V84" s="281">
        <f>ROUND((157/100)*ROUND([19]Source!R82, 2), 2)</f>
        <v>0</v>
      </c>
    </row>
    <row r="85" spans="1:22" ht="14.25" x14ac:dyDescent="0.2">
      <c r="A85" s="301"/>
      <c r="B85" s="302"/>
      <c r="C85" s="302" t="s">
        <v>194</v>
      </c>
      <c r="D85" s="303" t="s">
        <v>187</v>
      </c>
      <c r="E85" s="286">
        <v>114</v>
      </c>
      <c r="F85" s="321"/>
      <c r="G85" s="305"/>
      <c r="H85" s="286"/>
      <c r="I85" s="304">
        <v>8</v>
      </c>
      <c r="J85" s="286">
        <v>77</v>
      </c>
      <c r="K85" s="304">
        <v>126.22</v>
      </c>
    </row>
    <row r="86" spans="1:22" ht="14.25" x14ac:dyDescent="0.2">
      <c r="A86" s="301"/>
      <c r="B86" s="302"/>
      <c r="C86" s="302" t="s">
        <v>193</v>
      </c>
      <c r="D86" s="303" t="s">
        <v>187</v>
      </c>
      <c r="E86" s="286">
        <v>67</v>
      </c>
      <c r="F86" s="321"/>
      <c r="G86" s="305"/>
      <c r="H86" s="286"/>
      <c r="I86" s="304">
        <v>4.7</v>
      </c>
      <c r="J86" s="286">
        <v>41</v>
      </c>
      <c r="K86" s="304">
        <v>67.209999999999994</v>
      </c>
    </row>
    <row r="87" spans="1:22" ht="14.25" x14ac:dyDescent="0.2">
      <c r="A87" s="329"/>
      <c r="B87" s="330"/>
      <c r="C87" s="330" t="s">
        <v>192</v>
      </c>
      <c r="D87" s="331" t="s">
        <v>191</v>
      </c>
      <c r="E87" s="332">
        <v>5.4</v>
      </c>
      <c r="F87" s="333"/>
      <c r="G87" s="334" t="s">
        <v>195</v>
      </c>
      <c r="H87" s="332">
        <v>1</v>
      </c>
      <c r="I87" s="335">
        <v>0.54</v>
      </c>
      <c r="J87" s="332"/>
      <c r="K87" s="335"/>
    </row>
    <row r="88" spans="1:22" ht="15" x14ac:dyDescent="0.25">
      <c r="A88" s="336"/>
      <c r="B88" s="336"/>
      <c r="C88" s="337" t="s">
        <v>183</v>
      </c>
      <c r="D88" s="336"/>
      <c r="E88" s="336"/>
      <c r="F88" s="336"/>
      <c r="G88" s="336"/>
      <c r="H88" s="461">
        <v>580.67999999999995</v>
      </c>
      <c r="I88" s="461"/>
      <c r="J88" s="461">
        <v>2630.51</v>
      </c>
      <c r="K88" s="461"/>
      <c r="O88" s="284">
        <f>I81+I82+I83+I85+I86+SUM(I84:I84)</f>
        <v>580.67999999999995</v>
      </c>
      <c r="P88" s="284">
        <f>K81+K82+K83+K85+K86+SUM(K84:K84)</f>
        <v>2630.51</v>
      </c>
    </row>
    <row r="90" spans="1:22" ht="57" x14ac:dyDescent="0.2">
      <c r="A90" s="301" t="s">
        <v>105</v>
      </c>
      <c r="B90" s="302" t="s">
        <v>3690</v>
      </c>
      <c r="C90" s="302" t="s">
        <v>1461</v>
      </c>
      <c r="D90" s="303" t="s">
        <v>3691</v>
      </c>
      <c r="E90" s="286">
        <v>1</v>
      </c>
      <c r="F90" s="321"/>
      <c r="G90" s="305"/>
      <c r="H90" s="286"/>
      <c r="I90" s="304"/>
      <c r="J90" s="286"/>
      <c r="K90" s="304"/>
      <c r="Q90" s="281">
        <f>[19]Source!X83</f>
        <v>28.48</v>
      </c>
      <c r="R90" s="281">
        <f>[19]Source!X84</f>
        <v>449.13</v>
      </c>
      <c r="S90" s="281">
        <f>[19]Source!Y83</f>
        <v>16.739999999999998</v>
      </c>
      <c r="T90" s="281">
        <f>[19]Source!Y84</f>
        <v>239.14</v>
      </c>
      <c r="U90" s="281">
        <f>ROUND((175/100)*ROUND([19]Source!R83, 2), 2)</f>
        <v>0.54</v>
      </c>
      <c r="V90" s="281">
        <f>ROUND((157/100)*ROUND([19]Source!R84, 2), 2)</f>
        <v>11.37</v>
      </c>
    </row>
    <row r="91" spans="1:22" ht="14.25" x14ac:dyDescent="0.2">
      <c r="A91" s="301"/>
      <c r="B91" s="302"/>
      <c r="C91" s="302" t="s">
        <v>197</v>
      </c>
      <c r="D91" s="303"/>
      <c r="E91" s="286"/>
      <c r="F91" s="321">
        <v>24.98</v>
      </c>
      <c r="G91" s="305" t="s">
        <v>195</v>
      </c>
      <c r="H91" s="286">
        <v>1</v>
      </c>
      <c r="I91" s="304">
        <v>24.98</v>
      </c>
      <c r="J91" s="286">
        <v>23.35</v>
      </c>
      <c r="K91" s="304">
        <v>583.28</v>
      </c>
    </row>
    <row r="92" spans="1:22" ht="14.25" x14ac:dyDescent="0.2">
      <c r="A92" s="301"/>
      <c r="B92" s="302"/>
      <c r="C92" s="302" t="s">
        <v>184</v>
      </c>
      <c r="D92" s="303"/>
      <c r="E92" s="286"/>
      <c r="F92" s="321">
        <v>4.8499999999999996</v>
      </c>
      <c r="G92" s="305" t="s">
        <v>195</v>
      </c>
      <c r="H92" s="286">
        <v>1</v>
      </c>
      <c r="I92" s="304">
        <v>4.8499999999999996</v>
      </c>
      <c r="J92" s="286">
        <v>6.5</v>
      </c>
      <c r="K92" s="304">
        <v>31.53</v>
      </c>
    </row>
    <row r="93" spans="1:22" ht="14.25" x14ac:dyDescent="0.2">
      <c r="A93" s="301"/>
      <c r="B93" s="302"/>
      <c r="C93" s="302" t="s">
        <v>189</v>
      </c>
      <c r="D93" s="303"/>
      <c r="E93" s="286"/>
      <c r="F93" s="321">
        <v>0.31</v>
      </c>
      <c r="G93" s="305" t="s">
        <v>195</v>
      </c>
      <c r="H93" s="286">
        <v>1</v>
      </c>
      <c r="I93" s="306">
        <v>0.31</v>
      </c>
      <c r="J93" s="286">
        <v>23.35</v>
      </c>
      <c r="K93" s="306">
        <v>7.24</v>
      </c>
    </row>
    <row r="94" spans="1:22" ht="14.25" x14ac:dyDescent="0.2">
      <c r="A94" s="301"/>
      <c r="B94" s="302"/>
      <c r="C94" s="302" t="s">
        <v>205</v>
      </c>
      <c r="D94" s="303"/>
      <c r="E94" s="286"/>
      <c r="F94" s="321">
        <v>11.55</v>
      </c>
      <c r="G94" s="305" t="s">
        <v>195</v>
      </c>
      <c r="H94" s="286">
        <v>1</v>
      </c>
      <c r="I94" s="304">
        <v>11.55</v>
      </c>
      <c r="J94" s="286">
        <v>5.42</v>
      </c>
      <c r="K94" s="304">
        <v>62.6</v>
      </c>
    </row>
    <row r="95" spans="1:22" ht="68.25" x14ac:dyDescent="0.2">
      <c r="A95" s="322" t="s">
        <v>1558</v>
      </c>
      <c r="B95" s="323" t="s">
        <v>3692</v>
      </c>
      <c r="C95" s="323" t="s">
        <v>1460</v>
      </c>
      <c r="D95" s="324" t="s">
        <v>1661</v>
      </c>
      <c r="E95" s="325">
        <v>1</v>
      </c>
      <c r="F95" s="326">
        <v>81.92</v>
      </c>
      <c r="G95" s="327" t="s">
        <v>195</v>
      </c>
      <c r="H95" s="325">
        <v>1</v>
      </c>
      <c r="I95" s="328">
        <v>81.92</v>
      </c>
      <c r="J95" s="325">
        <v>4.4000000000000004</v>
      </c>
      <c r="K95" s="328">
        <v>360.45</v>
      </c>
      <c r="Q95" s="281">
        <f>[19]Source!X85</f>
        <v>0</v>
      </c>
      <c r="R95" s="281">
        <f>[19]Source!X86</f>
        <v>0</v>
      </c>
      <c r="S95" s="281">
        <f>[19]Source!Y85</f>
        <v>0</v>
      </c>
      <c r="T95" s="281">
        <f>[19]Source!Y86</f>
        <v>0</v>
      </c>
      <c r="U95" s="281">
        <f>ROUND((175/100)*ROUND([19]Source!R85, 2), 2)</f>
        <v>0</v>
      </c>
      <c r="V95" s="281">
        <f>ROUND((157/100)*ROUND([19]Source!R86, 2), 2)</f>
        <v>0</v>
      </c>
    </row>
    <row r="96" spans="1:22" ht="14.25" x14ac:dyDescent="0.2">
      <c r="A96" s="301"/>
      <c r="B96" s="302"/>
      <c r="C96" s="302" t="s">
        <v>194</v>
      </c>
      <c r="D96" s="303" t="s">
        <v>187</v>
      </c>
      <c r="E96" s="286">
        <v>114</v>
      </c>
      <c r="F96" s="321"/>
      <c r="G96" s="305"/>
      <c r="H96" s="286"/>
      <c r="I96" s="304">
        <v>28.48</v>
      </c>
      <c r="J96" s="286">
        <v>77</v>
      </c>
      <c r="K96" s="304">
        <v>449.13</v>
      </c>
    </row>
    <row r="97" spans="1:22" ht="14.25" x14ac:dyDescent="0.2">
      <c r="A97" s="301"/>
      <c r="B97" s="302"/>
      <c r="C97" s="302" t="s">
        <v>193</v>
      </c>
      <c r="D97" s="303" t="s">
        <v>187</v>
      </c>
      <c r="E97" s="286">
        <v>67</v>
      </c>
      <c r="F97" s="321"/>
      <c r="G97" s="305"/>
      <c r="H97" s="286"/>
      <c r="I97" s="304">
        <v>16.739999999999998</v>
      </c>
      <c r="J97" s="286">
        <v>41</v>
      </c>
      <c r="K97" s="304">
        <v>239.14</v>
      </c>
    </row>
    <row r="98" spans="1:22" ht="14.25" x14ac:dyDescent="0.2">
      <c r="A98" s="301"/>
      <c r="B98" s="302"/>
      <c r="C98" s="302" t="s">
        <v>188</v>
      </c>
      <c r="D98" s="303" t="s">
        <v>187</v>
      </c>
      <c r="E98" s="286">
        <v>175</v>
      </c>
      <c r="F98" s="321"/>
      <c r="G98" s="305"/>
      <c r="H98" s="286"/>
      <c r="I98" s="304">
        <v>0.54</v>
      </c>
      <c r="J98" s="286">
        <v>157</v>
      </c>
      <c r="K98" s="304">
        <v>11.37</v>
      </c>
    </row>
    <row r="99" spans="1:22" ht="14.25" x14ac:dyDescent="0.2">
      <c r="A99" s="329"/>
      <c r="B99" s="330"/>
      <c r="C99" s="330" t="s">
        <v>192</v>
      </c>
      <c r="D99" s="331" t="s">
        <v>191</v>
      </c>
      <c r="E99" s="332">
        <v>2</v>
      </c>
      <c r="F99" s="333"/>
      <c r="G99" s="334" t="s">
        <v>195</v>
      </c>
      <c r="H99" s="332">
        <v>1</v>
      </c>
      <c r="I99" s="335">
        <v>2</v>
      </c>
      <c r="J99" s="332"/>
      <c r="K99" s="335"/>
    </row>
    <row r="100" spans="1:22" ht="15" x14ac:dyDescent="0.25">
      <c r="A100" s="336"/>
      <c r="B100" s="336"/>
      <c r="C100" s="337" t="s">
        <v>183</v>
      </c>
      <c r="D100" s="336"/>
      <c r="E100" s="336"/>
      <c r="F100" s="336"/>
      <c r="G100" s="336"/>
      <c r="H100" s="461">
        <v>169.06</v>
      </c>
      <c r="I100" s="461"/>
      <c r="J100" s="461">
        <v>1737.5</v>
      </c>
      <c r="K100" s="461"/>
      <c r="O100" s="284">
        <f>I91+I92+I94+I96+I97+I98+SUM(I95:I95)</f>
        <v>169.06</v>
      </c>
      <c r="P100" s="284">
        <f>K91+K92+K94+K96+K97+K98+SUM(K95:K95)</f>
        <v>1737.5</v>
      </c>
    </row>
    <row r="102" spans="1:22" ht="57" x14ac:dyDescent="0.2">
      <c r="A102" s="301" t="s">
        <v>1560</v>
      </c>
      <c r="B102" s="302" t="s">
        <v>3622</v>
      </c>
      <c r="C102" s="302" t="s">
        <v>1243</v>
      </c>
      <c r="D102" s="303" t="s">
        <v>1903</v>
      </c>
      <c r="E102" s="286">
        <v>3</v>
      </c>
      <c r="F102" s="321"/>
      <c r="G102" s="305"/>
      <c r="H102" s="286"/>
      <c r="I102" s="304"/>
      <c r="J102" s="286"/>
      <c r="K102" s="304"/>
      <c r="Q102" s="281">
        <f>[19]Source!X87</f>
        <v>72.5</v>
      </c>
      <c r="R102" s="281">
        <f>[19]Source!X88</f>
        <v>1143.5</v>
      </c>
      <c r="S102" s="281">
        <f>[19]Source!Y87</f>
        <v>42.61</v>
      </c>
      <c r="T102" s="281">
        <f>[19]Source!Y88</f>
        <v>608.87</v>
      </c>
      <c r="U102" s="281">
        <f>ROUND((175/100)*ROUND([19]Source!R87, 2), 2)</f>
        <v>0.05</v>
      </c>
      <c r="V102" s="281">
        <f>ROUND((157/100)*ROUND([19]Source!R88, 2), 2)</f>
        <v>1.1000000000000001</v>
      </c>
    </row>
    <row r="103" spans="1:22" ht="14.25" x14ac:dyDescent="0.2">
      <c r="A103" s="301"/>
      <c r="B103" s="302"/>
      <c r="C103" s="302" t="s">
        <v>197</v>
      </c>
      <c r="D103" s="303"/>
      <c r="E103" s="286"/>
      <c r="F103" s="321">
        <v>21.2</v>
      </c>
      <c r="G103" s="305" t="s">
        <v>195</v>
      </c>
      <c r="H103" s="286">
        <v>1</v>
      </c>
      <c r="I103" s="304">
        <v>63.6</v>
      </c>
      <c r="J103" s="286">
        <v>23.35</v>
      </c>
      <c r="K103" s="304">
        <v>1485.06</v>
      </c>
    </row>
    <row r="104" spans="1:22" ht="14.25" x14ac:dyDescent="0.2">
      <c r="A104" s="301"/>
      <c r="B104" s="302"/>
      <c r="C104" s="302" t="s">
        <v>184</v>
      </c>
      <c r="D104" s="303"/>
      <c r="E104" s="286"/>
      <c r="F104" s="321">
        <v>0.06</v>
      </c>
      <c r="G104" s="305" t="s">
        <v>195</v>
      </c>
      <c r="H104" s="286">
        <v>1</v>
      </c>
      <c r="I104" s="304">
        <v>0.18</v>
      </c>
      <c r="J104" s="286">
        <v>8.33</v>
      </c>
      <c r="K104" s="304">
        <v>1.5</v>
      </c>
    </row>
    <row r="105" spans="1:22" ht="14.25" x14ac:dyDescent="0.2">
      <c r="A105" s="301"/>
      <c r="B105" s="302"/>
      <c r="C105" s="302" t="s">
        <v>189</v>
      </c>
      <c r="D105" s="303"/>
      <c r="E105" s="286"/>
      <c r="F105" s="321">
        <v>0.01</v>
      </c>
      <c r="G105" s="305" t="s">
        <v>195</v>
      </c>
      <c r="H105" s="286">
        <v>1</v>
      </c>
      <c r="I105" s="306">
        <v>0.03</v>
      </c>
      <c r="J105" s="286">
        <v>23.35</v>
      </c>
      <c r="K105" s="306">
        <v>0.7</v>
      </c>
    </row>
    <row r="106" spans="1:22" ht="14.25" x14ac:dyDescent="0.2">
      <c r="A106" s="301"/>
      <c r="B106" s="302"/>
      <c r="C106" s="302" t="s">
        <v>205</v>
      </c>
      <c r="D106" s="303"/>
      <c r="E106" s="286"/>
      <c r="F106" s="321">
        <v>1.26</v>
      </c>
      <c r="G106" s="305" t="s">
        <v>195</v>
      </c>
      <c r="H106" s="286">
        <v>1</v>
      </c>
      <c r="I106" s="304">
        <v>3.78</v>
      </c>
      <c r="J106" s="286">
        <v>5.42</v>
      </c>
      <c r="K106" s="304">
        <v>20.49</v>
      </c>
    </row>
    <row r="107" spans="1:22" ht="54" x14ac:dyDescent="0.2">
      <c r="A107" s="301" t="s">
        <v>1562</v>
      </c>
      <c r="B107" s="302" t="s">
        <v>3693</v>
      </c>
      <c r="C107" s="302" t="s">
        <v>1459</v>
      </c>
      <c r="D107" s="303" t="s">
        <v>1661</v>
      </c>
      <c r="E107" s="286">
        <v>3</v>
      </c>
      <c r="F107" s="321">
        <v>40.65</v>
      </c>
      <c r="G107" s="315" t="s">
        <v>195</v>
      </c>
      <c r="H107" s="286">
        <v>1</v>
      </c>
      <c r="I107" s="304">
        <v>121.95</v>
      </c>
      <c r="J107" s="286">
        <v>5.42</v>
      </c>
      <c r="K107" s="304">
        <v>660.97</v>
      </c>
      <c r="Q107" s="281">
        <f>[19]Source!X89</f>
        <v>0</v>
      </c>
      <c r="R107" s="281">
        <f>[19]Source!X90</f>
        <v>0</v>
      </c>
      <c r="S107" s="281">
        <f>[19]Source!Y89</f>
        <v>0</v>
      </c>
      <c r="T107" s="281">
        <f>[19]Source!Y90</f>
        <v>0</v>
      </c>
      <c r="U107" s="281">
        <f>ROUND((175/100)*ROUND([19]Source!R89, 2), 2)</f>
        <v>0</v>
      </c>
      <c r="V107" s="281">
        <f>ROUND((157/100)*ROUND([19]Source!R90, 2), 2)</f>
        <v>0</v>
      </c>
    </row>
    <row r="108" spans="1:22" ht="14.25" x14ac:dyDescent="0.2">
      <c r="A108" s="301"/>
      <c r="B108" s="302"/>
      <c r="C108" s="302" t="s">
        <v>194</v>
      </c>
      <c r="D108" s="303" t="s">
        <v>187</v>
      </c>
      <c r="E108" s="286">
        <v>114</v>
      </c>
      <c r="F108" s="321"/>
      <c r="G108" s="305"/>
      <c r="H108" s="286"/>
      <c r="I108" s="304">
        <v>72.5</v>
      </c>
      <c r="J108" s="286">
        <v>77</v>
      </c>
      <c r="K108" s="304">
        <v>1143.5</v>
      </c>
    </row>
    <row r="109" spans="1:22" ht="14.25" x14ac:dyDescent="0.2">
      <c r="A109" s="301"/>
      <c r="B109" s="302"/>
      <c r="C109" s="302" t="s">
        <v>193</v>
      </c>
      <c r="D109" s="303" t="s">
        <v>187</v>
      </c>
      <c r="E109" s="286">
        <v>67</v>
      </c>
      <c r="F109" s="321"/>
      <c r="G109" s="305"/>
      <c r="H109" s="286"/>
      <c r="I109" s="304">
        <v>42.61</v>
      </c>
      <c r="J109" s="286">
        <v>41</v>
      </c>
      <c r="K109" s="304">
        <v>608.87</v>
      </c>
    </row>
    <row r="110" spans="1:22" ht="14.25" x14ac:dyDescent="0.2">
      <c r="A110" s="301"/>
      <c r="B110" s="302"/>
      <c r="C110" s="302" t="s">
        <v>188</v>
      </c>
      <c r="D110" s="303" t="s">
        <v>187</v>
      </c>
      <c r="E110" s="286">
        <v>175</v>
      </c>
      <c r="F110" s="321"/>
      <c r="G110" s="305"/>
      <c r="H110" s="286"/>
      <c r="I110" s="304">
        <v>0.05</v>
      </c>
      <c r="J110" s="286">
        <v>157</v>
      </c>
      <c r="K110" s="304">
        <v>1.1000000000000001</v>
      </c>
    </row>
    <row r="111" spans="1:22" ht="14.25" x14ac:dyDescent="0.2">
      <c r="A111" s="329"/>
      <c r="B111" s="330"/>
      <c r="C111" s="330" t="s">
        <v>192</v>
      </c>
      <c r="D111" s="331" t="s">
        <v>191</v>
      </c>
      <c r="E111" s="332">
        <v>1.68</v>
      </c>
      <c r="F111" s="333"/>
      <c r="G111" s="334" t="s">
        <v>195</v>
      </c>
      <c r="H111" s="332">
        <v>1</v>
      </c>
      <c r="I111" s="335">
        <v>5.04</v>
      </c>
      <c r="J111" s="332"/>
      <c r="K111" s="335"/>
    </row>
    <row r="112" spans="1:22" ht="15" x14ac:dyDescent="0.25">
      <c r="A112" s="336"/>
      <c r="B112" s="336"/>
      <c r="C112" s="337" t="s">
        <v>183</v>
      </c>
      <c r="D112" s="336"/>
      <c r="E112" s="336"/>
      <c r="F112" s="336"/>
      <c r="G112" s="336"/>
      <c r="H112" s="461">
        <v>304.67</v>
      </c>
      <c r="I112" s="461"/>
      <c r="J112" s="461">
        <v>3921.49</v>
      </c>
      <c r="K112" s="461"/>
      <c r="O112" s="284">
        <f>I103+I104+I106+I108+I109+I110+SUM(I107:I107)</f>
        <v>304.67</v>
      </c>
      <c r="P112" s="284">
        <f>K103+K104+K106+K108+K109+K110+SUM(K107:K107)</f>
        <v>3921.49</v>
      </c>
    </row>
    <row r="114" spans="1:22" ht="57" x14ac:dyDescent="0.2">
      <c r="A114" s="301" t="s">
        <v>1565</v>
      </c>
      <c r="B114" s="302" t="s">
        <v>3622</v>
      </c>
      <c r="C114" s="302" t="s">
        <v>1243</v>
      </c>
      <c r="D114" s="303" t="s">
        <v>1903</v>
      </c>
      <c r="E114" s="286">
        <v>1</v>
      </c>
      <c r="F114" s="321"/>
      <c r="G114" s="305"/>
      <c r="H114" s="286"/>
      <c r="I114" s="304"/>
      <c r="J114" s="286"/>
      <c r="K114" s="304"/>
      <c r="Q114" s="281">
        <f>[19]Source!X91</f>
        <v>24.17</v>
      </c>
      <c r="R114" s="281">
        <f>[19]Source!X92</f>
        <v>381.17</v>
      </c>
      <c r="S114" s="281">
        <f>[19]Source!Y91</f>
        <v>14.2</v>
      </c>
      <c r="T114" s="281">
        <f>[19]Source!Y92</f>
        <v>202.96</v>
      </c>
      <c r="U114" s="281">
        <f>ROUND((175/100)*ROUND([19]Source!R91, 2), 2)</f>
        <v>0.02</v>
      </c>
      <c r="V114" s="281">
        <f>ROUND((157/100)*ROUND([19]Source!R92, 2), 2)</f>
        <v>0.36</v>
      </c>
    </row>
    <row r="115" spans="1:22" ht="14.25" x14ac:dyDescent="0.2">
      <c r="A115" s="301"/>
      <c r="B115" s="302"/>
      <c r="C115" s="302" t="s">
        <v>197</v>
      </c>
      <c r="D115" s="303"/>
      <c r="E115" s="286"/>
      <c r="F115" s="321">
        <v>21.2</v>
      </c>
      <c r="G115" s="305" t="s">
        <v>195</v>
      </c>
      <c r="H115" s="286">
        <v>1</v>
      </c>
      <c r="I115" s="304">
        <v>21.2</v>
      </c>
      <c r="J115" s="286">
        <v>23.35</v>
      </c>
      <c r="K115" s="304">
        <v>495.02</v>
      </c>
    </row>
    <row r="116" spans="1:22" ht="14.25" x14ac:dyDescent="0.2">
      <c r="A116" s="301"/>
      <c r="B116" s="302"/>
      <c r="C116" s="302" t="s">
        <v>184</v>
      </c>
      <c r="D116" s="303"/>
      <c r="E116" s="286"/>
      <c r="F116" s="321">
        <v>0.06</v>
      </c>
      <c r="G116" s="305" t="s">
        <v>195</v>
      </c>
      <c r="H116" s="286">
        <v>1</v>
      </c>
      <c r="I116" s="304">
        <v>0.06</v>
      </c>
      <c r="J116" s="286">
        <v>8.33</v>
      </c>
      <c r="K116" s="304">
        <v>0.5</v>
      </c>
    </row>
    <row r="117" spans="1:22" ht="14.25" x14ac:dyDescent="0.2">
      <c r="A117" s="301"/>
      <c r="B117" s="302"/>
      <c r="C117" s="302" t="s">
        <v>189</v>
      </c>
      <c r="D117" s="303"/>
      <c r="E117" s="286"/>
      <c r="F117" s="321">
        <v>0.01</v>
      </c>
      <c r="G117" s="305" t="s">
        <v>195</v>
      </c>
      <c r="H117" s="286">
        <v>1</v>
      </c>
      <c r="I117" s="306">
        <v>0.01</v>
      </c>
      <c r="J117" s="286">
        <v>23.35</v>
      </c>
      <c r="K117" s="306">
        <v>0.23</v>
      </c>
    </row>
    <row r="118" spans="1:22" ht="14.25" x14ac:dyDescent="0.2">
      <c r="A118" s="301"/>
      <c r="B118" s="302"/>
      <c r="C118" s="302" t="s">
        <v>205</v>
      </c>
      <c r="D118" s="303"/>
      <c r="E118" s="286"/>
      <c r="F118" s="321">
        <v>1.26</v>
      </c>
      <c r="G118" s="305" t="s">
        <v>195</v>
      </c>
      <c r="H118" s="286">
        <v>1</v>
      </c>
      <c r="I118" s="304">
        <v>1.26</v>
      </c>
      <c r="J118" s="286">
        <v>5.42</v>
      </c>
      <c r="K118" s="304">
        <v>6.83</v>
      </c>
    </row>
    <row r="119" spans="1:22" ht="39.75" x14ac:dyDescent="0.2">
      <c r="A119" s="301" t="s">
        <v>1568</v>
      </c>
      <c r="B119" s="302" t="s">
        <v>3694</v>
      </c>
      <c r="C119" s="302" t="s">
        <v>1447</v>
      </c>
      <c r="D119" s="303" t="s">
        <v>3240</v>
      </c>
      <c r="E119" s="286">
        <v>1</v>
      </c>
      <c r="F119" s="321">
        <v>25.56</v>
      </c>
      <c r="G119" s="315" t="s">
        <v>195</v>
      </c>
      <c r="H119" s="286">
        <v>1</v>
      </c>
      <c r="I119" s="304">
        <v>25.56</v>
      </c>
      <c r="J119" s="286">
        <v>5.42</v>
      </c>
      <c r="K119" s="304">
        <v>138.54</v>
      </c>
      <c r="Q119" s="281">
        <f>[19]Source!X93</f>
        <v>0</v>
      </c>
      <c r="R119" s="281">
        <f>[19]Source!X94</f>
        <v>0</v>
      </c>
      <c r="S119" s="281">
        <f>[19]Source!Y93</f>
        <v>0</v>
      </c>
      <c r="T119" s="281">
        <f>[19]Source!Y94</f>
        <v>0</v>
      </c>
      <c r="U119" s="281">
        <f>ROUND((175/100)*ROUND([19]Source!R93, 2), 2)</f>
        <v>0</v>
      </c>
      <c r="V119" s="281">
        <f>ROUND((157/100)*ROUND([19]Source!R94, 2), 2)</f>
        <v>0</v>
      </c>
    </row>
    <row r="120" spans="1:22" ht="14.25" x14ac:dyDescent="0.2">
      <c r="A120" s="301"/>
      <c r="B120" s="302"/>
      <c r="C120" s="302" t="s">
        <v>194</v>
      </c>
      <c r="D120" s="303" t="s">
        <v>187</v>
      </c>
      <c r="E120" s="286">
        <v>114</v>
      </c>
      <c r="F120" s="321"/>
      <c r="G120" s="305"/>
      <c r="H120" s="286"/>
      <c r="I120" s="304">
        <v>24.17</v>
      </c>
      <c r="J120" s="286">
        <v>77</v>
      </c>
      <c r="K120" s="304">
        <v>381.17</v>
      </c>
    </row>
    <row r="121" spans="1:22" ht="14.25" x14ac:dyDescent="0.2">
      <c r="A121" s="301"/>
      <c r="B121" s="302"/>
      <c r="C121" s="302" t="s">
        <v>193</v>
      </c>
      <c r="D121" s="303" t="s">
        <v>187</v>
      </c>
      <c r="E121" s="286">
        <v>67</v>
      </c>
      <c r="F121" s="321"/>
      <c r="G121" s="305"/>
      <c r="H121" s="286"/>
      <c r="I121" s="304">
        <v>14.2</v>
      </c>
      <c r="J121" s="286">
        <v>41</v>
      </c>
      <c r="K121" s="304">
        <v>202.96</v>
      </c>
    </row>
    <row r="122" spans="1:22" ht="14.25" x14ac:dyDescent="0.2">
      <c r="A122" s="301"/>
      <c r="B122" s="302"/>
      <c r="C122" s="302" t="s">
        <v>188</v>
      </c>
      <c r="D122" s="303" t="s">
        <v>187</v>
      </c>
      <c r="E122" s="286">
        <v>175</v>
      </c>
      <c r="F122" s="321"/>
      <c r="G122" s="305"/>
      <c r="H122" s="286"/>
      <c r="I122" s="304">
        <v>0.02</v>
      </c>
      <c r="J122" s="286">
        <v>157</v>
      </c>
      <c r="K122" s="304">
        <v>0.36</v>
      </c>
    </row>
    <row r="123" spans="1:22" ht="14.25" x14ac:dyDescent="0.2">
      <c r="A123" s="329"/>
      <c r="B123" s="330"/>
      <c r="C123" s="330" t="s">
        <v>192</v>
      </c>
      <c r="D123" s="331" t="s">
        <v>191</v>
      </c>
      <c r="E123" s="332">
        <v>1.68</v>
      </c>
      <c r="F123" s="333"/>
      <c r="G123" s="334" t="s">
        <v>195</v>
      </c>
      <c r="H123" s="332">
        <v>1</v>
      </c>
      <c r="I123" s="335">
        <v>1.68</v>
      </c>
      <c r="J123" s="332"/>
      <c r="K123" s="335"/>
    </row>
    <row r="124" spans="1:22" ht="15" x14ac:dyDescent="0.25">
      <c r="A124" s="336"/>
      <c r="B124" s="336"/>
      <c r="C124" s="337" t="s">
        <v>183</v>
      </c>
      <c r="D124" s="336"/>
      <c r="E124" s="336"/>
      <c r="F124" s="336"/>
      <c r="G124" s="336"/>
      <c r="H124" s="461">
        <v>86.47</v>
      </c>
      <c r="I124" s="461"/>
      <c r="J124" s="461">
        <v>1225.3800000000001</v>
      </c>
      <c r="K124" s="461"/>
      <c r="O124" s="284">
        <f>I115+I116+I118+I120+I121+I122+SUM(I119:I119)</f>
        <v>86.47</v>
      </c>
      <c r="P124" s="284">
        <f>K115+K116+K118+K120+K121+K122+SUM(K119:K119)</f>
        <v>1225.3800000000001</v>
      </c>
    </row>
    <row r="126" spans="1:22" ht="28.5" x14ac:dyDescent="0.2">
      <c r="A126" s="301" t="s">
        <v>1572</v>
      </c>
      <c r="B126" s="302" t="s">
        <v>3695</v>
      </c>
      <c r="C126" s="302" t="s">
        <v>1458</v>
      </c>
      <c r="D126" s="303" t="s">
        <v>1903</v>
      </c>
      <c r="E126" s="286">
        <v>1</v>
      </c>
      <c r="F126" s="321"/>
      <c r="G126" s="305"/>
      <c r="H126" s="286"/>
      <c r="I126" s="304"/>
      <c r="J126" s="286"/>
      <c r="K126" s="304"/>
      <c r="Q126" s="281">
        <f>[19]Source!X95</f>
        <v>18.32</v>
      </c>
      <c r="R126" s="281">
        <f>[19]Source!X96</f>
        <v>288.93</v>
      </c>
      <c r="S126" s="281">
        <f>[19]Source!Y95</f>
        <v>10.77</v>
      </c>
      <c r="T126" s="281">
        <f>[19]Source!Y96</f>
        <v>153.84</v>
      </c>
      <c r="U126" s="281">
        <f>ROUND((175/100)*ROUND([19]Source!R95, 2), 2)</f>
        <v>0.02</v>
      </c>
      <c r="V126" s="281">
        <f>ROUND((157/100)*ROUND([19]Source!R96, 2), 2)</f>
        <v>0.36</v>
      </c>
    </row>
    <row r="127" spans="1:22" ht="14.25" x14ac:dyDescent="0.2">
      <c r="A127" s="301"/>
      <c r="B127" s="302"/>
      <c r="C127" s="302" t="s">
        <v>197</v>
      </c>
      <c r="D127" s="303"/>
      <c r="E127" s="286"/>
      <c r="F127" s="321">
        <v>16.07</v>
      </c>
      <c r="G127" s="305" t="s">
        <v>195</v>
      </c>
      <c r="H127" s="286">
        <v>1</v>
      </c>
      <c r="I127" s="304">
        <v>16.07</v>
      </c>
      <c r="J127" s="286">
        <v>23.35</v>
      </c>
      <c r="K127" s="304">
        <v>375.23</v>
      </c>
    </row>
    <row r="128" spans="1:22" ht="14.25" x14ac:dyDescent="0.2">
      <c r="A128" s="301"/>
      <c r="B128" s="302"/>
      <c r="C128" s="302" t="s">
        <v>184</v>
      </c>
      <c r="D128" s="303"/>
      <c r="E128" s="286"/>
      <c r="F128" s="321">
        <v>0.05</v>
      </c>
      <c r="G128" s="305" t="s">
        <v>195</v>
      </c>
      <c r="H128" s="286">
        <v>1</v>
      </c>
      <c r="I128" s="304">
        <v>0.05</v>
      </c>
      <c r="J128" s="286">
        <v>9</v>
      </c>
      <c r="K128" s="304">
        <v>0.45</v>
      </c>
    </row>
    <row r="129" spans="1:22" ht="14.25" x14ac:dyDescent="0.2">
      <c r="A129" s="301"/>
      <c r="B129" s="302"/>
      <c r="C129" s="302" t="s">
        <v>189</v>
      </c>
      <c r="D129" s="303"/>
      <c r="E129" s="286"/>
      <c r="F129" s="321">
        <v>0.01</v>
      </c>
      <c r="G129" s="305" t="s">
        <v>195</v>
      </c>
      <c r="H129" s="286">
        <v>1</v>
      </c>
      <c r="I129" s="306">
        <v>0.01</v>
      </c>
      <c r="J129" s="286">
        <v>23.35</v>
      </c>
      <c r="K129" s="306">
        <v>0.23</v>
      </c>
    </row>
    <row r="130" spans="1:22" ht="14.25" x14ac:dyDescent="0.2">
      <c r="A130" s="301"/>
      <c r="B130" s="302"/>
      <c r="C130" s="302" t="s">
        <v>205</v>
      </c>
      <c r="D130" s="303"/>
      <c r="E130" s="286"/>
      <c r="F130" s="321">
        <v>1.96</v>
      </c>
      <c r="G130" s="305" t="s">
        <v>195</v>
      </c>
      <c r="H130" s="286">
        <v>1</v>
      </c>
      <c r="I130" s="304">
        <v>1.96</v>
      </c>
      <c r="J130" s="286">
        <v>5.42</v>
      </c>
      <c r="K130" s="304">
        <v>10.62</v>
      </c>
    </row>
    <row r="131" spans="1:22" ht="68.25" x14ac:dyDescent="0.2">
      <c r="A131" s="322" t="s">
        <v>1574</v>
      </c>
      <c r="B131" s="323" t="s">
        <v>3696</v>
      </c>
      <c r="C131" s="323" t="s">
        <v>1457</v>
      </c>
      <c r="D131" s="324" t="s">
        <v>1661</v>
      </c>
      <c r="E131" s="325">
        <v>1</v>
      </c>
      <c r="F131" s="326">
        <v>130.30000000000001</v>
      </c>
      <c r="G131" s="327" t="s">
        <v>195</v>
      </c>
      <c r="H131" s="325">
        <v>1</v>
      </c>
      <c r="I131" s="328">
        <v>130.30000000000001</v>
      </c>
      <c r="J131" s="325">
        <v>4.4000000000000004</v>
      </c>
      <c r="K131" s="328">
        <v>573.32000000000005</v>
      </c>
      <c r="Q131" s="281">
        <f>[19]Source!X97</f>
        <v>0</v>
      </c>
      <c r="R131" s="281">
        <f>[19]Source!X98</f>
        <v>0</v>
      </c>
      <c r="S131" s="281">
        <f>[19]Source!Y97</f>
        <v>0</v>
      </c>
      <c r="T131" s="281">
        <f>[19]Source!Y98</f>
        <v>0</v>
      </c>
      <c r="U131" s="281">
        <f>ROUND((175/100)*ROUND([19]Source!R97, 2), 2)</f>
        <v>0</v>
      </c>
      <c r="V131" s="281">
        <f>ROUND((157/100)*ROUND([19]Source!R98, 2), 2)</f>
        <v>0</v>
      </c>
    </row>
    <row r="132" spans="1:22" ht="14.25" x14ac:dyDescent="0.2">
      <c r="A132" s="301"/>
      <c r="B132" s="302"/>
      <c r="C132" s="302" t="s">
        <v>194</v>
      </c>
      <c r="D132" s="303" t="s">
        <v>187</v>
      </c>
      <c r="E132" s="286">
        <v>114</v>
      </c>
      <c r="F132" s="321"/>
      <c r="G132" s="305"/>
      <c r="H132" s="286"/>
      <c r="I132" s="304">
        <v>18.32</v>
      </c>
      <c r="J132" s="286">
        <v>77</v>
      </c>
      <c r="K132" s="304">
        <v>288.93</v>
      </c>
    </row>
    <row r="133" spans="1:22" ht="14.25" x14ac:dyDescent="0.2">
      <c r="A133" s="301"/>
      <c r="B133" s="302"/>
      <c r="C133" s="302" t="s">
        <v>193</v>
      </c>
      <c r="D133" s="303" t="s">
        <v>187</v>
      </c>
      <c r="E133" s="286">
        <v>67</v>
      </c>
      <c r="F133" s="321"/>
      <c r="G133" s="305"/>
      <c r="H133" s="286"/>
      <c r="I133" s="304">
        <v>10.77</v>
      </c>
      <c r="J133" s="286">
        <v>41</v>
      </c>
      <c r="K133" s="304">
        <v>153.84</v>
      </c>
    </row>
    <row r="134" spans="1:22" ht="14.25" x14ac:dyDescent="0.2">
      <c r="A134" s="301"/>
      <c r="B134" s="302"/>
      <c r="C134" s="302" t="s">
        <v>188</v>
      </c>
      <c r="D134" s="303" t="s">
        <v>187</v>
      </c>
      <c r="E134" s="286">
        <v>175</v>
      </c>
      <c r="F134" s="321"/>
      <c r="G134" s="305"/>
      <c r="H134" s="286"/>
      <c r="I134" s="304">
        <v>0.02</v>
      </c>
      <c r="J134" s="286">
        <v>157</v>
      </c>
      <c r="K134" s="304">
        <v>0.36</v>
      </c>
    </row>
    <row r="135" spans="1:22" ht="14.25" x14ac:dyDescent="0.2">
      <c r="A135" s="329"/>
      <c r="B135" s="330"/>
      <c r="C135" s="330" t="s">
        <v>192</v>
      </c>
      <c r="D135" s="331" t="s">
        <v>191</v>
      </c>
      <c r="E135" s="332">
        <v>1.2</v>
      </c>
      <c r="F135" s="333"/>
      <c r="G135" s="334" t="s">
        <v>195</v>
      </c>
      <c r="H135" s="332">
        <v>1</v>
      </c>
      <c r="I135" s="335">
        <v>1.2</v>
      </c>
      <c r="J135" s="332"/>
      <c r="K135" s="335"/>
    </row>
    <row r="136" spans="1:22" ht="15" x14ac:dyDescent="0.25">
      <c r="A136" s="336"/>
      <c r="B136" s="336"/>
      <c r="C136" s="337" t="s">
        <v>183</v>
      </c>
      <c r="D136" s="336"/>
      <c r="E136" s="336"/>
      <c r="F136" s="336"/>
      <c r="G136" s="336"/>
      <c r="H136" s="461">
        <v>177.49</v>
      </c>
      <c r="I136" s="461"/>
      <c r="J136" s="461">
        <v>1402.75</v>
      </c>
      <c r="K136" s="461"/>
      <c r="O136" s="284">
        <f>I127+I128+I130+I132+I133+I134+SUM(I131:I131)</f>
        <v>177.49</v>
      </c>
      <c r="P136" s="284">
        <f>K127+K128+K130+K132+K133+K134+SUM(K131:K131)</f>
        <v>1402.75</v>
      </c>
    </row>
    <row r="139" spans="1:22" ht="15" x14ac:dyDescent="0.25">
      <c r="A139" s="447" t="s">
        <v>3697</v>
      </c>
      <c r="B139" s="447"/>
      <c r="C139" s="447"/>
      <c r="D139" s="447"/>
      <c r="E139" s="447"/>
      <c r="F139" s="447"/>
      <c r="G139" s="447"/>
      <c r="H139" s="445">
        <v>2220.98</v>
      </c>
      <c r="I139" s="446"/>
      <c r="J139" s="445">
        <v>19774.27</v>
      </c>
      <c r="K139" s="446"/>
    </row>
    <row r="140" spans="1:22" hidden="1" x14ac:dyDescent="0.2">
      <c r="A140" s="281" t="s">
        <v>182</v>
      </c>
      <c r="I140" s="281">
        <v>0</v>
      </c>
      <c r="J140" s="281">
        <v>0</v>
      </c>
    </row>
    <row r="141" spans="1:22" hidden="1" x14ac:dyDescent="0.2">
      <c r="A141" s="281" t="s">
        <v>181</v>
      </c>
      <c r="I141" s="281">
        <v>0</v>
      </c>
      <c r="J141" s="281">
        <v>0</v>
      </c>
    </row>
    <row r="143" spans="1:22" ht="16.5" x14ac:dyDescent="0.25">
      <c r="A143" s="448" t="s">
        <v>3698</v>
      </c>
      <c r="B143" s="448"/>
      <c r="C143" s="448"/>
      <c r="D143" s="448"/>
      <c r="E143" s="448"/>
      <c r="F143" s="448"/>
      <c r="G143" s="448"/>
      <c r="H143" s="448"/>
      <c r="I143" s="448"/>
      <c r="J143" s="448"/>
      <c r="K143" s="448"/>
    </row>
    <row r="144" spans="1:22" ht="28.5" x14ac:dyDescent="0.2">
      <c r="A144" s="301" t="s">
        <v>1578</v>
      </c>
      <c r="B144" s="302" t="s">
        <v>3683</v>
      </c>
      <c r="C144" s="302" t="s">
        <v>1465</v>
      </c>
      <c r="D144" s="303" t="s">
        <v>1903</v>
      </c>
      <c r="E144" s="286">
        <v>1</v>
      </c>
      <c r="F144" s="321"/>
      <c r="G144" s="305"/>
      <c r="H144" s="286"/>
      <c r="I144" s="304"/>
      <c r="J144" s="286"/>
      <c r="K144" s="304"/>
      <c r="Q144" s="281">
        <f>[19]Source!X134</f>
        <v>48.91</v>
      </c>
      <c r="R144" s="281">
        <f>[19]Source!X135</f>
        <v>771.32</v>
      </c>
      <c r="S144" s="281">
        <f>[19]Source!Y134</f>
        <v>28.74</v>
      </c>
      <c r="T144" s="281">
        <f>[19]Source!Y135</f>
        <v>410.71</v>
      </c>
      <c r="U144" s="281">
        <f>ROUND((175/100)*ROUND([19]Source!R134, 2), 2)</f>
        <v>0.02</v>
      </c>
      <c r="V144" s="281">
        <f>ROUND((157/100)*ROUND([19]Source!R135, 2), 2)</f>
        <v>0.36</v>
      </c>
    </row>
    <row r="145" spans="1:22" ht="14.25" x14ac:dyDescent="0.2">
      <c r="A145" s="301"/>
      <c r="B145" s="302"/>
      <c r="C145" s="302" t="s">
        <v>197</v>
      </c>
      <c r="D145" s="303"/>
      <c r="E145" s="286"/>
      <c r="F145" s="321">
        <v>42.9</v>
      </c>
      <c r="G145" s="305" t="s">
        <v>195</v>
      </c>
      <c r="H145" s="286">
        <v>1</v>
      </c>
      <c r="I145" s="304">
        <v>42.9</v>
      </c>
      <c r="J145" s="286">
        <v>23.35</v>
      </c>
      <c r="K145" s="304">
        <v>1001.72</v>
      </c>
    </row>
    <row r="146" spans="1:22" ht="14.25" x14ac:dyDescent="0.2">
      <c r="A146" s="301"/>
      <c r="B146" s="302"/>
      <c r="C146" s="302" t="s">
        <v>184</v>
      </c>
      <c r="D146" s="303"/>
      <c r="E146" s="286"/>
      <c r="F146" s="321">
        <v>0.05</v>
      </c>
      <c r="G146" s="305" t="s">
        <v>195</v>
      </c>
      <c r="H146" s="286">
        <v>1</v>
      </c>
      <c r="I146" s="304">
        <v>0.05</v>
      </c>
      <c r="J146" s="286">
        <v>9</v>
      </c>
      <c r="K146" s="304">
        <v>0.45</v>
      </c>
    </row>
    <row r="147" spans="1:22" ht="14.25" x14ac:dyDescent="0.2">
      <c r="A147" s="301"/>
      <c r="B147" s="302"/>
      <c r="C147" s="302" t="s">
        <v>189</v>
      </c>
      <c r="D147" s="303"/>
      <c r="E147" s="286"/>
      <c r="F147" s="321">
        <v>0.01</v>
      </c>
      <c r="G147" s="305" t="s">
        <v>195</v>
      </c>
      <c r="H147" s="286">
        <v>1</v>
      </c>
      <c r="I147" s="306">
        <v>0.01</v>
      </c>
      <c r="J147" s="286">
        <v>23.35</v>
      </c>
      <c r="K147" s="306">
        <v>0.23</v>
      </c>
    </row>
    <row r="148" spans="1:22" ht="14.25" x14ac:dyDescent="0.2">
      <c r="A148" s="301"/>
      <c r="B148" s="302"/>
      <c r="C148" s="302" t="s">
        <v>205</v>
      </c>
      <c r="D148" s="303"/>
      <c r="E148" s="286"/>
      <c r="F148" s="321">
        <v>3.15</v>
      </c>
      <c r="G148" s="305" t="s">
        <v>195</v>
      </c>
      <c r="H148" s="286">
        <v>1</v>
      </c>
      <c r="I148" s="304">
        <v>3.15</v>
      </c>
      <c r="J148" s="286">
        <v>5.42</v>
      </c>
      <c r="K148" s="304">
        <v>17.07</v>
      </c>
    </row>
    <row r="149" spans="1:22" ht="142.5" x14ac:dyDescent="0.2">
      <c r="A149" s="322" t="s">
        <v>1581</v>
      </c>
      <c r="B149" s="323" t="s">
        <v>3687</v>
      </c>
      <c r="C149" s="323" t="s">
        <v>1464</v>
      </c>
      <c r="D149" s="324" t="s">
        <v>1913</v>
      </c>
      <c r="E149" s="325">
        <v>1</v>
      </c>
      <c r="F149" s="326">
        <v>580.54</v>
      </c>
      <c r="G149" s="327" t="s">
        <v>195</v>
      </c>
      <c r="H149" s="325">
        <v>1</v>
      </c>
      <c r="I149" s="328">
        <v>580.54</v>
      </c>
      <c r="J149" s="325">
        <v>9.8000000000000007</v>
      </c>
      <c r="K149" s="328">
        <v>5689.29</v>
      </c>
      <c r="Q149" s="281">
        <f>[19]Source!X136</f>
        <v>0</v>
      </c>
      <c r="R149" s="281">
        <f>[19]Source!X137</f>
        <v>0</v>
      </c>
      <c r="S149" s="281">
        <f>[19]Source!Y136</f>
        <v>0</v>
      </c>
      <c r="T149" s="281">
        <f>[19]Source!Y137</f>
        <v>0</v>
      </c>
      <c r="U149" s="281">
        <f>ROUND((175/100)*ROUND([19]Source!R136, 2), 2)</f>
        <v>0</v>
      </c>
      <c r="V149" s="281">
        <f>ROUND((157/100)*ROUND([19]Source!R137, 2), 2)</f>
        <v>0</v>
      </c>
    </row>
    <row r="150" spans="1:22" ht="57" x14ac:dyDescent="0.2">
      <c r="A150" s="322" t="s">
        <v>1582</v>
      </c>
      <c r="B150" s="323" t="s">
        <v>3688</v>
      </c>
      <c r="C150" s="323" t="s">
        <v>1463</v>
      </c>
      <c r="D150" s="324" t="s">
        <v>1661</v>
      </c>
      <c r="E150" s="325">
        <v>2</v>
      </c>
      <c r="F150" s="326">
        <v>99.15</v>
      </c>
      <c r="G150" s="327" t="s">
        <v>195</v>
      </c>
      <c r="H150" s="325">
        <v>1</v>
      </c>
      <c r="I150" s="328">
        <v>198.3</v>
      </c>
      <c r="J150" s="325">
        <v>4.87</v>
      </c>
      <c r="K150" s="328">
        <v>965.72</v>
      </c>
      <c r="Q150" s="281">
        <f>[19]Source!X138</f>
        <v>0</v>
      </c>
      <c r="R150" s="281">
        <f>[19]Source!X139</f>
        <v>0</v>
      </c>
      <c r="S150" s="281">
        <f>[19]Source!Y138</f>
        <v>0</v>
      </c>
      <c r="T150" s="281">
        <f>[19]Source!Y139</f>
        <v>0</v>
      </c>
      <c r="U150" s="281">
        <f>ROUND((175/100)*ROUND([19]Source!R138, 2), 2)</f>
        <v>0</v>
      </c>
      <c r="V150" s="281">
        <f>ROUND((157/100)*ROUND([19]Source!R139, 2), 2)</f>
        <v>0</v>
      </c>
    </row>
    <row r="151" spans="1:22" ht="14.25" x14ac:dyDescent="0.2">
      <c r="A151" s="301"/>
      <c r="B151" s="302"/>
      <c r="C151" s="302" t="s">
        <v>194</v>
      </c>
      <c r="D151" s="303" t="s">
        <v>187</v>
      </c>
      <c r="E151" s="286">
        <v>114</v>
      </c>
      <c r="F151" s="321"/>
      <c r="G151" s="305"/>
      <c r="H151" s="286"/>
      <c r="I151" s="304">
        <v>48.91</v>
      </c>
      <c r="J151" s="286">
        <v>77</v>
      </c>
      <c r="K151" s="304">
        <v>771.32</v>
      </c>
    </row>
    <row r="152" spans="1:22" ht="14.25" x14ac:dyDescent="0.2">
      <c r="A152" s="301"/>
      <c r="B152" s="302"/>
      <c r="C152" s="302" t="s">
        <v>193</v>
      </c>
      <c r="D152" s="303" t="s">
        <v>187</v>
      </c>
      <c r="E152" s="286">
        <v>67</v>
      </c>
      <c r="F152" s="321"/>
      <c r="G152" s="305"/>
      <c r="H152" s="286"/>
      <c r="I152" s="304">
        <v>28.74</v>
      </c>
      <c r="J152" s="286">
        <v>41</v>
      </c>
      <c r="K152" s="304">
        <v>410.71</v>
      </c>
    </row>
    <row r="153" spans="1:22" ht="14.25" x14ac:dyDescent="0.2">
      <c r="A153" s="301"/>
      <c r="B153" s="302"/>
      <c r="C153" s="302" t="s">
        <v>188</v>
      </c>
      <c r="D153" s="303" t="s">
        <v>187</v>
      </c>
      <c r="E153" s="286">
        <v>175</v>
      </c>
      <c r="F153" s="321"/>
      <c r="G153" s="305"/>
      <c r="H153" s="286"/>
      <c r="I153" s="304">
        <v>0.02</v>
      </c>
      <c r="J153" s="286">
        <v>157</v>
      </c>
      <c r="K153" s="304">
        <v>0.36</v>
      </c>
    </row>
    <row r="154" spans="1:22" ht="14.25" x14ac:dyDescent="0.2">
      <c r="A154" s="329"/>
      <c r="B154" s="330"/>
      <c r="C154" s="330" t="s">
        <v>192</v>
      </c>
      <c r="D154" s="331" t="s">
        <v>191</v>
      </c>
      <c r="E154" s="332">
        <v>3.3</v>
      </c>
      <c r="F154" s="333"/>
      <c r="G154" s="334" t="s">
        <v>195</v>
      </c>
      <c r="H154" s="332">
        <v>1</v>
      </c>
      <c r="I154" s="335">
        <v>3.3</v>
      </c>
      <c r="J154" s="332"/>
      <c r="K154" s="335"/>
    </row>
    <row r="155" spans="1:22" ht="15" x14ac:dyDescent="0.25">
      <c r="A155" s="336"/>
      <c r="B155" s="336"/>
      <c r="C155" s="337" t="s">
        <v>183</v>
      </c>
      <c r="D155" s="336"/>
      <c r="E155" s="336"/>
      <c r="F155" s="336"/>
      <c r="G155" s="336"/>
      <c r="H155" s="461">
        <v>902.61</v>
      </c>
      <c r="I155" s="461"/>
      <c r="J155" s="461">
        <v>8856.64</v>
      </c>
      <c r="K155" s="461"/>
      <c r="O155" s="284">
        <f>I145+I146+I148+I151+I152+I153+SUM(I149:I150)</f>
        <v>902.61</v>
      </c>
      <c r="P155" s="284">
        <f>K145+K146+K148+K151+K152+K153+SUM(K149:K150)</f>
        <v>8856.64</v>
      </c>
    </row>
    <row r="157" spans="1:22" ht="57" x14ac:dyDescent="0.2">
      <c r="A157" s="301" t="s">
        <v>1587</v>
      </c>
      <c r="B157" s="302" t="s">
        <v>3690</v>
      </c>
      <c r="C157" s="302" t="s">
        <v>1461</v>
      </c>
      <c r="D157" s="303" t="s">
        <v>3691</v>
      </c>
      <c r="E157" s="286">
        <v>1</v>
      </c>
      <c r="F157" s="321"/>
      <c r="G157" s="305"/>
      <c r="H157" s="286"/>
      <c r="I157" s="304"/>
      <c r="J157" s="286"/>
      <c r="K157" s="304"/>
      <c r="Q157" s="281">
        <f>[19]Source!X140</f>
        <v>28.48</v>
      </c>
      <c r="R157" s="281">
        <f>[19]Source!X141</f>
        <v>449.13</v>
      </c>
      <c r="S157" s="281">
        <f>[19]Source!Y140</f>
        <v>16.739999999999998</v>
      </c>
      <c r="T157" s="281">
        <f>[19]Source!Y141</f>
        <v>239.14</v>
      </c>
      <c r="U157" s="281">
        <f>ROUND((175/100)*ROUND([19]Source!R140, 2), 2)</f>
        <v>0.54</v>
      </c>
      <c r="V157" s="281">
        <f>ROUND((157/100)*ROUND([19]Source!R141, 2), 2)</f>
        <v>11.37</v>
      </c>
    </row>
    <row r="158" spans="1:22" ht="14.25" x14ac:dyDescent="0.2">
      <c r="A158" s="301"/>
      <c r="B158" s="302"/>
      <c r="C158" s="302" t="s">
        <v>197</v>
      </c>
      <c r="D158" s="303"/>
      <c r="E158" s="286"/>
      <c r="F158" s="321">
        <v>24.98</v>
      </c>
      <c r="G158" s="305" t="s">
        <v>195</v>
      </c>
      <c r="H158" s="286">
        <v>1</v>
      </c>
      <c r="I158" s="304">
        <v>24.98</v>
      </c>
      <c r="J158" s="286">
        <v>23.35</v>
      </c>
      <c r="K158" s="304">
        <v>583.28</v>
      </c>
    </row>
    <row r="159" spans="1:22" ht="14.25" x14ac:dyDescent="0.2">
      <c r="A159" s="301"/>
      <c r="B159" s="302"/>
      <c r="C159" s="302" t="s">
        <v>184</v>
      </c>
      <c r="D159" s="303"/>
      <c r="E159" s="286"/>
      <c r="F159" s="321">
        <v>4.8499999999999996</v>
      </c>
      <c r="G159" s="305" t="s">
        <v>195</v>
      </c>
      <c r="H159" s="286">
        <v>1</v>
      </c>
      <c r="I159" s="304">
        <v>4.8499999999999996</v>
      </c>
      <c r="J159" s="286">
        <v>6.5</v>
      </c>
      <c r="K159" s="304">
        <v>31.53</v>
      </c>
    </row>
    <row r="160" spans="1:22" ht="14.25" x14ac:dyDescent="0.2">
      <c r="A160" s="301"/>
      <c r="B160" s="302"/>
      <c r="C160" s="302" t="s">
        <v>189</v>
      </c>
      <c r="D160" s="303"/>
      <c r="E160" s="286"/>
      <c r="F160" s="321">
        <v>0.31</v>
      </c>
      <c r="G160" s="305" t="s">
        <v>195</v>
      </c>
      <c r="H160" s="286">
        <v>1</v>
      </c>
      <c r="I160" s="306">
        <v>0.31</v>
      </c>
      <c r="J160" s="286">
        <v>23.35</v>
      </c>
      <c r="K160" s="306">
        <v>7.24</v>
      </c>
    </row>
    <row r="161" spans="1:22" ht="14.25" x14ac:dyDescent="0.2">
      <c r="A161" s="301"/>
      <c r="B161" s="302"/>
      <c r="C161" s="302" t="s">
        <v>205</v>
      </c>
      <c r="D161" s="303"/>
      <c r="E161" s="286"/>
      <c r="F161" s="321">
        <v>11.55</v>
      </c>
      <c r="G161" s="305" t="s">
        <v>195</v>
      </c>
      <c r="H161" s="286">
        <v>1</v>
      </c>
      <c r="I161" s="304">
        <v>11.55</v>
      </c>
      <c r="J161" s="286">
        <v>5.42</v>
      </c>
      <c r="K161" s="304">
        <v>62.6</v>
      </c>
    </row>
    <row r="162" spans="1:22" ht="68.25" x14ac:dyDescent="0.2">
      <c r="A162" s="322" t="s">
        <v>1588</v>
      </c>
      <c r="B162" s="323" t="s">
        <v>3692</v>
      </c>
      <c r="C162" s="323" t="s">
        <v>1460</v>
      </c>
      <c r="D162" s="324" t="s">
        <v>1661</v>
      </c>
      <c r="E162" s="325">
        <v>1</v>
      </c>
      <c r="F162" s="326">
        <v>81.92</v>
      </c>
      <c r="G162" s="327" t="s">
        <v>195</v>
      </c>
      <c r="H162" s="325">
        <v>1</v>
      </c>
      <c r="I162" s="328">
        <v>81.92</v>
      </c>
      <c r="J162" s="325">
        <v>4.4000000000000004</v>
      </c>
      <c r="K162" s="328">
        <v>360.45</v>
      </c>
      <c r="Q162" s="281">
        <f>[19]Source!X142</f>
        <v>0</v>
      </c>
      <c r="R162" s="281">
        <f>[19]Source!X143</f>
        <v>0</v>
      </c>
      <c r="S162" s="281">
        <f>[19]Source!Y142</f>
        <v>0</v>
      </c>
      <c r="T162" s="281">
        <f>[19]Source!Y143</f>
        <v>0</v>
      </c>
      <c r="U162" s="281">
        <f>ROUND((175/100)*ROUND([19]Source!R142, 2), 2)</f>
        <v>0</v>
      </c>
      <c r="V162" s="281">
        <f>ROUND((157/100)*ROUND([19]Source!R143, 2), 2)</f>
        <v>0</v>
      </c>
    </row>
    <row r="163" spans="1:22" ht="14.25" x14ac:dyDescent="0.2">
      <c r="A163" s="301"/>
      <c r="B163" s="302"/>
      <c r="C163" s="302" t="s">
        <v>194</v>
      </c>
      <c r="D163" s="303" t="s">
        <v>187</v>
      </c>
      <c r="E163" s="286">
        <v>114</v>
      </c>
      <c r="F163" s="321"/>
      <c r="G163" s="305"/>
      <c r="H163" s="286"/>
      <c r="I163" s="304">
        <v>28.48</v>
      </c>
      <c r="J163" s="286">
        <v>77</v>
      </c>
      <c r="K163" s="304">
        <v>449.13</v>
      </c>
    </row>
    <row r="164" spans="1:22" ht="14.25" x14ac:dyDescent="0.2">
      <c r="A164" s="301"/>
      <c r="B164" s="302"/>
      <c r="C164" s="302" t="s">
        <v>193</v>
      </c>
      <c r="D164" s="303" t="s">
        <v>187</v>
      </c>
      <c r="E164" s="286">
        <v>67</v>
      </c>
      <c r="F164" s="321"/>
      <c r="G164" s="305"/>
      <c r="H164" s="286"/>
      <c r="I164" s="304">
        <v>16.739999999999998</v>
      </c>
      <c r="J164" s="286">
        <v>41</v>
      </c>
      <c r="K164" s="304">
        <v>239.14</v>
      </c>
    </row>
    <row r="165" spans="1:22" ht="14.25" x14ac:dyDescent="0.2">
      <c r="A165" s="301"/>
      <c r="B165" s="302"/>
      <c r="C165" s="302" t="s">
        <v>188</v>
      </c>
      <c r="D165" s="303" t="s">
        <v>187</v>
      </c>
      <c r="E165" s="286">
        <v>175</v>
      </c>
      <c r="F165" s="321"/>
      <c r="G165" s="305"/>
      <c r="H165" s="286"/>
      <c r="I165" s="304">
        <v>0.54</v>
      </c>
      <c r="J165" s="286">
        <v>157</v>
      </c>
      <c r="K165" s="304">
        <v>11.37</v>
      </c>
    </row>
    <row r="166" spans="1:22" ht="14.25" x14ac:dyDescent="0.2">
      <c r="A166" s="329"/>
      <c r="B166" s="330"/>
      <c r="C166" s="330" t="s">
        <v>192</v>
      </c>
      <c r="D166" s="331" t="s">
        <v>191</v>
      </c>
      <c r="E166" s="332">
        <v>2</v>
      </c>
      <c r="F166" s="333"/>
      <c r="G166" s="334" t="s">
        <v>195</v>
      </c>
      <c r="H166" s="332">
        <v>1</v>
      </c>
      <c r="I166" s="335">
        <v>2</v>
      </c>
      <c r="J166" s="332"/>
      <c r="K166" s="335"/>
    </row>
    <row r="167" spans="1:22" ht="15" x14ac:dyDescent="0.25">
      <c r="A167" s="336"/>
      <c r="B167" s="336"/>
      <c r="C167" s="337" t="s">
        <v>183</v>
      </c>
      <c r="D167" s="336"/>
      <c r="E167" s="336"/>
      <c r="F167" s="336"/>
      <c r="G167" s="336"/>
      <c r="H167" s="461">
        <v>169.06</v>
      </c>
      <c r="I167" s="461"/>
      <c r="J167" s="461">
        <v>1737.5</v>
      </c>
      <c r="K167" s="461"/>
      <c r="O167" s="284">
        <f>I158+I159+I161+I163+I164+I165+SUM(I162:I162)</f>
        <v>169.06</v>
      </c>
      <c r="P167" s="284">
        <f>K158+K159+K161+K163+K164+K165+SUM(K162:K162)</f>
        <v>1737.5</v>
      </c>
    </row>
    <row r="169" spans="1:22" ht="57" x14ac:dyDescent="0.2">
      <c r="A169" s="301" t="s">
        <v>1589</v>
      </c>
      <c r="B169" s="302" t="s">
        <v>3622</v>
      </c>
      <c r="C169" s="302" t="s">
        <v>1243</v>
      </c>
      <c r="D169" s="303" t="s">
        <v>1903</v>
      </c>
      <c r="E169" s="286">
        <v>3</v>
      </c>
      <c r="F169" s="321"/>
      <c r="G169" s="305"/>
      <c r="H169" s="286"/>
      <c r="I169" s="304"/>
      <c r="J169" s="286"/>
      <c r="K169" s="304"/>
      <c r="Q169" s="281">
        <f>[19]Source!X144</f>
        <v>72.5</v>
      </c>
      <c r="R169" s="281">
        <f>[19]Source!X145</f>
        <v>1143.5</v>
      </c>
      <c r="S169" s="281">
        <f>[19]Source!Y144</f>
        <v>42.61</v>
      </c>
      <c r="T169" s="281">
        <f>[19]Source!Y145</f>
        <v>608.87</v>
      </c>
      <c r="U169" s="281">
        <f>ROUND((175/100)*ROUND([19]Source!R144, 2), 2)</f>
        <v>0.05</v>
      </c>
      <c r="V169" s="281">
        <f>ROUND((157/100)*ROUND([19]Source!R145, 2), 2)</f>
        <v>1.1000000000000001</v>
      </c>
    </row>
    <row r="170" spans="1:22" ht="14.25" x14ac:dyDescent="0.2">
      <c r="A170" s="301"/>
      <c r="B170" s="302"/>
      <c r="C170" s="302" t="s">
        <v>197</v>
      </c>
      <c r="D170" s="303"/>
      <c r="E170" s="286"/>
      <c r="F170" s="321">
        <v>21.2</v>
      </c>
      <c r="G170" s="305" t="s">
        <v>195</v>
      </c>
      <c r="H170" s="286">
        <v>1</v>
      </c>
      <c r="I170" s="304">
        <v>63.6</v>
      </c>
      <c r="J170" s="286">
        <v>23.35</v>
      </c>
      <c r="K170" s="304">
        <v>1485.06</v>
      </c>
    </row>
    <row r="171" spans="1:22" ht="14.25" x14ac:dyDescent="0.2">
      <c r="A171" s="301"/>
      <c r="B171" s="302"/>
      <c r="C171" s="302" t="s">
        <v>184</v>
      </c>
      <c r="D171" s="303"/>
      <c r="E171" s="286"/>
      <c r="F171" s="321">
        <v>0.06</v>
      </c>
      <c r="G171" s="305" t="s">
        <v>195</v>
      </c>
      <c r="H171" s="286">
        <v>1</v>
      </c>
      <c r="I171" s="304">
        <v>0.18</v>
      </c>
      <c r="J171" s="286">
        <v>8.33</v>
      </c>
      <c r="K171" s="304">
        <v>1.5</v>
      </c>
    </row>
    <row r="172" spans="1:22" ht="14.25" x14ac:dyDescent="0.2">
      <c r="A172" s="301"/>
      <c r="B172" s="302"/>
      <c r="C172" s="302" t="s">
        <v>189</v>
      </c>
      <c r="D172" s="303"/>
      <c r="E172" s="286"/>
      <c r="F172" s="321">
        <v>0.01</v>
      </c>
      <c r="G172" s="305" t="s">
        <v>195</v>
      </c>
      <c r="H172" s="286">
        <v>1</v>
      </c>
      <c r="I172" s="306">
        <v>0.03</v>
      </c>
      <c r="J172" s="286">
        <v>23.35</v>
      </c>
      <c r="K172" s="306">
        <v>0.7</v>
      </c>
    </row>
    <row r="173" spans="1:22" ht="14.25" x14ac:dyDescent="0.2">
      <c r="A173" s="301"/>
      <c r="B173" s="302"/>
      <c r="C173" s="302" t="s">
        <v>205</v>
      </c>
      <c r="D173" s="303"/>
      <c r="E173" s="286"/>
      <c r="F173" s="321">
        <v>1.26</v>
      </c>
      <c r="G173" s="305" t="s">
        <v>195</v>
      </c>
      <c r="H173" s="286">
        <v>1</v>
      </c>
      <c r="I173" s="304">
        <v>3.78</v>
      </c>
      <c r="J173" s="286">
        <v>5.42</v>
      </c>
      <c r="K173" s="304">
        <v>20.49</v>
      </c>
    </row>
    <row r="174" spans="1:22" ht="54" x14ac:dyDescent="0.2">
      <c r="A174" s="301" t="s">
        <v>1592</v>
      </c>
      <c r="B174" s="302" t="s">
        <v>3693</v>
      </c>
      <c r="C174" s="302" t="s">
        <v>1459</v>
      </c>
      <c r="D174" s="303" t="s">
        <v>1661</v>
      </c>
      <c r="E174" s="286">
        <v>3</v>
      </c>
      <c r="F174" s="321">
        <v>40.65</v>
      </c>
      <c r="G174" s="315" t="s">
        <v>195</v>
      </c>
      <c r="H174" s="286">
        <v>1</v>
      </c>
      <c r="I174" s="304">
        <v>121.95</v>
      </c>
      <c r="J174" s="286">
        <v>5.42</v>
      </c>
      <c r="K174" s="304">
        <v>660.97</v>
      </c>
      <c r="Q174" s="281">
        <f>[19]Source!X146</f>
        <v>0</v>
      </c>
      <c r="R174" s="281">
        <f>[19]Source!X147</f>
        <v>0</v>
      </c>
      <c r="S174" s="281">
        <f>[19]Source!Y146</f>
        <v>0</v>
      </c>
      <c r="T174" s="281">
        <f>[19]Source!Y147</f>
        <v>0</v>
      </c>
      <c r="U174" s="281">
        <f>ROUND((175/100)*ROUND([19]Source!R146, 2), 2)</f>
        <v>0</v>
      </c>
      <c r="V174" s="281">
        <f>ROUND((157/100)*ROUND([19]Source!R147, 2), 2)</f>
        <v>0</v>
      </c>
    </row>
    <row r="175" spans="1:22" ht="14.25" x14ac:dyDescent="0.2">
      <c r="A175" s="301"/>
      <c r="B175" s="302"/>
      <c r="C175" s="302" t="s">
        <v>194</v>
      </c>
      <c r="D175" s="303" t="s">
        <v>187</v>
      </c>
      <c r="E175" s="286">
        <v>114</v>
      </c>
      <c r="F175" s="321"/>
      <c r="G175" s="305"/>
      <c r="H175" s="286"/>
      <c r="I175" s="304">
        <v>72.5</v>
      </c>
      <c r="J175" s="286">
        <v>77</v>
      </c>
      <c r="K175" s="304">
        <v>1143.5</v>
      </c>
    </row>
    <row r="176" spans="1:22" ht="14.25" x14ac:dyDescent="0.2">
      <c r="A176" s="301"/>
      <c r="B176" s="302"/>
      <c r="C176" s="302" t="s">
        <v>193</v>
      </c>
      <c r="D176" s="303" t="s">
        <v>187</v>
      </c>
      <c r="E176" s="286">
        <v>67</v>
      </c>
      <c r="F176" s="321"/>
      <c r="G176" s="305"/>
      <c r="H176" s="286"/>
      <c r="I176" s="304">
        <v>42.61</v>
      </c>
      <c r="J176" s="286">
        <v>41</v>
      </c>
      <c r="K176" s="304">
        <v>608.87</v>
      </c>
    </row>
    <row r="177" spans="1:22" ht="14.25" x14ac:dyDescent="0.2">
      <c r="A177" s="301"/>
      <c r="B177" s="302"/>
      <c r="C177" s="302" t="s">
        <v>188</v>
      </c>
      <c r="D177" s="303" t="s">
        <v>187</v>
      </c>
      <c r="E177" s="286">
        <v>175</v>
      </c>
      <c r="F177" s="321"/>
      <c r="G177" s="305"/>
      <c r="H177" s="286"/>
      <c r="I177" s="304">
        <v>0.05</v>
      </c>
      <c r="J177" s="286">
        <v>157</v>
      </c>
      <c r="K177" s="304">
        <v>1.1000000000000001</v>
      </c>
    </row>
    <row r="178" spans="1:22" ht="14.25" x14ac:dyDescent="0.2">
      <c r="A178" s="329"/>
      <c r="B178" s="330"/>
      <c r="C178" s="330" t="s">
        <v>192</v>
      </c>
      <c r="D178" s="331" t="s">
        <v>191</v>
      </c>
      <c r="E178" s="332">
        <v>1.68</v>
      </c>
      <c r="F178" s="333"/>
      <c r="G178" s="334" t="s">
        <v>195</v>
      </c>
      <c r="H178" s="332">
        <v>1</v>
      </c>
      <c r="I178" s="335">
        <v>5.04</v>
      </c>
      <c r="J178" s="332"/>
      <c r="K178" s="335"/>
    </row>
    <row r="179" spans="1:22" ht="15" x14ac:dyDescent="0.25">
      <c r="A179" s="336"/>
      <c r="B179" s="336"/>
      <c r="C179" s="337" t="s">
        <v>183</v>
      </c>
      <c r="D179" s="336"/>
      <c r="E179" s="336"/>
      <c r="F179" s="336"/>
      <c r="G179" s="336"/>
      <c r="H179" s="461">
        <v>304.67</v>
      </c>
      <c r="I179" s="461"/>
      <c r="J179" s="461">
        <v>3921.49</v>
      </c>
      <c r="K179" s="461"/>
      <c r="O179" s="284">
        <f>I170+I171+I173+I175+I176+I177+SUM(I174:I174)</f>
        <v>304.67</v>
      </c>
      <c r="P179" s="284">
        <f>K170+K171+K173+K175+K176+K177+SUM(K174:K174)</f>
        <v>3921.49</v>
      </c>
    </row>
    <row r="181" spans="1:22" ht="57" x14ac:dyDescent="0.2">
      <c r="A181" s="301" t="s">
        <v>1599</v>
      </c>
      <c r="B181" s="302" t="s">
        <v>3622</v>
      </c>
      <c r="C181" s="302" t="s">
        <v>1243</v>
      </c>
      <c r="D181" s="303" t="s">
        <v>1903</v>
      </c>
      <c r="E181" s="286">
        <v>1</v>
      </c>
      <c r="F181" s="321"/>
      <c r="G181" s="305"/>
      <c r="H181" s="286"/>
      <c r="I181" s="304"/>
      <c r="J181" s="286"/>
      <c r="K181" s="304"/>
      <c r="Q181" s="281">
        <f>[19]Source!X148</f>
        <v>24.17</v>
      </c>
      <c r="R181" s="281">
        <f>[19]Source!X149</f>
        <v>381.17</v>
      </c>
      <c r="S181" s="281">
        <f>[19]Source!Y148</f>
        <v>14.2</v>
      </c>
      <c r="T181" s="281">
        <f>[19]Source!Y149</f>
        <v>202.96</v>
      </c>
      <c r="U181" s="281">
        <f>ROUND((175/100)*ROUND([19]Source!R148, 2), 2)</f>
        <v>0.02</v>
      </c>
      <c r="V181" s="281">
        <f>ROUND((157/100)*ROUND([19]Source!R149, 2), 2)</f>
        <v>0.36</v>
      </c>
    </row>
    <row r="182" spans="1:22" ht="14.25" x14ac:dyDescent="0.2">
      <c r="A182" s="301"/>
      <c r="B182" s="302"/>
      <c r="C182" s="302" t="s">
        <v>197</v>
      </c>
      <c r="D182" s="303"/>
      <c r="E182" s="286"/>
      <c r="F182" s="321">
        <v>21.2</v>
      </c>
      <c r="G182" s="305" t="s">
        <v>195</v>
      </c>
      <c r="H182" s="286">
        <v>1</v>
      </c>
      <c r="I182" s="304">
        <v>21.2</v>
      </c>
      <c r="J182" s="286">
        <v>23.35</v>
      </c>
      <c r="K182" s="304">
        <v>495.02</v>
      </c>
    </row>
    <row r="183" spans="1:22" ht="14.25" x14ac:dyDescent="0.2">
      <c r="A183" s="301"/>
      <c r="B183" s="302"/>
      <c r="C183" s="302" t="s">
        <v>184</v>
      </c>
      <c r="D183" s="303"/>
      <c r="E183" s="286"/>
      <c r="F183" s="321">
        <v>0.06</v>
      </c>
      <c r="G183" s="305" t="s">
        <v>195</v>
      </c>
      <c r="H183" s="286">
        <v>1</v>
      </c>
      <c r="I183" s="304">
        <v>0.06</v>
      </c>
      <c r="J183" s="286">
        <v>8.33</v>
      </c>
      <c r="K183" s="304">
        <v>0.5</v>
      </c>
    </row>
    <row r="184" spans="1:22" ht="14.25" x14ac:dyDescent="0.2">
      <c r="A184" s="301"/>
      <c r="B184" s="302"/>
      <c r="C184" s="302" t="s">
        <v>189</v>
      </c>
      <c r="D184" s="303"/>
      <c r="E184" s="286"/>
      <c r="F184" s="321">
        <v>0.01</v>
      </c>
      <c r="G184" s="305" t="s">
        <v>195</v>
      </c>
      <c r="H184" s="286">
        <v>1</v>
      </c>
      <c r="I184" s="306">
        <v>0.01</v>
      </c>
      <c r="J184" s="286">
        <v>23.35</v>
      </c>
      <c r="K184" s="306">
        <v>0.23</v>
      </c>
    </row>
    <row r="185" spans="1:22" ht="14.25" x14ac:dyDescent="0.2">
      <c r="A185" s="301"/>
      <c r="B185" s="302"/>
      <c r="C185" s="302" t="s">
        <v>205</v>
      </c>
      <c r="D185" s="303"/>
      <c r="E185" s="286"/>
      <c r="F185" s="321">
        <v>1.26</v>
      </c>
      <c r="G185" s="305" t="s">
        <v>195</v>
      </c>
      <c r="H185" s="286">
        <v>1</v>
      </c>
      <c r="I185" s="304">
        <v>1.26</v>
      </c>
      <c r="J185" s="286">
        <v>5.42</v>
      </c>
      <c r="K185" s="304">
        <v>6.83</v>
      </c>
    </row>
    <row r="186" spans="1:22" ht="39.75" x14ac:dyDescent="0.2">
      <c r="A186" s="301" t="s">
        <v>1600</v>
      </c>
      <c r="B186" s="302" t="s">
        <v>3694</v>
      </c>
      <c r="C186" s="302" t="s">
        <v>1447</v>
      </c>
      <c r="D186" s="303" t="s">
        <v>3240</v>
      </c>
      <c r="E186" s="286">
        <v>1</v>
      </c>
      <c r="F186" s="321">
        <v>25.56</v>
      </c>
      <c r="G186" s="315" t="s">
        <v>195</v>
      </c>
      <c r="H186" s="286">
        <v>1</v>
      </c>
      <c r="I186" s="304">
        <v>25.56</v>
      </c>
      <c r="J186" s="286">
        <v>5.42</v>
      </c>
      <c r="K186" s="304">
        <v>138.54</v>
      </c>
      <c r="Q186" s="281">
        <f>[19]Source!X150</f>
        <v>0</v>
      </c>
      <c r="R186" s="281">
        <f>[19]Source!X151</f>
        <v>0</v>
      </c>
      <c r="S186" s="281">
        <f>[19]Source!Y150</f>
        <v>0</v>
      </c>
      <c r="T186" s="281">
        <f>[19]Source!Y151</f>
        <v>0</v>
      </c>
      <c r="U186" s="281">
        <f>ROUND((175/100)*ROUND([19]Source!R150, 2), 2)</f>
        <v>0</v>
      </c>
      <c r="V186" s="281">
        <f>ROUND((157/100)*ROUND([19]Source!R151, 2), 2)</f>
        <v>0</v>
      </c>
    </row>
    <row r="187" spans="1:22" ht="14.25" x14ac:dyDescent="0.2">
      <c r="A187" s="301"/>
      <c r="B187" s="302"/>
      <c r="C187" s="302" t="s">
        <v>194</v>
      </c>
      <c r="D187" s="303" t="s">
        <v>187</v>
      </c>
      <c r="E187" s="286">
        <v>114</v>
      </c>
      <c r="F187" s="321"/>
      <c r="G187" s="305"/>
      <c r="H187" s="286"/>
      <c r="I187" s="304">
        <v>24.17</v>
      </c>
      <c r="J187" s="286">
        <v>77</v>
      </c>
      <c r="K187" s="304">
        <v>381.17</v>
      </c>
    </row>
    <row r="188" spans="1:22" ht="14.25" x14ac:dyDescent="0.2">
      <c r="A188" s="301"/>
      <c r="B188" s="302"/>
      <c r="C188" s="302" t="s">
        <v>193</v>
      </c>
      <c r="D188" s="303" t="s">
        <v>187</v>
      </c>
      <c r="E188" s="286">
        <v>67</v>
      </c>
      <c r="F188" s="321"/>
      <c r="G188" s="305"/>
      <c r="H188" s="286"/>
      <c r="I188" s="304">
        <v>14.2</v>
      </c>
      <c r="J188" s="286">
        <v>41</v>
      </c>
      <c r="K188" s="304">
        <v>202.96</v>
      </c>
    </row>
    <row r="189" spans="1:22" ht="14.25" x14ac:dyDescent="0.2">
      <c r="A189" s="301"/>
      <c r="B189" s="302"/>
      <c r="C189" s="302" t="s">
        <v>188</v>
      </c>
      <c r="D189" s="303" t="s">
        <v>187</v>
      </c>
      <c r="E189" s="286">
        <v>175</v>
      </c>
      <c r="F189" s="321"/>
      <c r="G189" s="305"/>
      <c r="H189" s="286"/>
      <c r="I189" s="304">
        <v>0.02</v>
      </c>
      <c r="J189" s="286">
        <v>157</v>
      </c>
      <c r="K189" s="304">
        <v>0.36</v>
      </c>
    </row>
    <row r="190" spans="1:22" ht="14.25" x14ac:dyDescent="0.2">
      <c r="A190" s="329"/>
      <c r="B190" s="330"/>
      <c r="C190" s="330" t="s">
        <v>192</v>
      </c>
      <c r="D190" s="331" t="s">
        <v>191</v>
      </c>
      <c r="E190" s="332">
        <v>1.68</v>
      </c>
      <c r="F190" s="333"/>
      <c r="G190" s="334" t="s">
        <v>195</v>
      </c>
      <c r="H190" s="332">
        <v>1</v>
      </c>
      <c r="I190" s="335">
        <v>1.68</v>
      </c>
      <c r="J190" s="332"/>
      <c r="K190" s="335"/>
    </row>
    <row r="191" spans="1:22" ht="15" x14ac:dyDescent="0.25">
      <c r="A191" s="336"/>
      <c r="B191" s="336"/>
      <c r="C191" s="337" t="s">
        <v>183</v>
      </c>
      <c r="D191" s="336"/>
      <c r="E191" s="336"/>
      <c r="F191" s="336"/>
      <c r="G191" s="336"/>
      <c r="H191" s="461">
        <v>86.47</v>
      </c>
      <c r="I191" s="461"/>
      <c r="J191" s="461">
        <v>1225.3800000000001</v>
      </c>
      <c r="K191" s="461"/>
      <c r="O191" s="284">
        <f>I182+I183+I185+I187+I188+I189+SUM(I186:I186)</f>
        <v>86.47</v>
      </c>
      <c r="P191" s="284">
        <f>K182+K183+K185+K187+K188+K189+SUM(K186:K186)</f>
        <v>1225.3800000000001</v>
      </c>
    </row>
    <row r="193" spans="1:22" ht="28.5" x14ac:dyDescent="0.2">
      <c r="A193" s="301" t="s">
        <v>1602</v>
      </c>
      <c r="B193" s="302" t="s">
        <v>3695</v>
      </c>
      <c r="C193" s="302" t="s">
        <v>1458</v>
      </c>
      <c r="D193" s="303" t="s">
        <v>1903</v>
      </c>
      <c r="E193" s="286">
        <v>1</v>
      </c>
      <c r="F193" s="321"/>
      <c r="G193" s="305"/>
      <c r="H193" s="286"/>
      <c r="I193" s="304"/>
      <c r="J193" s="286"/>
      <c r="K193" s="304"/>
      <c r="Q193" s="281">
        <f>[19]Source!X152</f>
        <v>18.32</v>
      </c>
      <c r="R193" s="281">
        <f>[19]Source!X153</f>
        <v>288.93</v>
      </c>
      <c r="S193" s="281">
        <f>[19]Source!Y152</f>
        <v>10.77</v>
      </c>
      <c r="T193" s="281">
        <f>[19]Source!Y153</f>
        <v>153.84</v>
      </c>
      <c r="U193" s="281">
        <f>ROUND((175/100)*ROUND([19]Source!R152, 2), 2)</f>
        <v>0.02</v>
      </c>
      <c r="V193" s="281">
        <f>ROUND((157/100)*ROUND([19]Source!R153, 2), 2)</f>
        <v>0.36</v>
      </c>
    </row>
    <row r="194" spans="1:22" ht="14.25" x14ac:dyDescent="0.2">
      <c r="A194" s="301"/>
      <c r="B194" s="302"/>
      <c r="C194" s="302" t="s">
        <v>197</v>
      </c>
      <c r="D194" s="303"/>
      <c r="E194" s="286"/>
      <c r="F194" s="321">
        <v>16.07</v>
      </c>
      <c r="G194" s="305" t="s">
        <v>195</v>
      </c>
      <c r="H194" s="286">
        <v>1</v>
      </c>
      <c r="I194" s="304">
        <v>16.07</v>
      </c>
      <c r="J194" s="286">
        <v>23.35</v>
      </c>
      <c r="K194" s="304">
        <v>375.23</v>
      </c>
    </row>
    <row r="195" spans="1:22" ht="14.25" x14ac:dyDescent="0.2">
      <c r="A195" s="301"/>
      <c r="B195" s="302"/>
      <c r="C195" s="302" t="s">
        <v>184</v>
      </c>
      <c r="D195" s="303"/>
      <c r="E195" s="286"/>
      <c r="F195" s="321">
        <v>0.05</v>
      </c>
      <c r="G195" s="305" t="s">
        <v>195</v>
      </c>
      <c r="H195" s="286">
        <v>1</v>
      </c>
      <c r="I195" s="304">
        <v>0.05</v>
      </c>
      <c r="J195" s="286">
        <v>9</v>
      </c>
      <c r="K195" s="304">
        <v>0.45</v>
      </c>
    </row>
    <row r="196" spans="1:22" ht="14.25" x14ac:dyDescent="0.2">
      <c r="A196" s="301"/>
      <c r="B196" s="302"/>
      <c r="C196" s="302" t="s">
        <v>189</v>
      </c>
      <c r="D196" s="303"/>
      <c r="E196" s="286"/>
      <c r="F196" s="321">
        <v>0.01</v>
      </c>
      <c r="G196" s="305" t="s">
        <v>195</v>
      </c>
      <c r="H196" s="286">
        <v>1</v>
      </c>
      <c r="I196" s="306">
        <v>0.01</v>
      </c>
      <c r="J196" s="286">
        <v>23.35</v>
      </c>
      <c r="K196" s="306">
        <v>0.23</v>
      </c>
    </row>
    <row r="197" spans="1:22" ht="14.25" x14ac:dyDescent="0.2">
      <c r="A197" s="301"/>
      <c r="B197" s="302"/>
      <c r="C197" s="302" t="s">
        <v>205</v>
      </c>
      <c r="D197" s="303"/>
      <c r="E197" s="286"/>
      <c r="F197" s="321">
        <v>1.96</v>
      </c>
      <c r="G197" s="305" t="s">
        <v>195</v>
      </c>
      <c r="H197" s="286">
        <v>1</v>
      </c>
      <c r="I197" s="304">
        <v>1.96</v>
      </c>
      <c r="J197" s="286">
        <v>5.42</v>
      </c>
      <c r="K197" s="304">
        <v>10.62</v>
      </c>
    </row>
    <row r="198" spans="1:22" ht="68.25" x14ac:dyDescent="0.2">
      <c r="A198" s="322" t="s">
        <v>1604</v>
      </c>
      <c r="B198" s="323" t="s">
        <v>3696</v>
      </c>
      <c r="C198" s="323" t="s">
        <v>1457</v>
      </c>
      <c r="D198" s="324" t="s">
        <v>1661</v>
      </c>
      <c r="E198" s="325">
        <v>1</v>
      </c>
      <c r="F198" s="326">
        <v>130.30000000000001</v>
      </c>
      <c r="G198" s="327" t="s">
        <v>195</v>
      </c>
      <c r="H198" s="325">
        <v>1</v>
      </c>
      <c r="I198" s="328">
        <v>130.30000000000001</v>
      </c>
      <c r="J198" s="325">
        <v>4.4000000000000004</v>
      </c>
      <c r="K198" s="328">
        <v>573.32000000000005</v>
      </c>
      <c r="Q198" s="281">
        <f>[19]Source!X154</f>
        <v>0</v>
      </c>
      <c r="R198" s="281">
        <f>[19]Source!X155</f>
        <v>0</v>
      </c>
      <c r="S198" s="281">
        <f>[19]Source!Y154</f>
        <v>0</v>
      </c>
      <c r="T198" s="281">
        <f>[19]Source!Y155</f>
        <v>0</v>
      </c>
      <c r="U198" s="281">
        <f>ROUND((175/100)*ROUND([19]Source!R154, 2), 2)</f>
        <v>0</v>
      </c>
      <c r="V198" s="281">
        <f>ROUND((157/100)*ROUND([19]Source!R155, 2), 2)</f>
        <v>0</v>
      </c>
    </row>
    <row r="199" spans="1:22" ht="14.25" x14ac:dyDescent="0.2">
      <c r="A199" s="301"/>
      <c r="B199" s="302"/>
      <c r="C199" s="302" t="s">
        <v>194</v>
      </c>
      <c r="D199" s="303" t="s">
        <v>187</v>
      </c>
      <c r="E199" s="286">
        <v>114</v>
      </c>
      <c r="F199" s="321"/>
      <c r="G199" s="305"/>
      <c r="H199" s="286"/>
      <c r="I199" s="304">
        <v>18.32</v>
      </c>
      <c r="J199" s="286">
        <v>77</v>
      </c>
      <c r="K199" s="304">
        <v>288.93</v>
      </c>
    </row>
    <row r="200" spans="1:22" ht="14.25" x14ac:dyDescent="0.2">
      <c r="A200" s="301"/>
      <c r="B200" s="302"/>
      <c r="C200" s="302" t="s">
        <v>193</v>
      </c>
      <c r="D200" s="303" t="s">
        <v>187</v>
      </c>
      <c r="E200" s="286">
        <v>67</v>
      </c>
      <c r="F200" s="321"/>
      <c r="G200" s="305"/>
      <c r="H200" s="286"/>
      <c r="I200" s="304">
        <v>10.77</v>
      </c>
      <c r="J200" s="286">
        <v>41</v>
      </c>
      <c r="K200" s="304">
        <v>153.84</v>
      </c>
    </row>
    <row r="201" spans="1:22" ht="14.25" x14ac:dyDescent="0.2">
      <c r="A201" s="301"/>
      <c r="B201" s="302"/>
      <c r="C201" s="302" t="s">
        <v>188</v>
      </c>
      <c r="D201" s="303" t="s">
        <v>187</v>
      </c>
      <c r="E201" s="286">
        <v>175</v>
      </c>
      <c r="F201" s="321"/>
      <c r="G201" s="305"/>
      <c r="H201" s="286"/>
      <c r="I201" s="304">
        <v>0.02</v>
      </c>
      <c r="J201" s="286">
        <v>157</v>
      </c>
      <c r="K201" s="304">
        <v>0.36</v>
      </c>
    </row>
    <row r="202" spans="1:22" ht="14.25" x14ac:dyDescent="0.2">
      <c r="A202" s="329"/>
      <c r="B202" s="330"/>
      <c r="C202" s="330" t="s">
        <v>192</v>
      </c>
      <c r="D202" s="331" t="s">
        <v>191</v>
      </c>
      <c r="E202" s="332">
        <v>1.2</v>
      </c>
      <c r="F202" s="333"/>
      <c r="G202" s="334" t="s">
        <v>195</v>
      </c>
      <c r="H202" s="332">
        <v>1</v>
      </c>
      <c r="I202" s="335">
        <v>1.2</v>
      </c>
      <c r="J202" s="332"/>
      <c r="K202" s="335"/>
    </row>
    <row r="203" spans="1:22" ht="15" x14ac:dyDescent="0.25">
      <c r="A203" s="336"/>
      <c r="B203" s="336"/>
      <c r="C203" s="337" t="s">
        <v>183</v>
      </c>
      <c r="D203" s="336"/>
      <c r="E203" s="336"/>
      <c r="F203" s="336"/>
      <c r="G203" s="336"/>
      <c r="H203" s="461">
        <v>177.49</v>
      </c>
      <c r="I203" s="461"/>
      <c r="J203" s="461">
        <v>1402.75</v>
      </c>
      <c r="K203" s="461"/>
      <c r="O203" s="284">
        <f>I194+I195+I197+I199+I200+I201+SUM(I198:I198)</f>
        <v>177.49</v>
      </c>
      <c r="P203" s="284">
        <f>K194+K195+K197+K199+K200+K201+SUM(K198:K198)</f>
        <v>1402.75</v>
      </c>
    </row>
    <row r="206" spans="1:22" ht="15" x14ac:dyDescent="0.25">
      <c r="A206" s="447" t="s">
        <v>3699</v>
      </c>
      <c r="B206" s="447"/>
      <c r="C206" s="447"/>
      <c r="D206" s="447"/>
      <c r="E206" s="447"/>
      <c r="F206" s="447"/>
      <c r="G206" s="447"/>
      <c r="H206" s="445">
        <v>1640.3</v>
      </c>
      <c r="I206" s="446"/>
      <c r="J206" s="445">
        <v>17143.759999999998</v>
      </c>
      <c r="K206" s="446"/>
    </row>
    <row r="207" spans="1:22" hidden="1" x14ac:dyDescent="0.2">
      <c r="A207" s="281" t="s">
        <v>182</v>
      </c>
      <c r="I207" s="281">
        <v>0</v>
      </c>
      <c r="J207" s="281">
        <v>0</v>
      </c>
    </row>
    <row r="208" spans="1:22" hidden="1" x14ac:dyDescent="0.2">
      <c r="A208" s="281" t="s">
        <v>181</v>
      </c>
      <c r="I208" s="281">
        <v>0</v>
      </c>
      <c r="J208" s="281">
        <v>0</v>
      </c>
    </row>
    <row r="210" spans="1:22" ht="16.5" x14ac:dyDescent="0.25">
      <c r="A210" s="448" t="s">
        <v>3700</v>
      </c>
      <c r="B210" s="448"/>
      <c r="C210" s="448"/>
      <c r="D210" s="448"/>
      <c r="E210" s="448"/>
      <c r="F210" s="448"/>
      <c r="G210" s="448"/>
      <c r="H210" s="448"/>
      <c r="I210" s="448"/>
      <c r="J210" s="448"/>
      <c r="K210" s="448"/>
    </row>
    <row r="211" spans="1:22" ht="28.5" x14ac:dyDescent="0.2">
      <c r="A211" s="301" t="s">
        <v>1607</v>
      </c>
      <c r="B211" s="302" t="s">
        <v>3683</v>
      </c>
      <c r="C211" s="302" t="s">
        <v>1465</v>
      </c>
      <c r="D211" s="303" t="s">
        <v>1903</v>
      </c>
      <c r="E211" s="286">
        <v>1</v>
      </c>
      <c r="F211" s="321"/>
      <c r="G211" s="305"/>
      <c r="H211" s="286"/>
      <c r="I211" s="304"/>
      <c r="J211" s="286"/>
      <c r="K211" s="304"/>
      <c r="Q211" s="281">
        <f>[19]Source!X191</f>
        <v>48.91</v>
      </c>
      <c r="R211" s="281">
        <f>[19]Source!X192</f>
        <v>771.32</v>
      </c>
      <c r="S211" s="281">
        <f>[19]Source!Y191</f>
        <v>28.74</v>
      </c>
      <c r="T211" s="281">
        <f>[19]Source!Y192</f>
        <v>410.71</v>
      </c>
      <c r="U211" s="281">
        <f>ROUND((175/100)*ROUND([19]Source!R191, 2), 2)</f>
        <v>0.02</v>
      </c>
      <c r="V211" s="281">
        <f>ROUND((157/100)*ROUND([19]Source!R192, 2), 2)</f>
        <v>0.36</v>
      </c>
    </row>
    <row r="212" spans="1:22" ht="14.25" x14ac:dyDescent="0.2">
      <c r="A212" s="301"/>
      <c r="B212" s="302"/>
      <c r="C212" s="302" t="s">
        <v>197</v>
      </c>
      <c r="D212" s="303"/>
      <c r="E212" s="286"/>
      <c r="F212" s="321">
        <v>42.9</v>
      </c>
      <c r="G212" s="305" t="s">
        <v>195</v>
      </c>
      <c r="H212" s="286">
        <v>1</v>
      </c>
      <c r="I212" s="304">
        <v>42.9</v>
      </c>
      <c r="J212" s="286">
        <v>23.35</v>
      </c>
      <c r="K212" s="304">
        <v>1001.72</v>
      </c>
    </row>
    <row r="213" spans="1:22" ht="14.25" x14ac:dyDescent="0.2">
      <c r="A213" s="301"/>
      <c r="B213" s="302"/>
      <c r="C213" s="302" t="s">
        <v>184</v>
      </c>
      <c r="D213" s="303"/>
      <c r="E213" s="286"/>
      <c r="F213" s="321">
        <v>0.05</v>
      </c>
      <c r="G213" s="305" t="s">
        <v>195</v>
      </c>
      <c r="H213" s="286">
        <v>1</v>
      </c>
      <c r="I213" s="304">
        <v>0.05</v>
      </c>
      <c r="J213" s="286">
        <v>9</v>
      </c>
      <c r="K213" s="304">
        <v>0.45</v>
      </c>
    </row>
    <row r="214" spans="1:22" ht="14.25" x14ac:dyDescent="0.2">
      <c r="A214" s="301"/>
      <c r="B214" s="302"/>
      <c r="C214" s="302" t="s">
        <v>189</v>
      </c>
      <c r="D214" s="303"/>
      <c r="E214" s="286"/>
      <c r="F214" s="321">
        <v>0.01</v>
      </c>
      <c r="G214" s="305" t="s">
        <v>195</v>
      </c>
      <c r="H214" s="286">
        <v>1</v>
      </c>
      <c r="I214" s="306">
        <v>0.01</v>
      </c>
      <c r="J214" s="286">
        <v>23.35</v>
      </c>
      <c r="K214" s="306">
        <v>0.23</v>
      </c>
    </row>
    <row r="215" spans="1:22" ht="14.25" x14ac:dyDescent="0.2">
      <c r="A215" s="301"/>
      <c r="B215" s="302"/>
      <c r="C215" s="302" t="s">
        <v>205</v>
      </c>
      <c r="D215" s="303"/>
      <c r="E215" s="286"/>
      <c r="F215" s="321">
        <v>3.15</v>
      </c>
      <c r="G215" s="305" t="s">
        <v>195</v>
      </c>
      <c r="H215" s="286">
        <v>1</v>
      </c>
      <c r="I215" s="304">
        <v>3.15</v>
      </c>
      <c r="J215" s="286">
        <v>5.42</v>
      </c>
      <c r="K215" s="304">
        <v>17.07</v>
      </c>
    </row>
    <row r="216" spans="1:22" ht="142.5" x14ac:dyDescent="0.2">
      <c r="A216" s="322" t="s">
        <v>1608</v>
      </c>
      <c r="B216" s="323" t="s">
        <v>3687</v>
      </c>
      <c r="C216" s="323" t="s">
        <v>1464</v>
      </c>
      <c r="D216" s="324" t="s">
        <v>1913</v>
      </c>
      <c r="E216" s="325">
        <v>1</v>
      </c>
      <c r="F216" s="326">
        <v>580.54</v>
      </c>
      <c r="G216" s="327" t="s">
        <v>195</v>
      </c>
      <c r="H216" s="325">
        <v>1</v>
      </c>
      <c r="I216" s="328">
        <v>580.54</v>
      </c>
      <c r="J216" s="325">
        <v>9.8000000000000007</v>
      </c>
      <c r="K216" s="328">
        <v>5689.29</v>
      </c>
      <c r="Q216" s="281">
        <f>[19]Source!X193</f>
        <v>0</v>
      </c>
      <c r="R216" s="281">
        <f>[19]Source!X194</f>
        <v>0</v>
      </c>
      <c r="S216" s="281">
        <f>[19]Source!Y193</f>
        <v>0</v>
      </c>
      <c r="T216" s="281">
        <f>[19]Source!Y194</f>
        <v>0</v>
      </c>
      <c r="U216" s="281">
        <f>ROUND((175/100)*ROUND([19]Source!R193, 2), 2)</f>
        <v>0</v>
      </c>
      <c r="V216" s="281">
        <f>ROUND((157/100)*ROUND([19]Source!R194, 2), 2)</f>
        <v>0</v>
      </c>
    </row>
    <row r="217" spans="1:22" ht="57" x14ac:dyDescent="0.2">
      <c r="A217" s="322" t="s">
        <v>2483</v>
      </c>
      <c r="B217" s="323" t="s">
        <v>3688</v>
      </c>
      <c r="C217" s="323" t="s">
        <v>1463</v>
      </c>
      <c r="D217" s="324" t="s">
        <v>1661</v>
      </c>
      <c r="E217" s="325">
        <v>2</v>
      </c>
      <c r="F217" s="326">
        <v>99.15</v>
      </c>
      <c r="G217" s="327" t="s">
        <v>195</v>
      </c>
      <c r="H217" s="325">
        <v>1</v>
      </c>
      <c r="I217" s="328">
        <v>198.3</v>
      </c>
      <c r="J217" s="325">
        <v>4.87</v>
      </c>
      <c r="K217" s="328">
        <v>965.72</v>
      </c>
      <c r="Q217" s="281">
        <f>[19]Source!X195</f>
        <v>0</v>
      </c>
      <c r="R217" s="281">
        <f>[19]Source!X196</f>
        <v>0</v>
      </c>
      <c r="S217" s="281">
        <f>[19]Source!Y195</f>
        <v>0</v>
      </c>
      <c r="T217" s="281">
        <f>[19]Source!Y196</f>
        <v>0</v>
      </c>
      <c r="U217" s="281">
        <f>ROUND((175/100)*ROUND([19]Source!R195, 2), 2)</f>
        <v>0</v>
      </c>
      <c r="V217" s="281">
        <f>ROUND((157/100)*ROUND([19]Source!R196, 2), 2)</f>
        <v>0</v>
      </c>
    </row>
    <row r="218" spans="1:22" ht="14.25" x14ac:dyDescent="0.2">
      <c r="A218" s="301"/>
      <c r="B218" s="302"/>
      <c r="C218" s="302" t="s">
        <v>194</v>
      </c>
      <c r="D218" s="303" t="s">
        <v>187</v>
      </c>
      <c r="E218" s="286">
        <v>114</v>
      </c>
      <c r="F218" s="321"/>
      <c r="G218" s="305"/>
      <c r="H218" s="286"/>
      <c r="I218" s="304">
        <v>48.91</v>
      </c>
      <c r="J218" s="286">
        <v>77</v>
      </c>
      <c r="K218" s="304">
        <v>771.32</v>
      </c>
    </row>
    <row r="219" spans="1:22" ht="14.25" x14ac:dyDescent="0.2">
      <c r="A219" s="301"/>
      <c r="B219" s="302"/>
      <c r="C219" s="302" t="s">
        <v>193</v>
      </c>
      <c r="D219" s="303" t="s">
        <v>187</v>
      </c>
      <c r="E219" s="286">
        <v>67</v>
      </c>
      <c r="F219" s="321"/>
      <c r="G219" s="305"/>
      <c r="H219" s="286"/>
      <c r="I219" s="304">
        <v>28.74</v>
      </c>
      <c r="J219" s="286">
        <v>41</v>
      </c>
      <c r="K219" s="304">
        <v>410.71</v>
      </c>
    </row>
    <row r="220" spans="1:22" ht="14.25" x14ac:dyDescent="0.2">
      <c r="A220" s="301"/>
      <c r="B220" s="302"/>
      <c r="C220" s="302" t="s">
        <v>188</v>
      </c>
      <c r="D220" s="303" t="s">
        <v>187</v>
      </c>
      <c r="E220" s="286">
        <v>175</v>
      </c>
      <c r="F220" s="321"/>
      <c r="G220" s="305"/>
      <c r="H220" s="286"/>
      <c r="I220" s="304">
        <v>0.02</v>
      </c>
      <c r="J220" s="286">
        <v>157</v>
      </c>
      <c r="K220" s="304">
        <v>0.36</v>
      </c>
    </row>
    <row r="221" spans="1:22" ht="14.25" x14ac:dyDescent="0.2">
      <c r="A221" s="329"/>
      <c r="B221" s="330"/>
      <c r="C221" s="330" t="s">
        <v>192</v>
      </c>
      <c r="D221" s="331" t="s">
        <v>191</v>
      </c>
      <c r="E221" s="332">
        <v>3.3</v>
      </c>
      <c r="F221" s="333"/>
      <c r="G221" s="334" t="s">
        <v>195</v>
      </c>
      <c r="H221" s="332">
        <v>1</v>
      </c>
      <c r="I221" s="335">
        <v>3.3</v>
      </c>
      <c r="J221" s="332"/>
      <c r="K221" s="335"/>
    </row>
    <row r="222" spans="1:22" ht="15" x14ac:dyDescent="0.25">
      <c r="A222" s="336"/>
      <c r="B222" s="336"/>
      <c r="C222" s="337" t="s">
        <v>183</v>
      </c>
      <c r="D222" s="336"/>
      <c r="E222" s="336"/>
      <c r="F222" s="336"/>
      <c r="G222" s="336"/>
      <c r="H222" s="461">
        <v>902.61</v>
      </c>
      <c r="I222" s="461"/>
      <c r="J222" s="461">
        <v>8856.64</v>
      </c>
      <c r="K222" s="461"/>
      <c r="O222" s="284">
        <f>I212+I213+I215+I218+I219+I220+SUM(I216:I217)</f>
        <v>902.61</v>
      </c>
      <c r="P222" s="284">
        <f>K212+K213+K215+K218+K219+K220+SUM(K216:K217)</f>
        <v>8856.64</v>
      </c>
    </row>
    <row r="224" spans="1:22" ht="42.75" x14ac:dyDescent="0.2">
      <c r="A224" s="301" t="s">
        <v>1609</v>
      </c>
      <c r="B224" s="302" t="s">
        <v>3689</v>
      </c>
      <c r="C224" s="302" t="s">
        <v>1462</v>
      </c>
      <c r="D224" s="303" t="s">
        <v>3669</v>
      </c>
      <c r="E224" s="286">
        <v>0.1</v>
      </c>
      <c r="F224" s="321"/>
      <c r="G224" s="305"/>
      <c r="H224" s="286"/>
      <c r="I224" s="304"/>
      <c r="J224" s="286"/>
      <c r="K224" s="304"/>
      <c r="Q224" s="281">
        <f>[19]Source!X197</f>
        <v>8</v>
      </c>
      <c r="R224" s="281">
        <f>[19]Source!X198</f>
        <v>126.22</v>
      </c>
      <c r="S224" s="281">
        <f>[19]Source!Y197</f>
        <v>4.7</v>
      </c>
      <c r="T224" s="281">
        <f>[19]Source!Y198</f>
        <v>67.209999999999994</v>
      </c>
      <c r="U224" s="281">
        <f>ROUND((175/100)*ROUND([19]Source!R197, 2), 2)</f>
        <v>0</v>
      </c>
      <c r="V224" s="281">
        <f>ROUND((157/100)*ROUND([19]Source!R198, 2), 2)</f>
        <v>0</v>
      </c>
    </row>
    <row r="225" spans="1:22" x14ac:dyDescent="0.2">
      <c r="C225" s="316" t="s">
        <v>1891</v>
      </c>
    </row>
    <row r="226" spans="1:22" ht="14.25" x14ac:dyDescent="0.2">
      <c r="A226" s="301"/>
      <c r="B226" s="302"/>
      <c r="C226" s="302" t="s">
        <v>197</v>
      </c>
      <c r="D226" s="303"/>
      <c r="E226" s="286"/>
      <c r="F226" s="321">
        <v>70.2</v>
      </c>
      <c r="G226" s="305" t="s">
        <v>195</v>
      </c>
      <c r="H226" s="286">
        <v>1</v>
      </c>
      <c r="I226" s="304">
        <v>7.02</v>
      </c>
      <c r="J226" s="286">
        <v>23.35</v>
      </c>
      <c r="K226" s="304">
        <v>163.92</v>
      </c>
    </row>
    <row r="227" spans="1:22" ht="14.25" x14ac:dyDescent="0.2">
      <c r="A227" s="301"/>
      <c r="B227" s="302"/>
      <c r="C227" s="302" t="s">
        <v>184</v>
      </c>
      <c r="D227" s="303"/>
      <c r="E227" s="286"/>
      <c r="F227" s="321">
        <v>0.06</v>
      </c>
      <c r="G227" s="305" t="s">
        <v>195</v>
      </c>
      <c r="H227" s="286">
        <v>1</v>
      </c>
      <c r="I227" s="304">
        <v>0.01</v>
      </c>
      <c r="J227" s="286">
        <v>8.33</v>
      </c>
      <c r="K227" s="304">
        <v>0.08</v>
      </c>
    </row>
    <row r="228" spans="1:22" ht="14.25" x14ac:dyDescent="0.2">
      <c r="A228" s="301"/>
      <c r="B228" s="302"/>
      <c r="C228" s="302" t="s">
        <v>205</v>
      </c>
      <c r="D228" s="303"/>
      <c r="E228" s="286"/>
      <c r="F228" s="321">
        <v>9.0299999999999994</v>
      </c>
      <c r="G228" s="305" t="s">
        <v>195</v>
      </c>
      <c r="H228" s="286">
        <v>1</v>
      </c>
      <c r="I228" s="304">
        <v>0.9</v>
      </c>
      <c r="J228" s="286">
        <v>5.42</v>
      </c>
      <c r="K228" s="304">
        <v>4.88</v>
      </c>
    </row>
    <row r="229" spans="1:22" ht="285" x14ac:dyDescent="0.2">
      <c r="A229" s="322" t="s">
        <v>1611</v>
      </c>
      <c r="B229" s="323" t="s">
        <v>3656</v>
      </c>
      <c r="C229" s="323" t="s">
        <v>1212</v>
      </c>
      <c r="D229" s="324" t="s">
        <v>1661</v>
      </c>
      <c r="E229" s="325">
        <v>1</v>
      </c>
      <c r="F229" s="326">
        <v>560.04999999999995</v>
      </c>
      <c r="G229" s="327" t="s">
        <v>195</v>
      </c>
      <c r="H229" s="325">
        <v>1</v>
      </c>
      <c r="I229" s="328">
        <v>560.04999999999995</v>
      </c>
      <c r="J229" s="325">
        <v>4.05</v>
      </c>
      <c r="K229" s="328">
        <v>2268.1999999999998</v>
      </c>
      <c r="Q229" s="281">
        <f>[19]Source!X199</f>
        <v>0</v>
      </c>
      <c r="R229" s="281">
        <f>[19]Source!X200</f>
        <v>0</v>
      </c>
      <c r="S229" s="281">
        <f>[19]Source!Y199</f>
        <v>0</v>
      </c>
      <c r="T229" s="281">
        <f>[19]Source!Y200</f>
        <v>0</v>
      </c>
      <c r="U229" s="281">
        <f>ROUND((175/100)*ROUND([19]Source!R199, 2), 2)</f>
        <v>0</v>
      </c>
      <c r="V229" s="281">
        <f>ROUND((157/100)*ROUND([19]Source!R200, 2), 2)</f>
        <v>0</v>
      </c>
    </row>
    <row r="230" spans="1:22" ht="14.25" x14ac:dyDescent="0.2">
      <c r="A230" s="301"/>
      <c r="B230" s="302"/>
      <c r="C230" s="302" t="s">
        <v>194</v>
      </c>
      <c r="D230" s="303" t="s">
        <v>187</v>
      </c>
      <c r="E230" s="286">
        <v>114</v>
      </c>
      <c r="F230" s="321"/>
      <c r="G230" s="305"/>
      <c r="H230" s="286"/>
      <c r="I230" s="304">
        <v>8</v>
      </c>
      <c r="J230" s="286">
        <v>77</v>
      </c>
      <c r="K230" s="304">
        <v>126.22</v>
      </c>
    </row>
    <row r="231" spans="1:22" ht="14.25" x14ac:dyDescent="0.2">
      <c r="A231" s="301"/>
      <c r="B231" s="302"/>
      <c r="C231" s="302" t="s">
        <v>193</v>
      </c>
      <c r="D231" s="303" t="s">
        <v>187</v>
      </c>
      <c r="E231" s="286">
        <v>67</v>
      </c>
      <c r="F231" s="321"/>
      <c r="G231" s="305"/>
      <c r="H231" s="286"/>
      <c r="I231" s="304">
        <v>4.7</v>
      </c>
      <c r="J231" s="286">
        <v>41</v>
      </c>
      <c r="K231" s="304">
        <v>67.209999999999994</v>
      </c>
    </row>
    <row r="232" spans="1:22" ht="14.25" x14ac:dyDescent="0.2">
      <c r="A232" s="329"/>
      <c r="B232" s="330"/>
      <c r="C232" s="330" t="s">
        <v>192</v>
      </c>
      <c r="D232" s="331" t="s">
        <v>191</v>
      </c>
      <c r="E232" s="332">
        <v>5.4</v>
      </c>
      <c r="F232" s="333"/>
      <c r="G232" s="334" t="s">
        <v>195</v>
      </c>
      <c r="H232" s="332">
        <v>1</v>
      </c>
      <c r="I232" s="335">
        <v>0.54</v>
      </c>
      <c r="J232" s="332"/>
      <c r="K232" s="335"/>
    </row>
    <row r="233" spans="1:22" ht="15" x14ac:dyDescent="0.25">
      <c r="A233" s="336"/>
      <c r="B233" s="336"/>
      <c r="C233" s="337" t="s">
        <v>183</v>
      </c>
      <c r="D233" s="336"/>
      <c r="E233" s="336"/>
      <c r="F233" s="336"/>
      <c r="G233" s="336"/>
      <c r="H233" s="461">
        <v>580.67999999999995</v>
      </c>
      <c r="I233" s="461"/>
      <c r="J233" s="461">
        <v>2630.51</v>
      </c>
      <c r="K233" s="461"/>
      <c r="O233" s="284">
        <f>I226+I227+I228+I230+I231+SUM(I229:I229)</f>
        <v>580.67999999999995</v>
      </c>
      <c r="P233" s="284">
        <f>K226+K227+K228+K230+K231+SUM(K229:K229)</f>
        <v>2630.51</v>
      </c>
    </row>
    <row r="235" spans="1:22" ht="57" x14ac:dyDescent="0.2">
      <c r="A235" s="301" t="s">
        <v>1617</v>
      </c>
      <c r="B235" s="302" t="s">
        <v>3690</v>
      </c>
      <c r="C235" s="302" t="s">
        <v>1461</v>
      </c>
      <c r="D235" s="303" t="s">
        <v>3691</v>
      </c>
      <c r="E235" s="286">
        <v>1</v>
      </c>
      <c r="F235" s="321"/>
      <c r="G235" s="305"/>
      <c r="H235" s="286"/>
      <c r="I235" s="304"/>
      <c r="J235" s="286"/>
      <c r="K235" s="304"/>
      <c r="Q235" s="281">
        <f>[19]Source!X201</f>
        <v>28.48</v>
      </c>
      <c r="R235" s="281">
        <f>[19]Source!X202</f>
        <v>449.13</v>
      </c>
      <c r="S235" s="281">
        <f>[19]Source!Y201</f>
        <v>16.739999999999998</v>
      </c>
      <c r="T235" s="281">
        <f>[19]Source!Y202</f>
        <v>239.14</v>
      </c>
      <c r="U235" s="281">
        <f>ROUND((175/100)*ROUND([19]Source!R201, 2), 2)</f>
        <v>0.54</v>
      </c>
      <c r="V235" s="281">
        <f>ROUND((157/100)*ROUND([19]Source!R202, 2), 2)</f>
        <v>11.37</v>
      </c>
    </row>
    <row r="236" spans="1:22" ht="14.25" x14ac:dyDescent="0.2">
      <c r="A236" s="301"/>
      <c r="B236" s="302"/>
      <c r="C236" s="302" t="s">
        <v>197</v>
      </c>
      <c r="D236" s="303"/>
      <c r="E236" s="286"/>
      <c r="F236" s="321">
        <v>24.98</v>
      </c>
      <c r="G236" s="305" t="s">
        <v>195</v>
      </c>
      <c r="H236" s="286">
        <v>1</v>
      </c>
      <c r="I236" s="304">
        <v>24.98</v>
      </c>
      <c r="J236" s="286">
        <v>23.35</v>
      </c>
      <c r="K236" s="304">
        <v>583.28</v>
      </c>
    </row>
    <row r="237" spans="1:22" ht="14.25" x14ac:dyDescent="0.2">
      <c r="A237" s="301"/>
      <c r="B237" s="302"/>
      <c r="C237" s="302" t="s">
        <v>184</v>
      </c>
      <c r="D237" s="303"/>
      <c r="E237" s="286"/>
      <c r="F237" s="321">
        <v>4.8499999999999996</v>
      </c>
      <c r="G237" s="305" t="s">
        <v>195</v>
      </c>
      <c r="H237" s="286">
        <v>1</v>
      </c>
      <c r="I237" s="304">
        <v>4.8499999999999996</v>
      </c>
      <c r="J237" s="286">
        <v>6.5</v>
      </c>
      <c r="K237" s="304">
        <v>31.53</v>
      </c>
    </row>
    <row r="238" spans="1:22" ht="14.25" x14ac:dyDescent="0.2">
      <c r="A238" s="301"/>
      <c r="B238" s="302"/>
      <c r="C238" s="302" t="s">
        <v>189</v>
      </c>
      <c r="D238" s="303"/>
      <c r="E238" s="286"/>
      <c r="F238" s="321">
        <v>0.31</v>
      </c>
      <c r="G238" s="305" t="s">
        <v>195</v>
      </c>
      <c r="H238" s="286">
        <v>1</v>
      </c>
      <c r="I238" s="306">
        <v>0.31</v>
      </c>
      <c r="J238" s="286">
        <v>23.35</v>
      </c>
      <c r="K238" s="306">
        <v>7.24</v>
      </c>
    </row>
    <row r="239" spans="1:22" ht="14.25" x14ac:dyDescent="0.2">
      <c r="A239" s="301"/>
      <c r="B239" s="302"/>
      <c r="C239" s="302" t="s">
        <v>205</v>
      </c>
      <c r="D239" s="303"/>
      <c r="E239" s="286"/>
      <c r="F239" s="321">
        <v>11.55</v>
      </c>
      <c r="G239" s="305" t="s">
        <v>195</v>
      </c>
      <c r="H239" s="286">
        <v>1</v>
      </c>
      <c r="I239" s="304">
        <v>11.55</v>
      </c>
      <c r="J239" s="286">
        <v>5.42</v>
      </c>
      <c r="K239" s="304">
        <v>62.6</v>
      </c>
    </row>
    <row r="240" spans="1:22" ht="68.25" x14ac:dyDescent="0.2">
      <c r="A240" s="322" t="s">
        <v>1619</v>
      </c>
      <c r="B240" s="323" t="s">
        <v>3692</v>
      </c>
      <c r="C240" s="323" t="s">
        <v>1460</v>
      </c>
      <c r="D240" s="324" t="s">
        <v>1661</v>
      </c>
      <c r="E240" s="325">
        <v>1</v>
      </c>
      <c r="F240" s="326">
        <v>81.92</v>
      </c>
      <c r="G240" s="327" t="s">
        <v>195</v>
      </c>
      <c r="H240" s="325">
        <v>1</v>
      </c>
      <c r="I240" s="328">
        <v>81.92</v>
      </c>
      <c r="J240" s="325">
        <v>4.4000000000000004</v>
      </c>
      <c r="K240" s="328">
        <v>360.45</v>
      </c>
      <c r="Q240" s="281">
        <f>[19]Source!X203</f>
        <v>0</v>
      </c>
      <c r="R240" s="281">
        <f>[19]Source!X204</f>
        <v>0</v>
      </c>
      <c r="S240" s="281">
        <f>[19]Source!Y203</f>
        <v>0</v>
      </c>
      <c r="T240" s="281">
        <f>[19]Source!Y204</f>
        <v>0</v>
      </c>
      <c r="U240" s="281">
        <f>ROUND((175/100)*ROUND([19]Source!R203, 2), 2)</f>
        <v>0</v>
      </c>
      <c r="V240" s="281">
        <f>ROUND((157/100)*ROUND([19]Source!R204, 2), 2)</f>
        <v>0</v>
      </c>
    </row>
    <row r="241" spans="1:22" ht="14.25" x14ac:dyDescent="0.2">
      <c r="A241" s="301"/>
      <c r="B241" s="302"/>
      <c r="C241" s="302" t="s">
        <v>194</v>
      </c>
      <c r="D241" s="303" t="s">
        <v>187</v>
      </c>
      <c r="E241" s="286">
        <v>114</v>
      </c>
      <c r="F241" s="321"/>
      <c r="G241" s="305"/>
      <c r="H241" s="286"/>
      <c r="I241" s="304">
        <v>28.48</v>
      </c>
      <c r="J241" s="286">
        <v>77</v>
      </c>
      <c r="K241" s="304">
        <v>449.13</v>
      </c>
    </row>
    <row r="242" spans="1:22" ht="14.25" x14ac:dyDescent="0.2">
      <c r="A242" s="301"/>
      <c r="B242" s="302"/>
      <c r="C242" s="302" t="s">
        <v>193</v>
      </c>
      <c r="D242" s="303" t="s">
        <v>187</v>
      </c>
      <c r="E242" s="286">
        <v>67</v>
      </c>
      <c r="F242" s="321"/>
      <c r="G242" s="305"/>
      <c r="H242" s="286"/>
      <c r="I242" s="304">
        <v>16.739999999999998</v>
      </c>
      <c r="J242" s="286">
        <v>41</v>
      </c>
      <c r="K242" s="304">
        <v>239.14</v>
      </c>
    </row>
    <row r="243" spans="1:22" ht="14.25" x14ac:dyDescent="0.2">
      <c r="A243" s="301"/>
      <c r="B243" s="302"/>
      <c r="C243" s="302" t="s">
        <v>188</v>
      </c>
      <c r="D243" s="303" t="s">
        <v>187</v>
      </c>
      <c r="E243" s="286">
        <v>175</v>
      </c>
      <c r="F243" s="321"/>
      <c r="G243" s="305"/>
      <c r="H243" s="286"/>
      <c r="I243" s="304">
        <v>0.54</v>
      </c>
      <c r="J243" s="286">
        <v>157</v>
      </c>
      <c r="K243" s="304">
        <v>11.37</v>
      </c>
    </row>
    <row r="244" spans="1:22" ht="14.25" x14ac:dyDescent="0.2">
      <c r="A244" s="329"/>
      <c r="B244" s="330"/>
      <c r="C244" s="330" t="s">
        <v>192</v>
      </c>
      <c r="D244" s="331" t="s">
        <v>191</v>
      </c>
      <c r="E244" s="332">
        <v>2</v>
      </c>
      <c r="F244" s="333"/>
      <c r="G244" s="334" t="s">
        <v>195</v>
      </c>
      <c r="H244" s="332">
        <v>1</v>
      </c>
      <c r="I244" s="335">
        <v>2</v>
      </c>
      <c r="J244" s="332"/>
      <c r="K244" s="335"/>
    </row>
    <row r="245" spans="1:22" ht="15" x14ac:dyDescent="0.25">
      <c r="A245" s="336"/>
      <c r="B245" s="336"/>
      <c r="C245" s="337" t="s">
        <v>183</v>
      </c>
      <c r="D245" s="336"/>
      <c r="E245" s="336"/>
      <c r="F245" s="336"/>
      <c r="G245" s="336"/>
      <c r="H245" s="461">
        <v>169.06</v>
      </c>
      <c r="I245" s="461"/>
      <c r="J245" s="461">
        <v>1737.5</v>
      </c>
      <c r="K245" s="461"/>
      <c r="O245" s="284">
        <f>I236+I237+I239+I241+I242+I243+SUM(I240:I240)</f>
        <v>169.06</v>
      </c>
      <c r="P245" s="284">
        <f>K236+K237+K239+K241+K242+K243+SUM(K240:K240)</f>
        <v>1737.5</v>
      </c>
    </row>
    <row r="247" spans="1:22" ht="57" x14ac:dyDescent="0.2">
      <c r="A247" s="301" t="s">
        <v>1622</v>
      </c>
      <c r="B247" s="302" t="s">
        <v>3622</v>
      </c>
      <c r="C247" s="302" t="s">
        <v>1243</v>
      </c>
      <c r="D247" s="303" t="s">
        <v>1903</v>
      </c>
      <c r="E247" s="286">
        <v>3</v>
      </c>
      <c r="F247" s="321"/>
      <c r="G247" s="305"/>
      <c r="H247" s="286"/>
      <c r="I247" s="304"/>
      <c r="J247" s="286"/>
      <c r="K247" s="304"/>
      <c r="Q247" s="281">
        <f>[19]Source!X205</f>
        <v>72.5</v>
      </c>
      <c r="R247" s="281">
        <f>[19]Source!X206</f>
        <v>1143.5</v>
      </c>
      <c r="S247" s="281">
        <f>[19]Source!Y205</f>
        <v>42.61</v>
      </c>
      <c r="T247" s="281">
        <f>[19]Source!Y206</f>
        <v>608.87</v>
      </c>
      <c r="U247" s="281">
        <f>ROUND((175/100)*ROUND([19]Source!R205, 2), 2)</f>
        <v>0.05</v>
      </c>
      <c r="V247" s="281">
        <f>ROUND((157/100)*ROUND([19]Source!R206, 2), 2)</f>
        <v>1.1000000000000001</v>
      </c>
    </row>
    <row r="248" spans="1:22" ht="14.25" x14ac:dyDescent="0.2">
      <c r="A248" s="301"/>
      <c r="B248" s="302"/>
      <c r="C248" s="302" t="s">
        <v>197</v>
      </c>
      <c r="D248" s="303"/>
      <c r="E248" s="286"/>
      <c r="F248" s="321">
        <v>21.2</v>
      </c>
      <c r="G248" s="305" t="s">
        <v>195</v>
      </c>
      <c r="H248" s="286">
        <v>1</v>
      </c>
      <c r="I248" s="304">
        <v>63.6</v>
      </c>
      <c r="J248" s="286">
        <v>23.35</v>
      </c>
      <c r="K248" s="304">
        <v>1485.06</v>
      </c>
    </row>
    <row r="249" spans="1:22" ht="14.25" x14ac:dyDescent="0.2">
      <c r="A249" s="301"/>
      <c r="B249" s="302"/>
      <c r="C249" s="302" t="s">
        <v>184</v>
      </c>
      <c r="D249" s="303"/>
      <c r="E249" s="286"/>
      <c r="F249" s="321">
        <v>0.06</v>
      </c>
      <c r="G249" s="305" t="s">
        <v>195</v>
      </c>
      <c r="H249" s="286">
        <v>1</v>
      </c>
      <c r="I249" s="304">
        <v>0.18</v>
      </c>
      <c r="J249" s="286">
        <v>8.33</v>
      </c>
      <c r="K249" s="304">
        <v>1.5</v>
      </c>
    </row>
    <row r="250" spans="1:22" ht="14.25" x14ac:dyDescent="0.2">
      <c r="A250" s="301"/>
      <c r="B250" s="302"/>
      <c r="C250" s="302" t="s">
        <v>189</v>
      </c>
      <c r="D250" s="303"/>
      <c r="E250" s="286"/>
      <c r="F250" s="321">
        <v>0.01</v>
      </c>
      <c r="G250" s="305" t="s">
        <v>195</v>
      </c>
      <c r="H250" s="286">
        <v>1</v>
      </c>
      <c r="I250" s="306">
        <v>0.03</v>
      </c>
      <c r="J250" s="286">
        <v>23.35</v>
      </c>
      <c r="K250" s="306">
        <v>0.7</v>
      </c>
    </row>
    <row r="251" spans="1:22" ht="14.25" x14ac:dyDescent="0.2">
      <c r="A251" s="301"/>
      <c r="B251" s="302"/>
      <c r="C251" s="302" t="s">
        <v>205</v>
      </c>
      <c r="D251" s="303"/>
      <c r="E251" s="286"/>
      <c r="F251" s="321">
        <v>1.26</v>
      </c>
      <c r="G251" s="305" t="s">
        <v>195</v>
      </c>
      <c r="H251" s="286">
        <v>1</v>
      </c>
      <c r="I251" s="304">
        <v>3.78</v>
      </c>
      <c r="J251" s="286">
        <v>5.42</v>
      </c>
      <c r="K251" s="304">
        <v>20.49</v>
      </c>
    </row>
    <row r="252" spans="1:22" ht="54" x14ac:dyDescent="0.2">
      <c r="A252" s="301" t="s">
        <v>1623</v>
      </c>
      <c r="B252" s="302" t="s">
        <v>3693</v>
      </c>
      <c r="C252" s="302" t="s">
        <v>1459</v>
      </c>
      <c r="D252" s="303" t="s">
        <v>1661</v>
      </c>
      <c r="E252" s="286">
        <v>3</v>
      </c>
      <c r="F252" s="321">
        <v>40.65</v>
      </c>
      <c r="G252" s="315" t="s">
        <v>195</v>
      </c>
      <c r="H252" s="286">
        <v>1</v>
      </c>
      <c r="I252" s="304">
        <v>121.95</v>
      </c>
      <c r="J252" s="286">
        <v>5.42</v>
      </c>
      <c r="K252" s="304">
        <v>660.97</v>
      </c>
      <c r="Q252" s="281">
        <f>[19]Source!X207</f>
        <v>0</v>
      </c>
      <c r="R252" s="281">
        <f>[19]Source!X208</f>
        <v>0</v>
      </c>
      <c r="S252" s="281">
        <f>[19]Source!Y207</f>
        <v>0</v>
      </c>
      <c r="T252" s="281">
        <f>[19]Source!Y208</f>
        <v>0</v>
      </c>
      <c r="U252" s="281">
        <f>ROUND((175/100)*ROUND([19]Source!R207, 2), 2)</f>
        <v>0</v>
      </c>
      <c r="V252" s="281">
        <f>ROUND((157/100)*ROUND([19]Source!R208, 2), 2)</f>
        <v>0</v>
      </c>
    </row>
    <row r="253" spans="1:22" ht="14.25" x14ac:dyDescent="0.2">
      <c r="A253" s="301"/>
      <c r="B253" s="302"/>
      <c r="C253" s="302" t="s">
        <v>194</v>
      </c>
      <c r="D253" s="303" t="s">
        <v>187</v>
      </c>
      <c r="E253" s="286">
        <v>114</v>
      </c>
      <c r="F253" s="321"/>
      <c r="G253" s="305"/>
      <c r="H253" s="286"/>
      <c r="I253" s="304">
        <v>72.5</v>
      </c>
      <c r="J253" s="286">
        <v>77</v>
      </c>
      <c r="K253" s="304">
        <v>1143.5</v>
      </c>
    </row>
    <row r="254" spans="1:22" ht="14.25" x14ac:dyDescent="0.2">
      <c r="A254" s="301"/>
      <c r="B254" s="302"/>
      <c r="C254" s="302" t="s">
        <v>193</v>
      </c>
      <c r="D254" s="303" t="s">
        <v>187</v>
      </c>
      <c r="E254" s="286">
        <v>67</v>
      </c>
      <c r="F254" s="321"/>
      <c r="G254" s="305"/>
      <c r="H254" s="286"/>
      <c r="I254" s="304">
        <v>42.61</v>
      </c>
      <c r="J254" s="286">
        <v>41</v>
      </c>
      <c r="K254" s="304">
        <v>608.87</v>
      </c>
    </row>
    <row r="255" spans="1:22" ht="14.25" x14ac:dyDescent="0.2">
      <c r="A255" s="301"/>
      <c r="B255" s="302"/>
      <c r="C255" s="302" t="s">
        <v>188</v>
      </c>
      <c r="D255" s="303" t="s">
        <v>187</v>
      </c>
      <c r="E255" s="286">
        <v>175</v>
      </c>
      <c r="F255" s="321"/>
      <c r="G255" s="305"/>
      <c r="H255" s="286"/>
      <c r="I255" s="304">
        <v>0.05</v>
      </c>
      <c r="J255" s="286">
        <v>157</v>
      </c>
      <c r="K255" s="304">
        <v>1.1000000000000001</v>
      </c>
    </row>
    <row r="256" spans="1:22" ht="14.25" x14ac:dyDescent="0.2">
      <c r="A256" s="329"/>
      <c r="B256" s="330"/>
      <c r="C256" s="330" t="s">
        <v>192</v>
      </c>
      <c r="D256" s="331" t="s">
        <v>191</v>
      </c>
      <c r="E256" s="332">
        <v>1.68</v>
      </c>
      <c r="F256" s="333"/>
      <c r="G256" s="334" t="s">
        <v>195</v>
      </c>
      <c r="H256" s="332">
        <v>1</v>
      </c>
      <c r="I256" s="335">
        <v>5.04</v>
      </c>
      <c r="J256" s="332"/>
      <c r="K256" s="335"/>
    </row>
    <row r="257" spans="1:22" ht="15" x14ac:dyDescent="0.25">
      <c r="A257" s="336"/>
      <c r="B257" s="336"/>
      <c r="C257" s="337" t="s">
        <v>183</v>
      </c>
      <c r="D257" s="336"/>
      <c r="E257" s="336"/>
      <c r="F257" s="336"/>
      <c r="G257" s="336"/>
      <c r="H257" s="461">
        <v>304.67</v>
      </c>
      <c r="I257" s="461"/>
      <c r="J257" s="461">
        <v>3921.49</v>
      </c>
      <c r="K257" s="461"/>
      <c r="O257" s="284">
        <f>I248+I249+I251+I253+I254+I255+SUM(I252:I252)</f>
        <v>304.67</v>
      </c>
      <c r="P257" s="284">
        <f>K248+K249+K251+K253+K254+K255+SUM(K252:K252)</f>
        <v>3921.49</v>
      </c>
    </row>
    <row r="259" spans="1:22" ht="57" x14ac:dyDescent="0.2">
      <c r="A259" s="301" t="s">
        <v>1625</v>
      </c>
      <c r="B259" s="302" t="s">
        <v>3622</v>
      </c>
      <c r="C259" s="302" t="s">
        <v>1243</v>
      </c>
      <c r="D259" s="303" t="s">
        <v>1903</v>
      </c>
      <c r="E259" s="286">
        <v>1</v>
      </c>
      <c r="F259" s="321"/>
      <c r="G259" s="305"/>
      <c r="H259" s="286"/>
      <c r="I259" s="304"/>
      <c r="J259" s="286"/>
      <c r="K259" s="304"/>
      <c r="Q259" s="281">
        <f>[19]Source!X209</f>
        <v>24.17</v>
      </c>
      <c r="R259" s="281">
        <f>[19]Source!X210</f>
        <v>381.17</v>
      </c>
      <c r="S259" s="281">
        <f>[19]Source!Y209</f>
        <v>14.2</v>
      </c>
      <c r="T259" s="281">
        <f>[19]Source!Y210</f>
        <v>202.96</v>
      </c>
      <c r="U259" s="281">
        <f>ROUND((175/100)*ROUND([19]Source!R209, 2), 2)</f>
        <v>0.02</v>
      </c>
      <c r="V259" s="281">
        <f>ROUND((157/100)*ROUND([19]Source!R210, 2), 2)</f>
        <v>0.36</v>
      </c>
    </row>
    <row r="260" spans="1:22" ht="14.25" x14ac:dyDescent="0.2">
      <c r="A260" s="301"/>
      <c r="B260" s="302"/>
      <c r="C260" s="302" t="s">
        <v>197</v>
      </c>
      <c r="D260" s="303"/>
      <c r="E260" s="286"/>
      <c r="F260" s="321">
        <v>21.2</v>
      </c>
      <c r="G260" s="305" t="s">
        <v>195</v>
      </c>
      <c r="H260" s="286">
        <v>1</v>
      </c>
      <c r="I260" s="304">
        <v>21.2</v>
      </c>
      <c r="J260" s="286">
        <v>23.35</v>
      </c>
      <c r="K260" s="304">
        <v>495.02</v>
      </c>
    </row>
    <row r="261" spans="1:22" ht="14.25" x14ac:dyDescent="0.2">
      <c r="A261" s="301"/>
      <c r="B261" s="302"/>
      <c r="C261" s="302" t="s">
        <v>184</v>
      </c>
      <c r="D261" s="303"/>
      <c r="E261" s="286"/>
      <c r="F261" s="321">
        <v>0.06</v>
      </c>
      <c r="G261" s="305" t="s">
        <v>195</v>
      </c>
      <c r="H261" s="286">
        <v>1</v>
      </c>
      <c r="I261" s="304">
        <v>0.06</v>
      </c>
      <c r="J261" s="286">
        <v>8.33</v>
      </c>
      <c r="K261" s="304">
        <v>0.5</v>
      </c>
    </row>
    <row r="262" spans="1:22" ht="14.25" x14ac:dyDescent="0.2">
      <c r="A262" s="301"/>
      <c r="B262" s="302"/>
      <c r="C262" s="302" t="s">
        <v>189</v>
      </c>
      <c r="D262" s="303"/>
      <c r="E262" s="286"/>
      <c r="F262" s="321">
        <v>0.01</v>
      </c>
      <c r="G262" s="305" t="s">
        <v>195</v>
      </c>
      <c r="H262" s="286">
        <v>1</v>
      </c>
      <c r="I262" s="306">
        <v>0.01</v>
      </c>
      <c r="J262" s="286">
        <v>23.35</v>
      </c>
      <c r="K262" s="306">
        <v>0.23</v>
      </c>
    </row>
    <row r="263" spans="1:22" ht="14.25" x14ac:dyDescent="0.2">
      <c r="A263" s="301"/>
      <c r="B263" s="302"/>
      <c r="C263" s="302" t="s">
        <v>205</v>
      </c>
      <c r="D263" s="303"/>
      <c r="E263" s="286"/>
      <c r="F263" s="321">
        <v>1.26</v>
      </c>
      <c r="G263" s="305" t="s">
        <v>195</v>
      </c>
      <c r="H263" s="286">
        <v>1</v>
      </c>
      <c r="I263" s="304">
        <v>1.26</v>
      </c>
      <c r="J263" s="286">
        <v>5.42</v>
      </c>
      <c r="K263" s="304">
        <v>6.83</v>
      </c>
    </row>
    <row r="264" spans="1:22" ht="39.75" x14ac:dyDescent="0.2">
      <c r="A264" s="301" t="s">
        <v>1627</v>
      </c>
      <c r="B264" s="302" t="s">
        <v>3694</v>
      </c>
      <c r="C264" s="302" t="s">
        <v>1447</v>
      </c>
      <c r="D264" s="303" t="s">
        <v>3240</v>
      </c>
      <c r="E264" s="286">
        <v>1</v>
      </c>
      <c r="F264" s="321">
        <v>25.56</v>
      </c>
      <c r="G264" s="315" t="s">
        <v>195</v>
      </c>
      <c r="H264" s="286">
        <v>1</v>
      </c>
      <c r="I264" s="304">
        <v>25.56</v>
      </c>
      <c r="J264" s="286">
        <v>5.42</v>
      </c>
      <c r="K264" s="304">
        <v>138.54</v>
      </c>
      <c r="Q264" s="281">
        <f>[19]Source!X211</f>
        <v>0</v>
      </c>
      <c r="R264" s="281">
        <f>[19]Source!X212</f>
        <v>0</v>
      </c>
      <c r="S264" s="281">
        <f>[19]Source!Y211</f>
        <v>0</v>
      </c>
      <c r="T264" s="281">
        <f>[19]Source!Y212</f>
        <v>0</v>
      </c>
      <c r="U264" s="281">
        <f>ROUND((175/100)*ROUND([19]Source!R211, 2), 2)</f>
        <v>0</v>
      </c>
      <c r="V264" s="281">
        <f>ROUND((157/100)*ROUND([19]Source!R212, 2), 2)</f>
        <v>0</v>
      </c>
    </row>
    <row r="265" spans="1:22" ht="14.25" x14ac:dyDescent="0.2">
      <c r="A265" s="301"/>
      <c r="B265" s="302"/>
      <c r="C265" s="302" t="s">
        <v>194</v>
      </c>
      <c r="D265" s="303" t="s">
        <v>187</v>
      </c>
      <c r="E265" s="286">
        <v>114</v>
      </c>
      <c r="F265" s="321"/>
      <c r="G265" s="305"/>
      <c r="H265" s="286"/>
      <c r="I265" s="304">
        <v>24.17</v>
      </c>
      <c r="J265" s="286">
        <v>77</v>
      </c>
      <c r="K265" s="304">
        <v>381.17</v>
      </c>
    </row>
    <row r="266" spans="1:22" ht="14.25" x14ac:dyDescent="0.2">
      <c r="A266" s="301"/>
      <c r="B266" s="302"/>
      <c r="C266" s="302" t="s">
        <v>193</v>
      </c>
      <c r="D266" s="303" t="s">
        <v>187</v>
      </c>
      <c r="E266" s="286">
        <v>67</v>
      </c>
      <c r="F266" s="321"/>
      <c r="G266" s="305"/>
      <c r="H266" s="286"/>
      <c r="I266" s="304">
        <v>14.2</v>
      </c>
      <c r="J266" s="286">
        <v>41</v>
      </c>
      <c r="K266" s="304">
        <v>202.96</v>
      </c>
    </row>
    <row r="267" spans="1:22" ht="14.25" x14ac:dyDescent="0.2">
      <c r="A267" s="301"/>
      <c r="B267" s="302"/>
      <c r="C267" s="302" t="s">
        <v>188</v>
      </c>
      <c r="D267" s="303" t="s">
        <v>187</v>
      </c>
      <c r="E267" s="286">
        <v>175</v>
      </c>
      <c r="F267" s="321"/>
      <c r="G267" s="305"/>
      <c r="H267" s="286"/>
      <c r="I267" s="304">
        <v>0.02</v>
      </c>
      <c r="J267" s="286">
        <v>157</v>
      </c>
      <c r="K267" s="304">
        <v>0.36</v>
      </c>
    </row>
    <row r="268" spans="1:22" ht="14.25" x14ac:dyDescent="0.2">
      <c r="A268" s="329"/>
      <c r="B268" s="330"/>
      <c r="C268" s="330" t="s">
        <v>192</v>
      </c>
      <c r="D268" s="331" t="s">
        <v>191</v>
      </c>
      <c r="E268" s="332">
        <v>1.68</v>
      </c>
      <c r="F268" s="333"/>
      <c r="G268" s="334" t="s">
        <v>195</v>
      </c>
      <c r="H268" s="332">
        <v>1</v>
      </c>
      <c r="I268" s="335">
        <v>1.68</v>
      </c>
      <c r="J268" s="332"/>
      <c r="K268" s="335"/>
    </row>
    <row r="269" spans="1:22" ht="15" x14ac:dyDescent="0.25">
      <c r="A269" s="336"/>
      <c r="B269" s="336"/>
      <c r="C269" s="337" t="s">
        <v>183</v>
      </c>
      <c r="D269" s="336"/>
      <c r="E269" s="336"/>
      <c r="F269" s="336"/>
      <c r="G269" s="336"/>
      <c r="H269" s="461">
        <v>86.47</v>
      </c>
      <c r="I269" s="461"/>
      <c r="J269" s="461">
        <v>1225.3800000000001</v>
      </c>
      <c r="K269" s="461"/>
      <c r="O269" s="284">
        <f>I260+I261+I263+I265+I266+I267+SUM(I264:I264)</f>
        <v>86.47</v>
      </c>
      <c r="P269" s="284">
        <f>K260+K261+K263+K265+K266+K267+SUM(K264:K264)</f>
        <v>1225.3800000000001</v>
      </c>
    </row>
    <row r="271" spans="1:22" ht="28.5" x14ac:dyDescent="0.2">
      <c r="A271" s="301" t="s">
        <v>1629</v>
      </c>
      <c r="B271" s="302" t="s">
        <v>3695</v>
      </c>
      <c r="C271" s="302" t="s">
        <v>1458</v>
      </c>
      <c r="D271" s="303" t="s">
        <v>1903</v>
      </c>
      <c r="E271" s="286">
        <v>1</v>
      </c>
      <c r="F271" s="321"/>
      <c r="G271" s="305"/>
      <c r="H271" s="286"/>
      <c r="I271" s="304"/>
      <c r="J271" s="286"/>
      <c r="K271" s="304"/>
      <c r="Q271" s="281">
        <f>[19]Source!X213</f>
        <v>18.32</v>
      </c>
      <c r="R271" s="281">
        <f>[19]Source!X214</f>
        <v>288.93</v>
      </c>
      <c r="S271" s="281">
        <f>[19]Source!Y213</f>
        <v>10.77</v>
      </c>
      <c r="T271" s="281">
        <f>[19]Source!Y214</f>
        <v>153.84</v>
      </c>
      <c r="U271" s="281">
        <f>ROUND((175/100)*ROUND([19]Source!R213, 2), 2)</f>
        <v>0.02</v>
      </c>
      <c r="V271" s="281">
        <f>ROUND((157/100)*ROUND([19]Source!R214, 2), 2)</f>
        <v>0.36</v>
      </c>
    </row>
    <row r="272" spans="1:22" ht="14.25" x14ac:dyDescent="0.2">
      <c r="A272" s="301"/>
      <c r="B272" s="302"/>
      <c r="C272" s="302" t="s">
        <v>197</v>
      </c>
      <c r="D272" s="303"/>
      <c r="E272" s="286"/>
      <c r="F272" s="321">
        <v>16.07</v>
      </c>
      <c r="G272" s="305" t="s">
        <v>195</v>
      </c>
      <c r="H272" s="286">
        <v>1</v>
      </c>
      <c r="I272" s="304">
        <v>16.07</v>
      </c>
      <c r="J272" s="286">
        <v>23.35</v>
      </c>
      <c r="K272" s="304">
        <v>375.23</v>
      </c>
    </row>
    <row r="273" spans="1:22" ht="14.25" x14ac:dyDescent="0.2">
      <c r="A273" s="301"/>
      <c r="B273" s="302"/>
      <c r="C273" s="302" t="s">
        <v>184</v>
      </c>
      <c r="D273" s="303"/>
      <c r="E273" s="286"/>
      <c r="F273" s="321">
        <v>0.05</v>
      </c>
      <c r="G273" s="305" t="s">
        <v>195</v>
      </c>
      <c r="H273" s="286">
        <v>1</v>
      </c>
      <c r="I273" s="304">
        <v>0.05</v>
      </c>
      <c r="J273" s="286">
        <v>9</v>
      </c>
      <c r="K273" s="304">
        <v>0.45</v>
      </c>
    </row>
    <row r="274" spans="1:22" ht="14.25" x14ac:dyDescent="0.2">
      <c r="A274" s="301"/>
      <c r="B274" s="302"/>
      <c r="C274" s="302" t="s">
        <v>189</v>
      </c>
      <c r="D274" s="303"/>
      <c r="E274" s="286"/>
      <c r="F274" s="321">
        <v>0.01</v>
      </c>
      <c r="G274" s="305" t="s">
        <v>195</v>
      </c>
      <c r="H274" s="286">
        <v>1</v>
      </c>
      <c r="I274" s="306">
        <v>0.01</v>
      </c>
      <c r="J274" s="286">
        <v>23.35</v>
      </c>
      <c r="K274" s="306">
        <v>0.23</v>
      </c>
    </row>
    <row r="275" spans="1:22" ht="14.25" x14ac:dyDescent="0.2">
      <c r="A275" s="301"/>
      <c r="B275" s="302"/>
      <c r="C275" s="302" t="s">
        <v>205</v>
      </c>
      <c r="D275" s="303"/>
      <c r="E275" s="286"/>
      <c r="F275" s="321">
        <v>1.96</v>
      </c>
      <c r="G275" s="305" t="s">
        <v>195</v>
      </c>
      <c r="H275" s="286">
        <v>1</v>
      </c>
      <c r="I275" s="304">
        <v>1.96</v>
      </c>
      <c r="J275" s="286">
        <v>5.42</v>
      </c>
      <c r="K275" s="304">
        <v>10.62</v>
      </c>
    </row>
    <row r="276" spans="1:22" ht="68.25" x14ac:dyDescent="0.2">
      <c r="A276" s="322" t="s">
        <v>1630</v>
      </c>
      <c r="B276" s="323" t="s">
        <v>3696</v>
      </c>
      <c r="C276" s="323" t="s">
        <v>1457</v>
      </c>
      <c r="D276" s="324" t="s">
        <v>1661</v>
      </c>
      <c r="E276" s="325">
        <v>1</v>
      </c>
      <c r="F276" s="326">
        <v>130.30000000000001</v>
      </c>
      <c r="G276" s="327" t="s">
        <v>195</v>
      </c>
      <c r="H276" s="325">
        <v>1</v>
      </c>
      <c r="I276" s="328">
        <v>130.30000000000001</v>
      </c>
      <c r="J276" s="325">
        <v>4.4000000000000004</v>
      </c>
      <c r="K276" s="328">
        <v>573.32000000000005</v>
      </c>
      <c r="Q276" s="281">
        <f>[19]Source!X215</f>
        <v>0</v>
      </c>
      <c r="R276" s="281">
        <f>[19]Source!X216</f>
        <v>0</v>
      </c>
      <c r="S276" s="281">
        <f>[19]Source!Y215</f>
        <v>0</v>
      </c>
      <c r="T276" s="281">
        <f>[19]Source!Y216</f>
        <v>0</v>
      </c>
      <c r="U276" s="281">
        <f>ROUND((175/100)*ROUND([19]Source!R215, 2), 2)</f>
        <v>0</v>
      </c>
      <c r="V276" s="281">
        <f>ROUND((157/100)*ROUND([19]Source!R216, 2), 2)</f>
        <v>0</v>
      </c>
    </row>
    <row r="277" spans="1:22" ht="14.25" x14ac:dyDescent="0.2">
      <c r="A277" s="301"/>
      <c r="B277" s="302"/>
      <c r="C277" s="302" t="s">
        <v>194</v>
      </c>
      <c r="D277" s="303" t="s">
        <v>187</v>
      </c>
      <c r="E277" s="286">
        <v>114</v>
      </c>
      <c r="F277" s="321"/>
      <c r="G277" s="305"/>
      <c r="H277" s="286"/>
      <c r="I277" s="304">
        <v>18.32</v>
      </c>
      <c r="J277" s="286">
        <v>77</v>
      </c>
      <c r="K277" s="304">
        <v>288.93</v>
      </c>
    </row>
    <row r="278" spans="1:22" ht="14.25" x14ac:dyDescent="0.2">
      <c r="A278" s="301"/>
      <c r="B278" s="302"/>
      <c r="C278" s="302" t="s">
        <v>193</v>
      </c>
      <c r="D278" s="303" t="s">
        <v>187</v>
      </c>
      <c r="E278" s="286">
        <v>67</v>
      </c>
      <c r="F278" s="321"/>
      <c r="G278" s="305"/>
      <c r="H278" s="286"/>
      <c r="I278" s="304">
        <v>10.77</v>
      </c>
      <c r="J278" s="286">
        <v>41</v>
      </c>
      <c r="K278" s="304">
        <v>153.84</v>
      </c>
    </row>
    <row r="279" spans="1:22" ht="14.25" x14ac:dyDescent="0.2">
      <c r="A279" s="301"/>
      <c r="B279" s="302"/>
      <c r="C279" s="302" t="s">
        <v>188</v>
      </c>
      <c r="D279" s="303" t="s">
        <v>187</v>
      </c>
      <c r="E279" s="286">
        <v>175</v>
      </c>
      <c r="F279" s="321"/>
      <c r="G279" s="305"/>
      <c r="H279" s="286"/>
      <c r="I279" s="304">
        <v>0.02</v>
      </c>
      <c r="J279" s="286">
        <v>157</v>
      </c>
      <c r="K279" s="304">
        <v>0.36</v>
      </c>
    </row>
    <row r="280" spans="1:22" ht="14.25" x14ac:dyDescent="0.2">
      <c r="A280" s="329"/>
      <c r="B280" s="330"/>
      <c r="C280" s="330" t="s">
        <v>192</v>
      </c>
      <c r="D280" s="331" t="s">
        <v>191</v>
      </c>
      <c r="E280" s="332">
        <v>1.2</v>
      </c>
      <c r="F280" s="333"/>
      <c r="G280" s="334" t="s">
        <v>195</v>
      </c>
      <c r="H280" s="332">
        <v>1</v>
      </c>
      <c r="I280" s="335">
        <v>1.2</v>
      </c>
      <c r="J280" s="332"/>
      <c r="K280" s="335"/>
    </row>
    <row r="281" spans="1:22" ht="15" x14ac:dyDescent="0.25">
      <c r="A281" s="336"/>
      <c r="B281" s="336"/>
      <c r="C281" s="337" t="s">
        <v>183</v>
      </c>
      <c r="D281" s="336"/>
      <c r="E281" s="336"/>
      <c r="F281" s="336"/>
      <c r="G281" s="336"/>
      <c r="H281" s="461">
        <v>177.49</v>
      </c>
      <c r="I281" s="461"/>
      <c r="J281" s="461">
        <v>1402.75</v>
      </c>
      <c r="K281" s="461"/>
      <c r="O281" s="284">
        <f>I272+I273+I275+I277+I278+I279+SUM(I276:I276)</f>
        <v>177.49</v>
      </c>
      <c r="P281" s="284">
        <f>K272+K273+K275+K277+K278+K279+SUM(K276:K276)</f>
        <v>1402.75</v>
      </c>
    </row>
    <row r="284" spans="1:22" ht="15" x14ac:dyDescent="0.25">
      <c r="A284" s="447" t="s">
        <v>3701</v>
      </c>
      <c r="B284" s="447"/>
      <c r="C284" s="447"/>
      <c r="D284" s="447"/>
      <c r="E284" s="447"/>
      <c r="F284" s="447"/>
      <c r="G284" s="447"/>
      <c r="H284" s="445">
        <v>2220.98</v>
      </c>
      <c r="I284" s="446"/>
      <c r="J284" s="445">
        <v>19774.27</v>
      </c>
      <c r="K284" s="446"/>
    </row>
    <row r="285" spans="1:22" hidden="1" x14ac:dyDescent="0.2">
      <c r="A285" s="281" t="s">
        <v>182</v>
      </c>
      <c r="I285" s="281">
        <v>0</v>
      </c>
      <c r="J285" s="281">
        <v>0</v>
      </c>
    </row>
    <row r="286" spans="1:22" hidden="1" x14ac:dyDescent="0.2">
      <c r="A286" s="281" t="s">
        <v>181</v>
      </c>
      <c r="I286" s="281">
        <v>0</v>
      </c>
      <c r="J286" s="281">
        <v>0</v>
      </c>
    </row>
    <row r="288" spans="1:22" ht="16.5" x14ac:dyDescent="0.25">
      <c r="A288" s="448" t="s">
        <v>3702</v>
      </c>
      <c r="B288" s="448"/>
      <c r="C288" s="448"/>
      <c r="D288" s="448"/>
      <c r="E288" s="448"/>
      <c r="F288" s="448"/>
      <c r="G288" s="448"/>
      <c r="H288" s="448"/>
      <c r="I288" s="448"/>
      <c r="J288" s="448"/>
      <c r="K288" s="448"/>
    </row>
    <row r="289" spans="1:22" ht="28.5" x14ac:dyDescent="0.2">
      <c r="A289" s="301" t="s">
        <v>1633</v>
      </c>
      <c r="B289" s="302" t="s">
        <v>3683</v>
      </c>
      <c r="C289" s="302" t="s">
        <v>1465</v>
      </c>
      <c r="D289" s="303" t="s">
        <v>1903</v>
      </c>
      <c r="E289" s="286">
        <v>1</v>
      </c>
      <c r="F289" s="321"/>
      <c r="G289" s="305"/>
      <c r="H289" s="286"/>
      <c r="I289" s="304"/>
      <c r="J289" s="286"/>
      <c r="K289" s="304"/>
      <c r="Q289" s="281">
        <f>[19]Source!X252</f>
        <v>48.91</v>
      </c>
      <c r="R289" s="281">
        <f>[19]Source!X253</f>
        <v>771.32</v>
      </c>
      <c r="S289" s="281">
        <f>[19]Source!Y252</f>
        <v>28.74</v>
      </c>
      <c r="T289" s="281">
        <f>[19]Source!Y253</f>
        <v>410.71</v>
      </c>
      <c r="U289" s="281">
        <f>ROUND((175/100)*ROUND([19]Source!R252, 2), 2)</f>
        <v>0.02</v>
      </c>
      <c r="V289" s="281">
        <f>ROUND((157/100)*ROUND([19]Source!R253, 2), 2)</f>
        <v>0.36</v>
      </c>
    </row>
    <row r="290" spans="1:22" ht="14.25" x14ac:dyDescent="0.2">
      <c r="A290" s="301"/>
      <c r="B290" s="302"/>
      <c r="C290" s="302" t="s">
        <v>197</v>
      </c>
      <c r="D290" s="303"/>
      <c r="E290" s="286"/>
      <c r="F290" s="321">
        <v>42.9</v>
      </c>
      <c r="G290" s="305" t="s">
        <v>195</v>
      </c>
      <c r="H290" s="286">
        <v>1</v>
      </c>
      <c r="I290" s="304">
        <v>42.9</v>
      </c>
      <c r="J290" s="286">
        <v>23.35</v>
      </c>
      <c r="K290" s="304">
        <v>1001.72</v>
      </c>
    </row>
    <row r="291" spans="1:22" ht="14.25" x14ac:dyDescent="0.2">
      <c r="A291" s="301"/>
      <c r="B291" s="302"/>
      <c r="C291" s="302" t="s">
        <v>184</v>
      </c>
      <c r="D291" s="303"/>
      <c r="E291" s="286"/>
      <c r="F291" s="321">
        <v>0.05</v>
      </c>
      <c r="G291" s="305" t="s">
        <v>195</v>
      </c>
      <c r="H291" s="286">
        <v>1</v>
      </c>
      <c r="I291" s="304">
        <v>0.05</v>
      </c>
      <c r="J291" s="286">
        <v>9</v>
      </c>
      <c r="K291" s="304">
        <v>0.45</v>
      </c>
    </row>
    <row r="292" spans="1:22" ht="14.25" x14ac:dyDescent="0.2">
      <c r="A292" s="301"/>
      <c r="B292" s="302"/>
      <c r="C292" s="302" t="s">
        <v>189</v>
      </c>
      <c r="D292" s="303"/>
      <c r="E292" s="286"/>
      <c r="F292" s="321">
        <v>0.01</v>
      </c>
      <c r="G292" s="305" t="s">
        <v>195</v>
      </c>
      <c r="H292" s="286">
        <v>1</v>
      </c>
      <c r="I292" s="306">
        <v>0.01</v>
      </c>
      <c r="J292" s="286">
        <v>23.35</v>
      </c>
      <c r="K292" s="306">
        <v>0.23</v>
      </c>
    </row>
    <row r="293" spans="1:22" ht="14.25" x14ac:dyDescent="0.2">
      <c r="A293" s="301"/>
      <c r="B293" s="302"/>
      <c r="C293" s="302" t="s">
        <v>205</v>
      </c>
      <c r="D293" s="303"/>
      <c r="E293" s="286"/>
      <c r="F293" s="321">
        <v>3.15</v>
      </c>
      <c r="G293" s="305" t="s">
        <v>195</v>
      </c>
      <c r="H293" s="286">
        <v>1</v>
      </c>
      <c r="I293" s="304">
        <v>3.15</v>
      </c>
      <c r="J293" s="286">
        <v>5.42</v>
      </c>
      <c r="K293" s="304">
        <v>17.07</v>
      </c>
    </row>
    <row r="294" spans="1:22" ht="142.5" x14ac:dyDescent="0.2">
      <c r="A294" s="322" t="s">
        <v>1634</v>
      </c>
      <c r="B294" s="323" t="s">
        <v>3687</v>
      </c>
      <c r="C294" s="323" t="s">
        <v>1464</v>
      </c>
      <c r="D294" s="324" t="s">
        <v>1913</v>
      </c>
      <c r="E294" s="325">
        <v>1</v>
      </c>
      <c r="F294" s="326">
        <v>580.54</v>
      </c>
      <c r="G294" s="327" t="s">
        <v>195</v>
      </c>
      <c r="H294" s="325">
        <v>1</v>
      </c>
      <c r="I294" s="328">
        <v>580.54</v>
      </c>
      <c r="J294" s="325">
        <v>9.8000000000000007</v>
      </c>
      <c r="K294" s="328">
        <v>5689.29</v>
      </c>
      <c r="Q294" s="281">
        <f>[19]Source!X254</f>
        <v>0</v>
      </c>
      <c r="R294" s="281">
        <f>[19]Source!X255</f>
        <v>0</v>
      </c>
      <c r="S294" s="281">
        <f>[19]Source!Y254</f>
        <v>0</v>
      </c>
      <c r="T294" s="281">
        <f>[19]Source!Y255</f>
        <v>0</v>
      </c>
      <c r="U294" s="281">
        <f>ROUND((175/100)*ROUND([19]Source!R254, 2), 2)</f>
        <v>0</v>
      </c>
      <c r="V294" s="281">
        <f>ROUND((157/100)*ROUND([19]Source!R255, 2), 2)</f>
        <v>0</v>
      </c>
    </row>
    <row r="295" spans="1:22" ht="57" x14ac:dyDescent="0.2">
      <c r="A295" s="322" t="s">
        <v>3196</v>
      </c>
      <c r="B295" s="323" t="s">
        <v>3688</v>
      </c>
      <c r="C295" s="323" t="s">
        <v>1463</v>
      </c>
      <c r="D295" s="324" t="s">
        <v>1661</v>
      </c>
      <c r="E295" s="325">
        <v>2</v>
      </c>
      <c r="F295" s="326">
        <v>99.15</v>
      </c>
      <c r="G295" s="327" t="s">
        <v>195</v>
      </c>
      <c r="H295" s="325">
        <v>1</v>
      </c>
      <c r="I295" s="328">
        <v>198.3</v>
      </c>
      <c r="J295" s="325">
        <v>4.87</v>
      </c>
      <c r="K295" s="328">
        <v>965.72</v>
      </c>
      <c r="Q295" s="281">
        <f>[19]Source!X256</f>
        <v>0</v>
      </c>
      <c r="R295" s="281">
        <f>[19]Source!X257</f>
        <v>0</v>
      </c>
      <c r="S295" s="281">
        <f>[19]Source!Y256</f>
        <v>0</v>
      </c>
      <c r="T295" s="281">
        <f>[19]Source!Y257</f>
        <v>0</v>
      </c>
      <c r="U295" s="281">
        <f>ROUND((175/100)*ROUND([19]Source!R256, 2), 2)</f>
        <v>0</v>
      </c>
      <c r="V295" s="281">
        <f>ROUND((157/100)*ROUND([19]Source!R257, 2), 2)</f>
        <v>0</v>
      </c>
    </row>
    <row r="296" spans="1:22" ht="14.25" x14ac:dyDescent="0.2">
      <c r="A296" s="301"/>
      <c r="B296" s="302"/>
      <c r="C296" s="302" t="s">
        <v>194</v>
      </c>
      <c r="D296" s="303" t="s">
        <v>187</v>
      </c>
      <c r="E296" s="286">
        <v>114</v>
      </c>
      <c r="F296" s="321"/>
      <c r="G296" s="305"/>
      <c r="H296" s="286"/>
      <c r="I296" s="304">
        <v>48.91</v>
      </c>
      <c r="J296" s="286">
        <v>77</v>
      </c>
      <c r="K296" s="304">
        <v>771.32</v>
      </c>
    </row>
    <row r="297" spans="1:22" ht="14.25" x14ac:dyDescent="0.2">
      <c r="A297" s="301"/>
      <c r="B297" s="302"/>
      <c r="C297" s="302" t="s">
        <v>193</v>
      </c>
      <c r="D297" s="303" t="s">
        <v>187</v>
      </c>
      <c r="E297" s="286">
        <v>67</v>
      </c>
      <c r="F297" s="321"/>
      <c r="G297" s="305"/>
      <c r="H297" s="286"/>
      <c r="I297" s="304">
        <v>28.74</v>
      </c>
      <c r="J297" s="286">
        <v>41</v>
      </c>
      <c r="K297" s="304">
        <v>410.71</v>
      </c>
    </row>
    <row r="298" spans="1:22" ht="14.25" x14ac:dyDescent="0.2">
      <c r="A298" s="301"/>
      <c r="B298" s="302"/>
      <c r="C298" s="302" t="s">
        <v>188</v>
      </c>
      <c r="D298" s="303" t="s">
        <v>187</v>
      </c>
      <c r="E298" s="286">
        <v>175</v>
      </c>
      <c r="F298" s="321"/>
      <c r="G298" s="305"/>
      <c r="H298" s="286"/>
      <c r="I298" s="304">
        <v>0.02</v>
      </c>
      <c r="J298" s="286">
        <v>157</v>
      </c>
      <c r="K298" s="304">
        <v>0.36</v>
      </c>
    </row>
    <row r="299" spans="1:22" ht="14.25" x14ac:dyDescent="0.2">
      <c r="A299" s="329"/>
      <c r="B299" s="330"/>
      <c r="C299" s="330" t="s">
        <v>192</v>
      </c>
      <c r="D299" s="331" t="s">
        <v>191</v>
      </c>
      <c r="E299" s="332">
        <v>3.3</v>
      </c>
      <c r="F299" s="333"/>
      <c r="G299" s="334" t="s">
        <v>195</v>
      </c>
      <c r="H299" s="332">
        <v>1</v>
      </c>
      <c r="I299" s="335">
        <v>3.3</v>
      </c>
      <c r="J299" s="332"/>
      <c r="K299" s="335"/>
    </row>
    <row r="300" spans="1:22" ht="15" x14ac:dyDescent="0.25">
      <c r="A300" s="336"/>
      <c r="B300" s="336"/>
      <c r="C300" s="337" t="s">
        <v>183</v>
      </c>
      <c r="D300" s="336"/>
      <c r="E300" s="336"/>
      <c r="F300" s="336"/>
      <c r="G300" s="336"/>
      <c r="H300" s="461">
        <v>902.61</v>
      </c>
      <c r="I300" s="461"/>
      <c r="J300" s="461">
        <v>8856.64</v>
      </c>
      <c r="K300" s="461"/>
      <c r="O300" s="284">
        <f>I290+I291+I293+I296+I297+I298+SUM(I294:I295)</f>
        <v>902.61</v>
      </c>
      <c r="P300" s="284">
        <f>K290+K291+K293+K296+K297+K298+SUM(K294:K295)</f>
        <v>8856.64</v>
      </c>
    </row>
    <row r="302" spans="1:22" ht="42.75" x14ac:dyDescent="0.2">
      <c r="A302" s="301" t="s">
        <v>1635</v>
      </c>
      <c r="B302" s="302" t="s">
        <v>3689</v>
      </c>
      <c r="C302" s="302" t="s">
        <v>1462</v>
      </c>
      <c r="D302" s="303" t="s">
        <v>3669</v>
      </c>
      <c r="E302" s="286">
        <v>0.1</v>
      </c>
      <c r="F302" s="321"/>
      <c r="G302" s="305"/>
      <c r="H302" s="286"/>
      <c r="I302" s="304"/>
      <c r="J302" s="286"/>
      <c r="K302" s="304"/>
      <c r="Q302" s="281">
        <f>[19]Source!X258</f>
        <v>8</v>
      </c>
      <c r="R302" s="281">
        <f>[19]Source!X259</f>
        <v>126.22</v>
      </c>
      <c r="S302" s="281">
        <f>[19]Source!Y258</f>
        <v>4.7</v>
      </c>
      <c r="T302" s="281">
        <f>[19]Source!Y259</f>
        <v>67.209999999999994</v>
      </c>
      <c r="U302" s="281">
        <f>ROUND((175/100)*ROUND([19]Source!R258, 2), 2)</f>
        <v>0</v>
      </c>
      <c r="V302" s="281">
        <f>ROUND((157/100)*ROUND([19]Source!R259, 2), 2)</f>
        <v>0</v>
      </c>
    </row>
    <row r="303" spans="1:22" x14ac:dyDescent="0.2">
      <c r="C303" s="316" t="s">
        <v>1891</v>
      </c>
    </row>
    <row r="304" spans="1:22" ht="14.25" x14ac:dyDescent="0.2">
      <c r="A304" s="301"/>
      <c r="B304" s="302"/>
      <c r="C304" s="302" t="s">
        <v>197</v>
      </c>
      <c r="D304" s="303"/>
      <c r="E304" s="286"/>
      <c r="F304" s="321">
        <v>70.2</v>
      </c>
      <c r="G304" s="305" t="s">
        <v>195</v>
      </c>
      <c r="H304" s="286">
        <v>1</v>
      </c>
      <c r="I304" s="304">
        <v>7.02</v>
      </c>
      <c r="J304" s="286">
        <v>23.35</v>
      </c>
      <c r="K304" s="304">
        <v>163.92</v>
      </c>
    </row>
    <row r="305" spans="1:22" ht="14.25" x14ac:dyDescent="0.2">
      <c r="A305" s="301"/>
      <c r="B305" s="302"/>
      <c r="C305" s="302" t="s">
        <v>184</v>
      </c>
      <c r="D305" s="303"/>
      <c r="E305" s="286"/>
      <c r="F305" s="321">
        <v>0.06</v>
      </c>
      <c r="G305" s="305" t="s">
        <v>195</v>
      </c>
      <c r="H305" s="286">
        <v>1</v>
      </c>
      <c r="I305" s="304">
        <v>0.01</v>
      </c>
      <c r="J305" s="286">
        <v>8.33</v>
      </c>
      <c r="K305" s="304">
        <v>0.08</v>
      </c>
    </row>
    <row r="306" spans="1:22" ht="14.25" x14ac:dyDescent="0.2">
      <c r="A306" s="301"/>
      <c r="B306" s="302"/>
      <c r="C306" s="302" t="s">
        <v>205</v>
      </c>
      <c r="D306" s="303"/>
      <c r="E306" s="286"/>
      <c r="F306" s="321">
        <v>9.0299999999999994</v>
      </c>
      <c r="G306" s="305" t="s">
        <v>195</v>
      </c>
      <c r="H306" s="286">
        <v>1</v>
      </c>
      <c r="I306" s="304">
        <v>0.9</v>
      </c>
      <c r="J306" s="286">
        <v>5.42</v>
      </c>
      <c r="K306" s="304">
        <v>4.88</v>
      </c>
    </row>
    <row r="307" spans="1:22" ht="285" x14ac:dyDescent="0.2">
      <c r="A307" s="322" t="s">
        <v>1638</v>
      </c>
      <c r="B307" s="323" t="s">
        <v>3656</v>
      </c>
      <c r="C307" s="323" t="s">
        <v>1212</v>
      </c>
      <c r="D307" s="324" t="s">
        <v>1661</v>
      </c>
      <c r="E307" s="325">
        <v>1</v>
      </c>
      <c r="F307" s="326">
        <v>560.04999999999995</v>
      </c>
      <c r="G307" s="327" t="s">
        <v>195</v>
      </c>
      <c r="H307" s="325">
        <v>1</v>
      </c>
      <c r="I307" s="328">
        <v>560.04999999999995</v>
      </c>
      <c r="J307" s="325">
        <v>4.05</v>
      </c>
      <c r="K307" s="328">
        <v>2268.1999999999998</v>
      </c>
      <c r="Q307" s="281">
        <f>[19]Source!X260</f>
        <v>0</v>
      </c>
      <c r="R307" s="281">
        <f>[19]Source!X261</f>
        <v>0</v>
      </c>
      <c r="S307" s="281">
        <f>[19]Source!Y260</f>
        <v>0</v>
      </c>
      <c r="T307" s="281">
        <f>[19]Source!Y261</f>
        <v>0</v>
      </c>
      <c r="U307" s="281">
        <f>ROUND((175/100)*ROUND([19]Source!R260, 2), 2)</f>
        <v>0</v>
      </c>
      <c r="V307" s="281">
        <f>ROUND((157/100)*ROUND([19]Source!R261, 2), 2)</f>
        <v>0</v>
      </c>
    </row>
    <row r="308" spans="1:22" ht="14.25" x14ac:dyDescent="0.2">
      <c r="A308" s="301"/>
      <c r="B308" s="302"/>
      <c r="C308" s="302" t="s">
        <v>194</v>
      </c>
      <c r="D308" s="303" t="s">
        <v>187</v>
      </c>
      <c r="E308" s="286">
        <v>114</v>
      </c>
      <c r="F308" s="321"/>
      <c r="G308" s="305"/>
      <c r="H308" s="286"/>
      <c r="I308" s="304">
        <v>8</v>
      </c>
      <c r="J308" s="286">
        <v>77</v>
      </c>
      <c r="K308" s="304">
        <v>126.22</v>
      </c>
    </row>
    <row r="309" spans="1:22" ht="14.25" x14ac:dyDescent="0.2">
      <c r="A309" s="301"/>
      <c r="B309" s="302"/>
      <c r="C309" s="302" t="s">
        <v>193</v>
      </c>
      <c r="D309" s="303" t="s">
        <v>187</v>
      </c>
      <c r="E309" s="286">
        <v>67</v>
      </c>
      <c r="F309" s="321"/>
      <c r="G309" s="305"/>
      <c r="H309" s="286"/>
      <c r="I309" s="304">
        <v>4.7</v>
      </c>
      <c r="J309" s="286">
        <v>41</v>
      </c>
      <c r="K309" s="304">
        <v>67.209999999999994</v>
      </c>
    </row>
    <row r="310" spans="1:22" ht="14.25" x14ac:dyDescent="0.2">
      <c r="A310" s="329"/>
      <c r="B310" s="330"/>
      <c r="C310" s="330" t="s">
        <v>192</v>
      </c>
      <c r="D310" s="331" t="s">
        <v>191</v>
      </c>
      <c r="E310" s="332">
        <v>5.4</v>
      </c>
      <c r="F310" s="333"/>
      <c r="G310" s="334" t="s">
        <v>195</v>
      </c>
      <c r="H310" s="332">
        <v>1</v>
      </c>
      <c r="I310" s="335">
        <v>0.54</v>
      </c>
      <c r="J310" s="332"/>
      <c r="K310" s="335"/>
    </row>
    <row r="311" spans="1:22" ht="15" x14ac:dyDescent="0.25">
      <c r="A311" s="336"/>
      <c r="B311" s="336"/>
      <c r="C311" s="337" t="s">
        <v>183</v>
      </c>
      <c r="D311" s="336"/>
      <c r="E311" s="336"/>
      <c r="F311" s="336"/>
      <c r="G311" s="336"/>
      <c r="H311" s="461">
        <v>580.67999999999995</v>
      </c>
      <c r="I311" s="461"/>
      <c r="J311" s="461">
        <v>2630.51</v>
      </c>
      <c r="K311" s="461"/>
      <c r="O311" s="284">
        <f>I304+I305+I306+I308+I309+SUM(I307:I307)</f>
        <v>580.67999999999995</v>
      </c>
      <c r="P311" s="284">
        <f>K304+K305+K306+K308+K309+SUM(K307:K307)</f>
        <v>2630.51</v>
      </c>
    </row>
    <row r="313" spans="1:22" ht="57" x14ac:dyDescent="0.2">
      <c r="A313" s="301" t="s">
        <v>1645</v>
      </c>
      <c r="B313" s="302" t="s">
        <v>3690</v>
      </c>
      <c r="C313" s="302" t="s">
        <v>1461</v>
      </c>
      <c r="D313" s="303" t="s">
        <v>3691</v>
      </c>
      <c r="E313" s="286">
        <v>1</v>
      </c>
      <c r="F313" s="321"/>
      <c r="G313" s="305"/>
      <c r="H313" s="286"/>
      <c r="I313" s="304"/>
      <c r="J313" s="286"/>
      <c r="K313" s="304"/>
      <c r="Q313" s="281">
        <f>[19]Source!X262</f>
        <v>28.48</v>
      </c>
      <c r="R313" s="281">
        <f>[19]Source!X263</f>
        <v>449.13</v>
      </c>
      <c r="S313" s="281">
        <f>[19]Source!Y262</f>
        <v>16.739999999999998</v>
      </c>
      <c r="T313" s="281">
        <f>[19]Source!Y263</f>
        <v>239.14</v>
      </c>
      <c r="U313" s="281">
        <f>ROUND((175/100)*ROUND([19]Source!R262, 2), 2)</f>
        <v>0.54</v>
      </c>
      <c r="V313" s="281">
        <f>ROUND((157/100)*ROUND([19]Source!R263, 2), 2)</f>
        <v>11.37</v>
      </c>
    </row>
    <row r="314" spans="1:22" ht="14.25" x14ac:dyDescent="0.2">
      <c r="A314" s="301"/>
      <c r="B314" s="302"/>
      <c r="C314" s="302" t="s">
        <v>197</v>
      </c>
      <c r="D314" s="303"/>
      <c r="E314" s="286"/>
      <c r="F314" s="321">
        <v>24.98</v>
      </c>
      <c r="G314" s="305" t="s">
        <v>195</v>
      </c>
      <c r="H314" s="286">
        <v>1</v>
      </c>
      <c r="I314" s="304">
        <v>24.98</v>
      </c>
      <c r="J314" s="286">
        <v>23.35</v>
      </c>
      <c r="K314" s="304">
        <v>583.28</v>
      </c>
    </row>
    <row r="315" spans="1:22" ht="14.25" x14ac:dyDescent="0.2">
      <c r="A315" s="301"/>
      <c r="B315" s="302"/>
      <c r="C315" s="302" t="s">
        <v>184</v>
      </c>
      <c r="D315" s="303"/>
      <c r="E315" s="286"/>
      <c r="F315" s="321">
        <v>4.8499999999999996</v>
      </c>
      <c r="G315" s="305" t="s">
        <v>195</v>
      </c>
      <c r="H315" s="286">
        <v>1</v>
      </c>
      <c r="I315" s="304">
        <v>4.8499999999999996</v>
      </c>
      <c r="J315" s="286">
        <v>6.5</v>
      </c>
      <c r="K315" s="304">
        <v>31.53</v>
      </c>
    </row>
    <row r="316" spans="1:22" ht="14.25" x14ac:dyDescent="0.2">
      <c r="A316" s="301"/>
      <c r="B316" s="302"/>
      <c r="C316" s="302" t="s">
        <v>189</v>
      </c>
      <c r="D316" s="303"/>
      <c r="E316" s="286"/>
      <c r="F316" s="321">
        <v>0.31</v>
      </c>
      <c r="G316" s="305" t="s">
        <v>195</v>
      </c>
      <c r="H316" s="286">
        <v>1</v>
      </c>
      <c r="I316" s="306">
        <v>0.31</v>
      </c>
      <c r="J316" s="286">
        <v>23.35</v>
      </c>
      <c r="K316" s="306">
        <v>7.24</v>
      </c>
    </row>
    <row r="317" spans="1:22" ht="14.25" x14ac:dyDescent="0.2">
      <c r="A317" s="301"/>
      <c r="B317" s="302"/>
      <c r="C317" s="302" t="s">
        <v>205</v>
      </c>
      <c r="D317" s="303"/>
      <c r="E317" s="286"/>
      <c r="F317" s="321">
        <v>11.55</v>
      </c>
      <c r="G317" s="305" t="s">
        <v>195</v>
      </c>
      <c r="H317" s="286">
        <v>1</v>
      </c>
      <c r="I317" s="304">
        <v>11.55</v>
      </c>
      <c r="J317" s="286">
        <v>5.42</v>
      </c>
      <c r="K317" s="304">
        <v>62.6</v>
      </c>
    </row>
    <row r="318" spans="1:22" ht="68.25" x14ac:dyDescent="0.2">
      <c r="A318" s="322" t="s">
        <v>1647</v>
      </c>
      <c r="B318" s="323" t="s">
        <v>3692</v>
      </c>
      <c r="C318" s="323" t="s">
        <v>1460</v>
      </c>
      <c r="D318" s="324" t="s">
        <v>1661</v>
      </c>
      <c r="E318" s="325">
        <v>1</v>
      </c>
      <c r="F318" s="326">
        <v>81.92</v>
      </c>
      <c r="G318" s="327" t="s">
        <v>195</v>
      </c>
      <c r="H318" s="325">
        <v>1</v>
      </c>
      <c r="I318" s="328">
        <v>81.92</v>
      </c>
      <c r="J318" s="325">
        <v>4.4000000000000004</v>
      </c>
      <c r="K318" s="328">
        <v>360.45</v>
      </c>
      <c r="Q318" s="281">
        <f>[19]Source!X264</f>
        <v>0</v>
      </c>
      <c r="R318" s="281">
        <f>[19]Source!X265</f>
        <v>0</v>
      </c>
      <c r="S318" s="281">
        <f>[19]Source!Y264</f>
        <v>0</v>
      </c>
      <c r="T318" s="281">
        <f>[19]Source!Y265</f>
        <v>0</v>
      </c>
      <c r="U318" s="281">
        <f>ROUND((175/100)*ROUND([19]Source!R264, 2), 2)</f>
        <v>0</v>
      </c>
      <c r="V318" s="281">
        <f>ROUND((157/100)*ROUND([19]Source!R265, 2), 2)</f>
        <v>0</v>
      </c>
    </row>
    <row r="319" spans="1:22" ht="14.25" x14ac:dyDescent="0.2">
      <c r="A319" s="301"/>
      <c r="B319" s="302"/>
      <c r="C319" s="302" t="s">
        <v>194</v>
      </c>
      <c r="D319" s="303" t="s">
        <v>187</v>
      </c>
      <c r="E319" s="286">
        <v>114</v>
      </c>
      <c r="F319" s="321"/>
      <c r="G319" s="305"/>
      <c r="H319" s="286"/>
      <c r="I319" s="304">
        <v>28.48</v>
      </c>
      <c r="J319" s="286">
        <v>77</v>
      </c>
      <c r="K319" s="304">
        <v>449.13</v>
      </c>
    </row>
    <row r="320" spans="1:22" ht="14.25" x14ac:dyDescent="0.2">
      <c r="A320" s="301"/>
      <c r="B320" s="302"/>
      <c r="C320" s="302" t="s">
        <v>193</v>
      </c>
      <c r="D320" s="303" t="s">
        <v>187</v>
      </c>
      <c r="E320" s="286">
        <v>67</v>
      </c>
      <c r="F320" s="321"/>
      <c r="G320" s="305"/>
      <c r="H320" s="286"/>
      <c r="I320" s="304">
        <v>16.739999999999998</v>
      </c>
      <c r="J320" s="286">
        <v>41</v>
      </c>
      <c r="K320" s="304">
        <v>239.14</v>
      </c>
    </row>
    <row r="321" spans="1:22" ht="14.25" x14ac:dyDescent="0.2">
      <c r="A321" s="301"/>
      <c r="B321" s="302"/>
      <c r="C321" s="302" t="s">
        <v>188</v>
      </c>
      <c r="D321" s="303" t="s">
        <v>187</v>
      </c>
      <c r="E321" s="286">
        <v>175</v>
      </c>
      <c r="F321" s="321"/>
      <c r="G321" s="305"/>
      <c r="H321" s="286"/>
      <c r="I321" s="304">
        <v>0.54</v>
      </c>
      <c r="J321" s="286">
        <v>157</v>
      </c>
      <c r="K321" s="304">
        <v>11.37</v>
      </c>
    </row>
    <row r="322" spans="1:22" ht="14.25" x14ac:dyDescent="0.2">
      <c r="A322" s="329"/>
      <c r="B322" s="330"/>
      <c r="C322" s="330" t="s">
        <v>192</v>
      </c>
      <c r="D322" s="331" t="s">
        <v>191</v>
      </c>
      <c r="E322" s="332">
        <v>2</v>
      </c>
      <c r="F322" s="333"/>
      <c r="G322" s="334" t="s">
        <v>195</v>
      </c>
      <c r="H322" s="332">
        <v>1</v>
      </c>
      <c r="I322" s="335">
        <v>2</v>
      </c>
      <c r="J322" s="332"/>
      <c r="K322" s="335"/>
    </row>
    <row r="323" spans="1:22" ht="15" x14ac:dyDescent="0.25">
      <c r="A323" s="336"/>
      <c r="B323" s="336"/>
      <c r="C323" s="337" t="s">
        <v>183</v>
      </c>
      <c r="D323" s="336"/>
      <c r="E323" s="336"/>
      <c r="F323" s="336"/>
      <c r="G323" s="336"/>
      <c r="H323" s="461">
        <v>169.06</v>
      </c>
      <c r="I323" s="461"/>
      <c r="J323" s="461">
        <v>1737.5</v>
      </c>
      <c r="K323" s="461"/>
      <c r="O323" s="284">
        <f>I314+I315+I317+I319+I320+I321+SUM(I318:I318)</f>
        <v>169.06</v>
      </c>
      <c r="P323" s="284">
        <f>K314+K315+K317+K319+K320+K321+SUM(K318:K318)</f>
        <v>1737.5</v>
      </c>
    </row>
    <row r="325" spans="1:22" ht="57" x14ac:dyDescent="0.2">
      <c r="A325" s="301" t="s">
        <v>1652</v>
      </c>
      <c r="B325" s="302" t="s">
        <v>3622</v>
      </c>
      <c r="C325" s="302" t="s">
        <v>1243</v>
      </c>
      <c r="D325" s="303" t="s">
        <v>1903</v>
      </c>
      <c r="E325" s="286">
        <v>3</v>
      </c>
      <c r="F325" s="321"/>
      <c r="G325" s="305"/>
      <c r="H325" s="286"/>
      <c r="I325" s="304"/>
      <c r="J325" s="286"/>
      <c r="K325" s="304"/>
      <c r="Q325" s="281">
        <f>[19]Source!X266</f>
        <v>72.5</v>
      </c>
      <c r="R325" s="281">
        <f>[19]Source!X267</f>
        <v>1143.5</v>
      </c>
      <c r="S325" s="281">
        <f>[19]Source!Y266</f>
        <v>42.61</v>
      </c>
      <c r="T325" s="281">
        <f>[19]Source!Y267</f>
        <v>608.87</v>
      </c>
      <c r="U325" s="281">
        <f>ROUND((175/100)*ROUND([19]Source!R266, 2), 2)</f>
        <v>0.05</v>
      </c>
      <c r="V325" s="281">
        <f>ROUND((157/100)*ROUND([19]Source!R267, 2), 2)</f>
        <v>1.1000000000000001</v>
      </c>
    </row>
    <row r="326" spans="1:22" ht="14.25" x14ac:dyDescent="0.2">
      <c r="A326" s="301"/>
      <c r="B326" s="302"/>
      <c r="C326" s="302" t="s">
        <v>197</v>
      </c>
      <c r="D326" s="303"/>
      <c r="E326" s="286"/>
      <c r="F326" s="321">
        <v>21.2</v>
      </c>
      <c r="G326" s="305" t="s">
        <v>195</v>
      </c>
      <c r="H326" s="286">
        <v>1</v>
      </c>
      <c r="I326" s="304">
        <v>63.6</v>
      </c>
      <c r="J326" s="286">
        <v>23.35</v>
      </c>
      <c r="K326" s="304">
        <v>1485.06</v>
      </c>
    </row>
    <row r="327" spans="1:22" ht="14.25" x14ac:dyDescent="0.2">
      <c r="A327" s="301"/>
      <c r="B327" s="302"/>
      <c r="C327" s="302" t="s">
        <v>184</v>
      </c>
      <c r="D327" s="303"/>
      <c r="E327" s="286"/>
      <c r="F327" s="321">
        <v>0.06</v>
      </c>
      <c r="G327" s="305" t="s">
        <v>195</v>
      </c>
      <c r="H327" s="286">
        <v>1</v>
      </c>
      <c r="I327" s="304">
        <v>0.18</v>
      </c>
      <c r="J327" s="286">
        <v>8.33</v>
      </c>
      <c r="K327" s="304">
        <v>1.5</v>
      </c>
    </row>
    <row r="328" spans="1:22" ht="14.25" x14ac:dyDescent="0.2">
      <c r="A328" s="301"/>
      <c r="B328" s="302"/>
      <c r="C328" s="302" t="s">
        <v>189</v>
      </c>
      <c r="D328" s="303"/>
      <c r="E328" s="286"/>
      <c r="F328" s="321">
        <v>0.01</v>
      </c>
      <c r="G328" s="305" t="s">
        <v>195</v>
      </c>
      <c r="H328" s="286">
        <v>1</v>
      </c>
      <c r="I328" s="306">
        <v>0.03</v>
      </c>
      <c r="J328" s="286">
        <v>23.35</v>
      </c>
      <c r="K328" s="306">
        <v>0.7</v>
      </c>
    </row>
    <row r="329" spans="1:22" ht="14.25" x14ac:dyDescent="0.2">
      <c r="A329" s="301"/>
      <c r="B329" s="302"/>
      <c r="C329" s="302" t="s">
        <v>205</v>
      </c>
      <c r="D329" s="303"/>
      <c r="E329" s="286"/>
      <c r="F329" s="321">
        <v>1.26</v>
      </c>
      <c r="G329" s="305" t="s">
        <v>195</v>
      </c>
      <c r="H329" s="286">
        <v>1</v>
      </c>
      <c r="I329" s="304">
        <v>3.78</v>
      </c>
      <c r="J329" s="286">
        <v>5.42</v>
      </c>
      <c r="K329" s="304">
        <v>20.49</v>
      </c>
    </row>
    <row r="330" spans="1:22" ht="54" x14ac:dyDescent="0.2">
      <c r="A330" s="301" t="s">
        <v>1655</v>
      </c>
      <c r="B330" s="302" t="s">
        <v>3693</v>
      </c>
      <c r="C330" s="302" t="s">
        <v>1459</v>
      </c>
      <c r="D330" s="303" t="s">
        <v>1661</v>
      </c>
      <c r="E330" s="286">
        <v>3</v>
      </c>
      <c r="F330" s="321">
        <v>40.65</v>
      </c>
      <c r="G330" s="315" t="s">
        <v>195</v>
      </c>
      <c r="H330" s="286">
        <v>1</v>
      </c>
      <c r="I330" s="304">
        <v>121.95</v>
      </c>
      <c r="J330" s="286">
        <v>5.42</v>
      </c>
      <c r="K330" s="304">
        <v>660.97</v>
      </c>
      <c r="Q330" s="281">
        <f>[19]Source!X268</f>
        <v>0</v>
      </c>
      <c r="R330" s="281">
        <f>[19]Source!X269</f>
        <v>0</v>
      </c>
      <c r="S330" s="281">
        <f>[19]Source!Y268</f>
        <v>0</v>
      </c>
      <c r="T330" s="281">
        <f>[19]Source!Y269</f>
        <v>0</v>
      </c>
      <c r="U330" s="281">
        <f>ROUND((175/100)*ROUND([19]Source!R268, 2), 2)</f>
        <v>0</v>
      </c>
      <c r="V330" s="281">
        <f>ROUND((157/100)*ROUND([19]Source!R269, 2), 2)</f>
        <v>0</v>
      </c>
    </row>
    <row r="331" spans="1:22" ht="14.25" x14ac:dyDescent="0.2">
      <c r="A331" s="301"/>
      <c r="B331" s="302"/>
      <c r="C331" s="302" t="s">
        <v>194</v>
      </c>
      <c r="D331" s="303" t="s">
        <v>187</v>
      </c>
      <c r="E331" s="286">
        <v>114</v>
      </c>
      <c r="F331" s="321"/>
      <c r="G331" s="305"/>
      <c r="H331" s="286"/>
      <c r="I331" s="304">
        <v>72.5</v>
      </c>
      <c r="J331" s="286">
        <v>77</v>
      </c>
      <c r="K331" s="304">
        <v>1143.5</v>
      </c>
    </row>
    <row r="332" spans="1:22" ht="14.25" x14ac:dyDescent="0.2">
      <c r="A332" s="301"/>
      <c r="B332" s="302"/>
      <c r="C332" s="302" t="s">
        <v>193</v>
      </c>
      <c r="D332" s="303" t="s">
        <v>187</v>
      </c>
      <c r="E332" s="286">
        <v>67</v>
      </c>
      <c r="F332" s="321"/>
      <c r="G332" s="305"/>
      <c r="H332" s="286"/>
      <c r="I332" s="304">
        <v>42.61</v>
      </c>
      <c r="J332" s="286">
        <v>41</v>
      </c>
      <c r="K332" s="304">
        <v>608.87</v>
      </c>
    </row>
    <row r="333" spans="1:22" ht="14.25" x14ac:dyDescent="0.2">
      <c r="A333" s="301"/>
      <c r="B333" s="302"/>
      <c r="C333" s="302" t="s">
        <v>188</v>
      </c>
      <c r="D333" s="303" t="s">
        <v>187</v>
      </c>
      <c r="E333" s="286">
        <v>175</v>
      </c>
      <c r="F333" s="321"/>
      <c r="G333" s="305"/>
      <c r="H333" s="286"/>
      <c r="I333" s="304">
        <v>0.05</v>
      </c>
      <c r="J333" s="286">
        <v>157</v>
      </c>
      <c r="K333" s="304">
        <v>1.1000000000000001</v>
      </c>
    </row>
    <row r="334" spans="1:22" ht="14.25" x14ac:dyDescent="0.2">
      <c r="A334" s="329"/>
      <c r="B334" s="330"/>
      <c r="C334" s="330" t="s">
        <v>192</v>
      </c>
      <c r="D334" s="331" t="s">
        <v>191</v>
      </c>
      <c r="E334" s="332">
        <v>1.68</v>
      </c>
      <c r="F334" s="333"/>
      <c r="G334" s="334" t="s">
        <v>195</v>
      </c>
      <c r="H334" s="332">
        <v>1</v>
      </c>
      <c r="I334" s="335">
        <v>5.04</v>
      </c>
      <c r="J334" s="332"/>
      <c r="K334" s="335"/>
    </row>
    <row r="335" spans="1:22" ht="15" x14ac:dyDescent="0.25">
      <c r="A335" s="336"/>
      <c r="B335" s="336"/>
      <c r="C335" s="337" t="s">
        <v>183</v>
      </c>
      <c r="D335" s="336"/>
      <c r="E335" s="336"/>
      <c r="F335" s="336"/>
      <c r="G335" s="336"/>
      <c r="H335" s="461">
        <v>304.67</v>
      </c>
      <c r="I335" s="461"/>
      <c r="J335" s="461">
        <v>3921.49</v>
      </c>
      <c r="K335" s="461"/>
      <c r="O335" s="284">
        <f>I326+I327+I329+I331+I332+I333+SUM(I330:I330)</f>
        <v>304.67</v>
      </c>
      <c r="P335" s="284">
        <f>K326+K327+K329+K331+K332+K333+SUM(K330:K330)</f>
        <v>3921.49</v>
      </c>
    </row>
    <row r="337" spans="1:22" ht="57" x14ac:dyDescent="0.2">
      <c r="A337" s="301" t="s">
        <v>1665</v>
      </c>
      <c r="B337" s="302" t="s">
        <v>3622</v>
      </c>
      <c r="C337" s="302" t="s">
        <v>1243</v>
      </c>
      <c r="D337" s="303" t="s">
        <v>1903</v>
      </c>
      <c r="E337" s="286">
        <v>1</v>
      </c>
      <c r="F337" s="321"/>
      <c r="G337" s="305"/>
      <c r="H337" s="286"/>
      <c r="I337" s="304"/>
      <c r="J337" s="286"/>
      <c r="K337" s="304"/>
      <c r="Q337" s="281">
        <f>[19]Source!X270</f>
        <v>24.17</v>
      </c>
      <c r="R337" s="281">
        <f>[19]Source!X271</f>
        <v>381.17</v>
      </c>
      <c r="S337" s="281">
        <f>[19]Source!Y270</f>
        <v>14.2</v>
      </c>
      <c r="T337" s="281">
        <f>[19]Source!Y271</f>
        <v>202.96</v>
      </c>
      <c r="U337" s="281">
        <f>ROUND((175/100)*ROUND([19]Source!R270, 2), 2)</f>
        <v>0.02</v>
      </c>
      <c r="V337" s="281">
        <f>ROUND((157/100)*ROUND([19]Source!R271, 2), 2)</f>
        <v>0.36</v>
      </c>
    </row>
    <row r="338" spans="1:22" ht="14.25" x14ac:dyDescent="0.2">
      <c r="A338" s="301"/>
      <c r="B338" s="302"/>
      <c r="C338" s="302" t="s">
        <v>197</v>
      </c>
      <c r="D338" s="303"/>
      <c r="E338" s="286"/>
      <c r="F338" s="321">
        <v>21.2</v>
      </c>
      <c r="G338" s="305" t="s">
        <v>195</v>
      </c>
      <c r="H338" s="286">
        <v>1</v>
      </c>
      <c r="I338" s="304">
        <v>21.2</v>
      </c>
      <c r="J338" s="286">
        <v>23.35</v>
      </c>
      <c r="K338" s="304">
        <v>495.02</v>
      </c>
    </row>
    <row r="339" spans="1:22" ht="14.25" x14ac:dyDescent="0.2">
      <c r="A339" s="301"/>
      <c r="B339" s="302"/>
      <c r="C339" s="302" t="s">
        <v>184</v>
      </c>
      <c r="D339" s="303"/>
      <c r="E339" s="286"/>
      <c r="F339" s="321">
        <v>0.06</v>
      </c>
      <c r="G339" s="305" t="s">
        <v>195</v>
      </c>
      <c r="H339" s="286">
        <v>1</v>
      </c>
      <c r="I339" s="304">
        <v>0.06</v>
      </c>
      <c r="J339" s="286">
        <v>8.33</v>
      </c>
      <c r="K339" s="304">
        <v>0.5</v>
      </c>
    </row>
    <row r="340" spans="1:22" ht="14.25" x14ac:dyDescent="0.2">
      <c r="A340" s="301"/>
      <c r="B340" s="302"/>
      <c r="C340" s="302" t="s">
        <v>189</v>
      </c>
      <c r="D340" s="303"/>
      <c r="E340" s="286"/>
      <c r="F340" s="321">
        <v>0.01</v>
      </c>
      <c r="G340" s="305" t="s">
        <v>195</v>
      </c>
      <c r="H340" s="286">
        <v>1</v>
      </c>
      <c r="I340" s="306">
        <v>0.01</v>
      </c>
      <c r="J340" s="286">
        <v>23.35</v>
      </c>
      <c r="K340" s="306">
        <v>0.23</v>
      </c>
    </row>
    <row r="341" spans="1:22" ht="14.25" x14ac:dyDescent="0.2">
      <c r="A341" s="301"/>
      <c r="B341" s="302"/>
      <c r="C341" s="302" t="s">
        <v>205</v>
      </c>
      <c r="D341" s="303"/>
      <c r="E341" s="286"/>
      <c r="F341" s="321">
        <v>1.26</v>
      </c>
      <c r="G341" s="305" t="s">
        <v>195</v>
      </c>
      <c r="H341" s="286">
        <v>1</v>
      </c>
      <c r="I341" s="304">
        <v>1.26</v>
      </c>
      <c r="J341" s="286">
        <v>5.42</v>
      </c>
      <c r="K341" s="304">
        <v>6.83</v>
      </c>
    </row>
    <row r="342" spans="1:22" ht="39.75" x14ac:dyDescent="0.2">
      <c r="A342" s="301" t="s">
        <v>1667</v>
      </c>
      <c r="B342" s="302" t="s">
        <v>3694</v>
      </c>
      <c r="C342" s="302" t="s">
        <v>1447</v>
      </c>
      <c r="D342" s="303" t="s">
        <v>3240</v>
      </c>
      <c r="E342" s="286">
        <v>1</v>
      </c>
      <c r="F342" s="321">
        <v>25.56</v>
      </c>
      <c r="G342" s="315" t="s">
        <v>195</v>
      </c>
      <c r="H342" s="286">
        <v>1</v>
      </c>
      <c r="I342" s="304">
        <v>25.56</v>
      </c>
      <c r="J342" s="286">
        <v>5.42</v>
      </c>
      <c r="K342" s="304">
        <v>138.54</v>
      </c>
      <c r="Q342" s="281">
        <f>[19]Source!X272</f>
        <v>0</v>
      </c>
      <c r="R342" s="281">
        <f>[19]Source!X273</f>
        <v>0</v>
      </c>
      <c r="S342" s="281">
        <f>[19]Source!Y272</f>
        <v>0</v>
      </c>
      <c r="T342" s="281">
        <f>[19]Source!Y273</f>
        <v>0</v>
      </c>
      <c r="U342" s="281">
        <f>ROUND((175/100)*ROUND([19]Source!R272, 2), 2)</f>
        <v>0</v>
      </c>
      <c r="V342" s="281">
        <f>ROUND((157/100)*ROUND([19]Source!R273, 2), 2)</f>
        <v>0</v>
      </c>
    </row>
    <row r="343" spans="1:22" ht="14.25" x14ac:dyDescent="0.2">
      <c r="A343" s="301"/>
      <c r="B343" s="302"/>
      <c r="C343" s="302" t="s">
        <v>194</v>
      </c>
      <c r="D343" s="303" t="s">
        <v>187</v>
      </c>
      <c r="E343" s="286">
        <v>114</v>
      </c>
      <c r="F343" s="321"/>
      <c r="G343" s="305"/>
      <c r="H343" s="286"/>
      <c r="I343" s="304">
        <v>24.17</v>
      </c>
      <c r="J343" s="286">
        <v>77</v>
      </c>
      <c r="K343" s="304">
        <v>381.17</v>
      </c>
    </row>
    <row r="344" spans="1:22" ht="14.25" x14ac:dyDescent="0.2">
      <c r="A344" s="301"/>
      <c r="B344" s="302"/>
      <c r="C344" s="302" t="s">
        <v>193</v>
      </c>
      <c r="D344" s="303" t="s">
        <v>187</v>
      </c>
      <c r="E344" s="286">
        <v>67</v>
      </c>
      <c r="F344" s="321"/>
      <c r="G344" s="305"/>
      <c r="H344" s="286"/>
      <c r="I344" s="304">
        <v>14.2</v>
      </c>
      <c r="J344" s="286">
        <v>41</v>
      </c>
      <c r="K344" s="304">
        <v>202.96</v>
      </c>
    </row>
    <row r="345" spans="1:22" ht="14.25" x14ac:dyDescent="0.2">
      <c r="A345" s="301"/>
      <c r="B345" s="302"/>
      <c r="C345" s="302" t="s">
        <v>188</v>
      </c>
      <c r="D345" s="303" t="s">
        <v>187</v>
      </c>
      <c r="E345" s="286">
        <v>175</v>
      </c>
      <c r="F345" s="321"/>
      <c r="G345" s="305"/>
      <c r="H345" s="286"/>
      <c r="I345" s="304">
        <v>0.02</v>
      </c>
      <c r="J345" s="286">
        <v>157</v>
      </c>
      <c r="K345" s="304">
        <v>0.36</v>
      </c>
    </row>
    <row r="346" spans="1:22" ht="14.25" x14ac:dyDescent="0.2">
      <c r="A346" s="329"/>
      <c r="B346" s="330"/>
      <c r="C346" s="330" t="s">
        <v>192</v>
      </c>
      <c r="D346" s="331" t="s">
        <v>191</v>
      </c>
      <c r="E346" s="332">
        <v>1.68</v>
      </c>
      <c r="F346" s="333"/>
      <c r="G346" s="334" t="s">
        <v>195</v>
      </c>
      <c r="H346" s="332">
        <v>1</v>
      </c>
      <c r="I346" s="335">
        <v>1.68</v>
      </c>
      <c r="J346" s="332"/>
      <c r="K346" s="335"/>
    </row>
    <row r="347" spans="1:22" ht="15" x14ac:dyDescent="0.25">
      <c r="A347" s="336"/>
      <c r="B347" s="336"/>
      <c r="C347" s="337" t="s">
        <v>183</v>
      </c>
      <c r="D347" s="336"/>
      <c r="E347" s="336"/>
      <c r="F347" s="336"/>
      <c r="G347" s="336"/>
      <c r="H347" s="461">
        <v>86.47</v>
      </c>
      <c r="I347" s="461"/>
      <c r="J347" s="461">
        <v>1225.3800000000001</v>
      </c>
      <c r="K347" s="461"/>
      <c r="O347" s="284">
        <f>I338+I339+I341+I343+I344+I345+SUM(I342:I342)</f>
        <v>86.47</v>
      </c>
      <c r="P347" s="284">
        <f>K338+K339+K341+K343+K344+K345+SUM(K342:K342)</f>
        <v>1225.3800000000001</v>
      </c>
    </row>
    <row r="349" spans="1:22" ht="28.5" x14ac:dyDescent="0.2">
      <c r="A349" s="301" t="s">
        <v>1672</v>
      </c>
      <c r="B349" s="302" t="s">
        <v>3695</v>
      </c>
      <c r="C349" s="302" t="s">
        <v>1458</v>
      </c>
      <c r="D349" s="303" t="s">
        <v>1903</v>
      </c>
      <c r="E349" s="286">
        <v>1</v>
      </c>
      <c r="F349" s="321"/>
      <c r="G349" s="305"/>
      <c r="H349" s="286"/>
      <c r="I349" s="304"/>
      <c r="J349" s="286"/>
      <c r="K349" s="304"/>
      <c r="Q349" s="281">
        <f>[19]Source!X274</f>
        <v>18.32</v>
      </c>
      <c r="R349" s="281">
        <f>[19]Source!X275</f>
        <v>288.93</v>
      </c>
      <c r="S349" s="281">
        <f>[19]Source!Y274</f>
        <v>10.77</v>
      </c>
      <c r="T349" s="281">
        <f>[19]Source!Y275</f>
        <v>153.84</v>
      </c>
      <c r="U349" s="281">
        <f>ROUND((175/100)*ROUND([19]Source!R274, 2), 2)</f>
        <v>0.02</v>
      </c>
      <c r="V349" s="281">
        <f>ROUND((157/100)*ROUND([19]Source!R275, 2), 2)</f>
        <v>0.36</v>
      </c>
    </row>
    <row r="350" spans="1:22" ht="14.25" x14ac:dyDescent="0.2">
      <c r="A350" s="301"/>
      <c r="B350" s="302"/>
      <c r="C350" s="302" t="s">
        <v>197</v>
      </c>
      <c r="D350" s="303"/>
      <c r="E350" s="286"/>
      <c r="F350" s="321">
        <v>16.07</v>
      </c>
      <c r="G350" s="305" t="s">
        <v>195</v>
      </c>
      <c r="H350" s="286">
        <v>1</v>
      </c>
      <c r="I350" s="304">
        <v>16.07</v>
      </c>
      <c r="J350" s="286">
        <v>23.35</v>
      </c>
      <c r="K350" s="304">
        <v>375.23</v>
      </c>
    </row>
    <row r="351" spans="1:22" ht="14.25" x14ac:dyDescent="0.2">
      <c r="A351" s="301"/>
      <c r="B351" s="302"/>
      <c r="C351" s="302" t="s">
        <v>184</v>
      </c>
      <c r="D351" s="303"/>
      <c r="E351" s="286"/>
      <c r="F351" s="321">
        <v>0.05</v>
      </c>
      <c r="G351" s="305" t="s">
        <v>195</v>
      </c>
      <c r="H351" s="286">
        <v>1</v>
      </c>
      <c r="I351" s="304">
        <v>0.05</v>
      </c>
      <c r="J351" s="286">
        <v>9</v>
      </c>
      <c r="K351" s="304">
        <v>0.45</v>
      </c>
    </row>
    <row r="352" spans="1:22" ht="14.25" x14ac:dyDescent="0.2">
      <c r="A352" s="301"/>
      <c r="B352" s="302"/>
      <c r="C352" s="302" t="s">
        <v>189</v>
      </c>
      <c r="D352" s="303"/>
      <c r="E352" s="286"/>
      <c r="F352" s="321">
        <v>0.01</v>
      </c>
      <c r="G352" s="305" t="s">
        <v>195</v>
      </c>
      <c r="H352" s="286">
        <v>1</v>
      </c>
      <c r="I352" s="306">
        <v>0.01</v>
      </c>
      <c r="J352" s="286">
        <v>23.35</v>
      </c>
      <c r="K352" s="306">
        <v>0.23</v>
      </c>
    </row>
    <row r="353" spans="1:22" ht="14.25" x14ac:dyDescent="0.2">
      <c r="A353" s="301"/>
      <c r="B353" s="302"/>
      <c r="C353" s="302" t="s">
        <v>205</v>
      </c>
      <c r="D353" s="303"/>
      <c r="E353" s="286"/>
      <c r="F353" s="321">
        <v>1.96</v>
      </c>
      <c r="G353" s="305" t="s">
        <v>195</v>
      </c>
      <c r="H353" s="286">
        <v>1</v>
      </c>
      <c r="I353" s="304">
        <v>1.96</v>
      </c>
      <c r="J353" s="286">
        <v>5.42</v>
      </c>
      <c r="K353" s="304">
        <v>10.62</v>
      </c>
    </row>
    <row r="354" spans="1:22" ht="68.25" x14ac:dyDescent="0.2">
      <c r="A354" s="322" t="s">
        <v>1675</v>
      </c>
      <c r="B354" s="323" t="s">
        <v>3696</v>
      </c>
      <c r="C354" s="323" t="s">
        <v>1457</v>
      </c>
      <c r="D354" s="324" t="s">
        <v>1661</v>
      </c>
      <c r="E354" s="325">
        <v>1</v>
      </c>
      <c r="F354" s="326">
        <v>130.30000000000001</v>
      </c>
      <c r="G354" s="327" t="s">
        <v>195</v>
      </c>
      <c r="H354" s="325">
        <v>1</v>
      </c>
      <c r="I354" s="328">
        <v>130.30000000000001</v>
      </c>
      <c r="J354" s="325">
        <v>4.4000000000000004</v>
      </c>
      <c r="K354" s="328">
        <v>573.32000000000005</v>
      </c>
      <c r="Q354" s="281">
        <f>[19]Source!X276</f>
        <v>0</v>
      </c>
      <c r="R354" s="281">
        <f>[19]Source!X277</f>
        <v>0</v>
      </c>
      <c r="S354" s="281">
        <f>[19]Source!Y276</f>
        <v>0</v>
      </c>
      <c r="T354" s="281">
        <f>[19]Source!Y277</f>
        <v>0</v>
      </c>
      <c r="U354" s="281">
        <f>ROUND((175/100)*ROUND([19]Source!R276, 2), 2)</f>
        <v>0</v>
      </c>
      <c r="V354" s="281">
        <f>ROUND((157/100)*ROUND([19]Source!R277, 2), 2)</f>
        <v>0</v>
      </c>
    </row>
    <row r="355" spans="1:22" ht="14.25" x14ac:dyDescent="0.2">
      <c r="A355" s="301"/>
      <c r="B355" s="302"/>
      <c r="C355" s="302" t="s">
        <v>194</v>
      </c>
      <c r="D355" s="303" t="s">
        <v>187</v>
      </c>
      <c r="E355" s="286">
        <v>114</v>
      </c>
      <c r="F355" s="321"/>
      <c r="G355" s="305"/>
      <c r="H355" s="286"/>
      <c r="I355" s="304">
        <v>18.32</v>
      </c>
      <c r="J355" s="286">
        <v>77</v>
      </c>
      <c r="K355" s="304">
        <v>288.93</v>
      </c>
    </row>
    <row r="356" spans="1:22" ht="14.25" x14ac:dyDescent="0.2">
      <c r="A356" s="301"/>
      <c r="B356" s="302"/>
      <c r="C356" s="302" t="s">
        <v>193</v>
      </c>
      <c r="D356" s="303" t="s">
        <v>187</v>
      </c>
      <c r="E356" s="286">
        <v>67</v>
      </c>
      <c r="F356" s="321"/>
      <c r="G356" s="305"/>
      <c r="H356" s="286"/>
      <c r="I356" s="304">
        <v>10.77</v>
      </c>
      <c r="J356" s="286">
        <v>41</v>
      </c>
      <c r="K356" s="304">
        <v>153.84</v>
      </c>
    </row>
    <row r="357" spans="1:22" ht="14.25" x14ac:dyDescent="0.2">
      <c r="A357" s="301"/>
      <c r="B357" s="302"/>
      <c r="C357" s="302" t="s">
        <v>188</v>
      </c>
      <c r="D357" s="303" t="s">
        <v>187</v>
      </c>
      <c r="E357" s="286">
        <v>175</v>
      </c>
      <c r="F357" s="321"/>
      <c r="G357" s="305"/>
      <c r="H357" s="286"/>
      <c r="I357" s="304">
        <v>0.02</v>
      </c>
      <c r="J357" s="286">
        <v>157</v>
      </c>
      <c r="K357" s="304">
        <v>0.36</v>
      </c>
    </row>
    <row r="358" spans="1:22" ht="14.25" x14ac:dyDescent="0.2">
      <c r="A358" s="329"/>
      <c r="B358" s="330"/>
      <c r="C358" s="330" t="s">
        <v>192</v>
      </c>
      <c r="D358" s="331" t="s">
        <v>191</v>
      </c>
      <c r="E358" s="332">
        <v>1.2</v>
      </c>
      <c r="F358" s="333"/>
      <c r="G358" s="334" t="s">
        <v>195</v>
      </c>
      <c r="H358" s="332">
        <v>1</v>
      </c>
      <c r="I358" s="335">
        <v>1.2</v>
      </c>
      <c r="J358" s="332"/>
      <c r="K358" s="335"/>
    </row>
    <row r="359" spans="1:22" ht="15" x14ac:dyDescent="0.25">
      <c r="A359" s="336"/>
      <c r="B359" s="336"/>
      <c r="C359" s="337" t="s">
        <v>183</v>
      </c>
      <c r="D359" s="336"/>
      <c r="E359" s="336"/>
      <c r="F359" s="336"/>
      <c r="G359" s="336"/>
      <c r="H359" s="461">
        <v>177.49</v>
      </c>
      <c r="I359" s="461"/>
      <c r="J359" s="461">
        <v>1402.75</v>
      </c>
      <c r="K359" s="461"/>
      <c r="O359" s="284">
        <f>I350+I351+I353+I355+I356+I357+SUM(I354:I354)</f>
        <v>177.49</v>
      </c>
      <c r="P359" s="284">
        <f>K350+K351+K353+K355+K356+K357+SUM(K354:K354)</f>
        <v>1402.75</v>
      </c>
    </row>
    <row r="362" spans="1:22" ht="15" x14ac:dyDescent="0.25">
      <c r="A362" s="447" t="s">
        <v>3703</v>
      </c>
      <c r="B362" s="447"/>
      <c r="C362" s="447"/>
      <c r="D362" s="447"/>
      <c r="E362" s="447"/>
      <c r="F362" s="447"/>
      <c r="G362" s="447"/>
      <c r="H362" s="445">
        <v>2220.98</v>
      </c>
      <c r="I362" s="446"/>
      <c r="J362" s="445">
        <v>19774.27</v>
      </c>
      <c r="K362" s="446"/>
    </row>
    <row r="363" spans="1:22" hidden="1" x14ac:dyDescent="0.2">
      <c r="A363" s="281" t="s">
        <v>182</v>
      </c>
      <c r="I363" s="281">
        <v>0</v>
      </c>
      <c r="J363" s="281">
        <v>0</v>
      </c>
    </row>
    <row r="364" spans="1:22" hidden="1" x14ac:dyDescent="0.2">
      <c r="A364" s="281" t="s">
        <v>181</v>
      </c>
      <c r="I364" s="281">
        <v>0</v>
      </c>
      <c r="J364" s="281">
        <v>0</v>
      </c>
    </row>
    <row r="366" spans="1:22" ht="16.5" x14ac:dyDescent="0.25">
      <c r="A366" s="448" t="s">
        <v>3704</v>
      </c>
      <c r="B366" s="448"/>
      <c r="C366" s="448"/>
      <c r="D366" s="448"/>
      <c r="E366" s="448"/>
      <c r="F366" s="448"/>
      <c r="G366" s="448"/>
      <c r="H366" s="448"/>
      <c r="I366" s="448"/>
      <c r="J366" s="448"/>
      <c r="K366" s="448"/>
    </row>
    <row r="367" spans="1:22" ht="28.5" x14ac:dyDescent="0.2">
      <c r="A367" s="301" t="s">
        <v>1685</v>
      </c>
      <c r="B367" s="302" t="s">
        <v>3683</v>
      </c>
      <c r="C367" s="302" t="s">
        <v>1465</v>
      </c>
      <c r="D367" s="303" t="s">
        <v>1903</v>
      </c>
      <c r="E367" s="286">
        <v>1</v>
      </c>
      <c r="F367" s="321"/>
      <c r="G367" s="305"/>
      <c r="H367" s="286"/>
      <c r="I367" s="304"/>
      <c r="J367" s="286"/>
      <c r="K367" s="304"/>
      <c r="Q367" s="281">
        <f>[19]Source!X313</f>
        <v>48.91</v>
      </c>
      <c r="R367" s="281">
        <f>[19]Source!X314</f>
        <v>771.32</v>
      </c>
      <c r="S367" s="281">
        <f>[19]Source!Y313</f>
        <v>28.74</v>
      </c>
      <c r="T367" s="281">
        <f>[19]Source!Y314</f>
        <v>410.71</v>
      </c>
      <c r="U367" s="281">
        <f>ROUND((175/100)*ROUND([19]Source!R313, 2), 2)</f>
        <v>0.02</v>
      </c>
      <c r="V367" s="281">
        <f>ROUND((157/100)*ROUND([19]Source!R314, 2), 2)</f>
        <v>0.36</v>
      </c>
    </row>
    <row r="368" spans="1:22" ht="14.25" x14ac:dyDescent="0.2">
      <c r="A368" s="301"/>
      <c r="B368" s="302"/>
      <c r="C368" s="302" t="s">
        <v>197</v>
      </c>
      <c r="D368" s="303"/>
      <c r="E368" s="286"/>
      <c r="F368" s="321">
        <v>42.9</v>
      </c>
      <c r="G368" s="305" t="s">
        <v>195</v>
      </c>
      <c r="H368" s="286">
        <v>1</v>
      </c>
      <c r="I368" s="304">
        <v>42.9</v>
      </c>
      <c r="J368" s="286">
        <v>23.35</v>
      </c>
      <c r="K368" s="304">
        <v>1001.72</v>
      </c>
    </row>
    <row r="369" spans="1:22" ht="14.25" x14ac:dyDescent="0.2">
      <c r="A369" s="301"/>
      <c r="B369" s="302"/>
      <c r="C369" s="302" t="s">
        <v>184</v>
      </c>
      <c r="D369" s="303"/>
      <c r="E369" s="286"/>
      <c r="F369" s="321">
        <v>0.05</v>
      </c>
      <c r="G369" s="305" t="s">
        <v>195</v>
      </c>
      <c r="H369" s="286">
        <v>1</v>
      </c>
      <c r="I369" s="304">
        <v>0.05</v>
      </c>
      <c r="J369" s="286">
        <v>9</v>
      </c>
      <c r="K369" s="304">
        <v>0.45</v>
      </c>
    </row>
    <row r="370" spans="1:22" ht="14.25" x14ac:dyDescent="0.2">
      <c r="A370" s="301"/>
      <c r="B370" s="302"/>
      <c r="C370" s="302" t="s">
        <v>189</v>
      </c>
      <c r="D370" s="303"/>
      <c r="E370" s="286"/>
      <c r="F370" s="321">
        <v>0.01</v>
      </c>
      <c r="G370" s="305" t="s">
        <v>195</v>
      </c>
      <c r="H370" s="286">
        <v>1</v>
      </c>
      <c r="I370" s="306">
        <v>0.01</v>
      </c>
      <c r="J370" s="286">
        <v>23.35</v>
      </c>
      <c r="K370" s="306">
        <v>0.23</v>
      </c>
    </row>
    <row r="371" spans="1:22" ht="14.25" x14ac:dyDescent="0.2">
      <c r="A371" s="301"/>
      <c r="B371" s="302"/>
      <c r="C371" s="302" t="s">
        <v>205</v>
      </c>
      <c r="D371" s="303"/>
      <c r="E371" s="286"/>
      <c r="F371" s="321">
        <v>3.15</v>
      </c>
      <c r="G371" s="305" t="s">
        <v>195</v>
      </c>
      <c r="H371" s="286">
        <v>1</v>
      </c>
      <c r="I371" s="304">
        <v>3.15</v>
      </c>
      <c r="J371" s="286">
        <v>5.42</v>
      </c>
      <c r="K371" s="304">
        <v>17.07</v>
      </c>
    </row>
    <row r="372" spans="1:22" ht="142.5" x14ac:dyDescent="0.2">
      <c r="A372" s="322" t="s">
        <v>1688</v>
      </c>
      <c r="B372" s="323" t="s">
        <v>3687</v>
      </c>
      <c r="C372" s="323" t="s">
        <v>1464</v>
      </c>
      <c r="D372" s="324" t="s">
        <v>1913</v>
      </c>
      <c r="E372" s="325">
        <v>1</v>
      </c>
      <c r="F372" s="326">
        <v>580.54</v>
      </c>
      <c r="G372" s="327" t="s">
        <v>195</v>
      </c>
      <c r="H372" s="325">
        <v>1</v>
      </c>
      <c r="I372" s="328">
        <v>580.54</v>
      </c>
      <c r="J372" s="325">
        <v>9.8000000000000007</v>
      </c>
      <c r="K372" s="328">
        <v>5689.29</v>
      </c>
      <c r="Q372" s="281">
        <f>[19]Source!X315</f>
        <v>0</v>
      </c>
      <c r="R372" s="281">
        <f>[19]Source!X316</f>
        <v>0</v>
      </c>
      <c r="S372" s="281">
        <f>[19]Source!Y315</f>
        <v>0</v>
      </c>
      <c r="T372" s="281">
        <f>[19]Source!Y316</f>
        <v>0</v>
      </c>
      <c r="U372" s="281">
        <f>ROUND((175/100)*ROUND([19]Source!R315, 2), 2)</f>
        <v>0</v>
      </c>
      <c r="V372" s="281">
        <f>ROUND((157/100)*ROUND([19]Source!R316, 2), 2)</f>
        <v>0</v>
      </c>
    </row>
    <row r="373" spans="1:22" ht="57" x14ac:dyDescent="0.2">
      <c r="A373" s="322" t="s">
        <v>1690</v>
      </c>
      <c r="B373" s="323" t="s">
        <v>3688</v>
      </c>
      <c r="C373" s="323" t="s">
        <v>1463</v>
      </c>
      <c r="D373" s="324" t="s">
        <v>1661</v>
      </c>
      <c r="E373" s="325">
        <v>2</v>
      </c>
      <c r="F373" s="326">
        <v>99.15</v>
      </c>
      <c r="G373" s="327" t="s">
        <v>195</v>
      </c>
      <c r="H373" s="325">
        <v>1</v>
      </c>
      <c r="I373" s="328">
        <v>198.3</v>
      </c>
      <c r="J373" s="325">
        <v>4.87</v>
      </c>
      <c r="K373" s="328">
        <v>965.72</v>
      </c>
      <c r="Q373" s="281">
        <f>[19]Source!X317</f>
        <v>0</v>
      </c>
      <c r="R373" s="281">
        <f>[19]Source!X318</f>
        <v>0</v>
      </c>
      <c r="S373" s="281">
        <f>[19]Source!Y317</f>
        <v>0</v>
      </c>
      <c r="T373" s="281">
        <f>[19]Source!Y318</f>
        <v>0</v>
      </c>
      <c r="U373" s="281">
        <f>ROUND((175/100)*ROUND([19]Source!R317, 2), 2)</f>
        <v>0</v>
      </c>
      <c r="V373" s="281">
        <f>ROUND((157/100)*ROUND([19]Source!R318, 2), 2)</f>
        <v>0</v>
      </c>
    </row>
    <row r="374" spans="1:22" ht="14.25" x14ac:dyDescent="0.2">
      <c r="A374" s="301"/>
      <c r="B374" s="302"/>
      <c r="C374" s="302" t="s">
        <v>194</v>
      </c>
      <c r="D374" s="303" t="s">
        <v>187</v>
      </c>
      <c r="E374" s="286">
        <v>114</v>
      </c>
      <c r="F374" s="321"/>
      <c r="G374" s="305"/>
      <c r="H374" s="286"/>
      <c r="I374" s="304">
        <v>48.91</v>
      </c>
      <c r="J374" s="286">
        <v>77</v>
      </c>
      <c r="K374" s="304">
        <v>771.32</v>
      </c>
    </row>
    <row r="375" spans="1:22" ht="14.25" x14ac:dyDescent="0.2">
      <c r="A375" s="301"/>
      <c r="B375" s="302"/>
      <c r="C375" s="302" t="s">
        <v>193</v>
      </c>
      <c r="D375" s="303" t="s">
        <v>187</v>
      </c>
      <c r="E375" s="286">
        <v>67</v>
      </c>
      <c r="F375" s="321"/>
      <c r="G375" s="305"/>
      <c r="H375" s="286"/>
      <c r="I375" s="304">
        <v>28.74</v>
      </c>
      <c r="J375" s="286">
        <v>41</v>
      </c>
      <c r="K375" s="304">
        <v>410.71</v>
      </c>
    </row>
    <row r="376" spans="1:22" ht="14.25" x14ac:dyDescent="0.2">
      <c r="A376" s="301"/>
      <c r="B376" s="302"/>
      <c r="C376" s="302" t="s">
        <v>188</v>
      </c>
      <c r="D376" s="303" t="s">
        <v>187</v>
      </c>
      <c r="E376" s="286">
        <v>175</v>
      </c>
      <c r="F376" s="321"/>
      <c r="G376" s="305"/>
      <c r="H376" s="286"/>
      <c r="I376" s="304">
        <v>0.02</v>
      </c>
      <c r="J376" s="286">
        <v>157</v>
      </c>
      <c r="K376" s="304">
        <v>0.36</v>
      </c>
    </row>
    <row r="377" spans="1:22" ht="14.25" x14ac:dyDescent="0.2">
      <c r="A377" s="329"/>
      <c r="B377" s="330"/>
      <c r="C377" s="330" t="s">
        <v>192</v>
      </c>
      <c r="D377" s="331" t="s">
        <v>191</v>
      </c>
      <c r="E377" s="332">
        <v>3.3</v>
      </c>
      <c r="F377" s="333"/>
      <c r="G377" s="334" t="s">
        <v>195</v>
      </c>
      <c r="H377" s="332">
        <v>1</v>
      </c>
      <c r="I377" s="335">
        <v>3.3</v>
      </c>
      <c r="J377" s="332"/>
      <c r="K377" s="335"/>
    </row>
    <row r="378" spans="1:22" ht="15" x14ac:dyDescent="0.25">
      <c r="A378" s="336"/>
      <c r="B378" s="336"/>
      <c r="C378" s="337" t="s">
        <v>183</v>
      </c>
      <c r="D378" s="336"/>
      <c r="E378" s="336"/>
      <c r="F378" s="336"/>
      <c r="G378" s="336"/>
      <c r="H378" s="461">
        <v>902.61</v>
      </c>
      <c r="I378" s="461"/>
      <c r="J378" s="461">
        <v>8856.64</v>
      </c>
      <c r="K378" s="461"/>
      <c r="O378" s="284">
        <f>I368+I369+I371+I374+I375+I376+SUM(I372:I373)</f>
        <v>902.61</v>
      </c>
      <c r="P378" s="284">
        <f>K368+K369+K371+K374+K375+K376+SUM(K372:K373)</f>
        <v>8856.64</v>
      </c>
    </row>
    <row r="380" spans="1:22" ht="42.75" x14ac:dyDescent="0.2">
      <c r="A380" s="301" t="s">
        <v>1696</v>
      </c>
      <c r="B380" s="302" t="s">
        <v>3689</v>
      </c>
      <c r="C380" s="302" t="s">
        <v>1462</v>
      </c>
      <c r="D380" s="303" t="s">
        <v>3669</v>
      </c>
      <c r="E380" s="286">
        <v>0.2</v>
      </c>
      <c r="F380" s="321"/>
      <c r="G380" s="305"/>
      <c r="H380" s="286"/>
      <c r="I380" s="304"/>
      <c r="J380" s="286"/>
      <c r="K380" s="304"/>
      <c r="Q380" s="281">
        <f>[19]Source!X319</f>
        <v>16.010000000000002</v>
      </c>
      <c r="R380" s="281">
        <f>[19]Source!X320</f>
        <v>252.43</v>
      </c>
      <c r="S380" s="281">
        <f>[19]Source!Y319</f>
        <v>9.41</v>
      </c>
      <c r="T380" s="281">
        <f>[19]Source!Y320</f>
        <v>134.41</v>
      </c>
      <c r="U380" s="281">
        <f>ROUND((175/100)*ROUND([19]Source!R319, 2), 2)</f>
        <v>0</v>
      </c>
      <c r="V380" s="281">
        <f>ROUND((157/100)*ROUND([19]Source!R320, 2), 2)</f>
        <v>0</v>
      </c>
    </row>
    <row r="381" spans="1:22" x14ac:dyDescent="0.2">
      <c r="C381" s="316" t="s">
        <v>3583</v>
      </c>
    </row>
    <row r="382" spans="1:22" ht="14.25" x14ac:dyDescent="0.2">
      <c r="A382" s="301"/>
      <c r="B382" s="302"/>
      <c r="C382" s="302" t="s">
        <v>197</v>
      </c>
      <c r="D382" s="303"/>
      <c r="E382" s="286"/>
      <c r="F382" s="321">
        <v>70.2</v>
      </c>
      <c r="G382" s="305" t="s">
        <v>195</v>
      </c>
      <c r="H382" s="286">
        <v>1</v>
      </c>
      <c r="I382" s="304">
        <v>14.04</v>
      </c>
      <c r="J382" s="286">
        <v>23.35</v>
      </c>
      <c r="K382" s="304">
        <v>327.83</v>
      </c>
    </row>
    <row r="383" spans="1:22" ht="14.25" x14ac:dyDescent="0.2">
      <c r="A383" s="301"/>
      <c r="B383" s="302"/>
      <c r="C383" s="302" t="s">
        <v>184</v>
      </c>
      <c r="D383" s="303"/>
      <c r="E383" s="286"/>
      <c r="F383" s="321">
        <v>0.06</v>
      </c>
      <c r="G383" s="305" t="s">
        <v>195</v>
      </c>
      <c r="H383" s="286">
        <v>1</v>
      </c>
      <c r="I383" s="304">
        <v>0.01</v>
      </c>
      <c r="J383" s="286">
        <v>8.33</v>
      </c>
      <c r="K383" s="304">
        <v>0.08</v>
      </c>
    </row>
    <row r="384" spans="1:22" ht="14.25" x14ac:dyDescent="0.2">
      <c r="A384" s="301"/>
      <c r="B384" s="302"/>
      <c r="C384" s="302" t="s">
        <v>205</v>
      </c>
      <c r="D384" s="303"/>
      <c r="E384" s="286"/>
      <c r="F384" s="321">
        <v>9.0299999999999994</v>
      </c>
      <c r="G384" s="305" t="s">
        <v>195</v>
      </c>
      <c r="H384" s="286">
        <v>1</v>
      </c>
      <c r="I384" s="304">
        <v>1.81</v>
      </c>
      <c r="J384" s="286">
        <v>5.42</v>
      </c>
      <c r="K384" s="304">
        <v>9.81</v>
      </c>
    </row>
    <row r="385" spans="1:22" ht="285" x14ac:dyDescent="0.2">
      <c r="A385" s="322" t="s">
        <v>1699</v>
      </c>
      <c r="B385" s="323" t="s">
        <v>3656</v>
      </c>
      <c r="C385" s="323" t="s">
        <v>1212</v>
      </c>
      <c r="D385" s="324" t="s">
        <v>1661</v>
      </c>
      <c r="E385" s="325">
        <v>2</v>
      </c>
      <c r="F385" s="326">
        <v>560.04999999999995</v>
      </c>
      <c r="G385" s="327" t="s">
        <v>195</v>
      </c>
      <c r="H385" s="325">
        <v>1</v>
      </c>
      <c r="I385" s="328">
        <v>1120.0999999999999</v>
      </c>
      <c r="J385" s="325">
        <v>4.05</v>
      </c>
      <c r="K385" s="328">
        <v>4536.41</v>
      </c>
      <c r="Q385" s="281">
        <f>[19]Source!X321</f>
        <v>0</v>
      </c>
      <c r="R385" s="281">
        <f>[19]Source!X322</f>
        <v>0</v>
      </c>
      <c r="S385" s="281">
        <f>[19]Source!Y321</f>
        <v>0</v>
      </c>
      <c r="T385" s="281">
        <f>[19]Source!Y322</f>
        <v>0</v>
      </c>
      <c r="U385" s="281">
        <f>ROUND((175/100)*ROUND([19]Source!R321, 2), 2)</f>
        <v>0</v>
      </c>
      <c r="V385" s="281">
        <f>ROUND((157/100)*ROUND([19]Source!R322, 2), 2)</f>
        <v>0</v>
      </c>
    </row>
    <row r="386" spans="1:22" ht="14.25" x14ac:dyDescent="0.2">
      <c r="A386" s="301"/>
      <c r="B386" s="302"/>
      <c r="C386" s="302" t="s">
        <v>194</v>
      </c>
      <c r="D386" s="303" t="s">
        <v>187</v>
      </c>
      <c r="E386" s="286">
        <v>114</v>
      </c>
      <c r="F386" s="321"/>
      <c r="G386" s="305"/>
      <c r="H386" s="286"/>
      <c r="I386" s="304">
        <v>16.010000000000002</v>
      </c>
      <c r="J386" s="286">
        <v>77</v>
      </c>
      <c r="K386" s="304">
        <v>252.43</v>
      </c>
    </row>
    <row r="387" spans="1:22" ht="14.25" x14ac:dyDescent="0.2">
      <c r="A387" s="301"/>
      <c r="B387" s="302"/>
      <c r="C387" s="302" t="s">
        <v>193</v>
      </c>
      <c r="D387" s="303" t="s">
        <v>187</v>
      </c>
      <c r="E387" s="286">
        <v>67</v>
      </c>
      <c r="F387" s="321"/>
      <c r="G387" s="305"/>
      <c r="H387" s="286"/>
      <c r="I387" s="304">
        <v>9.41</v>
      </c>
      <c r="J387" s="286">
        <v>41</v>
      </c>
      <c r="K387" s="304">
        <v>134.41</v>
      </c>
    </row>
    <row r="388" spans="1:22" ht="14.25" x14ac:dyDescent="0.2">
      <c r="A388" s="329"/>
      <c r="B388" s="330"/>
      <c r="C388" s="330" t="s">
        <v>192</v>
      </c>
      <c r="D388" s="331" t="s">
        <v>191</v>
      </c>
      <c r="E388" s="332">
        <v>5.4</v>
      </c>
      <c r="F388" s="333"/>
      <c r="G388" s="334" t="s">
        <v>195</v>
      </c>
      <c r="H388" s="332">
        <v>1</v>
      </c>
      <c r="I388" s="335">
        <v>1.08</v>
      </c>
      <c r="J388" s="332"/>
      <c r="K388" s="335"/>
    </row>
    <row r="389" spans="1:22" ht="15" x14ac:dyDescent="0.25">
      <c r="A389" s="336"/>
      <c r="B389" s="336"/>
      <c r="C389" s="337" t="s">
        <v>183</v>
      </c>
      <c r="D389" s="336"/>
      <c r="E389" s="336"/>
      <c r="F389" s="336"/>
      <c r="G389" s="336"/>
      <c r="H389" s="461">
        <v>1161.3800000000001</v>
      </c>
      <c r="I389" s="461"/>
      <c r="J389" s="461">
        <v>5260.97</v>
      </c>
      <c r="K389" s="461"/>
      <c r="O389" s="284">
        <f>I382+I383+I384+I386+I387+SUM(I385:I385)</f>
        <v>1161.3800000000001</v>
      </c>
      <c r="P389" s="284">
        <f>K382+K383+K384+K386+K387+SUM(K385:K385)</f>
        <v>5260.97</v>
      </c>
    </row>
    <row r="391" spans="1:22" ht="57" x14ac:dyDescent="0.2">
      <c r="A391" s="301" t="s">
        <v>1705</v>
      </c>
      <c r="B391" s="302" t="s">
        <v>3690</v>
      </c>
      <c r="C391" s="302" t="s">
        <v>1461</v>
      </c>
      <c r="D391" s="303" t="s">
        <v>3691</v>
      </c>
      <c r="E391" s="286">
        <v>1</v>
      </c>
      <c r="F391" s="321"/>
      <c r="G391" s="305"/>
      <c r="H391" s="286"/>
      <c r="I391" s="304"/>
      <c r="J391" s="286"/>
      <c r="K391" s="304"/>
      <c r="Q391" s="281">
        <f>[19]Source!X323</f>
        <v>28.48</v>
      </c>
      <c r="R391" s="281">
        <f>[19]Source!X324</f>
        <v>449.13</v>
      </c>
      <c r="S391" s="281">
        <f>[19]Source!Y323</f>
        <v>16.739999999999998</v>
      </c>
      <c r="T391" s="281">
        <f>[19]Source!Y324</f>
        <v>239.14</v>
      </c>
      <c r="U391" s="281">
        <f>ROUND((175/100)*ROUND([19]Source!R323, 2), 2)</f>
        <v>0.54</v>
      </c>
      <c r="V391" s="281">
        <f>ROUND((157/100)*ROUND([19]Source!R324, 2), 2)</f>
        <v>11.37</v>
      </c>
    </row>
    <row r="392" spans="1:22" ht="14.25" x14ac:dyDescent="0.2">
      <c r="A392" s="301"/>
      <c r="B392" s="302"/>
      <c r="C392" s="302" t="s">
        <v>197</v>
      </c>
      <c r="D392" s="303"/>
      <c r="E392" s="286"/>
      <c r="F392" s="321">
        <v>24.98</v>
      </c>
      <c r="G392" s="305" t="s">
        <v>195</v>
      </c>
      <c r="H392" s="286">
        <v>1</v>
      </c>
      <c r="I392" s="304">
        <v>24.98</v>
      </c>
      <c r="J392" s="286">
        <v>23.35</v>
      </c>
      <c r="K392" s="304">
        <v>583.28</v>
      </c>
    </row>
    <row r="393" spans="1:22" ht="14.25" x14ac:dyDescent="0.2">
      <c r="A393" s="301"/>
      <c r="B393" s="302"/>
      <c r="C393" s="302" t="s">
        <v>184</v>
      </c>
      <c r="D393" s="303"/>
      <c r="E393" s="286"/>
      <c r="F393" s="321">
        <v>4.8499999999999996</v>
      </c>
      <c r="G393" s="305" t="s">
        <v>195</v>
      </c>
      <c r="H393" s="286">
        <v>1</v>
      </c>
      <c r="I393" s="304">
        <v>4.8499999999999996</v>
      </c>
      <c r="J393" s="286">
        <v>6.5</v>
      </c>
      <c r="K393" s="304">
        <v>31.53</v>
      </c>
    </row>
    <row r="394" spans="1:22" ht="14.25" x14ac:dyDescent="0.2">
      <c r="A394" s="301"/>
      <c r="B394" s="302"/>
      <c r="C394" s="302" t="s">
        <v>189</v>
      </c>
      <c r="D394" s="303"/>
      <c r="E394" s="286"/>
      <c r="F394" s="321">
        <v>0.31</v>
      </c>
      <c r="G394" s="305" t="s">
        <v>195</v>
      </c>
      <c r="H394" s="286">
        <v>1</v>
      </c>
      <c r="I394" s="306">
        <v>0.31</v>
      </c>
      <c r="J394" s="286">
        <v>23.35</v>
      </c>
      <c r="K394" s="306">
        <v>7.24</v>
      </c>
    </row>
    <row r="395" spans="1:22" ht="14.25" x14ac:dyDescent="0.2">
      <c r="A395" s="301"/>
      <c r="B395" s="302"/>
      <c r="C395" s="302" t="s">
        <v>205</v>
      </c>
      <c r="D395" s="303"/>
      <c r="E395" s="286"/>
      <c r="F395" s="321">
        <v>11.55</v>
      </c>
      <c r="G395" s="305" t="s">
        <v>195</v>
      </c>
      <c r="H395" s="286">
        <v>1</v>
      </c>
      <c r="I395" s="304">
        <v>11.55</v>
      </c>
      <c r="J395" s="286">
        <v>5.42</v>
      </c>
      <c r="K395" s="304">
        <v>62.6</v>
      </c>
    </row>
    <row r="396" spans="1:22" ht="68.25" x14ac:dyDescent="0.2">
      <c r="A396" s="322" t="s">
        <v>1707</v>
      </c>
      <c r="B396" s="323" t="s">
        <v>3692</v>
      </c>
      <c r="C396" s="323" t="s">
        <v>1460</v>
      </c>
      <c r="D396" s="324" t="s">
        <v>1661</v>
      </c>
      <c r="E396" s="325">
        <v>1</v>
      </c>
      <c r="F396" s="326">
        <v>81.92</v>
      </c>
      <c r="G396" s="327" t="s">
        <v>195</v>
      </c>
      <c r="H396" s="325">
        <v>1</v>
      </c>
      <c r="I396" s="328">
        <v>81.92</v>
      </c>
      <c r="J396" s="325">
        <v>4.4000000000000004</v>
      </c>
      <c r="K396" s="328">
        <v>360.45</v>
      </c>
      <c r="Q396" s="281">
        <f>[19]Source!X325</f>
        <v>0</v>
      </c>
      <c r="R396" s="281">
        <f>[19]Source!X326</f>
        <v>0</v>
      </c>
      <c r="S396" s="281">
        <f>[19]Source!Y325</f>
        <v>0</v>
      </c>
      <c r="T396" s="281">
        <f>[19]Source!Y326</f>
        <v>0</v>
      </c>
      <c r="U396" s="281">
        <f>ROUND((175/100)*ROUND([19]Source!R325, 2), 2)</f>
        <v>0</v>
      </c>
      <c r="V396" s="281">
        <f>ROUND((157/100)*ROUND([19]Source!R326, 2), 2)</f>
        <v>0</v>
      </c>
    </row>
    <row r="397" spans="1:22" ht="14.25" x14ac:dyDescent="0.2">
      <c r="A397" s="301"/>
      <c r="B397" s="302"/>
      <c r="C397" s="302" t="s">
        <v>194</v>
      </c>
      <c r="D397" s="303" t="s">
        <v>187</v>
      </c>
      <c r="E397" s="286">
        <v>114</v>
      </c>
      <c r="F397" s="321"/>
      <c r="G397" s="305"/>
      <c r="H397" s="286"/>
      <c r="I397" s="304">
        <v>28.48</v>
      </c>
      <c r="J397" s="286">
        <v>77</v>
      </c>
      <c r="K397" s="304">
        <v>449.13</v>
      </c>
    </row>
    <row r="398" spans="1:22" ht="14.25" x14ac:dyDescent="0.2">
      <c r="A398" s="301"/>
      <c r="B398" s="302"/>
      <c r="C398" s="302" t="s">
        <v>193</v>
      </c>
      <c r="D398" s="303" t="s">
        <v>187</v>
      </c>
      <c r="E398" s="286">
        <v>67</v>
      </c>
      <c r="F398" s="321"/>
      <c r="G398" s="305"/>
      <c r="H398" s="286"/>
      <c r="I398" s="304">
        <v>16.739999999999998</v>
      </c>
      <c r="J398" s="286">
        <v>41</v>
      </c>
      <c r="K398" s="304">
        <v>239.14</v>
      </c>
    </row>
    <row r="399" spans="1:22" ht="14.25" x14ac:dyDescent="0.2">
      <c r="A399" s="301"/>
      <c r="B399" s="302"/>
      <c r="C399" s="302" t="s">
        <v>188</v>
      </c>
      <c r="D399" s="303" t="s">
        <v>187</v>
      </c>
      <c r="E399" s="286">
        <v>175</v>
      </c>
      <c r="F399" s="321"/>
      <c r="G399" s="305"/>
      <c r="H399" s="286"/>
      <c r="I399" s="304">
        <v>0.54</v>
      </c>
      <c r="J399" s="286">
        <v>157</v>
      </c>
      <c r="K399" s="304">
        <v>11.37</v>
      </c>
    </row>
    <row r="400" spans="1:22" ht="14.25" x14ac:dyDescent="0.2">
      <c r="A400" s="329"/>
      <c r="B400" s="330"/>
      <c r="C400" s="330" t="s">
        <v>192</v>
      </c>
      <c r="D400" s="331" t="s">
        <v>191</v>
      </c>
      <c r="E400" s="332">
        <v>2</v>
      </c>
      <c r="F400" s="333"/>
      <c r="G400" s="334" t="s">
        <v>195</v>
      </c>
      <c r="H400" s="332">
        <v>1</v>
      </c>
      <c r="I400" s="335">
        <v>2</v>
      </c>
      <c r="J400" s="332"/>
      <c r="K400" s="335"/>
    </row>
    <row r="401" spans="1:22" ht="15" x14ac:dyDescent="0.25">
      <c r="A401" s="336"/>
      <c r="B401" s="336"/>
      <c r="C401" s="337" t="s">
        <v>183</v>
      </c>
      <c r="D401" s="336"/>
      <c r="E401" s="336"/>
      <c r="F401" s="336"/>
      <c r="G401" s="336"/>
      <c r="H401" s="461">
        <v>169.06</v>
      </c>
      <c r="I401" s="461"/>
      <c r="J401" s="461">
        <v>1737.5</v>
      </c>
      <c r="K401" s="461"/>
      <c r="O401" s="284">
        <f>I392+I393+I395+I397+I398+I399+SUM(I396:I396)</f>
        <v>169.06</v>
      </c>
      <c r="P401" s="284">
        <f>K392+K393+K395+K397+K398+K399+SUM(K396:K396)</f>
        <v>1737.5</v>
      </c>
    </row>
    <row r="403" spans="1:22" ht="57" x14ac:dyDescent="0.2">
      <c r="A403" s="301" t="s">
        <v>1712</v>
      </c>
      <c r="B403" s="302" t="s">
        <v>3622</v>
      </c>
      <c r="C403" s="302" t="s">
        <v>1243</v>
      </c>
      <c r="D403" s="303" t="s">
        <v>1903</v>
      </c>
      <c r="E403" s="286">
        <v>6</v>
      </c>
      <c r="F403" s="321"/>
      <c r="G403" s="305"/>
      <c r="H403" s="286"/>
      <c r="I403" s="304"/>
      <c r="J403" s="286"/>
      <c r="K403" s="304"/>
      <c r="Q403" s="281">
        <f>[19]Source!X327</f>
        <v>145.01</v>
      </c>
      <c r="R403" s="281">
        <f>[19]Source!X328</f>
        <v>2286.9899999999998</v>
      </c>
      <c r="S403" s="281">
        <f>[19]Source!Y327</f>
        <v>85.22</v>
      </c>
      <c r="T403" s="281">
        <f>[19]Source!Y328</f>
        <v>1217.75</v>
      </c>
      <c r="U403" s="281">
        <f>ROUND((175/100)*ROUND([19]Source!R327, 2), 2)</f>
        <v>0.11</v>
      </c>
      <c r="V403" s="281">
        <f>ROUND((157/100)*ROUND([19]Source!R328, 2), 2)</f>
        <v>2.2000000000000002</v>
      </c>
    </row>
    <row r="404" spans="1:22" ht="14.25" x14ac:dyDescent="0.2">
      <c r="A404" s="301"/>
      <c r="B404" s="302"/>
      <c r="C404" s="302" t="s">
        <v>197</v>
      </c>
      <c r="D404" s="303"/>
      <c r="E404" s="286"/>
      <c r="F404" s="321">
        <v>21.2</v>
      </c>
      <c r="G404" s="305" t="s">
        <v>195</v>
      </c>
      <c r="H404" s="286">
        <v>1</v>
      </c>
      <c r="I404" s="304">
        <v>127.2</v>
      </c>
      <c r="J404" s="286">
        <v>23.35</v>
      </c>
      <c r="K404" s="304">
        <v>2970.12</v>
      </c>
    </row>
    <row r="405" spans="1:22" ht="14.25" x14ac:dyDescent="0.2">
      <c r="A405" s="301"/>
      <c r="B405" s="302"/>
      <c r="C405" s="302" t="s">
        <v>184</v>
      </c>
      <c r="D405" s="303"/>
      <c r="E405" s="286"/>
      <c r="F405" s="321">
        <v>0.06</v>
      </c>
      <c r="G405" s="305" t="s">
        <v>195</v>
      </c>
      <c r="H405" s="286">
        <v>1</v>
      </c>
      <c r="I405" s="304">
        <v>0.36</v>
      </c>
      <c r="J405" s="286">
        <v>8.33</v>
      </c>
      <c r="K405" s="304">
        <v>3</v>
      </c>
    </row>
    <row r="406" spans="1:22" ht="14.25" x14ac:dyDescent="0.2">
      <c r="A406" s="301"/>
      <c r="B406" s="302"/>
      <c r="C406" s="302" t="s">
        <v>189</v>
      </c>
      <c r="D406" s="303"/>
      <c r="E406" s="286"/>
      <c r="F406" s="321">
        <v>0.01</v>
      </c>
      <c r="G406" s="305" t="s">
        <v>195</v>
      </c>
      <c r="H406" s="286">
        <v>1</v>
      </c>
      <c r="I406" s="306">
        <v>0.06</v>
      </c>
      <c r="J406" s="286">
        <v>23.35</v>
      </c>
      <c r="K406" s="306">
        <v>1.4</v>
      </c>
    </row>
    <row r="407" spans="1:22" ht="14.25" x14ac:dyDescent="0.2">
      <c r="A407" s="301"/>
      <c r="B407" s="302"/>
      <c r="C407" s="302" t="s">
        <v>205</v>
      </c>
      <c r="D407" s="303"/>
      <c r="E407" s="286"/>
      <c r="F407" s="321">
        <v>1.26</v>
      </c>
      <c r="G407" s="305" t="s">
        <v>195</v>
      </c>
      <c r="H407" s="286">
        <v>1</v>
      </c>
      <c r="I407" s="304">
        <v>7.56</v>
      </c>
      <c r="J407" s="286">
        <v>5.42</v>
      </c>
      <c r="K407" s="304">
        <v>40.98</v>
      </c>
    </row>
    <row r="408" spans="1:22" ht="54" x14ac:dyDescent="0.2">
      <c r="A408" s="301" t="s">
        <v>1715</v>
      </c>
      <c r="B408" s="302" t="s">
        <v>3693</v>
      </c>
      <c r="C408" s="302" t="s">
        <v>1459</v>
      </c>
      <c r="D408" s="303" t="s">
        <v>1661</v>
      </c>
      <c r="E408" s="286">
        <v>6</v>
      </c>
      <c r="F408" s="321">
        <v>40.65</v>
      </c>
      <c r="G408" s="315" t="s">
        <v>195</v>
      </c>
      <c r="H408" s="286">
        <v>1</v>
      </c>
      <c r="I408" s="304">
        <v>243.9</v>
      </c>
      <c r="J408" s="286">
        <v>5.42</v>
      </c>
      <c r="K408" s="304">
        <v>1321.94</v>
      </c>
      <c r="Q408" s="281">
        <f>[19]Source!X329</f>
        <v>0</v>
      </c>
      <c r="R408" s="281">
        <f>[19]Source!X330</f>
        <v>0</v>
      </c>
      <c r="S408" s="281">
        <f>[19]Source!Y329</f>
        <v>0</v>
      </c>
      <c r="T408" s="281">
        <f>[19]Source!Y330</f>
        <v>0</v>
      </c>
      <c r="U408" s="281">
        <f>ROUND((175/100)*ROUND([19]Source!R329, 2), 2)</f>
        <v>0</v>
      </c>
      <c r="V408" s="281">
        <f>ROUND((157/100)*ROUND([19]Source!R330, 2), 2)</f>
        <v>0</v>
      </c>
    </row>
    <row r="409" spans="1:22" ht="14.25" x14ac:dyDescent="0.2">
      <c r="A409" s="301"/>
      <c r="B409" s="302"/>
      <c r="C409" s="302" t="s">
        <v>194</v>
      </c>
      <c r="D409" s="303" t="s">
        <v>187</v>
      </c>
      <c r="E409" s="286">
        <v>114</v>
      </c>
      <c r="F409" s="321"/>
      <c r="G409" s="305"/>
      <c r="H409" s="286"/>
      <c r="I409" s="304">
        <v>145.01</v>
      </c>
      <c r="J409" s="286">
        <v>77</v>
      </c>
      <c r="K409" s="304">
        <v>2286.9899999999998</v>
      </c>
    </row>
    <row r="410" spans="1:22" ht="14.25" x14ac:dyDescent="0.2">
      <c r="A410" s="301"/>
      <c r="B410" s="302"/>
      <c r="C410" s="302" t="s">
        <v>193</v>
      </c>
      <c r="D410" s="303" t="s">
        <v>187</v>
      </c>
      <c r="E410" s="286">
        <v>67</v>
      </c>
      <c r="F410" s="321"/>
      <c r="G410" s="305"/>
      <c r="H410" s="286"/>
      <c r="I410" s="304">
        <v>85.22</v>
      </c>
      <c r="J410" s="286">
        <v>41</v>
      </c>
      <c r="K410" s="304">
        <v>1217.75</v>
      </c>
    </row>
    <row r="411" spans="1:22" ht="14.25" x14ac:dyDescent="0.2">
      <c r="A411" s="301"/>
      <c r="B411" s="302"/>
      <c r="C411" s="302" t="s">
        <v>188</v>
      </c>
      <c r="D411" s="303" t="s">
        <v>187</v>
      </c>
      <c r="E411" s="286">
        <v>175</v>
      </c>
      <c r="F411" s="321"/>
      <c r="G411" s="305"/>
      <c r="H411" s="286"/>
      <c r="I411" s="304">
        <v>0.11</v>
      </c>
      <c r="J411" s="286">
        <v>157</v>
      </c>
      <c r="K411" s="304">
        <v>2.2000000000000002</v>
      </c>
    </row>
    <row r="412" spans="1:22" ht="14.25" x14ac:dyDescent="0.2">
      <c r="A412" s="329"/>
      <c r="B412" s="330"/>
      <c r="C412" s="330" t="s">
        <v>192</v>
      </c>
      <c r="D412" s="331" t="s">
        <v>191</v>
      </c>
      <c r="E412" s="332">
        <v>1.68</v>
      </c>
      <c r="F412" s="333"/>
      <c r="G412" s="334" t="s">
        <v>195</v>
      </c>
      <c r="H412" s="332">
        <v>1</v>
      </c>
      <c r="I412" s="335">
        <v>10.08</v>
      </c>
      <c r="J412" s="332"/>
      <c r="K412" s="335"/>
    </row>
    <row r="413" spans="1:22" ht="15" x14ac:dyDescent="0.25">
      <c r="A413" s="336"/>
      <c r="B413" s="336"/>
      <c r="C413" s="337" t="s">
        <v>183</v>
      </c>
      <c r="D413" s="336"/>
      <c r="E413" s="336"/>
      <c r="F413" s="336"/>
      <c r="G413" s="336"/>
      <c r="H413" s="461">
        <v>609.36</v>
      </c>
      <c r="I413" s="461"/>
      <c r="J413" s="461">
        <v>7842.98</v>
      </c>
      <c r="K413" s="461"/>
      <c r="O413" s="284">
        <f>I404+I405+I407+I409+I410+I411+SUM(I408:I408)</f>
        <v>609.36</v>
      </c>
      <c r="P413" s="284">
        <f>K404+K405+K407+K409+K410+K411+SUM(K408:K408)</f>
        <v>7842.98</v>
      </c>
    </row>
    <row r="415" spans="1:22" ht="57" x14ac:dyDescent="0.2">
      <c r="A415" s="301" t="s">
        <v>1719</v>
      </c>
      <c r="B415" s="302" t="s">
        <v>3622</v>
      </c>
      <c r="C415" s="302" t="s">
        <v>1243</v>
      </c>
      <c r="D415" s="303" t="s">
        <v>1903</v>
      </c>
      <c r="E415" s="286">
        <v>2</v>
      </c>
      <c r="F415" s="321"/>
      <c r="G415" s="305"/>
      <c r="H415" s="286"/>
      <c r="I415" s="304"/>
      <c r="J415" s="286"/>
      <c r="K415" s="304"/>
      <c r="Q415" s="281">
        <f>[19]Source!X331</f>
        <v>48.34</v>
      </c>
      <c r="R415" s="281">
        <f>[19]Source!X332</f>
        <v>762.33</v>
      </c>
      <c r="S415" s="281">
        <f>[19]Source!Y331</f>
        <v>28.41</v>
      </c>
      <c r="T415" s="281">
        <f>[19]Source!Y332</f>
        <v>405.92</v>
      </c>
      <c r="U415" s="281">
        <f>ROUND((175/100)*ROUND([19]Source!R331, 2), 2)</f>
        <v>0.04</v>
      </c>
      <c r="V415" s="281">
        <f>ROUND((157/100)*ROUND([19]Source!R332, 2), 2)</f>
        <v>0.74</v>
      </c>
    </row>
    <row r="416" spans="1:22" ht="14.25" x14ac:dyDescent="0.2">
      <c r="A416" s="301"/>
      <c r="B416" s="302"/>
      <c r="C416" s="302" t="s">
        <v>197</v>
      </c>
      <c r="D416" s="303"/>
      <c r="E416" s="286"/>
      <c r="F416" s="321">
        <v>21.2</v>
      </c>
      <c r="G416" s="305" t="s">
        <v>195</v>
      </c>
      <c r="H416" s="286">
        <v>1</v>
      </c>
      <c r="I416" s="304">
        <v>42.4</v>
      </c>
      <c r="J416" s="286">
        <v>23.35</v>
      </c>
      <c r="K416" s="304">
        <v>990.04</v>
      </c>
    </row>
    <row r="417" spans="1:22" ht="14.25" x14ac:dyDescent="0.2">
      <c r="A417" s="301"/>
      <c r="B417" s="302"/>
      <c r="C417" s="302" t="s">
        <v>184</v>
      </c>
      <c r="D417" s="303"/>
      <c r="E417" s="286"/>
      <c r="F417" s="321">
        <v>0.06</v>
      </c>
      <c r="G417" s="305" t="s">
        <v>195</v>
      </c>
      <c r="H417" s="286">
        <v>1</v>
      </c>
      <c r="I417" s="304">
        <v>0.12</v>
      </c>
      <c r="J417" s="286">
        <v>8.33</v>
      </c>
      <c r="K417" s="304">
        <v>1</v>
      </c>
    </row>
    <row r="418" spans="1:22" ht="14.25" x14ac:dyDescent="0.2">
      <c r="A418" s="301"/>
      <c r="B418" s="302"/>
      <c r="C418" s="302" t="s">
        <v>189</v>
      </c>
      <c r="D418" s="303"/>
      <c r="E418" s="286"/>
      <c r="F418" s="321">
        <v>0.01</v>
      </c>
      <c r="G418" s="305" t="s">
        <v>195</v>
      </c>
      <c r="H418" s="286">
        <v>1</v>
      </c>
      <c r="I418" s="306">
        <v>0.02</v>
      </c>
      <c r="J418" s="286">
        <v>23.35</v>
      </c>
      <c r="K418" s="306">
        <v>0.47</v>
      </c>
    </row>
    <row r="419" spans="1:22" ht="14.25" x14ac:dyDescent="0.2">
      <c r="A419" s="301"/>
      <c r="B419" s="302"/>
      <c r="C419" s="302" t="s">
        <v>205</v>
      </c>
      <c r="D419" s="303"/>
      <c r="E419" s="286"/>
      <c r="F419" s="321">
        <v>1.26</v>
      </c>
      <c r="G419" s="305" t="s">
        <v>195</v>
      </c>
      <c r="H419" s="286">
        <v>1</v>
      </c>
      <c r="I419" s="304">
        <v>2.52</v>
      </c>
      <c r="J419" s="286">
        <v>5.42</v>
      </c>
      <c r="K419" s="304">
        <v>13.66</v>
      </c>
    </row>
    <row r="420" spans="1:22" ht="39.75" x14ac:dyDescent="0.2">
      <c r="A420" s="301" t="s">
        <v>1720</v>
      </c>
      <c r="B420" s="302" t="s">
        <v>3694</v>
      </c>
      <c r="C420" s="302" t="s">
        <v>1447</v>
      </c>
      <c r="D420" s="303" t="s">
        <v>3240</v>
      </c>
      <c r="E420" s="286">
        <v>2</v>
      </c>
      <c r="F420" s="321">
        <v>25.56</v>
      </c>
      <c r="G420" s="315" t="s">
        <v>195</v>
      </c>
      <c r="H420" s="286">
        <v>1</v>
      </c>
      <c r="I420" s="304">
        <v>51.12</v>
      </c>
      <c r="J420" s="286">
        <v>5.42</v>
      </c>
      <c r="K420" s="304">
        <v>277.07</v>
      </c>
      <c r="Q420" s="281">
        <f>[19]Source!X333</f>
        <v>0</v>
      </c>
      <c r="R420" s="281">
        <f>[19]Source!X334</f>
        <v>0</v>
      </c>
      <c r="S420" s="281">
        <f>[19]Source!Y333</f>
        <v>0</v>
      </c>
      <c r="T420" s="281">
        <f>[19]Source!Y334</f>
        <v>0</v>
      </c>
      <c r="U420" s="281">
        <f>ROUND((175/100)*ROUND([19]Source!R333, 2), 2)</f>
        <v>0</v>
      </c>
      <c r="V420" s="281">
        <f>ROUND((157/100)*ROUND([19]Source!R334, 2), 2)</f>
        <v>0</v>
      </c>
    </row>
    <row r="421" spans="1:22" ht="14.25" x14ac:dyDescent="0.2">
      <c r="A421" s="301"/>
      <c r="B421" s="302"/>
      <c r="C421" s="302" t="s">
        <v>194</v>
      </c>
      <c r="D421" s="303" t="s">
        <v>187</v>
      </c>
      <c r="E421" s="286">
        <v>114</v>
      </c>
      <c r="F421" s="321"/>
      <c r="G421" s="305"/>
      <c r="H421" s="286"/>
      <c r="I421" s="304">
        <v>48.34</v>
      </c>
      <c r="J421" s="286">
        <v>77</v>
      </c>
      <c r="K421" s="304">
        <v>762.33</v>
      </c>
    </row>
    <row r="422" spans="1:22" ht="14.25" x14ac:dyDescent="0.2">
      <c r="A422" s="301"/>
      <c r="B422" s="302"/>
      <c r="C422" s="302" t="s">
        <v>193</v>
      </c>
      <c r="D422" s="303" t="s">
        <v>187</v>
      </c>
      <c r="E422" s="286">
        <v>67</v>
      </c>
      <c r="F422" s="321"/>
      <c r="G422" s="305"/>
      <c r="H422" s="286"/>
      <c r="I422" s="304">
        <v>28.41</v>
      </c>
      <c r="J422" s="286">
        <v>41</v>
      </c>
      <c r="K422" s="304">
        <v>405.92</v>
      </c>
    </row>
    <row r="423" spans="1:22" ht="14.25" x14ac:dyDescent="0.2">
      <c r="A423" s="301"/>
      <c r="B423" s="302"/>
      <c r="C423" s="302" t="s">
        <v>188</v>
      </c>
      <c r="D423" s="303" t="s">
        <v>187</v>
      </c>
      <c r="E423" s="286">
        <v>175</v>
      </c>
      <c r="F423" s="321"/>
      <c r="G423" s="305"/>
      <c r="H423" s="286"/>
      <c r="I423" s="304">
        <v>0.04</v>
      </c>
      <c r="J423" s="286">
        <v>157</v>
      </c>
      <c r="K423" s="304">
        <v>0.74</v>
      </c>
    </row>
    <row r="424" spans="1:22" ht="14.25" x14ac:dyDescent="0.2">
      <c r="A424" s="329"/>
      <c r="B424" s="330"/>
      <c r="C424" s="330" t="s">
        <v>192</v>
      </c>
      <c r="D424" s="331" t="s">
        <v>191</v>
      </c>
      <c r="E424" s="332">
        <v>1.68</v>
      </c>
      <c r="F424" s="333"/>
      <c r="G424" s="334" t="s">
        <v>195</v>
      </c>
      <c r="H424" s="332">
        <v>1</v>
      </c>
      <c r="I424" s="335">
        <v>3.36</v>
      </c>
      <c r="J424" s="332"/>
      <c r="K424" s="335"/>
    </row>
    <row r="425" spans="1:22" ht="15" x14ac:dyDescent="0.25">
      <c r="A425" s="336"/>
      <c r="B425" s="336"/>
      <c r="C425" s="337" t="s">
        <v>183</v>
      </c>
      <c r="D425" s="336"/>
      <c r="E425" s="336"/>
      <c r="F425" s="336"/>
      <c r="G425" s="336"/>
      <c r="H425" s="461">
        <v>172.95</v>
      </c>
      <c r="I425" s="461"/>
      <c r="J425" s="461">
        <v>2450.7600000000002</v>
      </c>
      <c r="K425" s="461"/>
      <c r="O425" s="284">
        <f>I416+I417+I419+I421+I422+I423+SUM(I420:I420)</f>
        <v>172.95</v>
      </c>
      <c r="P425" s="284">
        <f>K416+K417+K419+K421+K422+K423+SUM(K420:K420)</f>
        <v>2450.7600000000002</v>
      </c>
    </row>
    <row r="427" spans="1:22" ht="28.5" x14ac:dyDescent="0.2">
      <c r="A427" s="301" t="s">
        <v>1722</v>
      </c>
      <c r="B427" s="302" t="s">
        <v>3695</v>
      </c>
      <c r="C427" s="302" t="s">
        <v>1458</v>
      </c>
      <c r="D427" s="303" t="s">
        <v>1903</v>
      </c>
      <c r="E427" s="286">
        <v>1</v>
      </c>
      <c r="F427" s="321"/>
      <c r="G427" s="305"/>
      <c r="H427" s="286"/>
      <c r="I427" s="304"/>
      <c r="J427" s="286"/>
      <c r="K427" s="304"/>
      <c r="Q427" s="281">
        <f>[19]Source!X335</f>
        <v>18.32</v>
      </c>
      <c r="R427" s="281">
        <f>[19]Source!X336</f>
        <v>288.93</v>
      </c>
      <c r="S427" s="281">
        <f>[19]Source!Y335</f>
        <v>10.77</v>
      </c>
      <c r="T427" s="281">
        <f>[19]Source!Y336</f>
        <v>153.84</v>
      </c>
      <c r="U427" s="281">
        <f>ROUND((175/100)*ROUND([19]Source!R335, 2), 2)</f>
        <v>0.02</v>
      </c>
      <c r="V427" s="281">
        <f>ROUND((157/100)*ROUND([19]Source!R336, 2), 2)</f>
        <v>0.36</v>
      </c>
    </row>
    <row r="428" spans="1:22" ht="14.25" x14ac:dyDescent="0.2">
      <c r="A428" s="301"/>
      <c r="B428" s="302"/>
      <c r="C428" s="302" t="s">
        <v>197</v>
      </c>
      <c r="D428" s="303"/>
      <c r="E428" s="286"/>
      <c r="F428" s="321">
        <v>16.07</v>
      </c>
      <c r="G428" s="305" t="s">
        <v>195</v>
      </c>
      <c r="H428" s="286">
        <v>1</v>
      </c>
      <c r="I428" s="304">
        <v>16.07</v>
      </c>
      <c r="J428" s="286">
        <v>23.35</v>
      </c>
      <c r="K428" s="304">
        <v>375.23</v>
      </c>
    </row>
    <row r="429" spans="1:22" ht="14.25" x14ac:dyDescent="0.2">
      <c r="A429" s="301"/>
      <c r="B429" s="302"/>
      <c r="C429" s="302" t="s">
        <v>184</v>
      </c>
      <c r="D429" s="303"/>
      <c r="E429" s="286"/>
      <c r="F429" s="321">
        <v>0.05</v>
      </c>
      <c r="G429" s="305" t="s">
        <v>195</v>
      </c>
      <c r="H429" s="286">
        <v>1</v>
      </c>
      <c r="I429" s="304">
        <v>0.05</v>
      </c>
      <c r="J429" s="286">
        <v>9</v>
      </c>
      <c r="K429" s="304">
        <v>0.45</v>
      </c>
    </row>
    <row r="430" spans="1:22" ht="14.25" x14ac:dyDescent="0.2">
      <c r="A430" s="301"/>
      <c r="B430" s="302"/>
      <c r="C430" s="302" t="s">
        <v>189</v>
      </c>
      <c r="D430" s="303"/>
      <c r="E430" s="286"/>
      <c r="F430" s="321">
        <v>0.01</v>
      </c>
      <c r="G430" s="305" t="s">
        <v>195</v>
      </c>
      <c r="H430" s="286">
        <v>1</v>
      </c>
      <c r="I430" s="306">
        <v>0.01</v>
      </c>
      <c r="J430" s="286">
        <v>23.35</v>
      </c>
      <c r="K430" s="306">
        <v>0.23</v>
      </c>
    </row>
    <row r="431" spans="1:22" ht="14.25" x14ac:dyDescent="0.2">
      <c r="A431" s="301"/>
      <c r="B431" s="302"/>
      <c r="C431" s="302" t="s">
        <v>205</v>
      </c>
      <c r="D431" s="303"/>
      <c r="E431" s="286"/>
      <c r="F431" s="321">
        <v>1.96</v>
      </c>
      <c r="G431" s="305" t="s">
        <v>195</v>
      </c>
      <c r="H431" s="286">
        <v>1</v>
      </c>
      <c r="I431" s="304">
        <v>1.96</v>
      </c>
      <c r="J431" s="286">
        <v>5.42</v>
      </c>
      <c r="K431" s="304">
        <v>10.62</v>
      </c>
    </row>
    <row r="432" spans="1:22" ht="68.25" x14ac:dyDescent="0.2">
      <c r="A432" s="322" t="s">
        <v>1724</v>
      </c>
      <c r="B432" s="323" t="s">
        <v>3696</v>
      </c>
      <c r="C432" s="323" t="s">
        <v>1457</v>
      </c>
      <c r="D432" s="324" t="s">
        <v>1661</v>
      </c>
      <c r="E432" s="325">
        <v>1</v>
      </c>
      <c r="F432" s="326">
        <v>130.30000000000001</v>
      </c>
      <c r="G432" s="327" t="s">
        <v>195</v>
      </c>
      <c r="H432" s="325">
        <v>1</v>
      </c>
      <c r="I432" s="328">
        <v>130.30000000000001</v>
      </c>
      <c r="J432" s="325">
        <v>4.4000000000000004</v>
      </c>
      <c r="K432" s="328">
        <v>573.32000000000005</v>
      </c>
      <c r="Q432" s="281">
        <f>[19]Source!X337</f>
        <v>0</v>
      </c>
      <c r="R432" s="281">
        <f>[19]Source!X338</f>
        <v>0</v>
      </c>
      <c r="S432" s="281">
        <f>[19]Source!Y337</f>
        <v>0</v>
      </c>
      <c r="T432" s="281">
        <f>[19]Source!Y338</f>
        <v>0</v>
      </c>
      <c r="U432" s="281">
        <f>ROUND((175/100)*ROUND([19]Source!R337, 2), 2)</f>
        <v>0</v>
      </c>
      <c r="V432" s="281">
        <f>ROUND((157/100)*ROUND([19]Source!R338, 2), 2)</f>
        <v>0</v>
      </c>
    </row>
    <row r="433" spans="1:22" ht="14.25" x14ac:dyDescent="0.2">
      <c r="A433" s="301"/>
      <c r="B433" s="302"/>
      <c r="C433" s="302" t="s">
        <v>194</v>
      </c>
      <c r="D433" s="303" t="s">
        <v>187</v>
      </c>
      <c r="E433" s="286">
        <v>114</v>
      </c>
      <c r="F433" s="321"/>
      <c r="G433" s="305"/>
      <c r="H433" s="286"/>
      <c r="I433" s="304">
        <v>18.32</v>
      </c>
      <c r="J433" s="286">
        <v>77</v>
      </c>
      <c r="K433" s="304">
        <v>288.93</v>
      </c>
    </row>
    <row r="434" spans="1:22" ht="14.25" x14ac:dyDescent="0.2">
      <c r="A434" s="301"/>
      <c r="B434" s="302"/>
      <c r="C434" s="302" t="s">
        <v>193</v>
      </c>
      <c r="D434" s="303" t="s">
        <v>187</v>
      </c>
      <c r="E434" s="286">
        <v>67</v>
      </c>
      <c r="F434" s="321"/>
      <c r="G434" s="305"/>
      <c r="H434" s="286"/>
      <c r="I434" s="304">
        <v>10.77</v>
      </c>
      <c r="J434" s="286">
        <v>41</v>
      </c>
      <c r="K434" s="304">
        <v>153.84</v>
      </c>
    </row>
    <row r="435" spans="1:22" ht="14.25" x14ac:dyDescent="0.2">
      <c r="A435" s="301"/>
      <c r="B435" s="302"/>
      <c r="C435" s="302" t="s">
        <v>188</v>
      </c>
      <c r="D435" s="303" t="s">
        <v>187</v>
      </c>
      <c r="E435" s="286">
        <v>175</v>
      </c>
      <c r="F435" s="321"/>
      <c r="G435" s="305"/>
      <c r="H435" s="286"/>
      <c r="I435" s="304">
        <v>0.02</v>
      </c>
      <c r="J435" s="286">
        <v>157</v>
      </c>
      <c r="K435" s="304">
        <v>0.36</v>
      </c>
    </row>
    <row r="436" spans="1:22" ht="14.25" x14ac:dyDescent="0.2">
      <c r="A436" s="329"/>
      <c r="B436" s="330"/>
      <c r="C436" s="330" t="s">
        <v>192</v>
      </c>
      <c r="D436" s="331" t="s">
        <v>191</v>
      </c>
      <c r="E436" s="332">
        <v>1.2</v>
      </c>
      <c r="F436" s="333"/>
      <c r="G436" s="334" t="s">
        <v>195</v>
      </c>
      <c r="H436" s="332">
        <v>1</v>
      </c>
      <c r="I436" s="335">
        <v>1.2</v>
      </c>
      <c r="J436" s="332"/>
      <c r="K436" s="335"/>
    </row>
    <row r="437" spans="1:22" ht="15" x14ac:dyDescent="0.25">
      <c r="A437" s="336"/>
      <c r="B437" s="336"/>
      <c r="C437" s="337" t="s">
        <v>183</v>
      </c>
      <c r="D437" s="336"/>
      <c r="E437" s="336"/>
      <c r="F437" s="336"/>
      <c r="G437" s="336"/>
      <c r="H437" s="461">
        <v>177.49</v>
      </c>
      <c r="I437" s="461"/>
      <c r="J437" s="461">
        <v>1402.75</v>
      </c>
      <c r="K437" s="461"/>
      <c r="O437" s="284">
        <f>I428+I429+I431+I433+I434+I435+SUM(I432:I432)</f>
        <v>177.49</v>
      </c>
      <c r="P437" s="284">
        <f>K428+K429+K431+K433+K434+K435+SUM(K432:K432)</f>
        <v>1402.75</v>
      </c>
    </row>
    <row r="440" spans="1:22" ht="15" x14ac:dyDescent="0.25">
      <c r="A440" s="447" t="s">
        <v>3705</v>
      </c>
      <c r="B440" s="447"/>
      <c r="C440" s="447"/>
      <c r="D440" s="447"/>
      <c r="E440" s="447"/>
      <c r="F440" s="447"/>
      <c r="G440" s="447"/>
      <c r="H440" s="445">
        <v>3192.85</v>
      </c>
      <c r="I440" s="446"/>
      <c r="J440" s="445">
        <v>27551.599999999999</v>
      </c>
      <c r="K440" s="446"/>
    </row>
    <row r="441" spans="1:22" hidden="1" x14ac:dyDescent="0.2">
      <c r="A441" s="281" t="s">
        <v>182</v>
      </c>
      <c r="I441" s="281">
        <v>0</v>
      </c>
      <c r="J441" s="281">
        <v>0</v>
      </c>
    </row>
    <row r="442" spans="1:22" hidden="1" x14ac:dyDescent="0.2">
      <c r="A442" s="281" t="s">
        <v>181</v>
      </c>
      <c r="I442" s="281">
        <v>0</v>
      </c>
      <c r="J442" s="281">
        <v>0</v>
      </c>
    </row>
    <row r="444" spans="1:22" ht="16.5" x14ac:dyDescent="0.25">
      <c r="A444" s="448" t="s">
        <v>3706</v>
      </c>
      <c r="B444" s="448"/>
      <c r="C444" s="448"/>
      <c r="D444" s="448"/>
      <c r="E444" s="448"/>
      <c r="F444" s="448"/>
      <c r="G444" s="448"/>
      <c r="H444" s="448"/>
      <c r="I444" s="448"/>
      <c r="J444" s="448"/>
      <c r="K444" s="448"/>
    </row>
    <row r="445" spans="1:22" ht="57" x14ac:dyDescent="0.2">
      <c r="A445" s="301" t="s">
        <v>1729</v>
      </c>
      <c r="B445" s="302" t="s">
        <v>3364</v>
      </c>
      <c r="C445" s="302" t="s">
        <v>1298</v>
      </c>
      <c r="D445" s="303" t="s">
        <v>1686</v>
      </c>
      <c r="E445" s="286">
        <v>0.3</v>
      </c>
      <c r="F445" s="321"/>
      <c r="G445" s="305"/>
      <c r="H445" s="286"/>
      <c r="I445" s="304"/>
      <c r="J445" s="286"/>
      <c r="K445" s="304"/>
      <c r="Q445" s="281">
        <f>[19]Source!X374</f>
        <v>169.52</v>
      </c>
      <c r="R445" s="281">
        <f>[19]Source!X375</f>
        <v>2673.56</v>
      </c>
      <c r="S445" s="281">
        <f>[19]Source!Y374</f>
        <v>99.63</v>
      </c>
      <c r="T445" s="281">
        <f>[19]Source!Y375</f>
        <v>1423.58</v>
      </c>
      <c r="U445" s="281">
        <f>ROUND((175/100)*ROUND([19]Source!R374, 2), 2)</f>
        <v>0.89</v>
      </c>
      <c r="V445" s="281">
        <f>ROUND((157/100)*ROUND([19]Source!R375, 2), 2)</f>
        <v>18.7</v>
      </c>
    </row>
    <row r="446" spans="1:22" x14ac:dyDescent="0.2">
      <c r="C446" s="316" t="s">
        <v>3334</v>
      </c>
    </row>
    <row r="447" spans="1:22" ht="14.25" x14ac:dyDescent="0.2">
      <c r="A447" s="301"/>
      <c r="B447" s="302"/>
      <c r="C447" s="302" t="s">
        <v>197</v>
      </c>
      <c r="D447" s="303"/>
      <c r="E447" s="286"/>
      <c r="F447" s="321">
        <v>495.67</v>
      </c>
      <c r="G447" s="305" t="s">
        <v>195</v>
      </c>
      <c r="H447" s="286">
        <v>1</v>
      </c>
      <c r="I447" s="304">
        <v>148.69999999999999</v>
      </c>
      <c r="J447" s="286">
        <v>23.35</v>
      </c>
      <c r="K447" s="304">
        <v>3472.15</v>
      </c>
    </row>
    <row r="448" spans="1:22" ht="14.25" x14ac:dyDescent="0.2">
      <c r="A448" s="301"/>
      <c r="B448" s="302"/>
      <c r="C448" s="302" t="s">
        <v>184</v>
      </c>
      <c r="D448" s="303"/>
      <c r="E448" s="286"/>
      <c r="F448" s="321">
        <v>28.5</v>
      </c>
      <c r="G448" s="305" t="s">
        <v>195</v>
      </c>
      <c r="H448" s="286">
        <v>1</v>
      </c>
      <c r="I448" s="304">
        <v>8.5500000000000007</v>
      </c>
      <c r="J448" s="286">
        <v>6.42</v>
      </c>
      <c r="K448" s="304">
        <v>54.89</v>
      </c>
    </row>
    <row r="449" spans="1:22" ht="14.25" x14ac:dyDescent="0.2">
      <c r="A449" s="301"/>
      <c r="B449" s="302"/>
      <c r="C449" s="302" t="s">
        <v>189</v>
      </c>
      <c r="D449" s="303"/>
      <c r="E449" s="286"/>
      <c r="F449" s="321">
        <v>1.69</v>
      </c>
      <c r="G449" s="305" t="s">
        <v>195</v>
      </c>
      <c r="H449" s="286">
        <v>1</v>
      </c>
      <c r="I449" s="306">
        <v>0.51</v>
      </c>
      <c r="J449" s="286">
        <v>23.35</v>
      </c>
      <c r="K449" s="306">
        <v>11.91</v>
      </c>
    </row>
    <row r="450" spans="1:22" ht="14.25" x14ac:dyDescent="0.2">
      <c r="A450" s="301"/>
      <c r="B450" s="302"/>
      <c r="C450" s="302" t="s">
        <v>205</v>
      </c>
      <c r="D450" s="303"/>
      <c r="E450" s="286"/>
      <c r="F450" s="321">
        <v>68.81</v>
      </c>
      <c r="G450" s="305" t="s">
        <v>195</v>
      </c>
      <c r="H450" s="286">
        <v>1</v>
      </c>
      <c r="I450" s="304">
        <v>20.64</v>
      </c>
      <c r="J450" s="286">
        <v>5.42</v>
      </c>
      <c r="K450" s="304">
        <v>111.87</v>
      </c>
    </row>
    <row r="451" spans="1:22" ht="57" x14ac:dyDescent="0.2">
      <c r="A451" s="301" t="s">
        <v>1730</v>
      </c>
      <c r="B451" s="302" t="s">
        <v>3707</v>
      </c>
      <c r="C451" s="302" t="s">
        <v>1456</v>
      </c>
      <c r="D451" s="303" t="s">
        <v>3367</v>
      </c>
      <c r="E451" s="286">
        <v>3.0599999999999999E-2</v>
      </c>
      <c r="F451" s="321">
        <v>21909.42</v>
      </c>
      <c r="G451" s="315" t="s">
        <v>195</v>
      </c>
      <c r="H451" s="286">
        <v>1</v>
      </c>
      <c r="I451" s="304">
        <v>670.43</v>
      </c>
      <c r="J451" s="286">
        <v>5.09</v>
      </c>
      <c r="K451" s="304">
        <v>3412.49</v>
      </c>
      <c r="Q451" s="281">
        <f>[19]Source!X376</f>
        <v>0</v>
      </c>
      <c r="R451" s="281">
        <f>[19]Source!X377</f>
        <v>0</v>
      </c>
      <c r="S451" s="281">
        <f>[19]Source!Y376</f>
        <v>0</v>
      </c>
      <c r="T451" s="281">
        <f>[19]Source!Y377</f>
        <v>0</v>
      </c>
      <c r="U451" s="281">
        <f>ROUND((175/100)*ROUND([19]Source!R376, 2), 2)</f>
        <v>0</v>
      </c>
      <c r="V451" s="281">
        <f>ROUND((157/100)*ROUND([19]Source!R377, 2), 2)</f>
        <v>0</v>
      </c>
    </row>
    <row r="452" spans="1:22" ht="14.25" x14ac:dyDescent="0.2">
      <c r="A452" s="301"/>
      <c r="B452" s="302"/>
      <c r="C452" s="302" t="s">
        <v>194</v>
      </c>
      <c r="D452" s="303" t="s">
        <v>187</v>
      </c>
      <c r="E452" s="286">
        <v>114</v>
      </c>
      <c r="F452" s="321"/>
      <c r="G452" s="305"/>
      <c r="H452" s="286"/>
      <c r="I452" s="304">
        <v>169.52</v>
      </c>
      <c r="J452" s="286">
        <v>77</v>
      </c>
      <c r="K452" s="304">
        <v>2673.56</v>
      </c>
    </row>
    <row r="453" spans="1:22" ht="14.25" x14ac:dyDescent="0.2">
      <c r="A453" s="301"/>
      <c r="B453" s="302"/>
      <c r="C453" s="302" t="s">
        <v>193</v>
      </c>
      <c r="D453" s="303" t="s">
        <v>187</v>
      </c>
      <c r="E453" s="286">
        <v>67</v>
      </c>
      <c r="F453" s="321"/>
      <c r="G453" s="305"/>
      <c r="H453" s="286"/>
      <c r="I453" s="304">
        <v>99.63</v>
      </c>
      <c r="J453" s="286">
        <v>41</v>
      </c>
      <c r="K453" s="304">
        <v>1423.58</v>
      </c>
    </row>
    <row r="454" spans="1:22" ht="14.25" x14ac:dyDescent="0.2">
      <c r="A454" s="301"/>
      <c r="B454" s="302"/>
      <c r="C454" s="302" t="s">
        <v>188</v>
      </c>
      <c r="D454" s="303" t="s">
        <v>187</v>
      </c>
      <c r="E454" s="286">
        <v>175</v>
      </c>
      <c r="F454" s="321"/>
      <c r="G454" s="305"/>
      <c r="H454" s="286"/>
      <c r="I454" s="304">
        <v>0.89</v>
      </c>
      <c r="J454" s="286">
        <v>157</v>
      </c>
      <c r="K454" s="304">
        <v>18.7</v>
      </c>
    </row>
    <row r="455" spans="1:22" ht="14.25" x14ac:dyDescent="0.2">
      <c r="A455" s="329"/>
      <c r="B455" s="330"/>
      <c r="C455" s="330" t="s">
        <v>192</v>
      </c>
      <c r="D455" s="331" t="s">
        <v>191</v>
      </c>
      <c r="E455" s="332">
        <v>40.200000000000003</v>
      </c>
      <c r="F455" s="333"/>
      <c r="G455" s="334" t="s">
        <v>195</v>
      </c>
      <c r="H455" s="332">
        <v>1</v>
      </c>
      <c r="I455" s="335">
        <v>12.06</v>
      </c>
      <c r="J455" s="332"/>
      <c r="K455" s="335"/>
    </row>
    <row r="456" spans="1:22" ht="15" x14ac:dyDescent="0.25">
      <c r="A456" s="336"/>
      <c r="B456" s="336"/>
      <c r="C456" s="337" t="s">
        <v>183</v>
      </c>
      <c r="D456" s="336"/>
      <c r="E456" s="336"/>
      <c r="F456" s="336"/>
      <c r="G456" s="336"/>
      <c r="H456" s="461">
        <v>1118.3599999999999</v>
      </c>
      <c r="I456" s="461"/>
      <c r="J456" s="461">
        <v>11167.24</v>
      </c>
      <c r="K456" s="461"/>
      <c r="O456" s="284">
        <f>I447+I448+I450+I452+I453+I454+SUM(I451:I451)</f>
        <v>1118.3599999999999</v>
      </c>
      <c r="P456" s="284">
        <f>K447+K448+K450+K452+K453+K454+SUM(K451:K451)</f>
        <v>11167.24</v>
      </c>
    </row>
    <row r="458" spans="1:22" ht="71.25" x14ac:dyDescent="0.2">
      <c r="A458" s="301" t="s">
        <v>1737</v>
      </c>
      <c r="B458" s="302" t="s">
        <v>3347</v>
      </c>
      <c r="C458" s="302" t="s">
        <v>1171</v>
      </c>
      <c r="D458" s="303" t="s">
        <v>1686</v>
      </c>
      <c r="E458" s="286">
        <v>3.5</v>
      </c>
      <c r="F458" s="321"/>
      <c r="G458" s="305"/>
      <c r="H458" s="286"/>
      <c r="I458" s="304"/>
      <c r="J458" s="286"/>
      <c r="K458" s="304"/>
      <c r="Q458" s="281">
        <f>[19]Source!X378</f>
        <v>767.12</v>
      </c>
      <c r="R458" s="281">
        <f>[19]Source!X379</f>
        <v>12098.59</v>
      </c>
      <c r="S458" s="281">
        <f>[19]Source!Y378</f>
        <v>450.85</v>
      </c>
      <c r="T458" s="281">
        <f>[19]Source!Y379</f>
        <v>6442.1</v>
      </c>
      <c r="U458" s="281">
        <f>ROUND((175/100)*ROUND([19]Source!R378, 2), 2)</f>
        <v>34.979999999999997</v>
      </c>
      <c r="V458" s="281">
        <f>ROUND((157/100)*ROUND([19]Source!R379, 2), 2)</f>
        <v>732.83</v>
      </c>
    </row>
    <row r="459" spans="1:22" x14ac:dyDescent="0.2">
      <c r="C459" s="316" t="s">
        <v>3708</v>
      </c>
    </row>
    <row r="460" spans="1:22" ht="14.25" x14ac:dyDescent="0.2">
      <c r="A460" s="301"/>
      <c r="B460" s="302"/>
      <c r="C460" s="302" t="s">
        <v>197</v>
      </c>
      <c r="D460" s="303"/>
      <c r="E460" s="286"/>
      <c r="F460" s="321">
        <v>192.26</v>
      </c>
      <c r="G460" s="305" t="s">
        <v>195</v>
      </c>
      <c r="H460" s="286">
        <v>1</v>
      </c>
      <c r="I460" s="304">
        <v>672.91</v>
      </c>
      <c r="J460" s="286">
        <v>23.35</v>
      </c>
      <c r="K460" s="304">
        <v>15712.45</v>
      </c>
    </row>
    <row r="461" spans="1:22" ht="14.25" x14ac:dyDescent="0.2">
      <c r="A461" s="301"/>
      <c r="B461" s="302"/>
      <c r="C461" s="302" t="s">
        <v>184</v>
      </c>
      <c r="D461" s="303"/>
      <c r="E461" s="286"/>
      <c r="F461" s="321">
        <v>32.869999999999997</v>
      </c>
      <c r="G461" s="305" t="s">
        <v>195</v>
      </c>
      <c r="H461" s="286">
        <v>1</v>
      </c>
      <c r="I461" s="304">
        <v>115.05</v>
      </c>
      <c r="J461" s="286">
        <v>8.48</v>
      </c>
      <c r="K461" s="304">
        <v>975.62</v>
      </c>
    </row>
    <row r="462" spans="1:22" ht="14.25" x14ac:dyDescent="0.2">
      <c r="A462" s="301"/>
      <c r="B462" s="302"/>
      <c r="C462" s="302" t="s">
        <v>189</v>
      </c>
      <c r="D462" s="303"/>
      <c r="E462" s="286"/>
      <c r="F462" s="321">
        <v>5.71</v>
      </c>
      <c r="G462" s="305" t="s">
        <v>195</v>
      </c>
      <c r="H462" s="286">
        <v>1</v>
      </c>
      <c r="I462" s="306">
        <v>19.989999999999998</v>
      </c>
      <c r="J462" s="286">
        <v>23.35</v>
      </c>
      <c r="K462" s="306">
        <v>466.77</v>
      </c>
    </row>
    <row r="463" spans="1:22" ht="14.25" x14ac:dyDescent="0.2">
      <c r="A463" s="301"/>
      <c r="B463" s="302"/>
      <c r="C463" s="302" t="s">
        <v>205</v>
      </c>
      <c r="D463" s="303"/>
      <c r="E463" s="286"/>
      <c r="F463" s="321">
        <v>314.29000000000002</v>
      </c>
      <c r="G463" s="305" t="s">
        <v>195</v>
      </c>
      <c r="H463" s="286">
        <v>1</v>
      </c>
      <c r="I463" s="304">
        <v>1100.02</v>
      </c>
      <c r="J463" s="286">
        <v>5.42</v>
      </c>
      <c r="K463" s="304">
        <v>5962.11</v>
      </c>
    </row>
    <row r="464" spans="1:22" ht="57" x14ac:dyDescent="0.2">
      <c r="A464" s="301" t="s">
        <v>2181</v>
      </c>
      <c r="B464" s="302" t="s">
        <v>3349</v>
      </c>
      <c r="C464" s="302" t="s">
        <v>1232</v>
      </c>
      <c r="D464" s="303" t="s">
        <v>1552</v>
      </c>
      <c r="E464" s="286">
        <v>357</v>
      </c>
      <c r="F464" s="321">
        <v>3.45</v>
      </c>
      <c r="G464" s="315" t="s">
        <v>195</v>
      </c>
      <c r="H464" s="286">
        <v>1</v>
      </c>
      <c r="I464" s="304">
        <v>1231.6500000000001</v>
      </c>
      <c r="J464" s="286">
        <v>6.37</v>
      </c>
      <c r="K464" s="304">
        <v>7845.61</v>
      </c>
      <c r="Q464" s="281">
        <f>[19]Source!X380</f>
        <v>0</v>
      </c>
      <c r="R464" s="281">
        <f>[19]Source!X381</f>
        <v>0</v>
      </c>
      <c r="S464" s="281">
        <f>[19]Source!Y380</f>
        <v>0</v>
      </c>
      <c r="T464" s="281">
        <f>[19]Source!Y381</f>
        <v>0</v>
      </c>
      <c r="U464" s="281">
        <f>ROUND((175/100)*ROUND([19]Source!R380, 2), 2)</f>
        <v>0</v>
      </c>
      <c r="V464" s="281">
        <f>ROUND((157/100)*ROUND([19]Source!R381, 2), 2)</f>
        <v>0</v>
      </c>
    </row>
    <row r="465" spans="1:22" ht="42.75" x14ac:dyDescent="0.2">
      <c r="A465" s="301" t="s">
        <v>3709</v>
      </c>
      <c r="B465" s="302" t="s">
        <v>3350</v>
      </c>
      <c r="C465" s="302" t="s">
        <v>1169</v>
      </c>
      <c r="D465" s="303" t="s">
        <v>1536</v>
      </c>
      <c r="E465" s="286">
        <v>3.5</v>
      </c>
      <c r="F465" s="321">
        <v>146.88999999999999</v>
      </c>
      <c r="G465" s="315" t="s">
        <v>195</v>
      </c>
      <c r="H465" s="286">
        <v>1</v>
      </c>
      <c r="I465" s="304">
        <v>514.12</v>
      </c>
      <c r="J465" s="286">
        <v>1.19</v>
      </c>
      <c r="K465" s="304">
        <v>611.79999999999995</v>
      </c>
      <c r="Q465" s="281">
        <f>[19]Source!X382</f>
        <v>0</v>
      </c>
      <c r="R465" s="281">
        <f>[19]Source!X383</f>
        <v>0</v>
      </c>
      <c r="S465" s="281">
        <f>[19]Source!Y382</f>
        <v>0</v>
      </c>
      <c r="T465" s="281">
        <f>[19]Source!Y383</f>
        <v>0</v>
      </c>
      <c r="U465" s="281">
        <f>ROUND((175/100)*ROUND([19]Source!R382, 2), 2)</f>
        <v>0</v>
      </c>
      <c r="V465" s="281">
        <f>ROUND((157/100)*ROUND([19]Source!R383, 2), 2)</f>
        <v>0</v>
      </c>
    </row>
    <row r="466" spans="1:22" ht="71.25" x14ac:dyDescent="0.2">
      <c r="A466" s="301" t="s">
        <v>3710</v>
      </c>
      <c r="B466" s="302" t="s">
        <v>3711</v>
      </c>
      <c r="C466" s="302" t="s">
        <v>1455</v>
      </c>
      <c r="D466" s="303" t="s">
        <v>1661</v>
      </c>
      <c r="E466" s="286">
        <v>20</v>
      </c>
      <c r="F466" s="321">
        <v>92.62</v>
      </c>
      <c r="G466" s="315" t="s">
        <v>195</v>
      </c>
      <c r="H466" s="286">
        <v>1</v>
      </c>
      <c r="I466" s="304">
        <v>1852.4</v>
      </c>
      <c r="J466" s="286">
        <v>5.86</v>
      </c>
      <c r="K466" s="304">
        <v>10855.06</v>
      </c>
      <c r="Q466" s="281">
        <f>[19]Source!X384</f>
        <v>0</v>
      </c>
      <c r="R466" s="281">
        <f>[19]Source!X385</f>
        <v>0</v>
      </c>
      <c r="S466" s="281">
        <f>[19]Source!Y384</f>
        <v>0</v>
      </c>
      <c r="T466" s="281">
        <f>[19]Source!Y385</f>
        <v>0</v>
      </c>
      <c r="U466" s="281">
        <f>ROUND((175/100)*ROUND([19]Source!R384, 2), 2)</f>
        <v>0</v>
      </c>
      <c r="V466" s="281">
        <f>ROUND((157/100)*ROUND([19]Source!R385, 2), 2)</f>
        <v>0</v>
      </c>
    </row>
    <row r="467" spans="1:22" ht="14.25" x14ac:dyDescent="0.2">
      <c r="A467" s="301"/>
      <c r="B467" s="302"/>
      <c r="C467" s="302" t="s">
        <v>194</v>
      </c>
      <c r="D467" s="303" t="s">
        <v>187</v>
      </c>
      <c r="E467" s="286">
        <v>114</v>
      </c>
      <c r="F467" s="321"/>
      <c r="G467" s="305"/>
      <c r="H467" s="286"/>
      <c r="I467" s="304">
        <v>767.12</v>
      </c>
      <c r="J467" s="286">
        <v>77</v>
      </c>
      <c r="K467" s="304">
        <v>12098.59</v>
      </c>
    </row>
    <row r="468" spans="1:22" ht="14.25" x14ac:dyDescent="0.2">
      <c r="A468" s="301"/>
      <c r="B468" s="302"/>
      <c r="C468" s="302" t="s">
        <v>193</v>
      </c>
      <c r="D468" s="303" t="s">
        <v>187</v>
      </c>
      <c r="E468" s="286">
        <v>67</v>
      </c>
      <c r="F468" s="321"/>
      <c r="G468" s="305"/>
      <c r="H468" s="286"/>
      <c r="I468" s="304">
        <v>450.85</v>
      </c>
      <c r="J468" s="286">
        <v>41</v>
      </c>
      <c r="K468" s="304">
        <v>6442.1</v>
      </c>
    </row>
    <row r="469" spans="1:22" ht="14.25" x14ac:dyDescent="0.2">
      <c r="A469" s="301"/>
      <c r="B469" s="302"/>
      <c r="C469" s="302" t="s">
        <v>188</v>
      </c>
      <c r="D469" s="303" t="s">
        <v>187</v>
      </c>
      <c r="E469" s="286">
        <v>175</v>
      </c>
      <c r="F469" s="321"/>
      <c r="G469" s="305"/>
      <c r="H469" s="286"/>
      <c r="I469" s="304">
        <v>34.979999999999997</v>
      </c>
      <c r="J469" s="286">
        <v>157</v>
      </c>
      <c r="K469" s="304">
        <v>732.83</v>
      </c>
    </row>
    <row r="470" spans="1:22" ht="14.25" x14ac:dyDescent="0.2">
      <c r="A470" s="329"/>
      <c r="B470" s="330"/>
      <c r="C470" s="330" t="s">
        <v>192</v>
      </c>
      <c r="D470" s="331" t="s">
        <v>191</v>
      </c>
      <c r="E470" s="332">
        <v>15</v>
      </c>
      <c r="F470" s="333"/>
      <c r="G470" s="334" t="s">
        <v>195</v>
      </c>
      <c r="H470" s="332">
        <v>1</v>
      </c>
      <c r="I470" s="335">
        <v>52.5</v>
      </c>
      <c r="J470" s="332"/>
      <c r="K470" s="335"/>
    </row>
    <row r="471" spans="1:22" ht="15" x14ac:dyDescent="0.25">
      <c r="A471" s="336"/>
      <c r="B471" s="336"/>
      <c r="C471" s="337" t="s">
        <v>183</v>
      </c>
      <c r="D471" s="336"/>
      <c r="E471" s="336"/>
      <c r="F471" s="336"/>
      <c r="G471" s="336"/>
      <c r="H471" s="461">
        <v>6739.1</v>
      </c>
      <c r="I471" s="461"/>
      <c r="J471" s="461">
        <v>61236.17</v>
      </c>
      <c r="K471" s="461"/>
      <c r="O471" s="284">
        <f>I460+I461+I463+I467+I468+I469+SUM(I464:I466)</f>
        <v>6739.1</v>
      </c>
      <c r="P471" s="284">
        <f>K460+K461+K463+K467+K468+K469+SUM(K464:K466)</f>
        <v>61236.17</v>
      </c>
    </row>
    <row r="473" spans="1:22" ht="71.25" x14ac:dyDescent="0.2">
      <c r="A473" s="301" t="s">
        <v>1740</v>
      </c>
      <c r="B473" s="302" t="s">
        <v>3354</v>
      </c>
      <c r="C473" s="302" t="s">
        <v>1111</v>
      </c>
      <c r="D473" s="303" t="s">
        <v>1686</v>
      </c>
      <c r="E473" s="286">
        <v>3.5</v>
      </c>
      <c r="F473" s="321"/>
      <c r="G473" s="305"/>
      <c r="H473" s="286"/>
      <c r="I473" s="304"/>
      <c r="J473" s="286"/>
      <c r="K473" s="304"/>
      <c r="Q473" s="281">
        <f>[19]Source!X386</f>
        <v>304.04000000000002</v>
      </c>
      <c r="R473" s="281">
        <f>[19]Source!X387</f>
        <v>4795.1400000000003</v>
      </c>
      <c r="S473" s="281">
        <f>[19]Source!Y386</f>
        <v>178.69</v>
      </c>
      <c r="T473" s="281">
        <f>[19]Source!Y387</f>
        <v>2553.25</v>
      </c>
      <c r="U473" s="281">
        <f>ROUND((175/100)*ROUND([19]Source!R386, 2), 2)</f>
        <v>2.4</v>
      </c>
      <c r="V473" s="281">
        <f>ROUND((157/100)*ROUND([19]Source!R387, 2), 2)</f>
        <v>50.22</v>
      </c>
    </row>
    <row r="474" spans="1:22" x14ac:dyDescent="0.2">
      <c r="C474" s="316" t="s">
        <v>3712</v>
      </c>
    </row>
    <row r="475" spans="1:22" ht="14.25" x14ac:dyDescent="0.2">
      <c r="A475" s="301"/>
      <c r="B475" s="302"/>
      <c r="C475" s="302" t="s">
        <v>197</v>
      </c>
      <c r="D475" s="303"/>
      <c r="E475" s="286"/>
      <c r="F475" s="321">
        <v>76.2</v>
      </c>
      <c r="G475" s="305" t="s">
        <v>195</v>
      </c>
      <c r="H475" s="286">
        <v>1</v>
      </c>
      <c r="I475" s="304">
        <v>266.7</v>
      </c>
      <c r="J475" s="286">
        <v>23.35</v>
      </c>
      <c r="K475" s="304">
        <v>6227.45</v>
      </c>
    </row>
    <row r="476" spans="1:22" ht="14.25" x14ac:dyDescent="0.2">
      <c r="A476" s="301"/>
      <c r="B476" s="302"/>
      <c r="C476" s="302" t="s">
        <v>184</v>
      </c>
      <c r="D476" s="303"/>
      <c r="E476" s="286"/>
      <c r="F476" s="321">
        <v>1.69</v>
      </c>
      <c r="G476" s="305" t="s">
        <v>195</v>
      </c>
      <c r="H476" s="286">
        <v>1</v>
      </c>
      <c r="I476" s="304">
        <v>5.92</v>
      </c>
      <c r="J476" s="286">
        <v>9.5</v>
      </c>
      <c r="K476" s="304">
        <v>56.24</v>
      </c>
    </row>
    <row r="477" spans="1:22" ht="14.25" x14ac:dyDescent="0.2">
      <c r="A477" s="301"/>
      <c r="B477" s="302"/>
      <c r="C477" s="302" t="s">
        <v>189</v>
      </c>
      <c r="D477" s="303"/>
      <c r="E477" s="286"/>
      <c r="F477" s="321">
        <v>0.39</v>
      </c>
      <c r="G477" s="305" t="s">
        <v>195</v>
      </c>
      <c r="H477" s="286">
        <v>1</v>
      </c>
      <c r="I477" s="306">
        <v>1.37</v>
      </c>
      <c r="J477" s="286">
        <v>23.35</v>
      </c>
      <c r="K477" s="306">
        <v>31.99</v>
      </c>
    </row>
    <row r="478" spans="1:22" ht="14.25" x14ac:dyDescent="0.2">
      <c r="A478" s="301"/>
      <c r="B478" s="302"/>
      <c r="C478" s="302" t="s">
        <v>205</v>
      </c>
      <c r="D478" s="303"/>
      <c r="E478" s="286"/>
      <c r="F478" s="321">
        <v>9.94</v>
      </c>
      <c r="G478" s="305" t="s">
        <v>195</v>
      </c>
      <c r="H478" s="286">
        <v>1</v>
      </c>
      <c r="I478" s="304">
        <v>34.79</v>
      </c>
      <c r="J478" s="286">
        <v>5.42</v>
      </c>
      <c r="K478" s="304">
        <v>188.56</v>
      </c>
    </row>
    <row r="479" spans="1:22" ht="71.25" x14ac:dyDescent="0.2">
      <c r="A479" s="301" t="s">
        <v>1742</v>
      </c>
      <c r="B479" s="302" t="s">
        <v>3713</v>
      </c>
      <c r="C479" s="302" t="s">
        <v>1454</v>
      </c>
      <c r="D479" s="303" t="s">
        <v>3367</v>
      </c>
      <c r="E479" s="286">
        <v>0.05</v>
      </c>
      <c r="F479" s="321">
        <v>27876.17</v>
      </c>
      <c r="G479" s="315" t="s">
        <v>1452</v>
      </c>
      <c r="H479" s="286">
        <v>1</v>
      </c>
      <c r="I479" s="304">
        <v>1421.68</v>
      </c>
      <c r="J479" s="286">
        <v>1.17</v>
      </c>
      <c r="K479" s="304">
        <v>1663.37</v>
      </c>
      <c r="Q479" s="281">
        <f>[19]Source!X388</f>
        <v>0</v>
      </c>
      <c r="R479" s="281">
        <f>[19]Source!X389</f>
        <v>0</v>
      </c>
      <c r="S479" s="281">
        <f>[19]Source!Y388</f>
        <v>0</v>
      </c>
      <c r="T479" s="281">
        <f>[19]Source!Y389</f>
        <v>0</v>
      </c>
      <c r="U479" s="281">
        <f>ROUND((175/100)*ROUND([19]Source!R388, 2), 2)</f>
        <v>0</v>
      </c>
      <c r="V479" s="281">
        <f>ROUND((157/100)*ROUND([19]Source!R389, 2), 2)</f>
        <v>0</v>
      </c>
    </row>
    <row r="480" spans="1:22" ht="71.25" x14ac:dyDescent="0.2">
      <c r="A480" s="301" t="s">
        <v>2033</v>
      </c>
      <c r="B480" s="302" t="s">
        <v>3714</v>
      </c>
      <c r="C480" s="302" t="s">
        <v>1453</v>
      </c>
      <c r="D480" s="303" t="s">
        <v>3367</v>
      </c>
      <c r="E480" s="286">
        <v>0.3</v>
      </c>
      <c r="F480" s="321">
        <v>2989.23</v>
      </c>
      <c r="G480" s="315" t="s">
        <v>1452</v>
      </c>
      <c r="H480" s="286">
        <v>1</v>
      </c>
      <c r="I480" s="304">
        <v>914.7</v>
      </c>
      <c r="J480" s="286">
        <v>5.41</v>
      </c>
      <c r="K480" s="304">
        <v>4948.53</v>
      </c>
      <c r="Q480" s="281">
        <f>[19]Source!X390</f>
        <v>0</v>
      </c>
      <c r="R480" s="281">
        <f>[19]Source!X391</f>
        <v>0</v>
      </c>
      <c r="S480" s="281">
        <f>[19]Source!Y390</f>
        <v>0</v>
      </c>
      <c r="T480" s="281">
        <f>[19]Source!Y391</f>
        <v>0</v>
      </c>
      <c r="U480" s="281">
        <f>ROUND((175/100)*ROUND([19]Source!R390, 2), 2)</f>
        <v>0</v>
      </c>
      <c r="V480" s="281">
        <f>ROUND((157/100)*ROUND([19]Source!R391, 2), 2)</f>
        <v>0</v>
      </c>
    </row>
    <row r="481" spans="1:22" ht="14.25" x14ac:dyDescent="0.2">
      <c r="A481" s="301"/>
      <c r="B481" s="302"/>
      <c r="C481" s="302" t="s">
        <v>194</v>
      </c>
      <c r="D481" s="303" t="s">
        <v>187</v>
      </c>
      <c r="E481" s="286">
        <v>114</v>
      </c>
      <c r="F481" s="321"/>
      <c r="G481" s="305"/>
      <c r="H481" s="286"/>
      <c r="I481" s="304">
        <v>304.04000000000002</v>
      </c>
      <c r="J481" s="286">
        <v>77</v>
      </c>
      <c r="K481" s="304">
        <v>4795.1400000000003</v>
      </c>
    </row>
    <row r="482" spans="1:22" ht="14.25" x14ac:dyDescent="0.2">
      <c r="A482" s="301"/>
      <c r="B482" s="302"/>
      <c r="C482" s="302" t="s">
        <v>193</v>
      </c>
      <c r="D482" s="303" t="s">
        <v>187</v>
      </c>
      <c r="E482" s="286">
        <v>67</v>
      </c>
      <c r="F482" s="321"/>
      <c r="G482" s="305"/>
      <c r="H482" s="286"/>
      <c r="I482" s="304">
        <v>178.69</v>
      </c>
      <c r="J482" s="286">
        <v>41</v>
      </c>
      <c r="K482" s="304">
        <v>2553.25</v>
      </c>
    </row>
    <row r="483" spans="1:22" ht="14.25" x14ac:dyDescent="0.2">
      <c r="A483" s="301"/>
      <c r="B483" s="302"/>
      <c r="C483" s="302" t="s">
        <v>188</v>
      </c>
      <c r="D483" s="303" t="s">
        <v>187</v>
      </c>
      <c r="E483" s="286">
        <v>175</v>
      </c>
      <c r="F483" s="321"/>
      <c r="G483" s="305"/>
      <c r="H483" s="286"/>
      <c r="I483" s="304">
        <v>2.4</v>
      </c>
      <c r="J483" s="286">
        <v>157</v>
      </c>
      <c r="K483" s="304">
        <v>50.22</v>
      </c>
    </row>
    <row r="484" spans="1:22" ht="14.25" x14ac:dyDescent="0.2">
      <c r="A484" s="329"/>
      <c r="B484" s="330"/>
      <c r="C484" s="330" t="s">
        <v>192</v>
      </c>
      <c r="D484" s="331" t="s">
        <v>191</v>
      </c>
      <c r="E484" s="332">
        <v>6.18</v>
      </c>
      <c r="F484" s="333"/>
      <c r="G484" s="334" t="s">
        <v>195</v>
      </c>
      <c r="H484" s="332">
        <v>1</v>
      </c>
      <c r="I484" s="335">
        <v>21.63</v>
      </c>
      <c r="J484" s="332"/>
      <c r="K484" s="335"/>
    </row>
    <row r="485" spans="1:22" ht="15" x14ac:dyDescent="0.25">
      <c r="A485" s="336"/>
      <c r="B485" s="336"/>
      <c r="C485" s="337" t="s">
        <v>183</v>
      </c>
      <c r="D485" s="336"/>
      <c r="E485" s="336"/>
      <c r="F485" s="336"/>
      <c r="G485" s="336"/>
      <c r="H485" s="461">
        <v>3128.92</v>
      </c>
      <c r="I485" s="461"/>
      <c r="J485" s="461">
        <v>20482.759999999998</v>
      </c>
      <c r="K485" s="461"/>
      <c r="O485" s="284">
        <f>I475+I476+I478+I481+I482+I483+SUM(I479:I480)</f>
        <v>3128.92</v>
      </c>
      <c r="P485" s="284">
        <f>K475+K476+K478+K481+K482+K483+SUM(K479:K480)</f>
        <v>20482.759999999998</v>
      </c>
    </row>
    <row r="487" spans="1:22" ht="85.5" x14ac:dyDescent="0.2">
      <c r="A487" s="301" t="s">
        <v>1744</v>
      </c>
      <c r="B487" s="302" t="s">
        <v>3395</v>
      </c>
      <c r="C487" s="302" t="s">
        <v>1281</v>
      </c>
      <c r="D487" s="303" t="s">
        <v>1903</v>
      </c>
      <c r="E487" s="286">
        <v>4</v>
      </c>
      <c r="F487" s="321"/>
      <c r="G487" s="305"/>
      <c r="H487" s="286"/>
      <c r="I487" s="304"/>
      <c r="J487" s="286"/>
      <c r="K487" s="304"/>
      <c r="Q487" s="281">
        <f>[19]Source!X392</f>
        <v>61.07</v>
      </c>
      <c r="R487" s="281">
        <f>[19]Source!X393</f>
        <v>963.16</v>
      </c>
      <c r="S487" s="281">
        <f>[19]Source!Y392</f>
        <v>35.89</v>
      </c>
      <c r="T487" s="281">
        <f>[19]Source!Y393</f>
        <v>512.85</v>
      </c>
      <c r="U487" s="281">
        <f>ROUND((175/100)*ROUND([19]Source!R392, 2), 2)</f>
        <v>1.86</v>
      </c>
      <c r="V487" s="281">
        <f>ROUND((157/100)*ROUND([19]Source!R393, 2), 2)</f>
        <v>38.86</v>
      </c>
    </row>
    <row r="488" spans="1:22" ht="14.25" x14ac:dyDescent="0.2">
      <c r="A488" s="301"/>
      <c r="B488" s="302"/>
      <c r="C488" s="302" t="s">
        <v>197</v>
      </c>
      <c r="D488" s="303"/>
      <c r="E488" s="286"/>
      <c r="F488" s="321">
        <v>16.739999999999998</v>
      </c>
      <c r="G488" s="305" t="s">
        <v>2922</v>
      </c>
      <c r="H488" s="286">
        <v>1</v>
      </c>
      <c r="I488" s="304">
        <v>53.57</v>
      </c>
      <c r="J488" s="286">
        <v>23.35</v>
      </c>
      <c r="K488" s="304">
        <v>1250.8599999999999</v>
      </c>
    </row>
    <row r="489" spans="1:22" ht="14.25" x14ac:dyDescent="0.2">
      <c r="A489" s="301"/>
      <c r="B489" s="302"/>
      <c r="C489" s="302" t="s">
        <v>184</v>
      </c>
      <c r="D489" s="303"/>
      <c r="E489" s="286"/>
      <c r="F489" s="321">
        <v>4.93</v>
      </c>
      <c r="G489" s="305" t="s">
        <v>2922</v>
      </c>
      <c r="H489" s="286">
        <v>1</v>
      </c>
      <c r="I489" s="304">
        <v>15.78</v>
      </c>
      <c r="J489" s="286">
        <v>6.56</v>
      </c>
      <c r="K489" s="304">
        <v>103.52</v>
      </c>
    </row>
    <row r="490" spans="1:22" ht="14.25" x14ac:dyDescent="0.2">
      <c r="A490" s="301"/>
      <c r="B490" s="302"/>
      <c r="C490" s="302" t="s">
        <v>189</v>
      </c>
      <c r="D490" s="303"/>
      <c r="E490" s="286"/>
      <c r="F490" s="321">
        <v>0.33</v>
      </c>
      <c r="G490" s="305" t="s">
        <v>2922</v>
      </c>
      <c r="H490" s="286">
        <v>1</v>
      </c>
      <c r="I490" s="306">
        <v>1.06</v>
      </c>
      <c r="J490" s="286">
        <v>23.35</v>
      </c>
      <c r="K490" s="306">
        <v>24.75</v>
      </c>
    </row>
    <row r="491" spans="1:22" ht="14.25" x14ac:dyDescent="0.2">
      <c r="A491" s="301"/>
      <c r="B491" s="302"/>
      <c r="C491" s="302" t="s">
        <v>205</v>
      </c>
      <c r="D491" s="303"/>
      <c r="E491" s="286"/>
      <c r="F491" s="321">
        <v>15.47</v>
      </c>
      <c r="G491" s="305" t="s">
        <v>195</v>
      </c>
      <c r="H491" s="286">
        <v>1</v>
      </c>
      <c r="I491" s="304">
        <v>61.88</v>
      </c>
      <c r="J491" s="286">
        <v>5.42</v>
      </c>
      <c r="K491" s="304">
        <v>335.39</v>
      </c>
    </row>
    <row r="492" spans="1:22" ht="28.5" x14ac:dyDescent="0.2">
      <c r="A492" s="301" t="s">
        <v>1747</v>
      </c>
      <c r="B492" s="302" t="s">
        <v>3404</v>
      </c>
      <c r="C492" s="302" t="s">
        <v>1274</v>
      </c>
      <c r="D492" s="303" t="s">
        <v>1661</v>
      </c>
      <c r="E492" s="286">
        <v>4</v>
      </c>
      <c r="F492" s="321">
        <v>77.010000000000005</v>
      </c>
      <c r="G492" s="315" t="s">
        <v>195</v>
      </c>
      <c r="H492" s="286">
        <v>1</v>
      </c>
      <c r="I492" s="304">
        <v>308.04000000000002</v>
      </c>
      <c r="J492" s="286">
        <v>3.65</v>
      </c>
      <c r="K492" s="304">
        <v>1124.3499999999999</v>
      </c>
      <c r="Q492" s="281">
        <f>[19]Source!X394</f>
        <v>0</v>
      </c>
      <c r="R492" s="281">
        <f>[19]Source!X395</f>
        <v>0</v>
      </c>
      <c r="S492" s="281">
        <f>[19]Source!Y394</f>
        <v>0</v>
      </c>
      <c r="T492" s="281">
        <f>[19]Source!Y395</f>
        <v>0</v>
      </c>
      <c r="U492" s="281">
        <f>ROUND((175/100)*ROUND([19]Source!R394, 2), 2)</f>
        <v>0</v>
      </c>
      <c r="V492" s="281">
        <f>ROUND((157/100)*ROUND([19]Source!R395, 2), 2)</f>
        <v>0</v>
      </c>
    </row>
    <row r="493" spans="1:22" ht="71.25" x14ac:dyDescent="0.2">
      <c r="A493" s="322" t="s">
        <v>2188</v>
      </c>
      <c r="B493" s="323" t="s">
        <v>3715</v>
      </c>
      <c r="C493" s="323" t="s">
        <v>1451</v>
      </c>
      <c r="D493" s="324" t="s">
        <v>1661</v>
      </c>
      <c r="E493" s="325">
        <v>4</v>
      </c>
      <c r="F493" s="326">
        <v>108.75</v>
      </c>
      <c r="G493" s="327" t="s">
        <v>195</v>
      </c>
      <c r="H493" s="325">
        <v>1</v>
      </c>
      <c r="I493" s="328">
        <v>435</v>
      </c>
      <c r="J493" s="325">
        <v>4.21</v>
      </c>
      <c r="K493" s="328">
        <v>1831.35</v>
      </c>
      <c r="Q493" s="281">
        <f>[19]Source!X396</f>
        <v>0</v>
      </c>
      <c r="R493" s="281">
        <f>[19]Source!X397</f>
        <v>0</v>
      </c>
      <c r="S493" s="281">
        <f>[19]Source!Y396</f>
        <v>0</v>
      </c>
      <c r="T493" s="281">
        <f>[19]Source!Y397</f>
        <v>0</v>
      </c>
      <c r="U493" s="281">
        <f>ROUND((175/100)*ROUND([19]Source!R396, 2), 2)</f>
        <v>0</v>
      </c>
      <c r="V493" s="281">
        <f>ROUND((157/100)*ROUND([19]Source!R397, 2), 2)</f>
        <v>0</v>
      </c>
    </row>
    <row r="494" spans="1:22" ht="14.25" x14ac:dyDescent="0.2">
      <c r="A494" s="301"/>
      <c r="B494" s="302"/>
      <c r="C494" s="302" t="s">
        <v>194</v>
      </c>
      <c r="D494" s="303" t="s">
        <v>187</v>
      </c>
      <c r="E494" s="286">
        <v>114</v>
      </c>
      <c r="F494" s="321"/>
      <c r="G494" s="305"/>
      <c r="H494" s="286"/>
      <c r="I494" s="304">
        <v>61.07</v>
      </c>
      <c r="J494" s="286">
        <v>77</v>
      </c>
      <c r="K494" s="304">
        <v>963.16</v>
      </c>
    </row>
    <row r="495" spans="1:22" ht="14.25" x14ac:dyDescent="0.2">
      <c r="A495" s="301"/>
      <c r="B495" s="302"/>
      <c r="C495" s="302" t="s">
        <v>193</v>
      </c>
      <c r="D495" s="303" t="s">
        <v>187</v>
      </c>
      <c r="E495" s="286">
        <v>67</v>
      </c>
      <c r="F495" s="321"/>
      <c r="G495" s="305"/>
      <c r="H495" s="286"/>
      <c r="I495" s="304">
        <v>35.89</v>
      </c>
      <c r="J495" s="286">
        <v>41</v>
      </c>
      <c r="K495" s="304">
        <v>512.85</v>
      </c>
    </row>
    <row r="496" spans="1:22" ht="14.25" x14ac:dyDescent="0.2">
      <c r="A496" s="301"/>
      <c r="B496" s="302"/>
      <c r="C496" s="302" t="s">
        <v>188</v>
      </c>
      <c r="D496" s="303" t="s">
        <v>187</v>
      </c>
      <c r="E496" s="286">
        <v>175</v>
      </c>
      <c r="F496" s="321"/>
      <c r="G496" s="305"/>
      <c r="H496" s="286"/>
      <c r="I496" s="304">
        <v>1.86</v>
      </c>
      <c r="J496" s="286">
        <v>157</v>
      </c>
      <c r="K496" s="304">
        <v>38.86</v>
      </c>
    </row>
    <row r="497" spans="1:22" ht="14.25" x14ac:dyDescent="0.2">
      <c r="A497" s="329"/>
      <c r="B497" s="330"/>
      <c r="C497" s="330" t="s">
        <v>192</v>
      </c>
      <c r="D497" s="331" t="s">
        <v>191</v>
      </c>
      <c r="E497" s="332">
        <v>1.34</v>
      </c>
      <c r="F497" s="333"/>
      <c r="G497" s="334" t="s">
        <v>2922</v>
      </c>
      <c r="H497" s="332">
        <v>1</v>
      </c>
      <c r="I497" s="335">
        <v>4.29</v>
      </c>
      <c r="J497" s="332"/>
      <c r="K497" s="335"/>
    </row>
    <row r="498" spans="1:22" ht="15" x14ac:dyDescent="0.25">
      <c r="A498" s="336"/>
      <c r="B498" s="336"/>
      <c r="C498" s="337" t="s">
        <v>183</v>
      </c>
      <c r="D498" s="336"/>
      <c r="E498" s="336"/>
      <c r="F498" s="336"/>
      <c r="G498" s="336"/>
      <c r="H498" s="461">
        <v>973.09</v>
      </c>
      <c r="I498" s="461"/>
      <c r="J498" s="461">
        <v>6160.34</v>
      </c>
      <c r="K498" s="461"/>
      <c r="O498" s="284">
        <f>I488+I489+I491+I494+I495+I496+SUM(I492:I493)</f>
        <v>973.09</v>
      </c>
      <c r="P498" s="284">
        <f>K488+K489+K491+K494+K495+K496+SUM(K492:K493)</f>
        <v>6160.34</v>
      </c>
    </row>
    <row r="501" spans="1:22" ht="15" x14ac:dyDescent="0.25">
      <c r="A501" s="447" t="s">
        <v>3716</v>
      </c>
      <c r="B501" s="447"/>
      <c r="C501" s="447"/>
      <c r="D501" s="447"/>
      <c r="E501" s="447"/>
      <c r="F501" s="447"/>
      <c r="G501" s="447"/>
      <c r="H501" s="445">
        <v>11959.47</v>
      </c>
      <c r="I501" s="446"/>
      <c r="J501" s="445">
        <v>99046.51</v>
      </c>
      <c r="K501" s="446"/>
    </row>
    <row r="502" spans="1:22" hidden="1" x14ac:dyDescent="0.2">
      <c r="A502" s="281" t="s">
        <v>182</v>
      </c>
      <c r="I502" s="281">
        <v>0</v>
      </c>
      <c r="J502" s="281">
        <v>0</v>
      </c>
    </row>
    <row r="503" spans="1:22" hidden="1" x14ac:dyDescent="0.2">
      <c r="A503" s="281" t="s">
        <v>181</v>
      </c>
      <c r="I503" s="281">
        <v>0</v>
      </c>
      <c r="J503" s="281">
        <v>0</v>
      </c>
    </row>
    <row r="505" spans="1:22" ht="16.5" x14ac:dyDescent="0.25">
      <c r="A505" s="448" t="s">
        <v>3717</v>
      </c>
      <c r="B505" s="448"/>
      <c r="C505" s="448"/>
      <c r="D505" s="448"/>
      <c r="E505" s="448"/>
      <c r="F505" s="448"/>
      <c r="G505" s="448"/>
      <c r="H505" s="448"/>
      <c r="I505" s="448"/>
      <c r="J505" s="448"/>
      <c r="K505" s="448"/>
    </row>
    <row r="507" spans="1:22" ht="16.5" x14ac:dyDescent="0.25">
      <c r="A507" s="448" t="s">
        <v>3718</v>
      </c>
      <c r="B507" s="448"/>
      <c r="C507" s="448"/>
      <c r="D507" s="448"/>
      <c r="E507" s="448"/>
      <c r="F507" s="448"/>
      <c r="G507" s="448"/>
      <c r="H507" s="448"/>
      <c r="I507" s="448"/>
      <c r="J507" s="448"/>
      <c r="K507" s="448"/>
    </row>
    <row r="508" spans="1:22" ht="71.25" x14ac:dyDescent="0.2">
      <c r="A508" s="301" t="s">
        <v>2040</v>
      </c>
      <c r="B508" s="302" t="s">
        <v>3719</v>
      </c>
      <c r="C508" s="302" t="s">
        <v>1450</v>
      </c>
      <c r="D508" s="303" t="s">
        <v>1903</v>
      </c>
      <c r="E508" s="286">
        <v>5</v>
      </c>
      <c r="F508" s="321"/>
      <c r="G508" s="305"/>
      <c r="H508" s="286"/>
      <c r="I508" s="304"/>
      <c r="J508" s="286"/>
      <c r="K508" s="304"/>
      <c r="Q508" s="281">
        <f>[19]Source!X437</f>
        <v>21.91</v>
      </c>
      <c r="R508" s="281">
        <f>[19]Source!X438</f>
        <v>519.21</v>
      </c>
      <c r="S508" s="281">
        <f>[19]Source!Y437</f>
        <v>21.91</v>
      </c>
      <c r="T508" s="281">
        <f>[19]Source!Y438</f>
        <v>313.06</v>
      </c>
      <c r="U508" s="281">
        <f>ROUND((175/100)*ROUND([19]Source!R437, 2), 2)</f>
        <v>0</v>
      </c>
      <c r="V508" s="281">
        <f>ROUND((157/100)*ROUND([19]Source!R438, 2), 2)</f>
        <v>0</v>
      </c>
    </row>
    <row r="509" spans="1:22" ht="14.25" x14ac:dyDescent="0.2">
      <c r="A509" s="301"/>
      <c r="B509" s="302"/>
      <c r="C509" s="302" t="s">
        <v>197</v>
      </c>
      <c r="D509" s="303"/>
      <c r="E509" s="286"/>
      <c r="F509" s="321">
        <v>6.54</v>
      </c>
      <c r="G509" s="305" t="s">
        <v>195</v>
      </c>
      <c r="H509" s="286">
        <v>1</v>
      </c>
      <c r="I509" s="304">
        <v>32.700000000000003</v>
      </c>
      <c r="J509" s="286">
        <v>23.35</v>
      </c>
      <c r="K509" s="304">
        <v>763.55</v>
      </c>
    </row>
    <row r="510" spans="1:22" ht="14.25" x14ac:dyDescent="0.2">
      <c r="A510" s="301"/>
      <c r="B510" s="302"/>
      <c r="C510" s="302" t="s">
        <v>184</v>
      </c>
      <c r="D510" s="303"/>
      <c r="E510" s="286"/>
      <c r="F510" s="321">
        <v>0.14000000000000001</v>
      </c>
      <c r="G510" s="305" t="s">
        <v>195</v>
      </c>
      <c r="H510" s="286">
        <v>1</v>
      </c>
      <c r="I510" s="304">
        <v>0.7</v>
      </c>
      <c r="J510" s="286">
        <v>3.64</v>
      </c>
      <c r="K510" s="304">
        <v>2.5499999999999998</v>
      </c>
    </row>
    <row r="511" spans="1:22" ht="14.25" x14ac:dyDescent="0.2">
      <c r="A511" s="301"/>
      <c r="B511" s="302"/>
      <c r="C511" s="302" t="s">
        <v>205</v>
      </c>
      <c r="D511" s="303"/>
      <c r="E511" s="286"/>
      <c r="F511" s="321">
        <v>1.61</v>
      </c>
      <c r="G511" s="305" t="s">
        <v>195</v>
      </c>
      <c r="H511" s="286">
        <v>1</v>
      </c>
      <c r="I511" s="304">
        <v>8.0500000000000007</v>
      </c>
      <c r="J511" s="286">
        <v>5.73</v>
      </c>
      <c r="K511" s="304">
        <v>46.13</v>
      </c>
    </row>
    <row r="512" spans="1:22" ht="28.5" x14ac:dyDescent="0.2">
      <c r="A512" s="301" t="s">
        <v>2043</v>
      </c>
      <c r="B512" s="302" t="s">
        <v>3720</v>
      </c>
      <c r="C512" s="302" t="s">
        <v>1449</v>
      </c>
      <c r="D512" s="303" t="s">
        <v>1661</v>
      </c>
      <c r="E512" s="286">
        <v>5</v>
      </c>
      <c r="F512" s="321">
        <v>61.7</v>
      </c>
      <c r="G512" s="315" t="s">
        <v>195</v>
      </c>
      <c r="H512" s="286">
        <v>1</v>
      </c>
      <c r="I512" s="304">
        <v>308.5</v>
      </c>
      <c r="J512" s="286">
        <v>2.5499999999999998</v>
      </c>
      <c r="K512" s="304">
        <v>786.68</v>
      </c>
      <c r="Q512" s="281">
        <f>[19]Source!X439</f>
        <v>0</v>
      </c>
      <c r="R512" s="281">
        <f>[19]Source!X440</f>
        <v>0</v>
      </c>
      <c r="S512" s="281">
        <f>[19]Source!Y439</f>
        <v>0</v>
      </c>
      <c r="T512" s="281">
        <f>[19]Source!Y440</f>
        <v>0</v>
      </c>
      <c r="U512" s="281">
        <f>ROUND((175/100)*ROUND([19]Source!R439, 2), 2)</f>
        <v>0</v>
      </c>
      <c r="V512" s="281">
        <f>ROUND((157/100)*ROUND([19]Source!R440, 2), 2)</f>
        <v>0</v>
      </c>
    </row>
    <row r="513" spans="1:22" ht="82.5" x14ac:dyDescent="0.2">
      <c r="A513" s="322" t="s">
        <v>2191</v>
      </c>
      <c r="B513" s="323" t="s">
        <v>3721</v>
      </c>
      <c r="C513" s="323" t="s">
        <v>1446</v>
      </c>
      <c r="D513" s="324" t="s">
        <v>1661</v>
      </c>
      <c r="E513" s="325">
        <v>5</v>
      </c>
      <c r="F513" s="326">
        <v>3839.75</v>
      </c>
      <c r="G513" s="327" t="s">
        <v>195</v>
      </c>
      <c r="H513" s="325">
        <v>1</v>
      </c>
      <c r="I513" s="328">
        <v>19198.75</v>
      </c>
      <c r="J513" s="325">
        <v>4.4000000000000004</v>
      </c>
      <c r="K513" s="328">
        <v>84474.5</v>
      </c>
      <c r="Q513" s="281">
        <f>[19]Source!X441</f>
        <v>0</v>
      </c>
      <c r="R513" s="281">
        <f>[19]Source!X442</f>
        <v>0</v>
      </c>
      <c r="S513" s="281">
        <f>[19]Source!Y441</f>
        <v>0</v>
      </c>
      <c r="T513" s="281">
        <f>[19]Source!Y442</f>
        <v>0</v>
      </c>
      <c r="U513" s="281">
        <f>ROUND((175/100)*ROUND([19]Source!R441, 2), 2)</f>
        <v>0</v>
      </c>
      <c r="V513" s="281">
        <f>ROUND((157/100)*ROUND([19]Source!R442, 2), 2)</f>
        <v>0</v>
      </c>
    </row>
    <row r="514" spans="1:22" ht="28.5" x14ac:dyDescent="0.2">
      <c r="A514" s="301" t="s">
        <v>3722</v>
      </c>
      <c r="B514" s="302" t="s">
        <v>1593</v>
      </c>
      <c r="C514" s="302" t="s">
        <v>1448</v>
      </c>
      <c r="D514" s="303" t="s">
        <v>1594</v>
      </c>
      <c r="E514" s="286">
        <v>8.2500000000000004E-2</v>
      </c>
      <c r="F514" s="321">
        <v>7.07</v>
      </c>
      <c r="G514" s="315" t="s">
        <v>195</v>
      </c>
      <c r="H514" s="286">
        <v>1</v>
      </c>
      <c r="I514" s="304">
        <v>0.57999999999999996</v>
      </c>
      <c r="J514" s="286">
        <v>4.7699999999999996</v>
      </c>
      <c r="K514" s="304">
        <v>2.77</v>
      </c>
      <c r="Q514" s="281">
        <f>[19]Source!X443</f>
        <v>0</v>
      </c>
      <c r="R514" s="281">
        <f>[19]Source!X444</f>
        <v>0</v>
      </c>
      <c r="S514" s="281">
        <f>[19]Source!Y443</f>
        <v>0</v>
      </c>
      <c r="T514" s="281">
        <f>[19]Source!Y444</f>
        <v>0</v>
      </c>
      <c r="U514" s="281">
        <f>ROUND((175/100)*ROUND([19]Source!R443, 2), 2)</f>
        <v>0</v>
      </c>
      <c r="V514" s="281">
        <f>ROUND((157/100)*ROUND([19]Source!R444, 2), 2)</f>
        <v>0</v>
      </c>
    </row>
    <row r="515" spans="1:22" ht="14.25" x14ac:dyDescent="0.2">
      <c r="A515" s="301"/>
      <c r="B515" s="302"/>
      <c r="C515" s="302" t="s">
        <v>194</v>
      </c>
      <c r="D515" s="303" t="s">
        <v>187</v>
      </c>
      <c r="E515" s="286">
        <v>67</v>
      </c>
      <c r="F515" s="321"/>
      <c r="G515" s="305"/>
      <c r="H515" s="286"/>
      <c r="I515" s="304">
        <v>21.91</v>
      </c>
      <c r="J515" s="286">
        <v>68</v>
      </c>
      <c r="K515" s="304">
        <v>519.21</v>
      </c>
    </row>
    <row r="516" spans="1:22" ht="14.25" x14ac:dyDescent="0.2">
      <c r="A516" s="301"/>
      <c r="B516" s="302"/>
      <c r="C516" s="302" t="s">
        <v>193</v>
      </c>
      <c r="D516" s="303" t="s">
        <v>187</v>
      </c>
      <c r="E516" s="286">
        <v>67</v>
      </c>
      <c r="F516" s="321"/>
      <c r="G516" s="305"/>
      <c r="H516" s="286"/>
      <c r="I516" s="304">
        <v>21.91</v>
      </c>
      <c r="J516" s="286">
        <v>41</v>
      </c>
      <c r="K516" s="304">
        <v>313.06</v>
      </c>
    </row>
    <row r="517" spans="1:22" ht="14.25" x14ac:dyDescent="0.2">
      <c r="A517" s="329"/>
      <c r="B517" s="330"/>
      <c r="C517" s="330" t="s">
        <v>192</v>
      </c>
      <c r="D517" s="331" t="s">
        <v>191</v>
      </c>
      <c r="E517" s="332">
        <v>0.41</v>
      </c>
      <c r="F517" s="333"/>
      <c r="G517" s="334" t="s">
        <v>195</v>
      </c>
      <c r="H517" s="332">
        <v>1</v>
      </c>
      <c r="I517" s="335">
        <v>2.0499999999999998</v>
      </c>
      <c r="J517" s="332"/>
      <c r="K517" s="335"/>
    </row>
    <row r="518" spans="1:22" ht="15" x14ac:dyDescent="0.25">
      <c r="A518" s="336"/>
      <c r="B518" s="336"/>
      <c r="C518" s="337" t="s">
        <v>183</v>
      </c>
      <c r="D518" s="336"/>
      <c r="E518" s="336"/>
      <c r="F518" s="336"/>
      <c r="G518" s="336"/>
      <c r="H518" s="461">
        <v>19593.099999999999</v>
      </c>
      <c r="I518" s="461"/>
      <c r="J518" s="461">
        <v>86908.45</v>
      </c>
      <c r="K518" s="461"/>
      <c r="O518" s="284">
        <f>I509+I510+I511+I515+I516+SUM(I512:I514)</f>
        <v>19593.099999999999</v>
      </c>
      <c r="P518" s="284">
        <f>K509+K510+K511+K515+K516+SUM(K512:K514)</f>
        <v>86908.45</v>
      </c>
    </row>
    <row r="521" spans="1:22" ht="15" x14ac:dyDescent="0.25">
      <c r="A521" s="447" t="s">
        <v>3723</v>
      </c>
      <c r="B521" s="447"/>
      <c r="C521" s="447"/>
      <c r="D521" s="447"/>
      <c r="E521" s="447"/>
      <c r="F521" s="447"/>
      <c r="G521" s="447"/>
      <c r="H521" s="445">
        <v>19593.099999999999</v>
      </c>
      <c r="I521" s="446"/>
      <c r="J521" s="445">
        <v>86908.45</v>
      </c>
      <c r="K521" s="446"/>
    </row>
    <row r="522" spans="1:22" hidden="1" x14ac:dyDescent="0.2">
      <c r="A522" s="281" t="s">
        <v>182</v>
      </c>
      <c r="I522" s="281">
        <v>0</v>
      </c>
      <c r="J522" s="281">
        <v>0</v>
      </c>
    </row>
    <row r="523" spans="1:22" hidden="1" x14ac:dyDescent="0.2">
      <c r="A523" s="281" t="s">
        <v>181</v>
      </c>
      <c r="I523" s="281">
        <v>0</v>
      </c>
      <c r="J523" s="281">
        <v>0</v>
      </c>
    </row>
    <row r="525" spans="1:22" ht="16.5" x14ac:dyDescent="0.25">
      <c r="A525" s="448" t="s">
        <v>3724</v>
      </c>
      <c r="B525" s="448"/>
      <c r="C525" s="448"/>
      <c r="D525" s="448"/>
      <c r="E525" s="448"/>
      <c r="F525" s="448"/>
      <c r="G525" s="448"/>
      <c r="H525" s="448"/>
      <c r="I525" s="448"/>
      <c r="J525" s="448"/>
      <c r="K525" s="448"/>
    </row>
    <row r="526" spans="1:22" ht="71.25" x14ac:dyDescent="0.2">
      <c r="A526" s="301" t="s">
        <v>1748</v>
      </c>
      <c r="B526" s="302" t="s">
        <v>3719</v>
      </c>
      <c r="C526" s="302" t="s">
        <v>1450</v>
      </c>
      <c r="D526" s="303" t="s">
        <v>1903</v>
      </c>
      <c r="E526" s="286">
        <v>1</v>
      </c>
      <c r="F526" s="321"/>
      <c r="G526" s="305"/>
      <c r="H526" s="286"/>
      <c r="I526" s="304"/>
      <c r="J526" s="286"/>
      <c r="K526" s="304"/>
      <c r="Q526" s="281">
        <f>[19]Source!X480</f>
        <v>4.38</v>
      </c>
      <c r="R526" s="281">
        <f>[19]Source!X481</f>
        <v>103.84</v>
      </c>
      <c r="S526" s="281">
        <f>[19]Source!Y480</f>
        <v>4.38</v>
      </c>
      <c r="T526" s="281">
        <f>[19]Source!Y481</f>
        <v>62.61</v>
      </c>
      <c r="U526" s="281">
        <f>ROUND((175/100)*ROUND([19]Source!R480, 2), 2)</f>
        <v>0</v>
      </c>
      <c r="V526" s="281">
        <f>ROUND((157/100)*ROUND([19]Source!R481, 2), 2)</f>
        <v>0</v>
      </c>
    </row>
    <row r="527" spans="1:22" ht="14.25" x14ac:dyDescent="0.2">
      <c r="A527" s="301"/>
      <c r="B527" s="302"/>
      <c r="C527" s="302" t="s">
        <v>197</v>
      </c>
      <c r="D527" s="303"/>
      <c r="E527" s="286"/>
      <c r="F527" s="321">
        <v>6.54</v>
      </c>
      <c r="G527" s="305" t="s">
        <v>195</v>
      </c>
      <c r="H527" s="286">
        <v>1</v>
      </c>
      <c r="I527" s="304">
        <v>6.54</v>
      </c>
      <c r="J527" s="286">
        <v>23.35</v>
      </c>
      <c r="K527" s="304">
        <v>152.71</v>
      </c>
    </row>
    <row r="528" spans="1:22" ht="14.25" x14ac:dyDescent="0.2">
      <c r="A528" s="301"/>
      <c r="B528" s="302"/>
      <c r="C528" s="302" t="s">
        <v>184</v>
      </c>
      <c r="D528" s="303"/>
      <c r="E528" s="286"/>
      <c r="F528" s="321">
        <v>0.14000000000000001</v>
      </c>
      <c r="G528" s="305" t="s">
        <v>195</v>
      </c>
      <c r="H528" s="286">
        <v>1</v>
      </c>
      <c r="I528" s="304">
        <v>0.14000000000000001</v>
      </c>
      <c r="J528" s="286">
        <v>3.64</v>
      </c>
      <c r="K528" s="304">
        <v>0.51</v>
      </c>
    </row>
    <row r="529" spans="1:22" ht="14.25" x14ac:dyDescent="0.2">
      <c r="A529" s="301"/>
      <c r="B529" s="302"/>
      <c r="C529" s="302" t="s">
        <v>205</v>
      </c>
      <c r="D529" s="303"/>
      <c r="E529" s="286"/>
      <c r="F529" s="321">
        <v>1.61</v>
      </c>
      <c r="G529" s="305" t="s">
        <v>195</v>
      </c>
      <c r="H529" s="286">
        <v>1</v>
      </c>
      <c r="I529" s="304">
        <v>1.61</v>
      </c>
      <c r="J529" s="286">
        <v>5.73</v>
      </c>
      <c r="K529" s="304">
        <v>9.23</v>
      </c>
    </row>
    <row r="530" spans="1:22" ht="28.5" x14ac:dyDescent="0.2">
      <c r="A530" s="301" t="s">
        <v>1751</v>
      </c>
      <c r="B530" s="302" t="s">
        <v>3720</v>
      </c>
      <c r="C530" s="302" t="s">
        <v>1449</v>
      </c>
      <c r="D530" s="303" t="s">
        <v>1661</v>
      </c>
      <c r="E530" s="286">
        <v>1</v>
      </c>
      <c r="F530" s="321">
        <v>61.7</v>
      </c>
      <c r="G530" s="315" t="s">
        <v>195</v>
      </c>
      <c r="H530" s="286">
        <v>1</v>
      </c>
      <c r="I530" s="304">
        <v>61.7</v>
      </c>
      <c r="J530" s="286">
        <v>2.5499999999999998</v>
      </c>
      <c r="K530" s="304">
        <v>157.34</v>
      </c>
      <c r="Q530" s="281">
        <f>[19]Source!X482</f>
        <v>0</v>
      </c>
      <c r="R530" s="281">
        <f>[19]Source!X483</f>
        <v>0</v>
      </c>
      <c r="S530" s="281">
        <f>[19]Source!Y482</f>
        <v>0</v>
      </c>
      <c r="T530" s="281">
        <f>[19]Source!Y483</f>
        <v>0</v>
      </c>
      <c r="U530" s="281">
        <f>ROUND((175/100)*ROUND([19]Source!R482, 2), 2)</f>
        <v>0</v>
      </c>
      <c r="V530" s="281">
        <f>ROUND((157/100)*ROUND([19]Source!R483, 2), 2)</f>
        <v>0</v>
      </c>
    </row>
    <row r="531" spans="1:22" ht="82.5" x14ac:dyDescent="0.2">
      <c r="A531" s="322" t="s">
        <v>2196</v>
      </c>
      <c r="B531" s="323" t="s">
        <v>3721</v>
      </c>
      <c r="C531" s="323" t="s">
        <v>1446</v>
      </c>
      <c r="D531" s="324" t="s">
        <v>1661</v>
      </c>
      <c r="E531" s="325">
        <v>1</v>
      </c>
      <c r="F531" s="326">
        <v>3839.75</v>
      </c>
      <c r="G531" s="327" t="s">
        <v>195</v>
      </c>
      <c r="H531" s="325">
        <v>1</v>
      </c>
      <c r="I531" s="328">
        <v>3839.75</v>
      </c>
      <c r="J531" s="325">
        <v>4.4000000000000004</v>
      </c>
      <c r="K531" s="328">
        <v>16894.900000000001</v>
      </c>
      <c r="Q531" s="281">
        <f>[19]Source!X484</f>
        <v>0</v>
      </c>
      <c r="R531" s="281">
        <f>[19]Source!X485</f>
        <v>0</v>
      </c>
      <c r="S531" s="281">
        <f>[19]Source!Y484</f>
        <v>0</v>
      </c>
      <c r="T531" s="281">
        <f>[19]Source!Y485</f>
        <v>0</v>
      </c>
      <c r="U531" s="281">
        <f>ROUND((175/100)*ROUND([19]Source!R484, 2), 2)</f>
        <v>0</v>
      </c>
      <c r="V531" s="281">
        <f>ROUND((157/100)*ROUND([19]Source!R485, 2), 2)</f>
        <v>0</v>
      </c>
    </row>
    <row r="532" spans="1:22" ht="28.5" x14ac:dyDescent="0.2">
      <c r="A532" s="301" t="s">
        <v>2198</v>
      </c>
      <c r="B532" s="302" t="s">
        <v>1593</v>
      </c>
      <c r="C532" s="302" t="s">
        <v>1448</v>
      </c>
      <c r="D532" s="303" t="s">
        <v>1594</v>
      </c>
      <c r="E532" s="286">
        <v>1.6500000000000001E-2</v>
      </c>
      <c r="F532" s="321">
        <v>7.07</v>
      </c>
      <c r="G532" s="315" t="s">
        <v>195</v>
      </c>
      <c r="H532" s="286">
        <v>1</v>
      </c>
      <c r="I532" s="304">
        <v>0.12</v>
      </c>
      <c r="J532" s="286">
        <v>4.7699999999999996</v>
      </c>
      <c r="K532" s="304">
        <v>0.56999999999999995</v>
      </c>
      <c r="Q532" s="281">
        <f>[19]Source!X486</f>
        <v>0</v>
      </c>
      <c r="R532" s="281">
        <f>[19]Source!X487</f>
        <v>0</v>
      </c>
      <c r="S532" s="281">
        <f>[19]Source!Y486</f>
        <v>0</v>
      </c>
      <c r="T532" s="281">
        <f>[19]Source!Y487</f>
        <v>0</v>
      </c>
      <c r="U532" s="281">
        <f>ROUND((175/100)*ROUND([19]Source!R486, 2), 2)</f>
        <v>0</v>
      </c>
      <c r="V532" s="281">
        <f>ROUND((157/100)*ROUND([19]Source!R487, 2), 2)</f>
        <v>0</v>
      </c>
    </row>
    <row r="533" spans="1:22" ht="14.25" x14ac:dyDescent="0.2">
      <c r="A533" s="301"/>
      <c r="B533" s="302"/>
      <c r="C533" s="302" t="s">
        <v>194</v>
      </c>
      <c r="D533" s="303" t="s">
        <v>187</v>
      </c>
      <c r="E533" s="286">
        <v>67</v>
      </c>
      <c r="F533" s="321"/>
      <c r="G533" s="305"/>
      <c r="H533" s="286"/>
      <c r="I533" s="304">
        <v>4.38</v>
      </c>
      <c r="J533" s="286">
        <v>68</v>
      </c>
      <c r="K533" s="304">
        <v>103.84</v>
      </c>
    </row>
    <row r="534" spans="1:22" ht="14.25" x14ac:dyDescent="0.2">
      <c r="A534" s="301"/>
      <c r="B534" s="302"/>
      <c r="C534" s="302" t="s">
        <v>193</v>
      </c>
      <c r="D534" s="303" t="s">
        <v>187</v>
      </c>
      <c r="E534" s="286">
        <v>67</v>
      </c>
      <c r="F534" s="321"/>
      <c r="G534" s="305"/>
      <c r="H534" s="286"/>
      <c r="I534" s="304">
        <v>4.38</v>
      </c>
      <c r="J534" s="286">
        <v>41</v>
      </c>
      <c r="K534" s="304">
        <v>62.61</v>
      </c>
    </row>
    <row r="535" spans="1:22" ht="14.25" x14ac:dyDescent="0.2">
      <c r="A535" s="329"/>
      <c r="B535" s="330"/>
      <c r="C535" s="330" t="s">
        <v>192</v>
      </c>
      <c r="D535" s="331" t="s">
        <v>191</v>
      </c>
      <c r="E535" s="332">
        <v>0.41</v>
      </c>
      <c r="F535" s="333"/>
      <c r="G535" s="334" t="s">
        <v>195</v>
      </c>
      <c r="H535" s="332">
        <v>1</v>
      </c>
      <c r="I535" s="335">
        <v>0.41</v>
      </c>
      <c r="J535" s="332"/>
      <c r="K535" s="335"/>
    </row>
    <row r="536" spans="1:22" ht="15" x14ac:dyDescent="0.25">
      <c r="A536" s="336"/>
      <c r="B536" s="336"/>
      <c r="C536" s="337" t="s">
        <v>183</v>
      </c>
      <c r="D536" s="336"/>
      <c r="E536" s="336"/>
      <c r="F536" s="336"/>
      <c r="G536" s="336"/>
      <c r="H536" s="461">
        <v>3918.62</v>
      </c>
      <c r="I536" s="461"/>
      <c r="J536" s="461">
        <v>17381.71</v>
      </c>
      <c r="K536" s="461"/>
      <c r="O536" s="284">
        <f>I527+I528+I529+I533+I534+SUM(I530:I532)</f>
        <v>3918.62</v>
      </c>
      <c r="P536" s="284">
        <f>K527+K528+K529+K533+K534+SUM(K530:K532)</f>
        <v>17381.71</v>
      </c>
    </row>
    <row r="539" spans="1:22" ht="15" x14ac:dyDescent="0.25">
      <c r="A539" s="447" t="s">
        <v>3725</v>
      </c>
      <c r="B539" s="447"/>
      <c r="C539" s="447"/>
      <c r="D539" s="447"/>
      <c r="E539" s="447"/>
      <c r="F539" s="447"/>
      <c r="G539" s="447"/>
      <c r="H539" s="445">
        <v>3918.62</v>
      </c>
      <c r="I539" s="446"/>
      <c r="J539" s="445">
        <v>17381.71</v>
      </c>
      <c r="K539" s="446"/>
    </row>
    <row r="540" spans="1:22" hidden="1" x14ac:dyDescent="0.2">
      <c r="A540" s="281" t="s">
        <v>182</v>
      </c>
      <c r="I540" s="281">
        <v>0</v>
      </c>
      <c r="J540" s="281">
        <v>0</v>
      </c>
    </row>
    <row r="541" spans="1:22" hidden="1" x14ac:dyDescent="0.2">
      <c r="A541" s="281" t="s">
        <v>181</v>
      </c>
      <c r="I541" s="281">
        <v>0</v>
      </c>
      <c r="J541" s="281">
        <v>0</v>
      </c>
    </row>
    <row r="543" spans="1:22" ht="16.5" x14ac:dyDescent="0.25">
      <c r="A543" s="448" t="s">
        <v>3726</v>
      </c>
      <c r="B543" s="448"/>
      <c r="C543" s="448"/>
      <c r="D543" s="448"/>
      <c r="E543" s="448"/>
      <c r="F543" s="448"/>
      <c r="G543" s="448"/>
      <c r="H543" s="448"/>
      <c r="I543" s="448"/>
      <c r="J543" s="448"/>
      <c r="K543" s="448"/>
    </row>
    <row r="544" spans="1:22" ht="71.25" x14ac:dyDescent="0.2">
      <c r="A544" s="301" t="s">
        <v>1753</v>
      </c>
      <c r="B544" s="302" t="s">
        <v>3719</v>
      </c>
      <c r="C544" s="302" t="s">
        <v>1450</v>
      </c>
      <c r="D544" s="303" t="s">
        <v>1903</v>
      </c>
      <c r="E544" s="286">
        <v>2</v>
      </c>
      <c r="F544" s="321"/>
      <c r="G544" s="305"/>
      <c r="H544" s="286"/>
      <c r="I544" s="304"/>
      <c r="J544" s="286"/>
      <c r="K544" s="304"/>
      <c r="Q544" s="281">
        <f>[19]Source!X523</f>
        <v>8.76</v>
      </c>
      <c r="R544" s="281">
        <f>[19]Source!X524</f>
        <v>207.69</v>
      </c>
      <c r="S544" s="281">
        <f>[19]Source!Y523</f>
        <v>8.76</v>
      </c>
      <c r="T544" s="281">
        <f>[19]Source!Y524</f>
        <v>125.22</v>
      </c>
      <c r="U544" s="281">
        <f>ROUND((175/100)*ROUND([19]Source!R523, 2), 2)</f>
        <v>0</v>
      </c>
      <c r="V544" s="281">
        <f>ROUND((157/100)*ROUND([19]Source!R524, 2), 2)</f>
        <v>0</v>
      </c>
    </row>
    <row r="545" spans="1:22" ht="14.25" x14ac:dyDescent="0.2">
      <c r="A545" s="301"/>
      <c r="B545" s="302"/>
      <c r="C545" s="302" t="s">
        <v>197</v>
      </c>
      <c r="D545" s="303"/>
      <c r="E545" s="286"/>
      <c r="F545" s="321">
        <v>6.54</v>
      </c>
      <c r="G545" s="305" t="s">
        <v>195</v>
      </c>
      <c r="H545" s="286">
        <v>1</v>
      </c>
      <c r="I545" s="304">
        <v>13.08</v>
      </c>
      <c r="J545" s="286">
        <v>23.35</v>
      </c>
      <c r="K545" s="304">
        <v>305.42</v>
      </c>
    </row>
    <row r="546" spans="1:22" ht="14.25" x14ac:dyDescent="0.2">
      <c r="A546" s="301"/>
      <c r="B546" s="302"/>
      <c r="C546" s="302" t="s">
        <v>184</v>
      </c>
      <c r="D546" s="303"/>
      <c r="E546" s="286"/>
      <c r="F546" s="321">
        <v>0.14000000000000001</v>
      </c>
      <c r="G546" s="305" t="s">
        <v>195</v>
      </c>
      <c r="H546" s="286">
        <v>1</v>
      </c>
      <c r="I546" s="304">
        <v>0.28000000000000003</v>
      </c>
      <c r="J546" s="286">
        <v>3.64</v>
      </c>
      <c r="K546" s="304">
        <v>1.02</v>
      </c>
    </row>
    <row r="547" spans="1:22" ht="14.25" x14ac:dyDescent="0.2">
      <c r="A547" s="301"/>
      <c r="B547" s="302"/>
      <c r="C547" s="302" t="s">
        <v>205</v>
      </c>
      <c r="D547" s="303"/>
      <c r="E547" s="286"/>
      <c r="F547" s="321">
        <v>1.61</v>
      </c>
      <c r="G547" s="305" t="s">
        <v>195</v>
      </c>
      <c r="H547" s="286">
        <v>1</v>
      </c>
      <c r="I547" s="304">
        <v>3.22</v>
      </c>
      <c r="J547" s="286">
        <v>5.73</v>
      </c>
      <c r="K547" s="304">
        <v>18.45</v>
      </c>
    </row>
    <row r="548" spans="1:22" ht="28.5" x14ac:dyDescent="0.2">
      <c r="A548" s="301" t="s">
        <v>1754</v>
      </c>
      <c r="B548" s="302" t="s">
        <v>3720</v>
      </c>
      <c r="C548" s="302" t="s">
        <v>1449</v>
      </c>
      <c r="D548" s="303" t="s">
        <v>1661</v>
      </c>
      <c r="E548" s="286">
        <v>2</v>
      </c>
      <c r="F548" s="321">
        <v>61.7</v>
      </c>
      <c r="G548" s="315" t="s">
        <v>195</v>
      </c>
      <c r="H548" s="286">
        <v>1</v>
      </c>
      <c r="I548" s="304">
        <v>123.4</v>
      </c>
      <c r="J548" s="286">
        <v>2.5499999999999998</v>
      </c>
      <c r="K548" s="304">
        <v>314.67</v>
      </c>
      <c r="Q548" s="281">
        <f>[19]Source!X525</f>
        <v>0</v>
      </c>
      <c r="R548" s="281">
        <f>[19]Source!X526</f>
        <v>0</v>
      </c>
      <c r="S548" s="281">
        <f>[19]Source!Y525</f>
        <v>0</v>
      </c>
      <c r="T548" s="281">
        <f>[19]Source!Y526</f>
        <v>0</v>
      </c>
      <c r="U548" s="281">
        <f>ROUND((175/100)*ROUND([19]Source!R525, 2), 2)</f>
        <v>0</v>
      </c>
      <c r="V548" s="281">
        <f>ROUND((157/100)*ROUND([19]Source!R526, 2), 2)</f>
        <v>0</v>
      </c>
    </row>
    <row r="549" spans="1:22" ht="82.5" x14ac:dyDescent="0.2">
      <c r="A549" s="322" t="s">
        <v>3502</v>
      </c>
      <c r="B549" s="323" t="s">
        <v>3721</v>
      </c>
      <c r="C549" s="323" t="s">
        <v>1446</v>
      </c>
      <c r="D549" s="324" t="s">
        <v>1661</v>
      </c>
      <c r="E549" s="325">
        <v>2</v>
      </c>
      <c r="F549" s="326">
        <v>3839.75</v>
      </c>
      <c r="G549" s="327" t="s">
        <v>195</v>
      </c>
      <c r="H549" s="325">
        <v>1</v>
      </c>
      <c r="I549" s="328">
        <v>7679.5</v>
      </c>
      <c r="J549" s="325">
        <v>4.4000000000000004</v>
      </c>
      <c r="K549" s="328">
        <v>33789.800000000003</v>
      </c>
      <c r="Q549" s="281">
        <f>[19]Source!X527</f>
        <v>0</v>
      </c>
      <c r="R549" s="281">
        <f>[19]Source!X528</f>
        <v>0</v>
      </c>
      <c r="S549" s="281">
        <f>[19]Source!Y527</f>
        <v>0</v>
      </c>
      <c r="T549" s="281">
        <f>[19]Source!Y528</f>
        <v>0</v>
      </c>
      <c r="U549" s="281">
        <f>ROUND((175/100)*ROUND([19]Source!R527, 2), 2)</f>
        <v>0</v>
      </c>
      <c r="V549" s="281">
        <f>ROUND((157/100)*ROUND([19]Source!R528, 2), 2)</f>
        <v>0</v>
      </c>
    </row>
    <row r="550" spans="1:22" ht="28.5" x14ac:dyDescent="0.2">
      <c r="A550" s="301" t="s">
        <v>3727</v>
      </c>
      <c r="B550" s="302" t="s">
        <v>1593</v>
      </c>
      <c r="C550" s="302" t="s">
        <v>1448</v>
      </c>
      <c r="D550" s="303" t="s">
        <v>1594</v>
      </c>
      <c r="E550" s="286">
        <v>3.3000000000000002E-2</v>
      </c>
      <c r="F550" s="321">
        <v>7.07</v>
      </c>
      <c r="G550" s="315" t="s">
        <v>195</v>
      </c>
      <c r="H550" s="286">
        <v>1</v>
      </c>
      <c r="I550" s="304">
        <v>0.23</v>
      </c>
      <c r="J550" s="286">
        <v>4.7699999999999996</v>
      </c>
      <c r="K550" s="304">
        <v>1.1000000000000001</v>
      </c>
      <c r="Q550" s="281">
        <f>[19]Source!X529</f>
        <v>0</v>
      </c>
      <c r="R550" s="281">
        <f>[19]Source!X530</f>
        <v>0</v>
      </c>
      <c r="S550" s="281">
        <f>[19]Source!Y529</f>
        <v>0</v>
      </c>
      <c r="T550" s="281">
        <f>[19]Source!Y530</f>
        <v>0</v>
      </c>
      <c r="U550" s="281">
        <f>ROUND((175/100)*ROUND([19]Source!R529, 2), 2)</f>
        <v>0</v>
      </c>
      <c r="V550" s="281">
        <f>ROUND((157/100)*ROUND([19]Source!R530, 2), 2)</f>
        <v>0</v>
      </c>
    </row>
    <row r="551" spans="1:22" ht="14.25" x14ac:dyDescent="0.2">
      <c r="A551" s="301"/>
      <c r="B551" s="302"/>
      <c r="C551" s="302" t="s">
        <v>194</v>
      </c>
      <c r="D551" s="303" t="s">
        <v>187</v>
      </c>
      <c r="E551" s="286">
        <v>67</v>
      </c>
      <c r="F551" s="321"/>
      <c r="G551" s="305"/>
      <c r="H551" s="286"/>
      <c r="I551" s="304">
        <v>8.76</v>
      </c>
      <c r="J551" s="286">
        <v>68</v>
      </c>
      <c r="K551" s="304">
        <v>207.69</v>
      </c>
    </row>
    <row r="552" spans="1:22" ht="14.25" x14ac:dyDescent="0.2">
      <c r="A552" s="301"/>
      <c r="B552" s="302"/>
      <c r="C552" s="302" t="s">
        <v>193</v>
      </c>
      <c r="D552" s="303" t="s">
        <v>187</v>
      </c>
      <c r="E552" s="286">
        <v>67</v>
      </c>
      <c r="F552" s="321"/>
      <c r="G552" s="305"/>
      <c r="H552" s="286"/>
      <c r="I552" s="304">
        <v>8.76</v>
      </c>
      <c r="J552" s="286">
        <v>41</v>
      </c>
      <c r="K552" s="304">
        <v>125.22</v>
      </c>
    </row>
    <row r="553" spans="1:22" ht="14.25" x14ac:dyDescent="0.2">
      <c r="A553" s="329"/>
      <c r="B553" s="330"/>
      <c r="C553" s="330" t="s">
        <v>192</v>
      </c>
      <c r="D553" s="331" t="s">
        <v>191</v>
      </c>
      <c r="E553" s="332">
        <v>0.41</v>
      </c>
      <c r="F553" s="333"/>
      <c r="G553" s="334" t="s">
        <v>195</v>
      </c>
      <c r="H553" s="332">
        <v>1</v>
      </c>
      <c r="I553" s="335">
        <v>0.82</v>
      </c>
      <c r="J553" s="332"/>
      <c r="K553" s="335"/>
    </row>
    <row r="554" spans="1:22" ht="15" x14ac:dyDescent="0.25">
      <c r="A554" s="336"/>
      <c r="B554" s="336"/>
      <c r="C554" s="337" t="s">
        <v>183</v>
      </c>
      <c r="D554" s="336"/>
      <c r="E554" s="336"/>
      <c r="F554" s="336"/>
      <c r="G554" s="336"/>
      <c r="H554" s="461">
        <v>7837.23</v>
      </c>
      <c r="I554" s="461"/>
      <c r="J554" s="461">
        <v>34763.370000000003</v>
      </c>
      <c r="K554" s="461"/>
      <c r="O554" s="284">
        <f>I545+I546+I547+I551+I552+SUM(I548:I550)</f>
        <v>7837.23</v>
      </c>
      <c r="P554" s="284">
        <f>K545+K546+K547+K551+K552+SUM(K548:K550)</f>
        <v>34763.370000000003</v>
      </c>
    </row>
    <row r="557" spans="1:22" ht="15" x14ac:dyDescent="0.25">
      <c r="A557" s="447" t="s">
        <v>3728</v>
      </c>
      <c r="B557" s="447"/>
      <c r="C557" s="447"/>
      <c r="D557" s="447"/>
      <c r="E557" s="447"/>
      <c r="F557" s="447"/>
      <c r="G557" s="447"/>
      <c r="H557" s="445">
        <v>7837.23</v>
      </c>
      <c r="I557" s="446"/>
      <c r="J557" s="445">
        <v>34763.370000000003</v>
      </c>
      <c r="K557" s="446"/>
    </row>
    <row r="558" spans="1:22" hidden="1" x14ac:dyDescent="0.2">
      <c r="A558" s="281" t="s">
        <v>182</v>
      </c>
      <c r="I558" s="281">
        <v>0</v>
      </c>
      <c r="J558" s="281">
        <v>0</v>
      </c>
    </row>
    <row r="559" spans="1:22" hidden="1" x14ac:dyDescent="0.2">
      <c r="A559" s="281" t="s">
        <v>181</v>
      </c>
      <c r="I559" s="281">
        <v>0</v>
      </c>
      <c r="J559" s="281">
        <v>0</v>
      </c>
    </row>
    <row r="561" spans="1:22" ht="16.5" x14ac:dyDescent="0.25">
      <c r="A561" s="448" t="s">
        <v>3729</v>
      </c>
      <c r="B561" s="448"/>
      <c r="C561" s="448"/>
      <c r="D561" s="448"/>
      <c r="E561" s="448"/>
      <c r="F561" s="448"/>
      <c r="G561" s="448"/>
      <c r="H561" s="448"/>
      <c r="I561" s="448"/>
      <c r="J561" s="448"/>
      <c r="K561" s="448"/>
    </row>
    <row r="562" spans="1:22" ht="71.25" x14ac:dyDescent="0.2">
      <c r="A562" s="301" t="s">
        <v>1756</v>
      </c>
      <c r="B562" s="302" t="s">
        <v>3719</v>
      </c>
      <c r="C562" s="302" t="s">
        <v>1450</v>
      </c>
      <c r="D562" s="303" t="s">
        <v>1903</v>
      </c>
      <c r="E562" s="286">
        <v>2</v>
      </c>
      <c r="F562" s="321"/>
      <c r="G562" s="305"/>
      <c r="H562" s="286"/>
      <c r="I562" s="304"/>
      <c r="J562" s="286"/>
      <c r="K562" s="304"/>
      <c r="Q562" s="281">
        <f>[19]Source!X566</f>
        <v>8.76</v>
      </c>
      <c r="R562" s="281">
        <f>[19]Source!X567</f>
        <v>207.69</v>
      </c>
      <c r="S562" s="281">
        <f>[19]Source!Y566</f>
        <v>8.76</v>
      </c>
      <c r="T562" s="281">
        <f>[19]Source!Y567</f>
        <v>125.22</v>
      </c>
      <c r="U562" s="281">
        <f>ROUND((175/100)*ROUND([19]Source!R566, 2), 2)</f>
        <v>0</v>
      </c>
      <c r="V562" s="281">
        <f>ROUND((157/100)*ROUND([19]Source!R567, 2), 2)</f>
        <v>0</v>
      </c>
    </row>
    <row r="563" spans="1:22" ht="14.25" x14ac:dyDescent="0.2">
      <c r="A563" s="301"/>
      <c r="B563" s="302"/>
      <c r="C563" s="302" t="s">
        <v>197</v>
      </c>
      <c r="D563" s="303"/>
      <c r="E563" s="286"/>
      <c r="F563" s="321">
        <v>6.54</v>
      </c>
      <c r="G563" s="305" t="s">
        <v>195</v>
      </c>
      <c r="H563" s="286">
        <v>1</v>
      </c>
      <c r="I563" s="304">
        <v>13.08</v>
      </c>
      <c r="J563" s="286">
        <v>23.35</v>
      </c>
      <c r="K563" s="304">
        <v>305.42</v>
      </c>
    </row>
    <row r="564" spans="1:22" ht="14.25" x14ac:dyDescent="0.2">
      <c r="A564" s="301"/>
      <c r="B564" s="302"/>
      <c r="C564" s="302" t="s">
        <v>184</v>
      </c>
      <c r="D564" s="303"/>
      <c r="E564" s="286"/>
      <c r="F564" s="321">
        <v>0.14000000000000001</v>
      </c>
      <c r="G564" s="305" t="s">
        <v>195</v>
      </c>
      <c r="H564" s="286">
        <v>1</v>
      </c>
      <c r="I564" s="304">
        <v>0.28000000000000003</v>
      </c>
      <c r="J564" s="286">
        <v>3.64</v>
      </c>
      <c r="K564" s="304">
        <v>1.02</v>
      </c>
    </row>
    <row r="565" spans="1:22" ht="14.25" x14ac:dyDescent="0.2">
      <c r="A565" s="301"/>
      <c r="B565" s="302"/>
      <c r="C565" s="302" t="s">
        <v>205</v>
      </c>
      <c r="D565" s="303"/>
      <c r="E565" s="286"/>
      <c r="F565" s="321">
        <v>1.61</v>
      </c>
      <c r="G565" s="305" t="s">
        <v>195</v>
      </c>
      <c r="H565" s="286">
        <v>1</v>
      </c>
      <c r="I565" s="304">
        <v>3.22</v>
      </c>
      <c r="J565" s="286">
        <v>5.73</v>
      </c>
      <c r="K565" s="304">
        <v>18.45</v>
      </c>
    </row>
    <row r="566" spans="1:22" ht="28.5" x14ac:dyDescent="0.2">
      <c r="A566" s="301" t="s">
        <v>1759</v>
      </c>
      <c r="B566" s="302" t="s">
        <v>3720</v>
      </c>
      <c r="C566" s="302" t="s">
        <v>1449</v>
      </c>
      <c r="D566" s="303" t="s">
        <v>1661</v>
      </c>
      <c r="E566" s="286">
        <v>2</v>
      </c>
      <c r="F566" s="321">
        <v>61.7</v>
      </c>
      <c r="G566" s="315" t="s">
        <v>195</v>
      </c>
      <c r="H566" s="286">
        <v>1</v>
      </c>
      <c r="I566" s="304">
        <v>123.4</v>
      </c>
      <c r="J566" s="286">
        <v>2.5499999999999998</v>
      </c>
      <c r="K566" s="304">
        <v>314.67</v>
      </c>
      <c r="Q566" s="281">
        <f>[19]Source!X568</f>
        <v>0</v>
      </c>
      <c r="R566" s="281">
        <f>[19]Source!X569</f>
        <v>0</v>
      </c>
      <c r="S566" s="281">
        <f>[19]Source!Y568</f>
        <v>0</v>
      </c>
      <c r="T566" s="281">
        <f>[19]Source!Y569</f>
        <v>0</v>
      </c>
      <c r="U566" s="281">
        <f>ROUND((175/100)*ROUND([19]Source!R568, 2), 2)</f>
        <v>0</v>
      </c>
      <c r="V566" s="281">
        <f>ROUND((157/100)*ROUND([19]Source!R569, 2), 2)</f>
        <v>0</v>
      </c>
    </row>
    <row r="567" spans="1:22" ht="82.5" x14ac:dyDescent="0.2">
      <c r="A567" s="322" t="s">
        <v>3730</v>
      </c>
      <c r="B567" s="323" t="s">
        <v>3721</v>
      </c>
      <c r="C567" s="323" t="s">
        <v>1446</v>
      </c>
      <c r="D567" s="324" t="s">
        <v>1661</v>
      </c>
      <c r="E567" s="325">
        <v>2</v>
      </c>
      <c r="F567" s="326">
        <v>3839.75</v>
      </c>
      <c r="G567" s="327" t="s">
        <v>195</v>
      </c>
      <c r="H567" s="325">
        <v>1</v>
      </c>
      <c r="I567" s="328">
        <v>7679.5</v>
      </c>
      <c r="J567" s="325">
        <v>4.4000000000000004</v>
      </c>
      <c r="K567" s="328">
        <v>33789.800000000003</v>
      </c>
      <c r="Q567" s="281">
        <f>[19]Source!X570</f>
        <v>0</v>
      </c>
      <c r="R567" s="281">
        <f>[19]Source!X571</f>
        <v>0</v>
      </c>
      <c r="S567" s="281">
        <f>[19]Source!Y570</f>
        <v>0</v>
      </c>
      <c r="T567" s="281">
        <f>[19]Source!Y571</f>
        <v>0</v>
      </c>
      <c r="U567" s="281">
        <f>ROUND((175/100)*ROUND([19]Source!R570, 2), 2)</f>
        <v>0</v>
      </c>
      <c r="V567" s="281">
        <f>ROUND((157/100)*ROUND([19]Source!R571, 2), 2)</f>
        <v>0</v>
      </c>
    </row>
    <row r="568" spans="1:22" ht="28.5" x14ac:dyDescent="0.2">
      <c r="A568" s="301" t="s">
        <v>3731</v>
      </c>
      <c r="B568" s="302" t="s">
        <v>1593</v>
      </c>
      <c r="C568" s="302" t="s">
        <v>1448</v>
      </c>
      <c r="D568" s="303" t="s">
        <v>1594</v>
      </c>
      <c r="E568" s="286">
        <v>3.3000000000000002E-2</v>
      </c>
      <c r="F568" s="321">
        <v>7.07</v>
      </c>
      <c r="G568" s="315" t="s">
        <v>195</v>
      </c>
      <c r="H568" s="286">
        <v>1</v>
      </c>
      <c r="I568" s="304">
        <v>0.23</v>
      </c>
      <c r="J568" s="286">
        <v>4.7699999999999996</v>
      </c>
      <c r="K568" s="304">
        <v>1.1000000000000001</v>
      </c>
      <c r="Q568" s="281">
        <f>[19]Source!X572</f>
        <v>0</v>
      </c>
      <c r="R568" s="281">
        <f>[19]Source!X573</f>
        <v>0</v>
      </c>
      <c r="S568" s="281">
        <f>[19]Source!Y572</f>
        <v>0</v>
      </c>
      <c r="T568" s="281">
        <f>[19]Source!Y573</f>
        <v>0</v>
      </c>
      <c r="U568" s="281">
        <f>ROUND((175/100)*ROUND([19]Source!R572, 2), 2)</f>
        <v>0</v>
      </c>
      <c r="V568" s="281">
        <f>ROUND((157/100)*ROUND([19]Source!R573, 2), 2)</f>
        <v>0</v>
      </c>
    </row>
    <row r="569" spans="1:22" ht="14.25" x14ac:dyDescent="0.2">
      <c r="A569" s="301"/>
      <c r="B569" s="302"/>
      <c r="C569" s="302" t="s">
        <v>194</v>
      </c>
      <c r="D569" s="303" t="s">
        <v>187</v>
      </c>
      <c r="E569" s="286">
        <v>67</v>
      </c>
      <c r="F569" s="321"/>
      <c r="G569" s="305"/>
      <c r="H569" s="286"/>
      <c r="I569" s="304">
        <v>8.76</v>
      </c>
      <c r="J569" s="286">
        <v>68</v>
      </c>
      <c r="K569" s="304">
        <v>207.69</v>
      </c>
    </row>
    <row r="570" spans="1:22" ht="14.25" x14ac:dyDescent="0.2">
      <c r="A570" s="301"/>
      <c r="B570" s="302"/>
      <c r="C570" s="302" t="s">
        <v>193</v>
      </c>
      <c r="D570" s="303" t="s">
        <v>187</v>
      </c>
      <c r="E570" s="286">
        <v>67</v>
      </c>
      <c r="F570" s="321"/>
      <c r="G570" s="305"/>
      <c r="H570" s="286"/>
      <c r="I570" s="304">
        <v>8.76</v>
      </c>
      <c r="J570" s="286">
        <v>41</v>
      </c>
      <c r="K570" s="304">
        <v>125.22</v>
      </c>
    </row>
    <row r="571" spans="1:22" ht="14.25" x14ac:dyDescent="0.2">
      <c r="A571" s="329"/>
      <c r="B571" s="330"/>
      <c r="C571" s="330" t="s">
        <v>192</v>
      </c>
      <c r="D571" s="331" t="s">
        <v>191</v>
      </c>
      <c r="E571" s="332">
        <v>0.41</v>
      </c>
      <c r="F571" s="333"/>
      <c r="G571" s="334" t="s">
        <v>195</v>
      </c>
      <c r="H571" s="332">
        <v>1</v>
      </c>
      <c r="I571" s="335">
        <v>0.82</v>
      </c>
      <c r="J571" s="332"/>
      <c r="K571" s="335"/>
    </row>
    <row r="572" spans="1:22" ht="15" x14ac:dyDescent="0.25">
      <c r="A572" s="336"/>
      <c r="B572" s="336"/>
      <c r="C572" s="337" t="s">
        <v>183</v>
      </c>
      <c r="D572" s="336"/>
      <c r="E572" s="336"/>
      <c r="F572" s="336"/>
      <c r="G572" s="336"/>
      <c r="H572" s="461">
        <v>7837.23</v>
      </c>
      <c r="I572" s="461"/>
      <c r="J572" s="461">
        <v>34763.370000000003</v>
      </c>
      <c r="K572" s="461"/>
      <c r="O572" s="284">
        <f>I563+I564+I565+I569+I570+SUM(I566:I568)</f>
        <v>7837.23</v>
      </c>
      <c r="P572" s="284">
        <f>K563+K564+K565+K569+K570+SUM(K566:K568)</f>
        <v>34763.370000000003</v>
      </c>
    </row>
    <row r="575" spans="1:22" ht="15" x14ac:dyDescent="0.25">
      <c r="A575" s="447" t="s">
        <v>3732</v>
      </c>
      <c r="B575" s="447"/>
      <c r="C575" s="447"/>
      <c r="D575" s="447"/>
      <c r="E575" s="447"/>
      <c r="F575" s="447"/>
      <c r="G575" s="447"/>
      <c r="H575" s="445">
        <v>7837.23</v>
      </c>
      <c r="I575" s="446"/>
      <c r="J575" s="445">
        <v>34763.370000000003</v>
      </c>
      <c r="K575" s="446"/>
    </row>
    <row r="576" spans="1:22" hidden="1" x14ac:dyDescent="0.2">
      <c r="A576" s="281" t="s">
        <v>182</v>
      </c>
      <c r="I576" s="281">
        <v>0</v>
      </c>
      <c r="J576" s="281">
        <v>0</v>
      </c>
    </row>
    <row r="577" spans="1:22" hidden="1" x14ac:dyDescent="0.2">
      <c r="A577" s="281" t="s">
        <v>181</v>
      </c>
      <c r="I577" s="281">
        <v>0</v>
      </c>
      <c r="J577" s="281">
        <v>0</v>
      </c>
    </row>
    <row r="579" spans="1:22" ht="16.5" x14ac:dyDescent="0.25">
      <c r="A579" s="448" t="s">
        <v>3733</v>
      </c>
      <c r="B579" s="448"/>
      <c r="C579" s="448"/>
      <c r="D579" s="448"/>
      <c r="E579" s="448"/>
      <c r="F579" s="448"/>
      <c r="G579" s="448"/>
      <c r="H579" s="448"/>
      <c r="I579" s="448"/>
      <c r="J579" s="448"/>
      <c r="K579" s="448"/>
    </row>
    <row r="580" spans="1:22" ht="71.25" x14ac:dyDescent="0.2">
      <c r="A580" s="301" t="s">
        <v>1760</v>
      </c>
      <c r="B580" s="302" t="s">
        <v>3719</v>
      </c>
      <c r="C580" s="302" t="s">
        <v>1450</v>
      </c>
      <c r="D580" s="303" t="s">
        <v>1903</v>
      </c>
      <c r="E580" s="286">
        <v>4</v>
      </c>
      <c r="F580" s="321"/>
      <c r="G580" s="305"/>
      <c r="H580" s="286"/>
      <c r="I580" s="304"/>
      <c r="J580" s="286"/>
      <c r="K580" s="304"/>
      <c r="Q580" s="281">
        <f>[19]Source!X609</f>
        <v>17.53</v>
      </c>
      <c r="R580" s="281">
        <f>[19]Source!X610</f>
        <v>415.37</v>
      </c>
      <c r="S580" s="281">
        <f>[19]Source!Y609</f>
        <v>17.53</v>
      </c>
      <c r="T580" s="281">
        <f>[19]Source!Y610</f>
        <v>250.44</v>
      </c>
      <c r="U580" s="281">
        <f>ROUND((175/100)*ROUND([19]Source!R609, 2), 2)</f>
        <v>0</v>
      </c>
      <c r="V580" s="281">
        <f>ROUND((157/100)*ROUND([19]Source!R610, 2), 2)</f>
        <v>0</v>
      </c>
    </row>
    <row r="581" spans="1:22" ht="14.25" x14ac:dyDescent="0.2">
      <c r="A581" s="301"/>
      <c r="B581" s="302"/>
      <c r="C581" s="302" t="s">
        <v>197</v>
      </c>
      <c r="D581" s="303"/>
      <c r="E581" s="286"/>
      <c r="F581" s="321">
        <v>6.54</v>
      </c>
      <c r="G581" s="305" t="s">
        <v>195</v>
      </c>
      <c r="H581" s="286">
        <v>1</v>
      </c>
      <c r="I581" s="304">
        <v>26.16</v>
      </c>
      <c r="J581" s="286">
        <v>23.35</v>
      </c>
      <c r="K581" s="304">
        <v>610.84</v>
      </c>
    </row>
    <row r="582" spans="1:22" ht="14.25" x14ac:dyDescent="0.2">
      <c r="A582" s="301"/>
      <c r="B582" s="302"/>
      <c r="C582" s="302" t="s">
        <v>184</v>
      </c>
      <c r="D582" s="303"/>
      <c r="E582" s="286"/>
      <c r="F582" s="321">
        <v>0.14000000000000001</v>
      </c>
      <c r="G582" s="305" t="s">
        <v>195</v>
      </c>
      <c r="H582" s="286">
        <v>1</v>
      </c>
      <c r="I582" s="304">
        <v>0.56000000000000005</v>
      </c>
      <c r="J582" s="286">
        <v>3.64</v>
      </c>
      <c r="K582" s="304">
        <v>2.04</v>
      </c>
    </row>
    <row r="583" spans="1:22" ht="14.25" x14ac:dyDescent="0.2">
      <c r="A583" s="301"/>
      <c r="B583" s="302"/>
      <c r="C583" s="302" t="s">
        <v>205</v>
      </c>
      <c r="D583" s="303"/>
      <c r="E583" s="286"/>
      <c r="F583" s="321">
        <v>1.61</v>
      </c>
      <c r="G583" s="305" t="s">
        <v>195</v>
      </c>
      <c r="H583" s="286">
        <v>1</v>
      </c>
      <c r="I583" s="304">
        <v>6.44</v>
      </c>
      <c r="J583" s="286">
        <v>5.73</v>
      </c>
      <c r="K583" s="304">
        <v>36.9</v>
      </c>
    </row>
    <row r="584" spans="1:22" ht="28.5" x14ac:dyDescent="0.2">
      <c r="A584" s="301" t="s">
        <v>1762</v>
      </c>
      <c r="B584" s="302" t="s">
        <v>3720</v>
      </c>
      <c r="C584" s="302" t="s">
        <v>1449</v>
      </c>
      <c r="D584" s="303" t="s">
        <v>1661</v>
      </c>
      <c r="E584" s="286">
        <v>4</v>
      </c>
      <c r="F584" s="321">
        <v>61.7</v>
      </c>
      <c r="G584" s="315" t="s">
        <v>195</v>
      </c>
      <c r="H584" s="286">
        <v>1</v>
      </c>
      <c r="I584" s="304">
        <v>246.8</v>
      </c>
      <c r="J584" s="286">
        <v>2.5499999999999998</v>
      </c>
      <c r="K584" s="304">
        <v>629.34</v>
      </c>
      <c r="Q584" s="281">
        <f>[19]Source!X611</f>
        <v>0</v>
      </c>
      <c r="R584" s="281">
        <f>[19]Source!X612</f>
        <v>0</v>
      </c>
      <c r="S584" s="281">
        <f>[19]Source!Y611</f>
        <v>0</v>
      </c>
      <c r="T584" s="281">
        <f>[19]Source!Y612</f>
        <v>0</v>
      </c>
      <c r="U584" s="281">
        <f>ROUND((175/100)*ROUND([19]Source!R611, 2), 2)</f>
        <v>0</v>
      </c>
      <c r="V584" s="281">
        <f>ROUND((157/100)*ROUND([19]Source!R612, 2), 2)</f>
        <v>0</v>
      </c>
    </row>
    <row r="585" spans="1:22" ht="82.5" x14ac:dyDescent="0.2">
      <c r="A585" s="322" t="s">
        <v>1763</v>
      </c>
      <c r="B585" s="323" t="s">
        <v>3721</v>
      </c>
      <c r="C585" s="323" t="s">
        <v>1446</v>
      </c>
      <c r="D585" s="324" t="s">
        <v>1661</v>
      </c>
      <c r="E585" s="325">
        <v>4</v>
      </c>
      <c r="F585" s="326">
        <v>3839.75</v>
      </c>
      <c r="G585" s="327" t="s">
        <v>195</v>
      </c>
      <c r="H585" s="325">
        <v>1</v>
      </c>
      <c r="I585" s="328">
        <v>15359</v>
      </c>
      <c r="J585" s="325">
        <v>4.4000000000000004</v>
      </c>
      <c r="K585" s="328">
        <v>67579.600000000006</v>
      </c>
      <c r="Q585" s="281">
        <f>[19]Source!X613</f>
        <v>0</v>
      </c>
      <c r="R585" s="281">
        <f>[19]Source!X614</f>
        <v>0</v>
      </c>
      <c r="S585" s="281">
        <f>[19]Source!Y613</f>
        <v>0</v>
      </c>
      <c r="T585" s="281">
        <f>[19]Source!Y614</f>
        <v>0</v>
      </c>
      <c r="U585" s="281">
        <f>ROUND((175/100)*ROUND([19]Source!R613, 2), 2)</f>
        <v>0</v>
      </c>
      <c r="V585" s="281">
        <f>ROUND((157/100)*ROUND([19]Source!R614, 2), 2)</f>
        <v>0</v>
      </c>
    </row>
    <row r="586" spans="1:22" ht="28.5" x14ac:dyDescent="0.2">
      <c r="A586" s="301" t="s">
        <v>1764</v>
      </c>
      <c r="B586" s="302" t="s">
        <v>1593</v>
      </c>
      <c r="C586" s="302" t="s">
        <v>1448</v>
      </c>
      <c r="D586" s="303" t="s">
        <v>1594</v>
      </c>
      <c r="E586" s="286">
        <v>6.6000000000000003E-2</v>
      </c>
      <c r="F586" s="321">
        <v>7.07</v>
      </c>
      <c r="G586" s="315" t="s">
        <v>195</v>
      </c>
      <c r="H586" s="286">
        <v>1</v>
      </c>
      <c r="I586" s="304">
        <v>0.47</v>
      </c>
      <c r="J586" s="286">
        <v>4.7699999999999996</v>
      </c>
      <c r="K586" s="304">
        <v>2.2400000000000002</v>
      </c>
      <c r="Q586" s="281">
        <f>[19]Source!X615</f>
        <v>0</v>
      </c>
      <c r="R586" s="281">
        <f>[19]Source!X616</f>
        <v>0</v>
      </c>
      <c r="S586" s="281">
        <f>[19]Source!Y615</f>
        <v>0</v>
      </c>
      <c r="T586" s="281">
        <f>[19]Source!Y616</f>
        <v>0</v>
      </c>
      <c r="U586" s="281">
        <f>ROUND((175/100)*ROUND([19]Source!R615, 2), 2)</f>
        <v>0</v>
      </c>
      <c r="V586" s="281">
        <f>ROUND((157/100)*ROUND([19]Source!R616, 2), 2)</f>
        <v>0</v>
      </c>
    </row>
    <row r="587" spans="1:22" ht="14.25" x14ac:dyDescent="0.2">
      <c r="A587" s="301"/>
      <c r="B587" s="302"/>
      <c r="C587" s="302" t="s">
        <v>194</v>
      </c>
      <c r="D587" s="303" t="s">
        <v>187</v>
      </c>
      <c r="E587" s="286">
        <v>67</v>
      </c>
      <c r="F587" s="321"/>
      <c r="G587" s="305"/>
      <c r="H587" s="286"/>
      <c r="I587" s="304">
        <v>17.53</v>
      </c>
      <c r="J587" s="286">
        <v>68</v>
      </c>
      <c r="K587" s="304">
        <v>415.37</v>
      </c>
    </row>
    <row r="588" spans="1:22" ht="14.25" x14ac:dyDescent="0.2">
      <c r="A588" s="301"/>
      <c r="B588" s="302"/>
      <c r="C588" s="302" t="s">
        <v>193</v>
      </c>
      <c r="D588" s="303" t="s">
        <v>187</v>
      </c>
      <c r="E588" s="286">
        <v>67</v>
      </c>
      <c r="F588" s="321"/>
      <c r="G588" s="305"/>
      <c r="H588" s="286"/>
      <c r="I588" s="304">
        <v>17.53</v>
      </c>
      <c r="J588" s="286">
        <v>41</v>
      </c>
      <c r="K588" s="304">
        <v>250.44</v>
      </c>
    </row>
    <row r="589" spans="1:22" ht="14.25" x14ac:dyDescent="0.2">
      <c r="A589" s="329"/>
      <c r="B589" s="330"/>
      <c r="C589" s="330" t="s">
        <v>192</v>
      </c>
      <c r="D589" s="331" t="s">
        <v>191</v>
      </c>
      <c r="E589" s="332">
        <v>0.41</v>
      </c>
      <c r="F589" s="333"/>
      <c r="G589" s="334" t="s">
        <v>195</v>
      </c>
      <c r="H589" s="332">
        <v>1</v>
      </c>
      <c r="I589" s="335">
        <v>1.64</v>
      </c>
      <c r="J589" s="332"/>
      <c r="K589" s="335"/>
    </row>
    <row r="590" spans="1:22" ht="15" x14ac:dyDescent="0.25">
      <c r="A590" s="336"/>
      <c r="B590" s="336"/>
      <c r="C590" s="337" t="s">
        <v>183</v>
      </c>
      <c r="D590" s="336"/>
      <c r="E590" s="336"/>
      <c r="F590" s="336"/>
      <c r="G590" s="336"/>
      <c r="H590" s="461">
        <v>15674.49</v>
      </c>
      <c r="I590" s="461"/>
      <c r="J590" s="461">
        <v>69526.77</v>
      </c>
      <c r="K590" s="461"/>
      <c r="O590" s="284">
        <f>I581+I582+I583+I587+I588+SUM(I584:I586)</f>
        <v>15674.49</v>
      </c>
      <c r="P590" s="284">
        <f>K581+K582+K583+K587+K588+SUM(K584:K586)</f>
        <v>69526.77</v>
      </c>
    </row>
    <row r="593" spans="1:22" ht="15" x14ac:dyDescent="0.25">
      <c r="A593" s="447" t="s">
        <v>3734</v>
      </c>
      <c r="B593" s="447"/>
      <c r="C593" s="447"/>
      <c r="D593" s="447"/>
      <c r="E593" s="447"/>
      <c r="F593" s="447"/>
      <c r="G593" s="447"/>
      <c r="H593" s="445">
        <v>15674.49</v>
      </c>
      <c r="I593" s="446"/>
      <c r="J593" s="445">
        <v>69526.77</v>
      </c>
      <c r="K593" s="446"/>
    </row>
    <row r="594" spans="1:22" hidden="1" x14ac:dyDescent="0.2">
      <c r="A594" s="281" t="s">
        <v>182</v>
      </c>
      <c r="I594" s="281">
        <v>0</v>
      </c>
      <c r="J594" s="281">
        <v>0</v>
      </c>
    </row>
    <row r="595" spans="1:22" hidden="1" x14ac:dyDescent="0.2">
      <c r="A595" s="281" t="s">
        <v>181</v>
      </c>
      <c r="I595" s="281">
        <v>0</v>
      </c>
      <c r="J595" s="281">
        <v>0</v>
      </c>
    </row>
    <row r="597" spans="1:22" ht="16.5" x14ac:dyDescent="0.25">
      <c r="A597" s="448" t="s">
        <v>3735</v>
      </c>
      <c r="B597" s="448"/>
      <c r="C597" s="448"/>
      <c r="D597" s="448"/>
      <c r="E597" s="448"/>
      <c r="F597" s="448"/>
      <c r="G597" s="448"/>
      <c r="H597" s="448"/>
      <c r="I597" s="448"/>
      <c r="J597" s="448"/>
      <c r="K597" s="448"/>
    </row>
    <row r="598" spans="1:22" ht="71.25" x14ac:dyDescent="0.2">
      <c r="A598" s="301" t="s">
        <v>1768</v>
      </c>
      <c r="B598" s="302" t="s">
        <v>3719</v>
      </c>
      <c r="C598" s="302" t="s">
        <v>1450</v>
      </c>
      <c r="D598" s="303" t="s">
        <v>1903</v>
      </c>
      <c r="E598" s="286">
        <v>6</v>
      </c>
      <c r="F598" s="321"/>
      <c r="G598" s="305"/>
      <c r="H598" s="286"/>
      <c r="I598" s="304"/>
      <c r="J598" s="286"/>
      <c r="K598" s="304"/>
      <c r="Q598" s="281">
        <f>[19]Source!X652</f>
        <v>26.29</v>
      </c>
      <c r="R598" s="281">
        <f>[19]Source!X653</f>
        <v>623.04999999999995</v>
      </c>
      <c r="S598" s="281">
        <f>[19]Source!Y652</f>
        <v>26.29</v>
      </c>
      <c r="T598" s="281">
        <f>[19]Source!Y653</f>
        <v>375.66</v>
      </c>
      <c r="U598" s="281">
        <f>ROUND((175/100)*ROUND([19]Source!R652, 2), 2)</f>
        <v>0</v>
      </c>
      <c r="V598" s="281">
        <f>ROUND((157/100)*ROUND([19]Source!R653, 2), 2)</f>
        <v>0</v>
      </c>
    </row>
    <row r="599" spans="1:22" ht="14.25" x14ac:dyDescent="0.2">
      <c r="A599" s="301"/>
      <c r="B599" s="302"/>
      <c r="C599" s="302" t="s">
        <v>197</v>
      </c>
      <c r="D599" s="303"/>
      <c r="E599" s="286"/>
      <c r="F599" s="321">
        <v>6.54</v>
      </c>
      <c r="G599" s="305" t="s">
        <v>195</v>
      </c>
      <c r="H599" s="286">
        <v>1</v>
      </c>
      <c r="I599" s="304">
        <v>39.24</v>
      </c>
      <c r="J599" s="286">
        <v>23.35</v>
      </c>
      <c r="K599" s="304">
        <v>916.25</v>
      </c>
    </row>
    <row r="600" spans="1:22" ht="14.25" x14ac:dyDescent="0.2">
      <c r="A600" s="301"/>
      <c r="B600" s="302"/>
      <c r="C600" s="302" t="s">
        <v>184</v>
      </c>
      <c r="D600" s="303"/>
      <c r="E600" s="286"/>
      <c r="F600" s="321">
        <v>0.14000000000000001</v>
      </c>
      <c r="G600" s="305" t="s">
        <v>195</v>
      </c>
      <c r="H600" s="286">
        <v>1</v>
      </c>
      <c r="I600" s="304">
        <v>0.84</v>
      </c>
      <c r="J600" s="286">
        <v>3.64</v>
      </c>
      <c r="K600" s="304">
        <v>3.06</v>
      </c>
    </row>
    <row r="601" spans="1:22" ht="14.25" x14ac:dyDescent="0.2">
      <c r="A601" s="301"/>
      <c r="B601" s="302"/>
      <c r="C601" s="302" t="s">
        <v>205</v>
      </c>
      <c r="D601" s="303"/>
      <c r="E601" s="286"/>
      <c r="F601" s="321">
        <v>1.61</v>
      </c>
      <c r="G601" s="305" t="s">
        <v>195</v>
      </c>
      <c r="H601" s="286">
        <v>1</v>
      </c>
      <c r="I601" s="304">
        <v>9.66</v>
      </c>
      <c r="J601" s="286">
        <v>5.73</v>
      </c>
      <c r="K601" s="304">
        <v>55.35</v>
      </c>
    </row>
    <row r="602" spans="1:22" ht="28.5" x14ac:dyDescent="0.2">
      <c r="A602" s="301" t="s">
        <v>1770</v>
      </c>
      <c r="B602" s="302" t="s">
        <v>3720</v>
      </c>
      <c r="C602" s="302" t="s">
        <v>1449</v>
      </c>
      <c r="D602" s="303" t="s">
        <v>1661</v>
      </c>
      <c r="E602" s="286">
        <v>6</v>
      </c>
      <c r="F602" s="321">
        <v>61.7</v>
      </c>
      <c r="G602" s="315" t="s">
        <v>195</v>
      </c>
      <c r="H602" s="286">
        <v>1</v>
      </c>
      <c r="I602" s="304">
        <v>370.2</v>
      </c>
      <c r="J602" s="286">
        <v>2.5499999999999998</v>
      </c>
      <c r="K602" s="304">
        <v>944.01</v>
      </c>
      <c r="Q602" s="281">
        <f>[19]Source!X654</f>
        <v>0</v>
      </c>
      <c r="R602" s="281">
        <f>[19]Source!X655</f>
        <v>0</v>
      </c>
      <c r="S602" s="281">
        <f>[19]Source!Y654</f>
        <v>0</v>
      </c>
      <c r="T602" s="281">
        <f>[19]Source!Y655</f>
        <v>0</v>
      </c>
      <c r="U602" s="281">
        <f>ROUND((175/100)*ROUND([19]Source!R654, 2), 2)</f>
        <v>0</v>
      </c>
      <c r="V602" s="281">
        <f>ROUND((157/100)*ROUND([19]Source!R655, 2), 2)</f>
        <v>0</v>
      </c>
    </row>
    <row r="603" spans="1:22" ht="82.5" x14ac:dyDescent="0.2">
      <c r="A603" s="322" t="s">
        <v>3576</v>
      </c>
      <c r="B603" s="323" t="s">
        <v>3721</v>
      </c>
      <c r="C603" s="323" t="s">
        <v>1446</v>
      </c>
      <c r="D603" s="324" t="s">
        <v>1661</v>
      </c>
      <c r="E603" s="325">
        <v>6</v>
      </c>
      <c r="F603" s="326">
        <v>3839.75</v>
      </c>
      <c r="G603" s="327" t="s">
        <v>195</v>
      </c>
      <c r="H603" s="325">
        <v>1</v>
      </c>
      <c r="I603" s="328">
        <v>23038.5</v>
      </c>
      <c r="J603" s="325">
        <v>4.4000000000000004</v>
      </c>
      <c r="K603" s="328">
        <v>101369.4</v>
      </c>
      <c r="Q603" s="281">
        <f>[19]Source!X656</f>
        <v>0</v>
      </c>
      <c r="R603" s="281">
        <f>[19]Source!X657</f>
        <v>0</v>
      </c>
      <c r="S603" s="281">
        <f>[19]Source!Y656</f>
        <v>0</v>
      </c>
      <c r="T603" s="281">
        <f>[19]Source!Y657</f>
        <v>0</v>
      </c>
      <c r="U603" s="281">
        <f>ROUND((175/100)*ROUND([19]Source!R656, 2), 2)</f>
        <v>0</v>
      </c>
      <c r="V603" s="281">
        <f>ROUND((157/100)*ROUND([19]Source!R657, 2), 2)</f>
        <v>0</v>
      </c>
    </row>
    <row r="604" spans="1:22" ht="28.5" x14ac:dyDescent="0.2">
      <c r="A604" s="301" t="s">
        <v>3736</v>
      </c>
      <c r="B604" s="302" t="s">
        <v>1593</v>
      </c>
      <c r="C604" s="302" t="s">
        <v>1448</v>
      </c>
      <c r="D604" s="303" t="s">
        <v>1594</v>
      </c>
      <c r="E604" s="286">
        <v>9.9000000000000005E-2</v>
      </c>
      <c r="F604" s="321">
        <v>7.07</v>
      </c>
      <c r="G604" s="315" t="s">
        <v>195</v>
      </c>
      <c r="H604" s="286">
        <v>1</v>
      </c>
      <c r="I604" s="304">
        <v>0.7</v>
      </c>
      <c r="J604" s="286">
        <v>4.7699999999999996</v>
      </c>
      <c r="K604" s="304">
        <v>3.34</v>
      </c>
      <c r="Q604" s="281">
        <f>[19]Source!X658</f>
        <v>0</v>
      </c>
      <c r="R604" s="281">
        <f>[19]Source!X659</f>
        <v>0</v>
      </c>
      <c r="S604" s="281">
        <f>[19]Source!Y658</f>
        <v>0</v>
      </c>
      <c r="T604" s="281">
        <f>[19]Source!Y659</f>
        <v>0</v>
      </c>
      <c r="U604" s="281">
        <f>ROUND((175/100)*ROUND([19]Source!R658, 2), 2)</f>
        <v>0</v>
      </c>
      <c r="V604" s="281">
        <f>ROUND((157/100)*ROUND([19]Source!R659, 2), 2)</f>
        <v>0</v>
      </c>
    </row>
    <row r="605" spans="1:22" ht="14.25" x14ac:dyDescent="0.2">
      <c r="A605" s="301"/>
      <c r="B605" s="302"/>
      <c r="C605" s="302" t="s">
        <v>194</v>
      </c>
      <c r="D605" s="303" t="s">
        <v>187</v>
      </c>
      <c r="E605" s="286">
        <v>67</v>
      </c>
      <c r="F605" s="321"/>
      <c r="G605" s="305"/>
      <c r="H605" s="286"/>
      <c r="I605" s="304">
        <v>26.29</v>
      </c>
      <c r="J605" s="286">
        <v>68</v>
      </c>
      <c r="K605" s="304">
        <v>623.04999999999995</v>
      </c>
    </row>
    <row r="606" spans="1:22" ht="14.25" x14ac:dyDescent="0.2">
      <c r="A606" s="301"/>
      <c r="B606" s="302"/>
      <c r="C606" s="302" t="s">
        <v>193</v>
      </c>
      <c r="D606" s="303" t="s">
        <v>187</v>
      </c>
      <c r="E606" s="286">
        <v>67</v>
      </c>
      <c r="F606" s="321"/>
      <c r="G606" s="305"/>
      <c r="H606" s="286"/>
      <c r="I606" s="304">
        <v>26.29</v>
      </c>
      <c r="J606" s="286">
        <v>41</v>
      </c>
      <c r="K606" s="304">
        <v>375.66</v>
      </c>
    </row>
    <row r="607" spans="1:22" ht="14.25" x14ac:dyDescent="0.2">
      <c r="A607" s="329"/>
      <c r="B607" s="330"/>
      <c r="C607" s="330" t="s">
        <v>192</v>
      </c>
      <c r="D607" s="331" t="s">
        <v>191</v>
      </c>
      <c r="E607" s="332">
        <v>0.41</v>
      </c>
      <c r="F607" s="333"/>
      <c r="G607" s="334" t="s">
        <v>195</v>
      </c>
      <c r="H607" s="332">
        <v>1</v>
      </c>
      <c r="I607" s="335">
        <v>2.46</v>
      </c>
      <c r="J607" s="332"/>
      <c r="K607" s="335"/>
    </row>
    <row r="608" spans="1:22" ht="15" x14ac:dyDescent="0.25">
      <c r="A608" s="336"/>
      <c r="B608" s="336"/>
      <c r="C608" s="337" t="s">
        <v>183</v>
      </c>
      <c r="D608" s="336"/>
      <c r="E608" s="336"/>
      <c r="F608" s="336"/>
      <c r="G608" s="336"/>
      <c r="H608" s="461">
        <v>23511.72</v>
      </c>
      <c r="I608" s="461"/>
      <c r="J608" s="461">
        <v>104290.12</v>
      </c>
      <c r="K608" s="461"/>
      <c r="O608" s="284">
        <f>I599+I600+I601+I605+I606+SUM(I602:I604)</f>
        <v>23511.72</v>
      </c>
      <c r="P608" s="284">
        <f>K599+K600+K601+K605+K606+SUM(K602:K604)</f>
        <v>104290.12</v>
      </c>
    </row>
    <row r="611" spans="1:22" ht="15" x14ac:dyDescent="0.25">
      <c r="A611" s="447" t="s">
        <v>3737</v>
      </c>
      <c r="B611" s="447"/>
      <c r="C611" s="447"/>
      <c r="D611" s="447"/>
      <c r="E611" s="447"/>
      <c r="F611" s="447"/>
      <c r="G611" s="447"/>
      <c r="H611" s="445">
        <v>23511.72</v>
      </c>
      <c r="I611" s="446"/>
      <c r="J611" s="445">
        <v>104290.12</v>
      </c>
      <c r="K611" s="446"/>
    </row>
    <row r="612" spans="1:22" hidden="1" x14ac:dyDescent="0.2">
      <c r="A612" s="281" t="s">
        <v>182</v>
      </c>
      <c r="I612" s="281">
        <v>0</v>
      </c>
      <c r="J612" s="281">
        <v>0</v>
      </c>
    </row>
    <row r="613" spans="1:22" hidden="1" x14ac:dyDescent="0.2">
      <c r="A613" s="281" t="s">
        <v>181</v>
      </c>
      <c r="I613" s="281">
        <v>0</v>
      </c>
      <c r="J613" s="281">
        <v>0</v>
      </c>
    </row>
    <row r="615" spans="1:22" ht="16.5" x14ac:dyDescent="0.25">
      <c r="A615" s="448" t="s">
        <v>3738</v>
      </c>
      <c r="B615" s="448"/>
      <c r="C615" s="448"/>
      <c r="D615" s="448"/>
      <c r="E615" s="448"/>
      <c r="F615" s="448"/>
      <c r="G615" s="448"/>
      <c r="H615" s="448"/>
      <c r="I615" s="448"/>
      <c r="J615" s="448"/>
      <c r="K615" s="448"/>
    </row>
    <row r="616" spans="1:22" ht="39.75" x14ac:dyDescent="0.2">
      <c r="A616" s="329" t="s">
        <v>1771</v>
      </c>
      <c r="B616" s="330" t="s">
        <v>3694</v>
      </c>
      <c r="C616" s="330" t="s">
        <v>1447</v>
      </c>
      <c r="D616" s="331" t="s">
        <v>1661</v>
      </c>
      <c r="E616" s="332">
        <v>2</v>
      </c>
      <c r="F616" s="333">
        <v>25.56</v>
      </c>
      <c r="G616" s="334" t="s">
        <v>195</v>
      </c>
      <c r="H616" s="332">
        <v>1</v>
      </c>
      <c r="I616" s="335">
        <v>51.12</v>
      </c>
      <c r="J616" s="332">
        <v>5.42</v>
      </c>
      <c r="K616" s="335">
        <v>277.07</v>
      </c>
      <c r="Q616" s="281">
        <f>[19]Source!X695</f>
        <v>0</v>
      </c>
      <c r="R616" s="281">
        <f>[19]Source!X696</f>
        <v>0</v>
      </c>
      <c r="S616" s="281">
        <f>[19]Source!Y695</f>
        <v>0</v>
      </c>
      <c r="T616" s="281">
        <f>[19]Source!Y696</f>
        <v>0</v>
      </c>
      <c r="U616" s="281">
        <f>ROUND((175/100)*ROUND([19]Source!R695, 2), 2)</f>
        <v>0</v>
      </c>
      <c r="V616" s="281">
        <f>ROUND((157/100)*ROUND([19]Source!R696, 2), 2)</f>
        <v>0</v>
      </c>
    </row>
    <row r="617" spans="1:22" ht="15" x14ac:dyDescent="0.25">
      <c r="A617" s="336"/>
      <c r="B617" s="336"/>
      <c r="C617" s="337" t="s">
        <v>183</v>
      </c>
      <c r="D617" s="336"/>
      <c r="E617" s="336"/>
      <c r="F617" s="336"/>
      <c r="G617" s="336"/>
      <c r="H617" s="461">
        <v>51.12</v>
      </c>
      <c r="I617" s="461"/>
      <c r="J617" s="461">
        <v>277.07</v>
      </c>
      <c r="K617" s="461"/>
      <c r="O617" s="284">
        <f>I616</f>
        <v>51.12</v>
      </c>
      <c r="P617" s="284">
        <f>K616</f>
        <v>277.07</v>
      </c>
    </row>
    <row r="619" spans="1:22" ht="82.5" x14ac:dyDescent="0.2">
      <c r="A619" s="338" t="s">
        <v>1775</v>
      </c>
      <c r="B619" s="339" t="s">
        <v>3721</v>
      </c>
      <c r="C619" s="339" t="s">
        <v>1446</v>
      </c>
      <c r="D619" s="340" t="s">
        <v>1661</v>
      </c>
      <c r="E619" s="341">
        <v>10</v>
      </c>
      <c r="F619" s="342">
        <v>3839.75</v>
      </c>
      <c r="G619" s="343" t="s">
        <v>195</v>
      </c>
      <c r="H619" s="341">
        <v>1</v>
      </c>
      <c r="I619" s="344">
        <v>38397.5</v>
      </c>
      <c r="J619" s="341">
        <v>4.4000000000000004</v>
      </c>
      <c r="K619" s="344">
        <v>168949</v>
      </c>
      <c r="Q619" s="281">
        <f>[19]Source!X697</f>
        <v>0</v>
      </c>
      <c r="R619" s="281">
        <f>[19]Source!X698</f>
        <v>0</v>
      </c>
      <c r="S619" s="281">
        <f>[19]Source!Y697</f>
        <v>0</v>
      </c>
      <c r="T619" s="281">
        <f>[19]Source!Y698</f>
        <v>0</v>
      </c>
      <c r="U619" s="281">
        <f>ROUND((175/100)*ROUND([19]Source!R697, 2), 2)</f>
        <v>0</v>
      </c>
      <c r="V619" s="281">
        <f>ROUND((157/100)*ROUND([19]Source!R698, 2), 2)</f>
        <v>0</v>
      </c>
    </row>
    <row r="620" spans="1:22" ht="15" x14ac:dyDescent="0.25">
      <c r="A620" s="345"/>
      <c r="B620" s="345"/>
      <c r="C620" s="346" t="s">
        <v>183</v>
      </c>
      <c r="D620" s="345"/>
      <c r="E620" s="345"/>
      <c r="F620" s="345"/>
      <c r="G620" s="345"/>
      <c r="H620" s="462">
        <v>38397.5</v>
      </c>
      <c r="I620" s="462"/>
      <c r="J620" s="462">
        <v>168949</v>
      </c>
      <c r="K620" s="462"/>
      <c r="O620" s="284">
        <f>I619</f>
        <v>38397.5</v>
      </c>
      <c r="P620" s="284">
        <f>K619</f>
        <v>168949</v>
      </c>
    </row>
    <row r="623" spans="1:22" ht="15" x14ac:dyDescent="0.25">
      <c r="A623" s="447" t="s">
        <v>3739</v>
      </c>
      <c r="B623" s="447"/>
      <c r="C623" s="447"/>
      <c r="D623" s="447"/>
      <c r="E623" s="447"/>
      <c r="F623" s="447"/>
      <c r="G623" s="447"/>
      <c r="H623" s="445">
        <v>38448.620000000003</v>
      </c>
      <c r="I623" s="446"/>
      <c r="J623" s="445">
        <v>169226.07</v>
      </c>
      <c r="K623" s="446"/>
    </row>
    <row r="624" spans="1:22" hidden="1" x14ac:dyDescent="0.2">
      <c r="A624" s="281" t="s">
        <v>182</v>
      </c>
      <c r="I624" s="281">
        <v>0</v>
      </c>
      <c r="J624" s="281">
        <v>0</v>
      </c>
    </row>
    <row r="625" spans="1:22" hidden="1" x14ac:dyDescent="0.2">
      <c r="A625" s="281" t="s">
        <v>181</v>
      </c>
      <c r="I625" s="281">
        <v>0</v>
      </c>
      <c r="J625" s="281">
        <v>0</v>
      </c>
    </row>
    <row r="627" spans="1:22" ht="15" x14ac:dyDescent="0.25">
      <c r="A627" s="447" t="s">
        <v>3740</v>
      </c>
      <c r="B627" s="447"/>
      <c r="C627" s="447"/>
      <c r="D627" s="447"/>
      <c r="E627" s="447"/>
      <c r="F627" s="447"/>
      <c r="G627" s="447"/>
      <c r="H627" s="445">
        <v>116821.01</v>
      </c>
      <c r="I627" s="446"/>
      <c r="J627" s="445">
        <v>516859.86</v>
      </c>
      <c r="K627" s="446"/>
    </row>
    <row r="628" spans="1:22" hidden="1" x14ac:dyDescent="0.2">
      <c r="A628" s="281" t="s">
        <v>182</v>
      </c>
      <c r="I628" s="281">
        <v>0</v>
      </c>
      <c r="J628" s="281">
        <v>0</v>
      </c>
    </row>
    <row r="629" spans="1:22" hidden="1" x14ac:dyDescent="0.2">
      <c r="A629" s="281" t="s">
        <v>181</v>
      </c>
      <c r="I629" s="281">
        <v>0</v>
      </c>
      <c r="J629" s="281">
        <v>0</v>
      </c>
    </row>
    <row r="631" spans="1:22" ht="16.5" x14ac:dyDescent="0.25">
      <c r="A631" s="448" t="s">
        <v>2918</v>
      </c>
      <c r="B631" s="448"/>
      <c r="C631" s="448"/>
      <c r="D631" s="448"/>
      <c r="E631" s="448"/>
      <c r="F631" s="448"/>
      <c r="G631" s="448"/>
      <c r="H631" s="448"/>
      <c r="I631" s="448"/>
      <c r="J631" s="448"/>
      <c r="K631" s="448"/>
    </row>
    <row r="632" spans="1:22" ht="14.25" x14ac:dyDescent="0.2">
      <c r="A632" s="301" t="s">
        <v>1778</v>
      </c>
      <c r="B632" s="302" t="s">
        <v>3741</v>
      </c>
      <c r="C632" s="302" t="s">
        <v>1445</v>
      </c>
      <c r="D632" s="303" t="s">
        <v>1903</v>
      </c>
      <c r="E632" s="286">
        <v>1</v>
      </c>
      <c r="F632" s="321"/>
      <c r="G632" s="305"/>
      <c r="H632" s="286"/>
      <c r="I632" s="304"/>
      <c r="J632" s="286"/>
      <c r="K632" s="304"/>
      <c r="Q632" s="281">
        <f>[19]Source!X764</f>
        <v>18.47</v>
      </c>
      <c r="R632" s="281">
        <f>[19]Source!X765</f>
        <v>390.92</v>
      </c>
      <c r="S632" s="281">
        <f>[19]Source!Y764</f>
        <v>17.23</v>
      </c>
      <c r="T632" s="281">
        <f>[19]Source!Y765</f>
        <v>235.7</v>
      </c>
      <c r="U632" s="281">
        <f>ROUND((175/100)*ROUND([19]Source!R764, 2), 2)</f>
        <v>0</v>
      </c>
      <c r="V632" s="281">
        <f>ROUND((157/100)*ROUND([19]Source!R765, 2), 2)</f>
        <v>0</v>
      </c>
    </row>
    <row r="633" spans="1:22" ht="14.25" x14ac:dyDescent="0.2">
      <c r="A633" s="301"/>
      <c r="B633" s="302"/>
      <c r="C633" s="302" t="s">
        <v>197</v>
      </c>
      <c r="D633" s="303"/>
      <c r="E633" s="286"/>
      <c r="F633" s="321">
        <v>30.78</v>
      </c>
      <c r="G633" s="305" t="s">
        <v>2344</v>
      </c>
      <c r="H633" s="286">
        <v>1</v>
      </c>
      <c r="I633" s="304">
        <v>24.62</v>
      </c>
      <c r="J633" s="286">
        <v>23.35</v>
      </c>
      <c r="K633" s="304">
        <v>574.88</v>
      </c>
    </row>
    <row r="634" spans="1:22" ht="14.25" x14ac:dyDescent="0.2">
      <c r="A634" s="301"/>
      <c r="B634" s="302"/>
      <c r="C634" s="302" t="s">
        <v>194</v>
      </c>
      <c r="D634" s="303" t="s">
        <v>187</v>
      </c>
      <c r="E634" s="286">
        <v>75</v>
      </c>
      <c r="F634" s="321"/>
      <c r="G634" s="305"/>
      <c r="H634" s="286"/>
      <c r="I634" s="304">
        <v>18.47</v>
      </c>
      <c r="J634" s="286">
        <v>68</v>
      </c>
      <c r="K634" s="304">
        <v>390.92</v>
      </c>
    </row>
    <row r="635" spans="1:22" ht="14.25" x14ac:dyDescent="0.2">
      <c r="A635" s="301"/>
      <c r="B635" s="302"/>
      <c r="C635" s="302" t="s">
        <v>193</v>
      </c>
      <c r="D635" s="303" t="s">
        <v>187</v>
      </c>
      <c r="E635" s="286">
        <v>70</v>
      </c>
      <c r="F635" s="321"/>
      <c r="G635" s="305"/>
      <c r="H635" s="286"/>
      <c r="I635" s="304">
        <v>17.23</v>
      </c>
      <c r="J635" s="286">
        <v>41</v>
      </c>
      <c r="K635" s="304">
        <v>235.7</v>
      </c>
    </row>
    <row r="636" spans="1:22" ht="14.25" x14ac:dyDescent="0.2">
      <c r="A636" s="329"/>
      <c r="B636" s="330"/>
      <c r="C636" s="330" t="s">
        <v>192</v>
      </c>
      <c r="D636" s="331" t="s">
        <v>191</v>
      </c>
      <c r="E636" s="332">
        <v>1.66</v>
      </c>
      <c r="F636" s="333"/>
      <c r="G636" s="334" t="s">
        <v>2344</v>
      </c>
      <c r="H636" s="332">
        <v>1</v>
      </c>
      <c r="I636" s="335">
        <v>1.33</v>
      </c>
      <c r="J636" s="332"/>
      <c r="K636" s="335"/>
    </row>
    <row r="637" spans="1:22" ht="15" x14ac:dyDescent="0.25">
      <c r="A637" s="336"/>
      <c r="B637" s="336"/>
      <c r="C637" s="337" t="s">
        <v>183</v>
      </c>
      <c r="D637" s="336"/>
      <c r="E637" s="336"/>
      <c r="F637" s="336"/>
      <c r="G637" s="336"/>
      <c r="H637" s="461">
        <v>60.32</v>
      </c>
      <c r="I637" s="461"/>
      <c r="J637" s="461">
        <v>1201.5</v>
      </c>
      <c r="K637" s="461"/>
      <c r="O637" s="284">
        <f>I633+I634+I635</f>
        <v>60.32</v>
      </c>
      <c r="P637" s="284">
        <f>K633+K634+K635</f>
        <v>1201.5</v>
      </c>
    </row>
    <row r="639" spans="1:22" ht="99.75" x14ac:dyDescent="0.2">
      <c r="A639" s="301" t="s">
        <v>1780</v>
      </c>
      <c r="B639" s="302" t="s">
        <v>3742</v>
      </c>
      <c r="C639" s="302" t="s">
        <v>1444</v>
      </c>
      <c r="D639" s="303" t="s">
        <v>1903</v>
      </c>
      <c r="E639" s="286">
        <v>61</v>
      </c>
      <c r="F639" s="321"/>
      <c r="G639" s="305"/>
      <c r="H639" s="286"/>
      <c r="I639" s="304"/>
      <c r="J639" s="286"/>
      <c r="K639" s="304"/>
      <c r="Q639" s="281">
        <f>[19]Source!X766</f>
        <v>677.47</v>
      </c>
      <c r="R639" s="281">
        <f>[19]Source!X767</f>
        <v>14342.44</v>
      </c>
      <c r="S639" s="281">
        <f>[19]Source!Y766</f>
        <v>632.29999999999995</v>
      </c>
      <c r="T639" s="281">
        <f>[19]Source!Y767</f>
        <v>8647.65</v>
      </c>
      <c r="U639" s="281">
        <f>ROUND((175/100)*ROUND([19]Source!R766, 2), 2)</f>
        <v>0</v>
      </c>
      <c r="V639" s="281">
        <f>ROUND((157/100)*ROUND([19]Source!R767, 2), 2)</f>
        <v>0</v>
      </c>
    </row>
    <row r="640" spans="1:22" ht="38.25" x14ac:dyDescent="0.2">
      <c r="C640" s="316" t="s">
        <v>3743</v>
      </c>
    </row>
    <row r="641" spans="1:32" ht="14.25" x14ac:dyDescent="0.2">
      <c r="A641" s="301"/>
      <c r="B641" s="302"/>
      <c r="C641" s="302" t="s">
        <v>197</v>
      </c>
      <c r="D641" s="303"/>
      <c r="E641" s="286"/>
      <c r="F641" s="321">
        <v>18.510000000000002</v>
      </c>
      <c r="G641" s="305" t="s">
        <v>2344</v>
      </c>
      <c r="H641" s="286">
        <v>1</v>
      </c>
      <c r="I641" s="304">
        <v>903.29</v>
      </c>
      <c r="J641" s="286">
        <v>23.35</v>
      </c>
      <c r="K641" s="304">
        <v>21091.82</v>
      </c>
    </row>
    <row r="642" spans="1:32" ht="14.25" x14ac:dyDescent="0.2">
      <c r="A642" s="301"/>
      <c r="B642" s="302"/>
      <c r="C642" s="302" t="s">
        <v>194</v>
      </c>
      <c r="D642" s="303" t="s">
        <v>187</v>
      </c>
      <c r="E642" s="286">
        <v>75</v>
      </c>
      <c r="F642" s="321"/>
      <c r="G642" s="305"/>
      <c r="H642" s="286"/>
      <c r="I642" s="304">
        <v>677.47</v>
      </c>
      <c r="J642" s="286">
        <v>68</v>
      </c>
      <c r="K642" s="304">
        <v>14342.44</v>
      </c>
    </row>
    <row r="643" spans="1:32" ht="14.25" x14ac:dyDescent="0.2">
      <c r="A643" s="301"/>
      <c r="B643" s="302"/>
      <c r="C643" s="302" t="s">
        <v>193</v>
      </c>
      <c r="D643" s="303" t="s">
        <v>187</v>
      </c>
      <c r="E643" s="286">
        <v>70</v>
      </c>
      <c r="F643" s="321"/>
      <c r="G643" s="305"/>
      <c r="H643" s="286"/>
      <c r="I643" s="304">
        <v>632.29999999999995</v>
      </c>
      <c r="J643" s="286">
        <v>41</v>
      </c>
      <c r="K643" s="304">
        <v>8647.65</v>
      </c>
    </row>
    <row r="644" spans="1:32" ht="14.25" x14ac:dyDescent="0.2">
      <c r="A644" s="329"/>
      <c r="B644" s="330"/>
      <c r="C644" s="330" t="s">
        <v>192</v>
      </c>
      <c r="D644" s="331" t="s">
        <v>191</v>
      </c>
      <c r="E644" s="332">
        <v>1.27</v>
      </c>
      <c r="F644" s="333"/>
      <c r="G644" s="334" t="s">
        <v>2344</v>
      </c>
      <c r="H644" s="332">
        <v>1</v>
      </c>
      <c r="I644" s="335">
        <v>61.98</v>
      </c>
      <c r="J644" s="332"/>
      <c r="K644" s="335"/>
    </row>
    <row r="645" spans="1:32" ht="15" x14ac:dyDescent="0.25">
      <c r="A645" s="336"/>
      <c r="B645" s="336"/>
      <c r="C645" s="337" t="s">
        <v>183</v>
      </c>
      <c r="D645" s="336"/>
      <c r="E645" s="336"/>
      <c r="F645" s="336"/>
      <c r="G645" s="336"/>
      <c r="H645" s="461">
        <v>2213.06</v>
      </c>
      <c r="I645" s="461"/>
      <c r="J645" s="461">
        <v>44081.91</v>
      </c>
      <c r="K645" s="461"/>
      <c r="O645" s="284">
        <f>I641+I642+I643</f>
        <v>2213.06</v>
      </c>
      <c r="P645" s="284">
        <f>K641+K642+K643</f>
        <v>44081.91</v>
      </c>
    </row>
    <row r="648" spans="1:32" ht="15" x14ac:dyDescent="0.25">
      <c r="A648" s="447" t="s">
        <v>2929</v>
      </c>
      <c r="B648" s="447"/>
      <c r="C648" s="447"/>
      <c r="D648" s="447"/>
      <c r="E648" s="447"/>
      <c r="F648" s="447"/>
      <c r="G648" s="447"/>
      <c r="H648" s="445">
        <v>2273.38</v>
      </c>
      <c r="I648" s="446"/>
      <c r="J648" s="445">
        <v>45283.41</v>
      </c>
      <c r="K648" s="446"/>
    </row>
    <row r="649" spans="1:32" hidden="1" x14ac:dyDescent="0.2">
      <c r="A649" s="281" t="s">
        <v>182</v>
      </c>
      <c r="I649" s="281">
        <v>0</v>
      </c>
      <c r="J649" s="281">
        <v>0</v>
      </c>
    </row>
    <row r="650" spans="1:32" hidden="1" x14ac:dyDescent="0.2">
      <c r="A650" s="281" t="s">
        <v>181</v>
      </c>
      <c r="I650" s="281">
        <v>0</v>
      </c>
      <c r="J650" s="281">
        <v>0</v>
      </c>
    </row>
    <row r="652" spans="1:32" ht="15" x14ac:dyDescent="0.25">
      <c r="A652" s="447" t="s">
        <v>3744</v>
      </c>
      <c r="B652" s="447"/>
      <c r="C652" s="447"/>
      <c r="D652" s="447"/>
      <c r="E652" s="447"/>
      <c r="F652" s="447"/>
      <c r="G652" s="447"/>
      <c r="H652" s="445">
        <v>146402.21</v>
      </c>
      <c r="I652" s="446"/>
      <c r="J652" s="445">
        <v>782538.29</v>
      </c>
      <c r="K652" s="446"/>
      <c r="AF652" s="360" t="str">
        <f>CONCATENATE("Итого по локальной смете: ",IF([19]Source!G799&lt;&gt;"Новая локальная смета", [19]Source!G799, ""))</f>
        <v>Итого по локальной смете: Автоматическая модульная установка токораспыленной водой.</v>
      </c>
    </row>
    <row r="653" spans="1:32" hidden="1" x14ac:dyDescent="0.2">
      <c r="A653" s="281" t="s">
        <v>182</v>
      </c>
      <c r="I653" s="281">
        <v>0</v>
      </c>
      <c r="J653" s="281">
        <v>0</v>
      </c>
    </row>
    <row r="654" spans="1:32" hidden="1" x14ac:dyDescent="0.2">
      <c r="A654" s="281" t="s">
        <v>181</v>
      </c>
      <c r="I654" s="281">
        <v>0</v>
      </c>
      <c r="J654" s="281">
        <v>0</v>
      </c>
    </row>
    <row r="655" spans="1:32" ht="14.25" x14ac:dyDescent="0.2">
      <c r="C655" s="442" t="s">
        <v>1920</v>
      </c>
      <c r="D655" s="442"/>
      <c r="E655" s="442"/>
      <c r="F655" s="442"/>
      <c r="G655" s="442"/>
      <c r="H655" s="443">
        <v>140837.37</v>
      </c>
      <c r="I655" s="443"/>
      <c r="J655" s="443">
        <v>693782.34</v>
      </c>
      <c r="K655" s="443"/>
    </row>
    <row r="656" spans="1:32" ht="14.25" x14ac:dyDescent="0.2">
      <c r="C656" s="442" t="s">
        <v>1933</v>
      </c>
      <c r="D656" s="442"/>
      <c r="E656" s="442"/>
      <c r="F656" s="442"/>
      <c r="G656" s="442"/>
      <c r="H656" s="443">
        <v>137393.91</v>
      </c>
      <c r="I656" s="443"/>
      <c r="J656" s="443">
        <v>616075.53</v>
      </c>
      <c r="K656" s="443"/>
    </row>
    <row r="657" spans="1:11" ht="14.25" x14ac:dyDescent="0.2">
      <c r="C657" s="442" t="s">
        <v>1934</v>
      </c>
      <c r="D657" s="442"/>
      <c r="E657" s="442"/>
      <c r="F657" s="442"/>
      <c r="G657" s="442"/>
      <c r="H657" s="443">
        <v>10460.91</v>
      </c>
      <c r="I657" s="443"/>
      <c r="J657" s="443">
        <v>46157.7</v>
      </c>
      <c r="K657" s="443"/>
    </row>
    <row r="658" spans="1:11" ht="14.25" x14ac:dyDescent="0.2">
      <c r="C658" s="442" t="s">
        <v>1935</v>
      </c>
      <c r="D658" s="442"/>
      <c r="E658" s="442"/>
      <c r="F658" s="442"/>
      <c r="G658" s="442"/>
      <c r="H658" s="443">
        <v>126933</v>
      </c>
      <c r="I658" s="443"/>
      <c r="J658" s="443">
        <v>569917.82999999996</v>
      </c>
      <c r="K658" s="443"/>
    </row>
    <row r="659" spans="1:11" ht="14.25" x14ac:dyDescent="0.2">
      <c r="C659" s="442" t="s">
        <v>1936</v>
      </c>
      <c r="D659" s="442"/>
      <c r="E659" s="442"/>
      <c r="F659" s="442"/>
      <c r="G659" s="442"/>
      <c r="H659" s="443">
        <v>174.48</v>
      </c>
      <c r="I659" s="443"/>
      <c r="J659" s="443">
        <v>1376.11</v>
      </c>
      <c r="K659" s="443"/>
    </row>
    <row r="660" spans="1:11" ht="14.25" x14ac:dyDescent="0.2">
      <c r="C660" s="442" t="s">
        <v>1938</v>
      </c>
      <c r="D660" s="442"/>
      <c r="E660" s="442"/>
      <c r="F660" s="442"/>
      <c r="G660" s="442"/>
      <c r="H660" s="443">
        <v>3268.98</v>
      </c>
      <c r="I660" s="443"/>
      <c r="J660" s="443">
        <v>76330.7</v>
      </c>
      <c r="K660" s="443"/>
    </row>
    <row r="661" spans="1:11" ht="14.25" x14ac:dyDescent="0.2">
      <c r="C661" s="442" t="s">
        <v>1939</v>
      </c>
      <c r="D661" s="442"/>
      <c r="E661" s="442"/>
      <c r="F661" s="442"/>
      <c r="G661" s="442"/>
      <c r="H661" s="443">
        <v>0</v>
      </c>
      <c r="I661" s="443"/>
      <c r="J661" s="443">
        <v>0</v>
      </c>
      <c r="K661" s="443"/>
    </row>
    <row r="662" spans="1:11" ht="14.25" x14ac:dyDescent="0.2">
      <c r="C662" s="442" t="s">
        <v>1940</v>
      </c>
      <c r="D662" s="442"/>
      <c r="E662" s="442"/>
      <c r="F662" s="442"/>
      <c r="G662" s="442"/>
      <c r="H662" s="443">
        <v>17195.830000000002</v>
      </c>
      <c r="I662" s="443"/>
      <c r="J662" s="443">
        <v>167337.04999999999</v>
      </c>
      <c r="K662" s="443"/>
    </row>
    <row r="663" spans="1:11" ht="14.25" x14ac:dyDescent="0.2">
      <c r="C663" s="442" t="s">
        <v>1941</v>
      </c>
      <c r="D663" s="442"/>
      <c r="E663" s="442"/>
      <c r="F663" s="442"/>
      <c r="G663" s="442"/>
      <c r="H663" s="443">
        <v>2273.38</v>
      </c>
      <c r="I663" s="443"/>
      <c r="J663" s="443">
        <v>45283.41</v>
      </c>
      <c r="K663" s="443"/>
    </row>
    <row r="664" spans="1:11" ht="14.25" x14ac:dyDescent="0.2">
      <c r="C664" s="442" t="s">
        <v>1942</v>
      </c>
      <c r="D664" s="442"/>
      <c r="E664" s="442"/>
      <c r="F664" s="442"/>
      <c r="G664" s="442"/>
      <c r="H664" s="443">
        <v>3303.31</v>
      </c>
      <c r="I664" s="443"/>
      <c r="J664" s="443">
        <v>56549.82</v>
      </c>
      <c r="K664" s="443"/>
    </row>
    <row r="665" spans="1:11" ht="14.25" x14ac:dyDescent="0.2">
      <c r="C665" s="442" t="s">
        <v>1943</v>
      </c>
      <c r="D665" s="442"/>
      <c r="E665" s="442"/>
      <c r="F665" s="442"/>
      <c r="G665" s="442"/>
      <c r="H665" s="443">
        <v>2218.0300000000002</v>
      </c>
      <c r="I665" s="443"/>
      <c r="J665" s="443">
        <v>31295.55</v>
      </c>
      <c r="K665" s="443"/>
    </row>
    <row r="666" spans="1:11" ht="14.25" x14ac:dyDescent="0.2">
      <c r="C666" s="442" t="s">
        <v>1944</v>
      </c>
      <c r="D666" s="442"/>
      <c r="E666" s="442"/>
      <c r="F666" s="442"/>
      <c r="G666" s="442"/>
      <c r="H666" s="443">
        <v>146402.21</v>
      </c>
      <c r="I666" s="443"/>
      <c r="J666" s="443">
        <v>782538.29</v>
      </c>
      <c r="K666" s="443"/>
    </row>
    <row r="669" spans="1:11" ht="14.25" x14ac:dyDescent="0.2">
      <c r="A669" s="440" t="s">
        <v>180</v>
      </c>
      <c r="B669" s="440"/>
      <c r="C669" s="347" t="s">
        <v>107</v>
      </c>
      <c r="D669" s="347"/>
      <c r="E669" s="347"/>
      <c r="F669" s="347"/>
      <c r="G669" s="347"/>
      <c r="H669" s="287" t="s">
        <v>107</v>
      </c>
      <c r="I669" s="287"/>
      <c r="J669" s="287"/>
      <c r="K669" s="287"/>
    </row>
    <row r="670" spans="1:11" ht="14.25" x14ac:dyDescent="0.2">
      <c r="A670" s="287"/>
      <c r="B670" s="287"/>
      <c r="C670" s="460" t="s">
        <v>72</v>
      </c>
      <c r="D670" s="460"/>
      <c r="E670" s="460"/>
      <c r="F670" s="460"/>
      <c r="G670" s="460"/>
      <c r="H670" s="287"/>
      <c r="I670" s="287"/>
      <c r="J670" s="287"/>
      <c r="K670" s="287"/>
    </row>
    <row r="671" spans="1:11" ht="14.25" x14ac:dyDescent="0.2">
      <c r="A671" s="287"/>
      <c r="B671" s="287"/>
      <c r="C671" s="287"/>
      <c r="D671" s="287"/>
      <c r="E671" s="287"/>
      <c r="F671" s="287"/>
      <c r="G671" s="287"/>
      <c r="H671" s="287"/>
      <c r="I671" s="287"/>
      <c r="J671" s="287"/>
      <c r="K671" s="287"/>
    </row>
    <row r="672" spans="1:11" ht="14.25" x14ac:dyDescent="0.2">
      <c r="A672" s="440" t="s">
        <v>179</v>
      </c>
      <c r="B672" s="440"/>
      <c r="C672" s="347" t="s">
        <v>107</v>
      </c>
      <c r="D672" s="347"/>
      <c r="E672" s="347"/>
      <c r="F672" s="347"/>
      <c r="G672" s="347"/>
      <c r="H672" s="287" t="s">
        <v>107</v>
      </c>
      <c r="I672" s="287"/>
      <c r="J672" s="287"/>
      <c r="K672" s="287"/>
    </row>
    <row r="673" spans="1:11" ht="14.25" x14ac:dyDescent="0.2">
      <c r="A673" s="287"/>
      <c r="B673" s="287"/>
      <c r="C673" s="460" t="s">
        <v>72</v>
      </c>
      <c r="D673" s="460"/>
      <c r="E673" s="460"/>
      <c r="F673" s="460"/>
      <c r="G673" s="460"/>
      <c r="H673" s="287"/>
      <c r="I673" s="287"/>
      <c r="J673" s="287"/>
      <c r="K673" s="287"/>
    </row>
  </sheetData>
  <mergeCells count="220"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A36:K36"/>
    <mergeCell ref="J46:K46"/>
    <mergeCell ref="H46:I46"/>
    <mergeCell ref="J58:K58"/>
    <mergeCell ref="H58:I58"/>
    <mergeCell ref="J61:K61"/>
    <mergeCell ref="H61:I61"/>
    <mergeCell ref="A61:G61"/>
    <mergeCell ref="A65:K65"/>
    <mergeCell ref="J77:K77"/>
    <mergeCell ref="H77:I77"/>
    <mergeCell ref="J88:K88"/>
    <mergeCell ref="H88:I88"/>
    <mergeCell ref="J100:K100"/>
    <mergeCell ref="H100:I100"/>
    <mergeCell ref="J112:K112"/>
    <mergeCell ref="H112:I112"/>
    <mergeCell ref="J124:K124"/>
    <mergeCell ref="H124:I124"/>
    <mergeCell ref="J136:K136"/>
    <mergeCell ref="H136:I136"/>
    <mergeCell ref="J139:K139"/>
    <mergeCell ref="H139:I139"/>
    <mergeCell ref="A139:G139"/>
    <mergeCell ref="A143:K143"/>
    <mergeCell ref="J155:K155"/>
    <mergeCell ref="H155:I155"/>
    <mergeCell ref="J167:K167"/>
    <mergeCell ref="H167:I167"/>
    <mergeCell ref="J179:K179"/>
    <mergeCell ref="H179:I179"/>
    <mergeCell ref="J191:K191"/>
    <mergeCell ref="H191:I191"/>
    <mergeCell ref="J203:K203"/>
    <mergeCell ref="H203:I203"/>
    <mergeCell ref="J206:K206"/>
    <mergeCell ref="H206:I206"/>
    <mergeCell ref="A206:G206"/>
    <mergeCell ref="A210:K210"/>
    <mergeCell ref="J222:K222"/>
    <mergeCell ref="H222:I222"/>
    <mergeCell ref="J233:K233"/>
    <mergeCell ref="H233:I233"/>
    <mergeCell ref="J245:K245"/>
    <mergeCell ref="H245:I245"/>
    <mergeCell ref="J257:K257"/>
    <mergeCell ref="H257:I257"/>
    <mergeCell ref="J269:K269"/>
    <mergeCell ref="H269:I269"/>
    <mergeCell ref="J281:K281"/>
    <mergeCell ref="H281:I281"/>
    <mergeCell ref="J284:K284"/>
    <mergeCell ref="H284:I284"/>
    <mergeCell ref="A284:G284"/>
    <mergeCell ref="A288:K288"/>
    <mergeCell ref="J300:K300"/>
    <mergeCell ref="H300:I300"/>
    <mergeCell ref="J311:K311"/>
    <mergeCell ref="H311:I311"/>
    <mergeCell ref="J323:K323"/>
    <mergeCell ref="H323:I323"/>
    <mergeCell ref="J335:K335"/>
    <mergeCell ref="H335:I335"/>
    <mergeCell ref="J347:K347"/>
    <mergeCell ref="H347:I347"/>
    <mergeCell ref="J359:K359"/>
    <mergeCell ref="H359:I359"/>
    <mergeCell ref="J362:K362"/>
    <mergeCell ref="H362:I362"/>
    <mergeCell ref="A362:G362"/>
    <mergeCell ref="A366:K366"/>
    <mergeCell ref="J378:K378"/>
    <mergeCell ref="H378:I378"/>
    <mergeCell ref="J389:K389"/>
    <mergeCell ref="H389:I389"/>
    <mergeCell ref="J401:K401"/>
    <mergeCell ref="H401:I401"/>
    <mergeCell ref="J413:K413"/>
    <mergeCell ref="H413:I413"/>
    <mergeCell ref="J425:K425"/>
    <mergeCell ref="H425:I425"/>
    <mergeCell ref="J437:K437"/>
    <mergeCell ref="H437:I437"/>
    <mergeCell ref="J440:K440"/>
    <mergeCell ref="H440:I440"/>
    <mergeCell ref="A440:G440"/>
    <mergeCell ref="A444:K444"/>
    <mergeCell ref="J456:K456"/>
    <mergeCell ref="H456:I456"/>
    <mergeCell ref="J471:K471"/>
    <mergeCell ref="H471:I471"/>
    <mergeCell ref="J485:K485"/>
    <mergeCell ref="H485:I485"/>
    <mergeCell ref="J498:K498"/>
    <mergeCell ref="H498:I498"/>
    <mergeCell ref="J501:K501"/>
    <mergeCell ref="H501:I501"/>
    <mergeCell ref="A501:G501"/>
    <mergeCell ref="A505:K505"/>
    <mergeCell ref="A507:K507"/>
    <mergeCell ref="J518:K518"/>
    <mergeCell ref="H518:I518"/>
    <mergeCell ref="J521:K521"/>
    <mergeCell ref="H521:I521"/>
    <mergeCell ref="A521:G521"/>
    <mergeCell ref="A525:K525"/>
    <mergeCell ref="J536:K536"/>
    <mergeCell ref="H536:I536"/>
    <mergeCell ref="J539:K539"/>
    <mergeCell ref="H539:I539"/>
    <mergeCell ref="A539:G539"/>
    <mergeCell ref="A543:K543"/>
    <mergeCell ref="J554:K554"/>
    <mergeCell ref="H554:I554"/>
    <mergeCell ref="J557:K557"/>
    <mergeCell ref="H557:I557"/>
    <mergeCell ref="A557:G557"/>
    <mergeCell ref="A561:K561"/>
    <mergeCell ref="J572:K572"/>
    <mergeCell ref="H572:I572"/>
    <mergeCell ref="J575:K575"/>
    <mergeCell ref="H575:I575"/>
    <mergeCell ref="A575:G575"/>
    <mergeCell ref="A579:K579"/>
    <mergeCell ref="J590:K590"/>
    <mergeCell ref="H590:I590"/>
    <mergeCell ref="J593:K593"/>
    <mergeCell ref="H593:I593"/>
    <mergeCell ref="A593:G593"/>
    <mergeCell ref="A597:K597"/>
    <mergeCell ref="J608:K608"/>
    <mergeCell ref="H608:I608"/>
    <mergeCell ref="J611:K611"/>
    <mergeCell ref="H611:I611"/>
    <mergeCell ref="A611:G611"/>
    <mergeCell ref="A615:K615"/>
    <mergeCell ref="J617:K617"/>
    <mergeCell ref="H617:I617"/>
    <mergeCell ref="J620:K620"/>
    <mergeCell ref="H620:I620"/>
    <mergeCell ref="J623:K623"/>
    <mergeCell ref="H623:I623"/>
    <mergeCell ref="A623:G623"/>
    <mergeCell ref="J627:K627"/>
    <mergeCell ref="H627:I627"/>
    <mergeCell ref="A627:G627"/>
    <mergeCell ref="A631:K631"/>
    <mergeCell ref="J637:K637"/>
    <mergeCell ref="H637:I637"/>
    <mergeCell ref="J645:K645"/>
    <mergeCell ref="H645:I645"/>
    <mergeCell ref="J648:K648"/>
    <mergeCell ref="H648:I648"/>
    <mergeCell ref="A648:G648"/>
    <mergeCell ref="J652:K652"/>
    <mergeCell ref="H652:I652"/>
    <mergeCell ref="A652:G652"/>
    <mergeCell ref="C655:G655"/>
    <mergeCell ref="H655:I655"/>
    <mergeCell ref="J655:K655"/>
    <mergeCell ref="C656:G656"/>
    <mergeCell ref="H656:I656"/>
    <mergeCell ref="J656:K656"/>
    <mergeCell ref="C657:G657"/>
    <mergeCell ref="H657:I657"/>
    <mergeCell ref="J657:K657"/>
    <mergeCell ref="C658:G658"/>
    <mergeCell ref="H658:I658"/>
    <mergeCell ref="J658:K658"/>
    <mergeCell ref="C659:G659"/>
    <mergeCell ref="H659:I659"/>
    <mergeCell ref="J659:K659"/>
    <mergeCell ref="C660:G660"/>
    <mergeCell ref="H660:I660"/>
    <mergeCell ref="J660:K660"/>
    <mergeCell ref="A669:B669"/>
    <mergeCell ref="C670:G670"/>
    <mergeCell ref="A672:B672"/>
    <mergeCell ref="C673:G673"/>
    <mergeCell ref="C665:G665"/>
    <mergeCell ref="H665:I665"/>
    <mergeCell ref="C661:G661"/>
    <mergeCell ref="H661:I661"/>
    <mergeCell ref="J661:K661"/>
    <mergeCell ref="C662:G662"/>
    <mergeCell ref="H662:I662"/>
    <mergeCell ref="J662:K662"/>
    <mergeCell ref="J665:K665"/>
    <mergeCell ref="C666:G666"/>
    <mergeCell ref="H666:I666"/>
    <mergeCell ref="J666:K666"/>
    <mergeCell ref="C663:G663"/>
    <mergeCell ref="H663:I663"/>
    <mergeCell ref="J663:K663"/>
    <mergeCell ref="C664:G664"/>
    <mergeCell ref="H664:I664"/>
    <mergeCell ref="J664:K664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AM1597"/>
  <sheetViews>
    <sheetView zoomScaleNormal="100" workbookViewId="0">
      <selection sqref="A1:AM1048576"/>
    </sheetView>
  </sheetViews>
  <sheetFormatPr defaultColWidth="9.140625" defaultRowHeight="12.75" x14ac:dyDescent="0.2"/>
  <cols>
    <col min="1" max="1" width="5.7109375" style="281" customWidth="1"/>
    <col min="2" max="2" width="11.7109375" style="281" customWidth="1"/>
    <col min="3" max="3" width="40.7109375" style="281" customWidth="1"/>
    <col min="4" max="6" width="11.7109375" style="281" customWidth="1"/>
    <col min="7" max="7" width="12.7109375" style="281" customWidth="1"/>
    <col min="8" max="8" width="10.7109375" style="281" customWidth="1"/>
    <col min="9" max="11" width="12.7109375" style="281" customWidth="1"/>
    <col min="12" max="14" width="9.140625" style="281"/>
    <col min="15" max="30" width="0" style="281" hidden="1" customWidth="1"/>
    <col min="31" max="31" width="150.7109375" style="281" hidden="1" customWidth="1"/>
    <col min="32" max="32" width="104.7109375" style="281" hidden="1" customWidth="1"/>
    <col min="33" max="36" width="0" style="281" hidden="1" customWidth="1"/>
    <col min="37" max="39" width="9.140625" style="281"/>
    <col min="40" max="16384" width="9.140625" style="160"/>
  </cols>
  <sheetData>
    <row r="1" spans="1:31" x14ac:dyDescent="0.2">
      <c r="A1" s="285" t="s">
        <v>1523</v>
      </c>
    </row>
    <row r="2" spans="1:31" ht="14.25" x14ac:dyDescent="0.2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7" t="s">
        <v>381</v>
      </c>
    </row>
    <row r="3" spans="1:31" ht="16.5" x14ac:dyDescent="0.25">
      <c r="A3" s="288"/>
      <c r="B3" s="458" t="s">
        <v>380</v>
      </c>
      <c r="C3" s="458"/>
      <c r="D3" s="458"/>
      <c r="E3" s="458"/>
      <c r="F3" s="287"/>
      <c r="G3" s="458" t="s">
        <v>0</v>
      </c>
      <c r="H3" s="458"/>
      <c r="I3" s="458"/>
      <c r="J3" s="458"/>
      <c r="K3" s="458"/>
    </row>
    <row r="4" spans="1:31" ht="14.25" x14ac:dyDescent="0.2">
      <c r="A4" s="287"/>
      <c r="B4" s="450"/>
      <c r="C4" s="450"/>
      <c r="D4" s="450"/>
      <c r="E4" s="450"/>
      <c r="F4" s="287"/>
      <c r="G4" s="450"/>
      <c r="H4" s="450"/>
      <c r="I4" s="450"/>
      <c r="J4" s="450"/>
      <c r="K4" s="450"/>
    </row>
    <row r="5" spans="1:31" ht="14.25" x14ac:dyDescent="0.2">
      <c r="A5" s="289"/>
      <c r="B5" s="289"/>
      <c r="C5" s="290"/>
      <c r="D5" s="290"/>
      <c r="E5" s="290"/>
      <c r="F5" s="287"/>
      <c r="G5" s="188"/>
      <c r="H5" s="290"/>
      <c r="I5" s="290"/>
      <c r="J5" s="290"/>
      <c r="K5" s="188"/>
    </row>
    <row r="6" spans="1:31" ht="14.25" x14ac:dyDescent="0.2">
      <c r="A6" s="188"/>
      <c r="B6" s="450" t="s">
        <v>1524</v>
      </c>
      <c r="C6" s="450"/>
      <c r="D6" s="450"/>
      <c r="E6" s="450"/>
      <c r="F6" s="287"/>
      <c r="G6" s="450" t="s">
        <v>1524</v>
      </c>
      <c r="H6" s="450"/>
      <c r="I6" s="450"/>
      <c r="J6" s="450"/>
      <c r="K6" s="450"/>
    </row>
    <row r="7" spans="1:31" ht="14.25" x14ac:dyDescent="0.2">
      <c r="A7" s="291"/>
      <c r="B7" s="459" t="s">
        <v>379</v>
      </c>
      <c r="C7" s="459"/>
      <c r="D7" s="459"/>
      <c r="E7" s="459"/>
      <c r="F7" s="287"/>
      <c r="G7" s="459" t="s">
        <v>379</v>
      </c>
      <c r="H7" s="459"/>
      <c r="I7" s="459"/>
      <c r="J7" s="459"/>
      <c r="K7" s="459"/>
    </row>
    <row r="9" spans="1:31" ht="14.25" x14ac:dyDescent="0.2">
      <c r="A9" s="287"/>
      <c r="B9" s="287"/>
      <c r="C9" s="287"/>
      <c r="D9" s="287"/>
      <c r="E9" s="287"/>
      <c r="F9" s="287"/>
      <c r="G9" s="287"/>
      <c r="H9" s="287"/>
      <c r="I9" s="287"/>
      <c r="J9" s="287"/>
      <c r="K9" s="287"/>
    </row>
    <row r="10" spans="1:31" ht="47.25" x14ac:dyDescent="0.25">
      <c r="A10" s="464" t="s">
        <v>3850</v>
      </c>
      <c r="B10" s="464"/>
      <c r="C10" s="464"/>
      <c r="D10" s="464"/>
      <c r="E10" s="464"/>
      <c r="F10" s="464"/>
      <c r="G10" s="464"/>
      <c r="H10" s="464"/>
      <c r="I10" s="464"/>
      <c r="J10" s="464"/>
      <c r="K10" s="464"/>
      <c r="AE10" s="319" t="str">
        <f>IF([20]Source!G12&lt;&gt;"Новый объект", [20]Source!G12,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60" t="s">
        <v>75</v>
      </c>
      <c r="B11" s="460"/>
      <c r="C11" s="460"/>
      <c r="D11" s="460"/>
      <c r="E11" s="460"/>
      <c r="F11" s="460"/>
      <c r="G11" s="460"/>
      <c r="H11" s="460"/>
      <c r="I11" s="460"/>
      <c r="J11" s="460"/>
      <c r="K11" s="460"/>
    </row>
    <row r="12" spans="1:31" ht="14.25" x14ac:dyDescent="0.2">
      <c r="A12" s="287"/>
      <c r="B12" s="287"/>
      <c r="C12" s="287"/>
      <c r="D12" s="287"/>
      <c r="E12" s="287"/>
      <c r="F12" s="287"/>
      <c r="G12" s="287"/>
      <c r="H12" s="287"/>
      <c r="I12" s="287"/>
      <c r="J12" s="287"/>
      <c r="K12" s="287"/>
    </row>
    <row r="13" spans="1:31" ht="15.75" x14ac:dyDescent="0.25">
      <c r="A13" s="464" t="s">
        <v>3899</v>
      </c>
      <c r="B13" s="465"/>
      <c r="C13" s="465"/>
      <c r="D13" s="465"/>
      <c r="E13" s="465"/>
      <c r="F13" s="465"/>
      <c r="G13" s="465"/>
      <c r="H13" s="465"/>
      <c r="I13" s="465"/>
      <c r="J13" s="465"/>
      <c r="K13" s="465"/>
    </row>
    <row r="14" spans="1:31" ht="14.25" x14ac:dyDescent="0.2">
      <c r="A14" s="287"/>
      <c r="B14" s="287"/>
      <c r="C14" s="287"/>
      <c r="D14" s="287"/>
      <c r="E14" s="287"/>
      <c r="F14" s="287"/>
      <c r="G14" s="287"/>
      <c r="H14" s="287"/>
      <c r="I14" s="287"/>
      <c r="J14" s="287"/>
      <c r="K14" s="287"/>
    </row>
    <row r="15" spans="1:31" ht="18" x14ac:dyDescent="0.25">
      <c r="A15" s="466" t="s">
        <v>178</v>
      </c>
      <c r="B15" s="466"/>
      <c r="C15" s="466"/>
      <c r="D15" s="466"/>
      <c r="E15" s="466"/>
      <c r="F15" s="466"/>
      <c r="G15" s="466"/>
      <c r="H15" s="466"/>
      <c r="I15" s="466"/>
      <c r="J15" s="466"/>
      <c r="K15" s="466"/>
    </row>
    <row r="16" spans="1:31" x14ac:dyDescent="0.2">
      <c r="A16" s="455" t="s">
        <v>378</v>
      </c>
      <c r="B16" s="456"/>
      <c r="C16" s="456"/>
      <c r="D16" s="456"/>
      <c r="E16" s="456"/>
      <c r="F16" s="456"/>
      <c r="G16" s="456"/>
      <c r="H16" s="456"/>
      <c r="I16" s="456"/>
      <c r="J16" s="456"/>
      <c r="K16" s="456"/>
    </row>
    <row r="17" spans="1:31" ht="14.25" x14ac:dyDescent="0.2">
      <c r="A17" s="287"/>
      <c r="B17" s="287"/>
      <c r="C17" s="287"/>
      <c r="D17" s="287"/>
      <c r="E17" s="287"/>
      <c r="F17" s="287"/>
      <c r="G17" s="287"/>
      <c r="H17" s="287"/>
      <c r="I17" s="287"/>
      <c r="J17" s="287"/>
      <c r="K17" s="287"/>
    </row>
    <row r="18" spans="1:31" ht="14.25" x14ac:dyDescent="0.2">
      <c r="A18" s="463" t="s">
        <v>3745</v>
      </c>
      <c r="B18" s="463"/>
      <c r="C18" s="463"/>
      <c r="D18" s="463"/>
      <c r="E18" s="463"/>
      <c r="F18" s="463"/>
      <c r="G18" s="463"/>
      <c r="H18" s="463"/>
      <c r="I18" s="463"/>
      <c r="J18" s="463"/>
      <c r="K18" s="463"/>
    </row>
    <row r="19" spans="1:31" ht="14.25" x14ac:dyDescent="0.2">
      <c r="A19" s="293"/>
      <c r="B19" s="293"/>
      <c r="C19" s="293"/>
      <c r="D19" s="293"/>
      <c r="E19" s="293"/>
      <c r="F19" s="293"/>
      <c r="G19" s="293"/>
      <c r="H19" s="293"/>
      <c r="I19" s="293"/>
      <c r="J19" s="293"/>
      <c r="K19" s="293"/>
    </row>
    <row r="20" spans="1:31" ht="28.5" x14ac:dyDescent="0.2">
      <c r="A20" s="287"/>
      <c r="B20" s="287"/>
      <c r="C20" s="287"/>
      <c r="D20" s="287"/>
      <c r="E20" s="287"/>
      <c r="F20" s="287"/>
      <c r="G20" s="287"/>
      <c r="H20" s="287"/>
      <c r="I20" s="294" t="s">
        <v>377</v>
      </c>
      <c r="J20" s="294" t="s">
        <v>376</v>
      </c>
      <c r="K20" s="287"/>
    </row>
    <row r="21" spans="1:31" ht="15" x14ac:dyDescent="0.25">
      <c r="A21" s="287"/>
      <c r="B21" s="287"/>
      <c r="C21" s="287"/>
      <c r="D21" s="287"/>
      <c r="E21" s="287"/>
      <c r="F21" s="457" t="s">
        <v>375</v>
      </c>
      <c r="G21" s="457"/>
      <c r="H21" s="457"/>
      <c r="I21" s="295">
        <v>784.88</v>
      </c>
      <c r="J21" s="295">
        <v>3953.09</v>
      </c>
      <c r="K21" s="296" t="s">
        <v>366</v>
      </c>
    </row>
    <row r="22" spans="1:31" ht="14.25" x14ac:dyDescent="0.2">
      <c r="A22" s="287"/>
      <c r="B22" s="287"/>
      <c r="C22" s="287"/>
      <c r="D22" s="287"/>
      <c r="E22" s="287"/>
      <c r="F22" s="450" t="s">
        <v>374</v>
      </c>
      <c r="G22" s="450"/>
      <c r="H22" s="450"/>
      <c r="I22" s="297">
        <v>0</v>
      </c>
      <c r="J22" s="297">
        <v>0</v>
      </c>
      <c r="K22" s="287" t="s">
        <v>366</v>
      </c>
    </row>
    <row r="23" spans="1:31" ht="14.25" x14ac:dyDescent="0.2">
      <c r="A23" s="287"/>
      <c r="B23" s="287"/>
      <c r="C23" s="287"/>
      <c r="D23" s="287"/>
      <c r="E23" s="287"/>
      <c r="F23" s="450" t="s">
        <v>373</v>
      </c>
      <c r="G23" s="450"/>
      <c r="H23" s="450"/>
      <c r="I23" s="297">
        <v>75.150000000000006</v>
      </c>
      <c r="J23" s="297">
        <v>701.8</v>
      </c>
      <c r="K23" s="287" t="s">
        <v>366</v>
      </c>
    </row>
    <row r="24" spans="1:31" ht="14.25" x14ac:dyDescent="0.2">
      <c r="A24" s="287"/>
      <c r="B24" s="287"/>
      <c r="C24" s="287"/>
      <c r="D24" s="287"/>
      <c r="E24" s="287"/>
      <c r="F24" s="450" t="s">
        <v>106</v>
      </c>
      <c r="G24" s="450"/>
      <c r="H24" s="450"/>
      <c r="I24" s="297">
        <v>701.45</v>
      </c>
      <c r="J24" s="297">
        <v>3086.36</v>
      </c>
      <c r="K24" s="287" t="s">
        <v>366</v>
      </c>
    </row>
    <row r="25" spans="1:31" ht="14.25" x14ac:dyDescent="0.2">
      <c r="A25" s="287"/>
      <c r="B25" s="287"/>
      <c r="C25" s="287"/>
      <c r="D25" s="287"/>
      <c r="E25" s="287"/>
      <c r="F25" s="450" t="s">
        <v>372</v>
      </c>
      <c r="G25" s="450"/>
      <c r="H25" s="450"/>
      <c r="I25" s="297">
        <v>8.2799999999999994</v>
      </c>
      <c r="J25" s="297">
        <v>164.93</v>
      </c>
      <c r="K25" s="287" t="s">
        <v>366</v>
      </c>
    </row>
    <row r="26" spans="1:31" ht="14.25" x14ac:dyDescent="0.2">
      <c r="A26" s="287"/>
      <c r="B26" s="287"/>
      <c r="C26" s="287"/>
      <c r="D26" s="287"/>
      <c r="E26" s="287"/>
      <c r="F26" s="450" t="s">
        <v>371</v>
      </c>
      <c r="G26" s="450"/>
      <c r="H26" s="450"/>
      <c r="I26" s="297">
        <v>13.1</v>
      </c>
      <c r="J26" s="297">
        <v>305.8</v>
      </c>
      <c r="K26" s="287" t="s">
        <v>366</v>
      </c>
    </row>
    <row r="27" spans="1:31" ht="14.25" x14ac:dyDescent="0.2">
      <c r="A27" s="287"/>
      <c r="B27" s="287"/>
      <c r="C27" s="287"/>
      <c r="D27" s="287"/>
      <c r="E27" s="287"/>
      <c r="F27" s="450" t="s">
        <v>370</v>
      </c>
      <c r="G27" s="450"/>
      <c r="H27" s="450"/>
      <c r="I27" s="297">
        <v>937.06</v>
      </c>
      <c r="J27" s="297"/>
      <c r="K27" s="287" t="s">
        <v>369</v>
      </c>
    </row>
    <row r="28" spans="1:31" ht="14.25" hidden="1" x14ac:dyDescent="0.2">
      <c r="A28" s="287"/>
      <c r="B28" s="287"/>
      <c r="C28" s="287"/>
      <c r="D28" s="287"/>
      <c r="E28" s="287"/>
      <c r="F28" s="188" t="s">
        <v>368</v>
      </c>
      <c r="G28" s="188"/>
      <c r="H28" s="188"/>
      <c r="I28" s="297"/>
      <c r="J28" s="297"/>
      <c r="K28" s="287"/>
    </row>
    <row r="29" spans="1:31" ht="14.25" hidden="1" x14ac:dyDescent="0.2">
      <c r="A29" s="287"/>
      <c r="B29" s="287"/>
      <c r="C29" s="287"/>
      <c r="D29" s="287"/>
      <c r="E29" s="287"/>
      <c r="F29" s="419" t="s">
        <v>367</v>
      </c>
      <c r="G29" s="420"/>
      <c r="H29" s="420"/>
      <c r="I29" s="297">
        <v>0</v>
      </c>
      <c r="J29" s="297">
        <v>0</v>
      </c>
      <c r="K29" s="287" t="s">
        <v>366</v>
      </c>
    </row>
    <row r="30" spans="1:31" ht="14.25" x14ac:dyDescent="0.2">
      <c r="A30" s="287"/>
      <c r="B30" s="287"/>
      <c r="C30" s="287"/>
      <c r="D30" s="287"/>
      <c r="E30" s="287"/>
      <c r="F30" s="188"/>
      <c r="G30" s="188"/>
      <c r="H30" s="188"/>
      <c r="I30" s="297"/>
      <c r="J30" s="297"/>
      <c r="K30" s="287"/>
    </row>
    <row r="31" spans="1:31" ht="14.25" x14ac:dyDescent="0.2">
      <c r="A31" s="287" t="s">
        <v>365</v>
      </c>
      <c r="B31" s="287"/>
      <c r="C31" s="287"/>
      <c r="D31" s="287"/>
      <c r="E31" s="287"/>
      <c r="F31" s="188"/>
      <c r="G31" s="188"/>
      <c r="H31" s="188"/>
      <c r="I31" s="297"/>
      <c r="J31" s="297"/>
      <c r="K31" s="287"/>
    </row>
    <row r="32" spans="1:31" ht="28.5" x14ac:dyDescent="0.2">
      <c r="A32" s="463" t="s">
        <v>1153</v>
      </c>
      <c r="B32" s="463"/>
      <c r="C32" s="463"/>
      <c r="D32" s="463"/>
      <c r="E32" s="463"/>
      <c r="F32" s="463"/>
      <c r="G32" s="463"/>
      <c r="H32" s="463"/>
      <c r="I32" s="463"/>
      <c r="J32" s="463"/>
      <c r="K32" s="463"/>
      <c r="AE32" s="320" t="s">
        <v>1153</v>
      </c>
    </row>
    <row r="33" spans="1:22" ht="85.5" x14ac:dyDescent="0.2">
      <c r="A33" s="299" t="s">
        <v>81</v>
      </c>
      <c r="B33" s="299" t="s">
        <v>363</v>
      </c>
      <c r="C33" s="299" t="s">
        <v>83</v>
      </c>
      <c r="D33" s="299" t="s">
        <v>362</v>
      </c>
      <c r="E33" s="299" t="s">
        <v>361</v>
      </c>
      <c r="F33" s="299" t="s">
        <v>360</v>
      </c>
      <c r="G33" s="300" t="s">
        <v>359</v>
      </c>
      <c r="H33" s="300" t="s">
        <v>358</v>
      </c>
      <c r="I33" s="299" t="s">
        <v>357</v>
      </c>
      <c r="J33" s="299" t="s">
        <v>356</v>
      </c>
      <c r="K33" s="299" t="s">
        <v>355</v>
      </c>
    </row>
    <row r="34" spans="1:22" ht="14.25" x14ac:dyDescent="0.2">
      <c r="A34" s="299">
        <v>1</v>
      </c>
      <c r="B34" s="299">
        <v>2</v>
      </c>
      <c r="C34" s="299">
        <v>3</v>
      </c>
      <c r="D34" s="299">
        <v>4</v>
      </c>
      <c r="E34" s="299">
        <v>5</v>
      </c>
      <c r="F34" s="299">
        <v>6</v>
      </c>
      <c r="G34" s="299">
        <v>7</v>
      </c>
      <c r="H34" s="299">
        <v>8</v>
      </c>
      <c r="I34" s="299">
        <v>9</v>
      </c>
      <c r="J34" s="299">
        <v>10</v>
      </c>
      <c r="K34" s="299">
        <v>11</v>
      </c>
    </row>
    <row r="36" spans="1:22" ht="16.5" x14ac:dyDescent="0.25">
      <c r="A36" s="448" t="s">
        <v>3746</v>
      </c>
      <c r="B36" s="448"/>
      <c r="C36" s="448"/>
      <c r="D36" s="448"/>
      <c r="E36" s="448"/>
      <c r="F36" s="448"/>
      <c r="G36" s="448"/>
      <c r="H36" s="448"/>
      <c r="I36" s="448"/>
      <c r="J36" s="448"/>
      <c r="K36" s="448"/>
    </row>
    <row r="37" spans="1:22" ht="71.25" x14ac:dyDescent="0.2">
      <c r="A37" s="301" t="s">
        <v>1534</v>
      </c>
      <c r="B37" s="302" t="s">
        <v>1522</v>
      </c>
      <c r="C37" s="302" t="s">
        <v>1111</v>
      </c>
      <c r="D37" s="303" t="s">
        <v>1686</v>
      </c>
      <c r="E37" s="286">
        <v>9</v>
      </c>
      <c r="F37" s="321"/>
      <c r="G37" s="305"/>
      <c r="H37" s="286"/>
      <c r="I37" s="304"/>
      <c r="J37" s="286"/>
      <c r="K37" s="304"/>
      <c r="Q37" s="281">
        <f>[20]Source!X28</f>
        <v>883.31</v>
      </c>
      <c r="R37" s="281">
        <f>[20]Source!X29</f>
        <v>16573.900000000001</v>
      </c>
      <c r="S37" s="281">
        <f>[20]Source!Y28</f>
        <v>552.07000000000005</v>
      </c>
      <c r="T37" s="281">
        <f>[20]Source!Y29</f>
        <v>7918.64</v>
      </c>
      <c r="U37" s="281">
        <f>ROUND((175/100)*ROUND([20]Source!R28, 2), 2)</f>
        <v>7.68</v>
      </c>
      <c r="V37" s="281">
        <f>ROUND((157/100)*ROUND([20]Source!R29, 2), 2)</f>
        <v>160.94</v>
      </c>
    </row>
    <row r="38" spans="1:22" x14ac:dyDescent="0.2">
      <c r="C38" s="316" t="s">
        <v>3747</v>
      </c>
    </row>
    <row r="39" spans="1:22" ht="14.25" x14ac:dyDescent="0.2">
      <c r="A39" s="301"/>
      <c r="B39" s="302"/>
      <c r="C39" s="302" t="s">
        <v>197</v>
      </c>
      <c r="D39" s="303"/>
      <c r="E39" s="286"/>
      <c r="F39" s="321">
        <v>76.2</v>
      </c>
      <c r="G39" s="305" t="s">
        <v>1548</v>
      </c>
      <c r="H39" s="286">
        <v>1</v>
      </c>
      <c r="I39" s="304">
        <v>788.67</v>
      </c>
      <c r="J39" s="286">
        <v>23.35</v>
      </c>
      <c r="K39" s="304">
        <v>18415.439999999999</v>
      </c>
    </row>
    <row r="40" spans="1:22" ht="14.25" x14ac:dyDescent="0.2">
      <c r="A40" s="301"/>
      <c r="B40" s="302"/>
      <c r="C40" s="302" t="s">
        <v>184</v>
      </c>
      <c r="D40" s="303"/>
      <c r="E40" s="286"/>
      <c r="F40" s="321">
        <v>1.69</v>
      </c>
      <c r="G40" s="305" t="s">
        <v>1549</v>
      </c>
      <c r="H40" s="286">
        <v>1</v>
      </c>
      <c r="I40" s="304">
        <v>19.010000000000002</v>
      </c>
      <c r="J40" s="286">
        <v>9.5</v>
      </c>
      <c r="K40" s="304">
        <v>180.6</v>
      </c>
    </row>
    <row r="41" spans="1:22" ht="14.25" x14ac:dyDescent="0.2">
      <c r="A41" s="301"/>
      <c r="B41" s="302"/>
      <c r="C41" s="302" t="s">
        <v>189</v>
      </c>
      <c r="D41" s="303"/>
      <c r="E41" s="286"/>
      <c r="F41" s="321">
        <v>0.39</v>
      </c>
      <c r="G41" s="305" t="s">
        <v>1549</v>
      </c>
      <c r="H41" s="286">
        <v>1</v>
      </c>
      <c r="I41" s="306">
        <v>4.3899999999999997</v>
      </c>
      <c r="J41" s="286">
        <v>23.35</v>
      </c>
      <c r="K41" s="306">
        <v>102.51</v>
      </c>
    </row>
    <row r="42" spans="1:22" ht="14.25" x14ac:dyDescent="0.2">
      <c r="A42" s="301"/>
      <c r="B42" s="302"/>
      <c r="C42" s="302" t="s">
        <v>205</v>
      </c>
      <c r="D42" s="303"/>
      <c r="E42" s="286"/>
      <c r="F42" s="321">
        <v>9.94</v>
      </c>
      <c r="G42" s="305" t="s">
        <v>195</v>
      </c>
      <c r="H42" s="286">
        <v>1</v>
      </c>
      <c r="I42" s="304">
        <v>89.46</v>
      </c>
      <c r="J42" s="286">
        <v>5.42</v>
      </c>
      <c r="K42" s="304">
        <v>484.87</v>
      </c>
    </row>
    <row r="43" spans="1:22" ht="39.75" x14ac:dyDescent="0.2">
      <c r="A43" s="301" t="s">
        <v>3153</v>
      </c>
      <c r="B43" s="302" t="s">
        <v>1644</v>
      </c>
      <c r="C43" s="302" t="s">
        <v>1521</v>
      </c>
      <c r="D43" s="303" t="s">
        <v>1552</v>
      </c>
      <c r="E43" s="286">
        <v>408</v>
      </c>
      <c r="F43" s="321">
        <v>3.75</v>
      </c>
      <c r="G43" s="315" t="s">
        <v>195</v>
      </c>
      <c r="H43" s="286">
        <v>1</v>
      </c>
      <c r="I43" s="304">
        <v>1530</v>
      </c>
      <c r="J43" s="286">
        <v>5.42</v>
      </c>
      <c r="K43" s="304">
        <v>8292.6</v>
      </c>
      <c r="Q43" s="281">
        <f>[20]Source!X30</f>
        <v>0</v>
      </c>
      <c r="R43" s="281">
        <f>[20]Source!X31</f>
        <v>0</v>
      </c>
      <c r="S43" s="281">
        <f>[20]Source!Y30</f>
        <v>0</v>
      </c>
      <c r="T43" s="281">
        <f>[20]Source!Y31</f>
        <v>0</v>
      </c>
      <c r="U43" s="281">
        <f>ROUND((175/100)*ROUND([20]Source!R30, 2), 2)</f>
        <v>0</v>
      </c>
      <c r="V43" s="281">
        <f>ROUND((157/100)*ROUND([20]Source!R31, 2), 2)</f>
        <v>0</v>
      </c>
    </row>
    <row r="44" spans="1:22" ht="71.25" x14ac:dyDescent="0.2">
      <c r="A44" s="301" t="s">
        <v>3232</v>
      </c>
      <c r="B44" s="302" t="s">
        <v>3748</v>
      </c>
      <c r="C44" s="302" t="s">
        <v>1520</v>
      </c>
      <c r="D44" s="303" t="s">
        <v>3367</v>
      </c>
      <c r="E44" s="286">
        <v>0.51</v>
      </c>
      <c r="F44" s="321">
        <v>37597.42</v>
      </c>
      <c r="G44" s="315" t="s">
        <v>195</v>
      </c>
      <c r="H44" s="286">
        <v>1</v>
      </c>
      <c r="I44" s="304">
        <v>19174.68</v>
      </c>
      <c r="J44" s="286">
        <v>1.1599999999999999</v>
      </c>
      <c r="K44" s="304">
        <v>22242.63</v>
      </c>
      <c r="Q44" s="281">
        <f>[20]Source!X32</f>
        <v>0</v>
      </c>
      <c r="R44" s="281">
        <f>[20]Source!X33</f>
        <v>0</v>
      </c>
      <c r="S44" s="281">
        <f>[20]Source!Y32</f>
        <v>0</v>
      </c>
      <c r="T44" s="281">
        <f>[20]Source!Y33</f>
        <v>0</v>
      </c>
      <c r="U44" s="281">
        <f>ROUND((175/100)*ROUND([20]Source!R32, 2), 2)</f>
        <v>0</v>
      </c>
      <c r="V44" s="281">
        <f>ROUND((157/100)*ROUND([20]Source!R33, 2), 2)</f>
        <v>0</v>
      </c>
    </row>
    <row r="45" spans="1:22" ht="14.25" x14ac:dyDescent="0.2">
      <c r="A45" s="301"/>
      <c r="B45" s="302"/>
      <c r="C45" s="302" t="s">
        <v>194</v>
      </c>
      <c r="D45" s="303" t="s">
        <v>187</v>
      </c>
      <c r="E45" s="286">
        <v>112</v>
      </c>
      <c r="F45" s="321"/>
      <c r="G45" s="305"/>
      <c r="H45" s="286"/>
      <c r="I45" s="304">
        <v>883.31</v>
      </c>
      <c r="J45" s="286">
        <v>90</v>
      </c>
      <c r="K45" s="304">
        <v>16573.900000000001</v>
      </c>
    </row>
    <row r="46" spans="1:22" ht="14.25" x14ac:dyDescent="0.2">
      <c r="A46" s="301"/>
      <c r="B46" s="302"/>
      <c r="C46" s="302" t="s">
        <v>193</v>
      </c>
      <c r="D46" s="303" t="s">
        <v>187</v>
      </c>
      <c r="E46" s="286">
        <v>70</v>
      </c>
      <c r="F46" s="321"/>
      <c r="G46" s="305"/>
      <c r="H46" s="286"/>
      <c r="I46" s="304">
        <v>552.07000000000005</v>
      </c>
      <c r="J46" s="286">
        <v>43</v>
      </c>
      <c r="K46" s="304">
        <v>7918.64</v>
      </c>
    </row>
    <row r="47" spans="1:22" ht="14.25" x14ac:dyDescent="0.2">
      <c r="A47" s="301"/>
      <c r="B47" s="302"/>
      <c r="C47" s="302" t="s">
        <v>188</v>
      </c>
      <c r="D47" s="303" t="s">
        <v>187</v>
      </c>
      <c r="E47" s="286">
        <v>175</v>
      </c>
      <c r="F47" s="321"/>
      <c r="G47" s="305"/>
      <c r="H47" s="286"/>
      <c r="I47" s="304">
        <v>7.68</v>
      </c>
      <c r="J47" s="286">
        <v>157</v>
      </c>
      <c r="K47" s="304">
        <v>160.94</v>
      </c>
    </row>
    <row r="48" spans="1:22" ht="14.25" x14ac:dyDescent="0.2">
      <c r="A48" s="307"/>
      <c r="B48" s="308"/>
      <c r="C48" s="308" t="s">
        <v>192</v>
      </c>
      <c r="D48" s="309" t="s">
        <v>191</v>
      </c>
      <c r="E48" s="310">
        <v>6.18</v>
      </c>
      <c r="F48" s="361"/>
      <c r="G48" s="312" t="s">
        <v>1548</v>
      </c>
      <c r="H48" s="310">
        <v>1</v>
      </c>
      <c r="I48" s="311">
        <v>63.96</v>
      </c>
      <c r="J48" s="310"/>
      <c r="K48" s="311"/>
    </row>
    <row r="49" spans="1:22" ht="15" x14ac:dyDescent="0.25">
      <c r="A49" s="313"/>
      <c r="B49" s="313"/>
      <c r="C49" s="314" t="s">
        <v>183</v>
      </c>
      <c r="D49" s="313"/>
      <c r="E49" s="313"/>
      <c r="F49" s="313"/>
      <c r="G49" s="313"/>
      <c r="H49" s="472">
        <v>23044.880000000001</v>
      </c>
      <c r="I49" s="472"/>
      <c r="J49" s="472">
        <v>74269.62</v>
      </c>
      <c r="K49" s="472"/>
      <c r="O49" s="284">
        <f>I39+I40+I42+I45+I46+I47+SUM(I43:I44)</f>
        <v>23044.880000000001</v>
      </c>
      <c r="P49" s="284">
        <f>K39+K40+K42+K45+K46+K47+SUM(K43:K44)</f>
        <v>74269.62</v>
      </c>
    </row>
    <row r="51" spans="1:22" ht="71.25" x14ac:dyDescent="0.2">
      <c r="A51" s="301" t="s">
        <v>1546</v>
      </c>
      <c r="B51" s="302" t="s">
        <v>1519</v>
      </c>
      <c r="C51" s="302" t="s">
        <v>1518</v>
      </c>
      <c r="D51" s="303" t="s">
        <v>1686</v>
      </c>
      <c r="E51" s="286">
        <v>10</v>
      </c>
      <c r="F51" s="321"/>
      <c r="G51" s="305"/>
      <c r="H51" s="286"/>
      <c r="I51" s="304"/>
      <c r="J51" s="286"/>
      <c r="K51" s="304"/>
      <c r="Q51" s="281">
        <f>[20]Source!X34</f>
        <v>1145.03</v>
      </c>
      <c r="R51" s="281">
        <f>[20]Source!X35</f>
        <v>21484.68</v>
      </c>
      <c r="S51" s="281">
        <f>[20]Source!Y34</f>
        <v>715.65</v>
      </c>
      <c r="T51" s="281">
        <f>[20]Source!Y35</f>
        <v>10264.9</v>
      </c>
      <c r="U51" s="281">
        <f>ROUND((175/100)*ROUND([20]Source!R34, 2), 2)</f>
        <v>17.29</v>
      </c>
      <c r="V51" s="281">
        <f>ROUND((157/100)*ROUND([20]Source!R35, 2), 2)</f>
        <v>362.2</v>
      </c>
    </row>
    <row r="52" spans="1:22" x14ac:dyDescent="0.2">
      <c r="C52" s="316" t="s">
        <v>3749</v>
      </c>
    </row>
    <row r="53" spans="1:22" ht="14.25" x14ac:dyDescent="0.2">
      <c r="A53" s="301"/>
      <c r="B53" s="302"/>
      <c r="C53" s="302" t="s">
        <v>197</v>
      </c>
      <c r="D53" s="303"/>
      <c r="E53" s="286"/>
      <c r="F53" s="321">
        <v>88.9</v>
      </c>
      <c r="G53" s="305" t="s">
        <v>1548</v>
      </c>
      <c r="H53" s="286">
        <v>1</v>
      </c>
      <c r="I53" s="304">
        <v>1022.35</v>
      </c>
      <c r="J53" s="286">
        <v>23.35</v>
      </c>
      <c r="K53" s="304">
        <v>23871.87</v>
      </c>
    </row>
    <row r="54" spans="1:22" ht="14.25" x14ac:dyDescent="0.2">
      <c r="A54" s="301"/>
      <c r="B54" s="302"/>
      <c r="C54" s="302" t="s">
        <v>184</v>
      </c>
      <c r="D54" s="303"/>
      <c r="E54" s="286"/>
      <c r="F54" s="321">
        <v>3.39</v>
      </c>
      <c r="G54" s="305" t="s">
        <v>1549</v>
      </c>
      <c r="H54" s="286">
        <v>1</v>
      </c>
      <c r="I54" s="304">
        <v>42.38</v>
      </c>
      <c r="J54" s="286">
        <v>9.5500000000000007</v>
      </c>
      <c r="K54" s="304">
        <v>404.73</v>
      </c>
    </row>
    <row r="55" spans="1:22" ht="14.25" x14ac:dyDescent="0.2">
      <c r="A55" s="301"/>
      <c r="B55" s="302"/>
      <c r="C55" s="302" t="s">
        <v>189</v>
      </c>
      <c r="D55" s="303"/>
      <c r="E55" s="286"/>
      <c r="F55" s="321">
        <v>0.79</v>
      </c>
      <c r="G55" s="305" t="s">
        <v>1549</v>
      </c>
      <c r="H55" s="286">
        <v>1</v>
      </c>
      <c r="I55" s="306">
        <v>9.8800000000000008</v>
      </c>
      <c r="J55" s="286">
        <v>23.35</v>
      </c>
      <c r="K55" s="306">
        <v>230.7</v>
      </c>
    </row>
    <row r="56" spans="1:22" ht="14.25" x14ac:dyDescent="0.2">
      <c r="A56" s="301"/>
      <c r="B56" s="302"/>
      <c r="C56" s="302" t="s">
        <v>205</v>
      </c>
      <c r="D56" s="303"/>
      <c r="E56" s="286"/>
      <c r="F56" s="321">
        <v>15.19</v>
      </c>
      <c r="G56" s="305" t="s">
        <v>195</v>
      </c>
      <c r="H56" s="286">
        <v>1</v>
      </c>
      <c r="I56" s="304">
        <v>151.9</v>
      </c>
      <c r="J56" s="286">
        <v>5.42</v>
      </c>
      <c r="K56" s="304">
        <v>823.3</v>
      </c>
    </row>
    <row r="57" spans="1:22" ht="54" x14ac:dyDescent="0.2">
      <c r="A57" s="301" t="s">
        <v>1550</v>
      </c>
      <c r="B57" s="302" t="s">
        <v>1644</v>
      </c>
      <c r="C57" s="302" t="s">
        <v>1517</v>
      </c>
      <c r="D57" s="303" t="s">
        <v>1552</v>
      </c>
      <c r="E57" s="286">
        <v>408</v>
      </c>
      <c r="F57" s="321">
        <v>7.33</v>
      </c>
      <c r="G57" s="315" t="s">
        <v>195</v>
      </c>
      <c r="H57" s="286">
        <v>1</v>
      </c>
      <c r="I57" s="304">
        <v>2990.64</v>
      </c>
      <c r="J57" s="286">
        <v>5.42</v>
      </c>
      <c r="K57" s="304">
        <v>16209.27</v>
      </c>
      <c r="Q57" s="281">
        <f>[20]Source!X36</f>
        <v>0</v>
      </c>
      <c r="R57" s="281">
        <f>[20]Source!X37</f>
        <v>0</v>
      </c>
      <c r="S57" s="281">
        <f>[20]Source!Y36</f>
        <v>0</v>
      </c>
      <c r="T57" s="281">
        <f>[20]Source!Y37</f>
        <v>0</v>
      </c>
      <c r="U57" s="281">
        <f>ROUND((175/100)*ROUND([20]Source!R36, 2), 2)</f>
        <v>0</v>
      </c>
      <c r="V57" s="281">
        <f>ROUND((157/100)*ROUND([20]Source!R37, 2), 2)</f>
        <v>0</v>
      </c>
    </row>
    <row r="58" spans="1:22" ht="57" x14ac:dyDescent="0.2">
      <c r="A58" s="301" t="s">
        <v>1553</v>
      </c>
      <c r="B58" s="302" t="s">
        <v>3750</v>
      </c>
      <c r="C58" s="302" t="s">
        <v>1516</v>
      </c>
      <c r="D58" s="303" t="s">
        <v>3367</v>
      </c>
      <c r="E58" s="286">
        <v>0.61199999999999999</v>
      </c>
      <c r="F58" s="321">
        <v>18016.84</v>
      </c>
      <c r="G58" s="315" t="s">
        <v>195</v>
      </c>
      <c r="H58" s="286">
        <v>1</v>
      </c>
      <c r="I58" s="304">
        <v>11026.31</v>
      </c>
      <c r="J58" s="286">
        <v>4.99</v>
      </c>
      <c r="K58" s="304">
        <v>55021.29</v>
      </c>
      <c r="Q58" s="281">
        <f>[20]Source!X38</f>
        <v>0</v>
      </c>
      <c r="R58" s="281">
        <f>[20]Source!X39</f>
        <v>0</v>
      </c>
      <c r="S58" s="281">
        <f>[20]Source!Y38</f>
        <v>0</v>
      </c>
      <c r="T58" s="281">
        <f>[20]Source!Y39</f>
        <v>0</v>
      </c>
      <c r="U58" s="281">
        <f>ROUND((175/100)*ROUND([20]Source!R38, 2), 2)</f>
        <v>0</v>
      </c>
      <c r="V58" s="281">
        <f>ROUND((157/100)*ROUND([20]Source!R39, 2), 2)</f>
        <v>0</v>
      </c>
    </row>
    <row r="59" spans="1:22" ht="14.25" x14ac:dyDescent="0.2">
      <c r="A59" s="301"/>
      <c r="B59" s="302"/>
      <c r="C59" s="302" t="s">
        <v>194</v>
      </c>
      <c r="D59" s="303" t="s">
        <v>187</v>
      </c>
      <c r="E59" s="286">
        <v>112</v>
      </c>
      <c r="F59" s="321"/>
      <c r="G59" s="305"/>
      <c r="H59" s="286"/>
      <c r="I59" s="304">
        <v>1145.03</v>
      </c>
      <c r="J59" s="286">
        <v>90</v>
      </c>
      <c r="K59" s="304">
        <v>21484.68</v>
      </c>
    </row>
    <row r="60" spans="1:22" ht="14.25" x14ac:dyDescent="0.2">
      <c r="A60" s="301"/>
      <c r="B60" s="302"/>
      <c r="C60" s="302" t="s">
        <v>193</v>
      </c>
      <c r="D60" s="303" t="s">
        <v>187</v>
      </c>
      <c r="E60" s="286">
        <v>70</v>
      </c>
      <c r="F60" s="321"/>
      <c r="G60" s="305"/>
      <c r="H60" s="286"/>
      <c r="I60" s="304">
        <v>715.65</v>
      </c>
      <c r="J60" s="286">
        <v>43</v>
      </c>
      <c r="K60" s="304">
        <v>10264.9</v>
      </c>
    </row>
    <row r="61" spans="1:22" ht="14.25" x14ac:dyDescent="0.2">
      <c r="A61" s="301"/>
      <c r="B61" s="302"/>
      <c r="C61" s="302" t="s">
        <v>188</v>
      </c>
      <c r="D61" s="303" t="s">
        <v>187</v>
      </c>
      <c r="E61" s="286">
        <v>175</v>
      </c>
      <c r="F61" s="321"/>
      <c r="G61" s="305"/>
      <c r="H61" s="286"/>
      <c r="I61" s="304">
        <v>17.29</v>
      </c>
      <c r="J61" s="286">
        <v>157</v>
      </c>
      <c r="K61" s="304">
        <v>362.2</v>
      </c>
    </row>
    <row r="62" spans="1:22" ht="14.25" x14ac:dyDescent="0.2">
      <c r="A62" s="307"/>
      <c r="B62" s="308"/>
      <c r="C62" s="308" t="s">
        <v>192</v>
      </c>
      <c r="D62" s="309" t="s">
        <v>191</v>
      </c>
      <c r="E62" s="310">
        <v>7.21</v>
      </c>
      <c r="F62" s="361"/>
      <c r="G62" s="312" t="s">
        <v>1548</v>
      </c>
      <c r="H62" s="310">
        <v>1</v>
      </c>
      <c r="I62" s="311">
        <v>82.92</v>
      </c>
      <c r="J62" s="310"/>
      <c r="K62" s="311"/>
    </row>
    <row r="63" spans="1:22" ht="15" x14ac:dyDescent="0.25">
      <c r="A63" s="313"/>
      <c r="B63" s="313"/>
      <c r="C63" s="314" t="s">
        <v>183</v>
      </c>
      <c r="D63" s="313"/>
      <c r="E63" s="313"/>
      <c r="F63" s="313"/>
      <c r="G63" s="313"/>
      <c r="H63" s="472">
        <v>17111.55</v>
      </c>
      <c r="I63" s="472"/>
      <c r="J63" s="472">
        <v>128442.24000000001</v>
      </c>
      <c r="K63" s="472"/>
      <c r="O63" s="284">
        <f>I53+I54+I56+I59+I60+I61+SUM(I57:I58)</f>
        <v>17111.55</v>
      </c>
      <c r="P63" s="284">
        <f>K53+K54+K56+K59+K60+K61+SUM(K57:K58)</f>
        <v>128442.24000000001</v>
      </c>
    </row>
    <row r="65" spans="1:22" ht="71.25" x14ac:dyDescent="0.2">
      <c r="A65" s="301" t="s">
        <v>105</v>
      </c>
      <c r="B65" s="302" t="s">
        <v>1515</v>
      </c>
      <c r="C65" s="302" t="s">
        <v>1171</v>
      </c>
      <c r="D65" s="303" t="s">
        <v>1686</v>
      </c>
      <c r="E65" s="286">
        <v>14</v>
      </c>
      <c r="F65" s="321"/>
      <c r="G65" s="305"/>
      <c r="H65" s="286"/>
      <c r="I65" s="304"/>
      <c r="J65" s="286"/>
      <c r="K65" s="304"/>
      <c r="Q65" s="281">
        <f>[20]Source!X44</f>
        <v>3466.84</v>
      </c>
      <c r="R65" s="281">
        <f>[20]Source!X45</f>
        <v>65049.62</v>
      </c>
      <c r="S65" s="281">
        <f>[20]Source!Y44</f>
        <v>2166.77</v>
      </c>
      <c r="T65" s="281">
        <f>[20]Source!Y45</f>
        <v>31079.26</v>
      </c>
      <c r="U65" s="281">
        <f>ROUND((175/100)*ROUND([20]Source!R44, 2), 2)</f>
        <v>174.88</v>
      </c>
      <c r="V65" s="281">
        <f>ROUND((157/100)*ROUND([20]Source!R45, 2), 2)</f>
        <v>3663.39</v>
      </c>
    </row>
    <row r="66" spans="1:22" x14ac:dyDescent="0.2">
      <c r="C66" s="316" t="s">
        <v>3751</v>
      </c>
    </row>
    <row r="67" spans="1:22" ht="14.25" x14ac:dyDescent="0.2">
      <c r="A67" s="301"/>
      <c r="B67" s="302"/>
      <c r="C67" s="302" t="s">
        <v>197</v>
      </c>
      <c r="D67" s="303"/>
      <c r="E67" s="286"/>
      <c r="F67" s="321">
        <v>192.26</v>
      </c>
      <c r="G67" s="305" t="s">
        <v>1548</v>
      </c>
      <c r="H67" s="286">
        <v>1</v>
      </c>
      <c r="I67" s="304">
        <v>3095.39</v>
      </c>
      <c r="J67" s="286">
        <v>23.35</v>
      </c>
      <c r="K67" s="304">
        <v>72277.36</v>
      </c>
    </row>
    <row r="68" spans="1:22" ht="14.25" x14ac:dyDescent="0.2">
      <c r="A68" s="301"/>
      <c r="B68" s="302"/>
      <c r="C68" s="302" t="s">
        <v>184</v>
      </c>
      <c r="D68" s="303"/>
      <c r="E68" s="286"/>
      <c r="F68" s="321">
        <v>32.869999999999997</v>
      </c>
      <c r="G68" s="305" t="s">
        <v>1549</v>
      </c>
      <c r="H68" s="286">
        <v>1</v>
      </c>
      <c r="I68" s="304">
        <v>575.23</v>
      </c>
      <c r="J68" s="286">
        <v>8.48</v>
      </c>
      <c r="K68" s="304">
        <v>4877.95</v>
      </c>
    </row>
    <row r="69" spans="1:22" ht="14.25" x14ac:dyDescent="0.2">
      <c r="A69" s="301"/>
      <c r="B69" s="302"/>
      <c r="C69" s="302" t="s">
        <v>189</v>
      </c>
      <c r="D69" s="303"/>
      <c r="E69" s="286"/>
      <c r="F69" s="321">
        <v>5.71</v>
      </c>
      <c r="G69" s="305" t="s">
        <v>1549</v>
      </c>
      <c r="H69" s="286">
        <v>1</v>
      </c>
      <c r="I69" s="306">
        <v>99.93</v>
      </c>
      <c r="J69" s="286">
        <v>23.35</v>
      </c>
      <c r="K69" s="306">
        <v>2333.37</v>
      </c>
    </row>
    <row r="70" spans="1:22" ht="14.25" x14ac:dyDescent="0.2">
      <c r="A70" s="301"/>
      <c r="B70" s="302"/>
      <c r="C70" s="302" t="s">
        <v>205</v>
      </c>
      <c r="D70" s="303"/>
      <c r="E70" s="286"/>
      <c r="F70" s="321">
        <v>314.29000000000002</v>
      </c>
      <c r="G70" s="305" t="s">
        <v>195</v>
      </c>
      <c r="H70" s="286">
        <v>1</v>
      </c>
      <c r="I70" s="304">
        <v>4400.0600000000004</v>
      </c>
      <c r="J70" s="286">
        <v>5.42</v>
      </c>
      <c r="K70" s="304">
        <v>23848.33</v>
      </c>
    </row>
    <row r="71" spans="1:22" ht="57" x14ac:dyDescent="0.2">
      <c r="A71" s="301" t="s">
        <v>1558</v>
      </c>
      <c r="B71" s="302" t="s">
        <v>3349</v>
      </c>
      <c r="C71" s="302" t="s">
        <v>1232</v>
      </c>
      <c r="D71" s="303" t="s">
        <v>1552</v>
      </c>
      <c r="E71" s="286">
        <v>1428</v>
      </c>
      <c r="F71" s="321">
        <v>3.45</v>
      </c>
      <c r="G71" s="315" t="s">
        <v>195</v>
      </c>
      <c r="H71" s="286">
        <v>1</v>
      </c>
      <c r="I71" s="304">
        <v>4926.6000000000004</v>
      </c>
      <c r="J71" s="286">
        <v>6.37</v>
      </c>
      <c r="K71" s="304">
        <v>31382.44</v>
      </c>
      <c r="Q71" s="281">
        <f>[20]Source!X46</f>
        <v>0</v>
      </c>
      <c r="R71" s="281">
        <f>[20]Source!X47</f>
        <v>0</v>
      </c>
      <c r="S71" s="281">
        <f>[20]Source!Y46</f>
        <v>0</v>
      </c>
      <c r="T71" s="281">
        <f>[20]Source!Y47</f>
        <v>0</v>
      </c>
      <c r="U71" s="281">
        <f>ROUND((175/100)*ROUND([20]Source!R46, 2), 2)</f>
        <v>0</v>
      </c>
      <c r="V71" s="281">
        <f>ROUND((157/100)*ROUND([20]Source!R47, 2), 2)</f>
        <v>0</v>
      </c>
    </row>
    <row r="72" spans="1:22" ht="42.75" x14ac:dyDescent="0.2">
      <c r="A72" s="301" t="s">
        <v>3445</v>
      </c>
      <c r="B72" s="302" t="s">
        <v>3350</v>
      </c>
      <c r="C72" s="302" t="s">
        <v>1169</v>
      </c>
      <c r="D72" s="303" t="s">
        <v>1536</v>
      </c>
      <c r="E72" s="286">
        <v>7</v>
      </c>
      <c r="F72" s="321">
        <v>146.88999999999999</v>
      </c>
      <c r="G72" s="315" t="s">
        <v>195</v>
      </c>
      <c r="H72" s="286">
        <v>1</v>
      </c>
      <c r="I72" s="304">
        <v>1028.23</v>
      </c>
      <c r="J72" s="286">
        <v>1.19</v>
      </c>
      <c r="K72" s="304">
        <v>1223.5899999999999</v>
      </c>
      <c r="Q72" s="281">
        <f>[20]Source!X48</f>
        <v>0</v>
      </c>
      <c r="R72" s="281">
        <f>[20]Source!X49</f>
        <v>0</v>
      </c>
      <c r="S72" s="281">
        <f>[20]Source!Y48</f>
        <v>0</v>
      </c>
      <c r="T72" s="281">
        <f>[20]Source!Y49</f>
        <v>0</v>
      </c>
      <c r="U72" s="281">
        <f>ROUND((175/100)*ROUND([20]Source!R48, 2), 2)</f>
        <v>0</v>
      </c>
      <c r="V72" s="281">
        <f>ROUND((157/100)*ROUND([20]Source!R49, 2), 2)</f>
        <v>0</v>
      </c>
    </row>
    <row r="73" spans="1:22" ht="14.25" x14ac:dyDescent="0.2">
      <c r="A73" s="301"/>
      <c r="B73" s="302"/>
      <c r="C73" s="302" t="s">
        <v>194</v>
      </c>
      <c r="D73" s="303" t="s">
        <v>187</v>
      </c>
      <c r="E73" s="286">
        <v>112</v>
      </c>
      <c r="F73" s="321"/>
      <c r="G73" s="305"/>
      <c r="H73" s="286"/>
      <c r="I73" s="304">
        <v>3466.84</v>
      </c>
      <c r="J73" s="286">
        <v>90</v>
      </c>
      <c r="K73" s="304">
        <v>65049.62</v>
      </c>
    </row>
    <row r="74" spans="1:22" ht="14.25" x14ac:dyDescent="0.2">
      <c r="A74" s="301"/>
      <c r="B74" s="302"/>
      <c r="C74" s="302" t="s">
        <v>193</v>
      </c>
      <c r="D74" s="303" t="s">
        <v>187</v>
      </c>
      <c r="E74" s="286">
        <v>70</v>
      </c>
      <c r="F74" s="321"/>
      <c r="G74" s="305"/>
      <c r="H74" s="286"/>
      <c r="I74" s="304">
        <v>2166.77</v>
      </c>
      <c r="J74" s="286">
        <v>43</v>
      </c>
      <c r="K74" s="304">
        <v>31079.26</v>
      </c>
    </row>
    <row r="75" spans="1:22" ht="14.25" x14ac:dyDescent="0.2">
      <c r="A75" s="301"/>
      <c r="B75" s="302"/>
      <c r="C75" s="302" t="s">
        <v>188</v>
      </c>
      <c r="D75" s="303" t="s">
        <v>187</v>
      </c>
      <c r="E75" s="286">
        <v>175</v>
      </c>
      <c r="F75" s="321"/>
      <c r="G75" s="305"/>
      <c r="H75" s="286"/>
      <c r="I75" s="304">
        <v>174.88</v>
      </c>
      <c r="J75" s="286">
        <v>157</v>
      </c>
      <c r="K75" s="304">
        <v>3663.39</v>
      </c>
    </row>
    <row r="76" spans="1:22" ht="14.25" x14ac:dyDescent="0.2">
      <c r="A76" s="307"/>
      <c r="B76" s="308"/>
      <c r="C76" s="308" t="s">
        <v>192</v>
      </c>
      <c r="D76" s="309" t="s">
        <v>191</v>
      </c>
      <c r="E76" s="310">
        <v>15</v>
      </c>
      <c r="F76" s="361"/>
      <c r="G76" s="312" t="s">
        <v>1548</v>
      </c>
      <c r="H76" s="310">
        <v>1</v>
      </c>
      <c r="I76" s="311">
        <v>241.5</v>
      </c>
      <c r="J76" s="310"/>
      <c r="K76" s="311"/>
    </row>
    <row r="77" spans="1:22" ht="15" x14ac:dyDescent="0.25">
      <c r="A77" s="313"/>
      <c r="B77" s="313"/>
      <c r="C77" s="314" t="s">
        <v>183</v>
      </c>
      <c r="D77" s="313"/>
      <c r="E77" s="313"/>
      <c r="F77" s="313"/>
      <c r="G77" s="313"/>
      <c r="H77" s="472">
        <v>19834</v>
      </c>
      <c r="I77" s="472"/>
      <c r="J77" s="472">
        <v>233401.94</v>
      </c>
      <c r="K77" s="472"/>
      <c r="O77" s="284">
        <f>I67+I68+I70+I73+I74+I75+SUM(I71:I72)</f>
        <v>19834</v>
      </c>
      <c r="P77" s="284">
        <f>K67+K68+K70+K73+K74+K75+SUM(K71:K72)</f>
        <v>233401.94</v>
      </c>
    </row>
    <row r="79" spans="1:22" ht="65.25" x14ac:dyDescent="0.2">
      <c r="A79" s="301" t="s">
        <v>1560</v>
      </c>
      <c r="B79" s="302" t="s">
        <v>1514</v>
      </c>
      <c r="C79" s="302" t="s">
        <v>1130</v>
      </c>
      <c r="D79" s="303" t="s">
        <v>1903</v>
      </c>
      <c r="E79" s="286">
        <v>1</v>
      </c>
      <c r="F79" s="321"/>
      <c r="G79" s="305"/>
      <c r="H79" s="286"/>
      <c r="I79" s="304"/>
      <c r="J79" s="286"/>
      <c r="K79" s="304"/>
      <c r="Q79" s="281">
        <f>[20]Source!X50</f>
        <v>113.78</v>
      </c>
      <c r="R79" s="281">
        <f>[20]Source!X51</f>
        <v>2134.92</v>
      </c>
      <c r="S79" s="281">
        <f>[20]Source!Y50</f>
        <v>71.11</v>
      </c>
      <c r="T79" s="281">
        <f>[20]Source!Y51</f>
        <v>1020.02</v>
      </c>
      <c r="U79" s="281">
        <f>ROUND((175/100)*ROUND([20]Source!R50, 2), 2)</f>
        <v>0</v>
      </c>
      <c r="V79" s="281">
        <f>ROUND((157/100)*ROUND([20]Source!R51, 2), 2)</f>
        <v>0</v>
      </c>
    </row>
    <row r="80" spans="1:22" ht="14.25" x14ac:dyDescent="0.2">
      <c r="A80" s="301"/>
      <c r="B80" s="302"/>
      <c r="C80" s="302" t="s">
        <v>197</v>
      </c>
      <c r="D80" s="303"/>
      <c r="E80" s="286"/>
      <c r="F80" s="321">
        <v>88.34</v>
      </c>
      <c r="G80" s="305" t="s">
        <v>1548</v>
      </c>
      <c r="H80" s="286">
        <v>1</v>
      </c>
      <c r="I80" s="304">
        <v>101.59</v>
      </c>
      <c r="J80" s="286">
        <v>23.35</v>
      </c>
      <c r="K80" s="304">
        <v>2372.13</v>
      </c>
    </row>
    <row r="81" spans="1:22" ht="14.25" x14ac:dyDescent="0.2">
      <c r="A81" s="301"/>
      <c r="B81" s="302"/>
      <c r="C81" s="302" t="s">
        <v>205</v>
      </c>
      <c r="D81" s="303"/>
      <c r="E81" s="286"/>
      <c r="F81" s="321">
        <v>3.01</v>
      </c>
      <c r="G81" s="305" t="s">
        <v>195</v>
      </c>
      <c r="H81" s="286">
        <v>1</v>
      </c>
      <c r="I81" s="304">
        <v>3.01</v>
      </c>
      <c r="J81" s="286">
        <v>5.42</v>
      </c>
      <c r="K81" s="304">
        <v>16.309999999999999</v>
      </c>
    </row>
    <row r="82" spans="1:22" ht="96.75" x14ac:dyDescent="0.2">
      <c r="A82" s="322" t="s">
        <v>1562</v>
      </c>
      <c r="B82" s="323" t="s">
        <v>3752</v>
      </c>
      <c r="C82" s="323" t="s">
        <v>1513</v>
      </c>
      <c r="D82" s="324" t="s">
        <v>2876</v>
      </c>
      <c r="E82" s="325">
        <v>1</v>
      </c>
      <c r="F82" s="326">
        <v>5554.06</v>
      </c>
      <c r="G82" s="327" t="s">
        <v>195</v>
      </c>
      <c r="H82" s="325">
        <v>1</v>
      </c>
      <c r="I82" s="328">
        <v>5554.06</v>
      </c>
      <c r="J82" s="325">
        <v>4.4000000000000004</v>
      </c>
      <c r="K82" s="328">
        <v>24437.86</v>
      </c>
      <c r="Q82" s="281">
        <f>[20]Source!X52</f>
        <v>0</v>
      </c>
      <c r="R82" s="281">
        <f>[20]Source!X53</f>
        <v>0</v>
      </c>
      <c r="S82" s="281">
        <f>[20]Source!Y52</f>
        <v>0</v>
      </c>
      <c r="T82" s="281">
        <f>[20]Source!Y53</f>
        <v>0</v>
      </c>
      <c r="U82" s="281">
        <f>ROUND((175/100)*ROUND([20]Source!R52, 2), 2)</f>
        <v>0</v>
      </c>
      <c r="V82" s="281">
        <f>ROUND((157/100)*ROUND([20]Source!R53, 2), 2)</f>
        <v>0</v>
      </c>
    </row>
    <row r="83" spans="1:22" ht="109.5" x14ac:dyDescent="0.2">
      <c r="A83" s="322" t="s">
        <v>1563</v>
      </c>
      <c r="B83" s="323" t="s">
        <v>3752</v>
      </c>
      <c r="C83" s="323" t="s">
        <v>1512</v>
      </c>
      <c r="D83" s="324" t="s">
        <v>2876</v>
      </c>
      <c r="E83" s="325">
        <v>1</v>
      </c>
      <c r="F83" s="326">
        <v>76561.710000000006</v>
      </c>
      <c r="G83" s="327" t="s">
        <v>195</v>
      </c>
      <c r="H83" s="325">
        <v>1</v>
      </c>
      <c r="I83" s="328">
        <v>76561.710000000006</v>
      </c>
      <c r="J83" s="325">
        <v>4.4000000000000004</v>
      </c>
      <c r="K83" s="328">
        <v>336871.52</v>
      </c>
      <c r="Q83" s="281">
        <f>[20]Source!X54</f>
        <v>0</v>
      </c>
      <c r="R83" s="281">
        <f>[20]Source!X55</f>
        <v>0</v>
      </c>
      <c r="S83" s="281">
        <f>[20]Source!Y54</f>
        <v>0</v>
      </c>
      <c r="T83" s="281">
        <f>[20]Source!Y55</f>
        <v>0</v>
      </c>
      <c r="U83" s="281">
        <f>ROUND((175/100)*ROUND([20]Source!R54, 2), 2)</f>
        <v>0</v>
      </c>
      <c r="V83" s="281">
        <f>ROUND((157/100)*ROUND([20]Source!R55, 2), 2)</f>
        <v>0</v>
      </c>
    </row>
    <row r="84" spans="1:22" ht="14.25" x14ac:dyDescent="0.2">
      <c r="A84" s="301"/>
      <c r="B84" s="302"/>
      <c r="C84" s="302" t="s">
        <v>194</v>
      </c>
      <c r="D84" s="303" t="s">
        <v>187</v>
      </c>
      <c r="E84" s="286">
        <v>112</v>
      </c>
      <c r="F84" s="321"/>
      <c r="G84" s="305"/>
      <c r="H84" s="286"/>
      <c r="I84" s="304">
        <v>113.78</v>
      </c>
      <c r="J84" s="286">
        <v>90</v>
      </c>
      <c r="K84" s="304">
        <v>2134.92</v>
      </c>
    </row>
    <row r="85" spans="1:22" ht="14.25" x14ac:dyDescent="0.2">
      <c r="A85" s="301"/>
      <c r="B85" s="302"/>
      <c r="C85" s="302" t="s">
        <v>193</v>
      </c>
      <c r="D85" s="303" t="s">
        <v>187</v>
      </c>
      <c r="E85" s="286">
        <v>70</v>
      </c>
      <c r="F85" s="321"/>
      <c r="G85" s="305"/>
      <c r="H85" s="286"/>
      <c r="I85" s="304">
        <v>71.11</v>
      </c>
      <c r="J85" s="286">
        <v>43</v>
      </c>
      <c r="K85" s="304">
        <v>1020.02</v>
      </c>
    </row>
    <row r="86" spans="1:22" ht="14.25" x14ac:dyDescent="0.2">
      <c r="A86" s="307"/>
      <c r="B86" s="308"/>
      <c r="C86" s="308" t="s">
        <v>192</v>
      </c>
      <c r="D86" s="309" t="s">
        <v>191</v>
      </c>
      <c r="E86" s="310">
        <v>7</v>
      </c>
      <c r="F86" s="361"/>
      <c r="G86" s="312" t="s">
        <v>1548</v>
      </c>
      <c r="H86" s="310">
        <v>1</v>
      </c>
      <c r="I86" s="311">
        <v>8.0500000000000007</v>
      </c>
      <c r="J86" s="310"/>
      <c r="K86" s="311"/>
    </row>
    <row r="87" spans="1:22" ht="15" x14ac:dyDescent="0.25">
      <c r="A87" s="313"/>
      <c r="B87" s="313"/>
      <c r="C87" s="314" t="s">
        <v>183</v>
      </c>
      <c r="D87" s="313"/>
      <c r="E87" s="313"/>
      <c r="F87" s="313"/>
      <c r="G87" s="313"/>
      <c r="H87" s="472">
        <v>82405.259999999995</v>
      </c>
      <c r="I87" s="472"/>
      <c r="J87" s="472">
        <v>366852.76</v>
      </c>
      <c r="K87" s="472"/>
      <c r="O87" s="284">
        <f>I80+I81+I84+I85+SUM(I82:I83)</f>
        <v>82405.259999999995</v>
      </c>
      <c r="P87" s="284">
        <f>K80+K81+K84+K85+SUM(K82:K83)</f>
        <v>366852.76</v>
      </c>
    </row>
    <row r="90" spans="1:22" ht="15" x14ac:dyDescent="0.25">
      <c r="A90" s="447" t="s">
        <v>3753</v>
      </c>
      <c r="B90" s="447"/>
      <c r="C90" s="447"/>
      <c r="D90" s="447"/>
      <c r="E90" s="447"/>
      <c r="F90" s="447"/>
      <c r="G90" s="447"/>
      <c r="H90" s="445">
        <v>142395.69</v>
      </c>
      <c r="I90" s="446"/>
      <c r="J90" s="445">
        <v>802966.56</v>
      </c>
      <c r="K90" s="446"/>
    </row>
    <row r="91" spans="1:22" hidden="1" x14ac:dyDescent="0.2">
      <c r="A91" s="281" t="s">
        <v>182</v>
      </c>
      <c r="I91" s="281">
        <v>0</v>
      </c>
      <c r="J91" s="281">
        <v>0</v>
      </c>
    </row>
    <row r="92" spans="1:22" hidden="1" x14ac:dyDescent="0.2">
      <c r="A92" s="281" t="s">
        <v>181</v>
      </c>
      <c r="I92" s="281">
        <v>0</v>
      </c>
      <c r="J92" s="281">
        <v>0</v>
      </c>
    </row>
    <row r="94" spans="1:22" ht="16.5" x14ac:dyDescent="0.25">
      <c r="A94" s="448" t="s">
        <v>3754</v>
      </c>
      <c r="B94" s="448"/>
      <c r="C94" s="448"/>
      <c r="D94" s="448"/>
      <c r="E94" s="448"/>
      <c r="F94" s="448"/>
      <c r="G94" s="448"/>
      <c r="H94" s="448"/>
      <c r="I94" s="448"/>
      <c r="J94" s="448"/>
      <c r="K94" s="448"/>
    </row>
    <row r="95" spans="1:22" ht="65.25" x14ac:dyDescent="0.2">
      <c r="A95" s="301" t="s">
        <v>719</v>
      </c>
      <c r="B95" s="302" t="s">
        <v>1476</v>
      </c>
      <c r="C95" s="302" t="s">
        <v>1475</v>
      </c>
      <c r="D95" s="303" t="s">
        <v>1903</v>
      </c>
      <c r="E95" s="286">
        <v>1</v>
      </c>
      <c r="F95" s="321"/>
      <c r="G95" s="305"/>
      <c r="H95" s="286"/>
      <c r="I95" s="304"/>
      <c r="J95" s="286"/>
      <c r="K95" s="304"/>
      <c r="Q95" s="281">
        <f>[20]Source!X91</f>
        <v>78.39</v>
      </c>
      <c r="R95" s="281">
        <f>[20]Source!X92</f>
        <v>1445</v>
      </c>
      <c r="S95" s="281">
        <f>[20]Source!Y91</f>
        <v>46.07</v>
      </c>
      <c r="T95" s="281">
        <f>[20]Source!Y92</f>
        <v>658.28</v>
      </c>
      <c r="U95" s="281">
        <f>ROUND((175/100)*ROUND([20]Source!R91, 2), 2)</f>
        <v>1.42</v>
      </c>
      <c r="V95" s="281">
        <f>ROUND((157/100)*ROUND([20]Source!R92, 2), 2)</f>
        <v>29.69</v>
      </c>
    </row>
    <row r="96" spans="1:22" ht="14.25" x14ac:dyDescent="0.2">
      <c r="A96" s="301"/>
      <c r="B96" s="302"/>
      <c r="C96" s="302" t="s">
        <v>197</v>
      </c>
      <c r="D96" s="303"/>
      <c r="E96" s="286"/>
      <c r="F96" s="321">
        <v>59.79</v>
      </c>
      <c r="G96" s="305" t="s">
        <v>1548</v>
      </c>
      <c r="H96" s="286">
        <v>1</v>
      </c>
      <c r="I96" s="304">
        <v>68.760000000000005</v>
      </c>
      <c r="J96" s="286">
        <v>23.35</v>
      </c>
      <c r="K96" s="304">
        <v>1605.55</v>
      </c>
    </row>
    <row r="97" spans="1:22" ht="14.25" x14ac:dyDescent="0.2">
      <c r="A97" s="301"/>
      <c r="B97" s="302"/>
      <c r="C97" s="302" t="s">
        <v>184</v>
      </c>
      <c r="D97" s="303"/>
      <c r="E97" s="286"/>
      <c r="F97" s="321">
        <v>4.42</v>
      </c>
      <c r="G97" s="305" t="s">
        <v>1549</v>
      </c>
      <c r="H97" s="286">
        <v>1</v>
      </c>
      <c r="I97" s="304">
        <v>5.53</v>
      </c>
      <c r="J97" s="286">
        <v>8</v>
      </c>
      <c r="K97" s="304">
        <v>44.24</v>
      </c>
    </row>
    <row r="98" spans="1:22" ht="14.25" x14ac:dyDescent="0.2">
      <c r="A98" s="301"/>
      <c r="B98" s="302"/>
      <c r="C98" s="302" t="s">
        <v>189</v>
      </c>
      <c r="D98" s="303"/>
      <c r="E98" s="286"/>
      <c r="F98" s="321">
        <v>0.65</v>
      </c>
      <c r="G98" s="305" t="s">
        <v>1549</v>
      </c>
      <c r="H98" s="286">
        <v>1</v>
      </c>
      <c r="I98" s="306">
        <v>0.81</v>
      </c>
      <c r="J98" s="286">
        <v>23.35</v>
      </c>
      <c r="K98" s="306">
        <v>18.91</v>
      </c>
    </row>
    <row r="99" spans="1:22" ht="14.25" x14ac:dyDescent="0.2">
      <c r="A99" s="301"/>
      <c r="B99" s="302"/>
      <c r="C99" s="302" t="s">
        <v>205</v>
      </c>
      <c r="D99" s="303"/>
      <c r="E99" s="286"/>
      <c r="F99" s="321">
        <v>21.42</v>
      </c>
      <c r="G99" s="305" t="s">
        <v>195</v>
      </c>
      <c r="H99" s="286">
        <v>1</v>
      </c>
      <c r="I99" s="304">
        <v>21.42</v>
      </c>
      <c r="J99" s="286">
        <v>5.42</v>
      </c>
      <c r="K99" s="304">
        <v>116.1</v>
      </c>
    </row>
    <row r="100" spans="1:22" ht="14.25" x14ac:dyDescent="0.2">
      <c r="A100" s="301"/>
      <c r="B100" s="302"/>
      <c r="C100" s="302" t="s">
        <v>194</v>
      </c>
      <c r="D100" s="303" t="s">
        <v>187</v>
      </c>
      <c r="E100" s="286">
        <v>112</v>
      </c>
      <c r="F100" s="321"/>
      <c r="G100" s="305"/>
      <c r="H100" s="286"/>
      <c r="I100" s="304">
        <v>78.39</v>
      </c>
      <c r="J100" s="286">
        <v>90</v>
      </c>
      <c r="K100" s="304">
        <v>1445</v>
      </c>
    </row>
    <row r="101" spans="1:22" ht="14.25" x14ac:dyDescent="0.2">
      <c r="A101" s="301"/>
      <c r="B101" s="302"/>
      <c r="C101" s="302" t="s">
        <v>193</v>
      </c>
      <c r="D101" s="303" t="s">
        <v>187</v>
      </c>
      <c r="E101" s="286">
        <v>70</v>
      </c>
      <c r="F101" s="321"/>
      <c r="G101" s="305"/>
      <c r="H101" s="286"/>
      <c r="I101" s="304">
        <v>46.07</v>
      </c>
      <c r="J101" s="286">
        <v>41</v>
      </c>
      <c r="K101" s="304">
        <v>658.28</v>
      </c>
    </row>
    <row r="102" spans="1:22" ht="14.25" x14ac:dyDescent="0.2">
      <c r="A102" s="301"/>
      <c r="B102" s="302"/>
      <c r="C102" s="302" t="s">
        <v>188</v>
      </c>
      <c r="D102" s="303" t="s">
        <v>187</v>
      </c>
      <c r="E102" s="286">
        <v>175</v>
      </c>
      <c r="F102" s="321"/>
      <c r="G102" s="305"/>
      <c r="H102" s="286"/>
      <c r="I102" s="304">
        <v>1.42</v>
      </c>
      <c r="J102" s="286">
        <v>157</v>
      </c>
      <c r="K102" s="304">
        <v>29.69</v>
      </c>
    </row>
    <row r="103" spans="1:22" ht="14.25" x14ac:dyDescent="0.2">
      <c r="A103" s="307"/>
      <c r="B103" s="308"/>
      <c r="C103" s="308" t="s">
        <v>192</v>
      </c>
      <c r="D103" s="309" t="s">
        <v>191</v>
      </c>
      <c r="E103" s="310">
        <v>5.15</v>
      </c>
      <c r="F103" s="361"/>
      <c r="G103" s="312" t="s">
        <v>1548</v>
      </c>
      <c r="H103" s="310">
        <v>1</v>
      </c>
      <c r="I103" s="311">
        <v>5.92</v>
      </c>
      <c r="J103" s="310"/>
      <c r="K103" s="311"/>
    </row>
    <row r="104" spans="1:22" ht="15" x14ac:dyDescent="0.25">
      <c r="A104" s="313"/>
      <c r="B104" s="313"/>
      <c r="C104" s="314" t="s">
        <v>183</v>
      </c>
      <c r="D104" s="313"/>
      <c r="E104" s="313"/>
      <c r="F104" s="313"/>
      <c r="G104" s="313"/>
      <c r="H104" s="472">
        <v>221.59</v>
      </c>
      <c r="I104" s="472"/>
      <c r="J104" s="472">
        <v>3898.86</v>
      </c>
      <c r="K104" s="472"/>
      <c r="O104" s="284">
        <f>I96+I97+I99+I100+I101+I102</f>
        <v>221.59</v>
      </c>
      <c r="P104" s="284">
        <f>K96+K97+K99+K100+K101+K102</f>
        <v>3898.86</v>
      </c>
    </row>
    <row r="106" spans="1:22" ht="65.25" x14ac:dyDescent="0.2">
      <c r="A106" s="301" t="s">
        <v>1534</v>
      </c>
      <c r="B106" s="302" t="s">
        <v>1499</v>
      </c>
      <c r="C106" s="302" t="s">
        <v>965</v>
      </c>
      <c r="D106" s="303" t="s">
        <v>1903</v>
      </c>
      <c r="E106" s="286">
        <v>6</v>
      </c>
      <c r="F106" s="321"/>
      <c r="G106" s="305"/>
      <c r="H106" s="286"/>
      <c r="I106" s="304"/>
      <c r="J106" s="286"/>
      <c r="K106" s="304"/>
      <c r="Q106" s="281">
        <f>[20]Source!X93</f>
        <v>53.17</v>
      </c>
      <c r="R106" s="281">
        <f>[20]Source!X94</f>
        <v>980.14</v>
      </c>
      <c r="S106" s="281">
        <f>[20]Source!Y93</f>
        <v>31.25</v>
      </c>
      <c r="T106" s="281">
        <f>[20]Source!Y94</f>
        <v>446.51</v>
      </c>
      <c r="U106" s="281">
        <f>ROUND((175/100)*ROUND([20]Source!R93, 2), 2)</f>
        <v>0</v>
      </c>
      <c r="V106" s="281">
        <f>ROUND((157/100)*ROUND([20]Source!R94, 2), 2)</f>
        <v>0</v>
      </c>
    </row>
    <row r="107" spans="1:22" ht="14.25" x14ac:dyDescent="0.2">
      <c r="A107" s="301"/>
      <c r="B107" s="302"/>
      <c r="C107" s="302" t="s">
        <v>197</v>
      </c>
      <c r="D107" s="303"/>
      <c r="E107" s="286"/>
      <c r="F107" s="321">
        <v>6.76</v>
      </c>
      <c r="G107" s="305" t="s">
        <v>1548</v>
      </c>
      <c r="H107" s="286">
        <v>1</v>
      </c>
      <c r="I107" s="304">
        <v>46.64</v>
      </c>
      <c r="J107" s="286">
        <v>23.35</v>
      </c>
      <c r="K107" s="304">
        <v>1089.04</v>
      </c>
    </row>
    <row r="108" spans="1:22" ht="14.25" x14ac:dyDescent="0.2">
      <c r="A108" s="301"/>
      <c r="B108" s="302"/>
      <c r="C108" s="302" t="s">
        <v>205</v>
      </c>
      <c r="D108" s="303"/>
      <c r="E108" s="286"/>
      <c r="F108" s="321">
        <v>0.35</v>
      </c>
      <c r="G108" s="305" t="s">
        <v>195</v>
      </c>
      <c r="H108" s="286">
        <v>1</v>
      </c>
      <c r="I108" s="304">
        <v>2.1</v>
      </c>
      <c r="J108" s="286">
        <v>5.43</v>
      </c>
      <c r="K108" s="304">
        <v>11.4</v>
      </c>
    </row>
    <row r="109" spans="1:22" ht="14.25" x14ac:dyDescent="0.2">
      <c r="A109" s="301"/>
      <c r="B109" s="302"/>
      <c r="C109" s="302" t="s">
        <v>194</v>
      </c>
      <c r="D109" s="303" t="s">
        <v>187</v>
      </c>
      <c r="E109" s="286">
        <v>112</v>
      </c>
      <c r="F109" s="321"/>
      <c r="G109" s="305"/>
      <c r="H109" s="286"/>
      <c r="I109" s="304">
        <v>53.17</v>
      </c>
      <c r="J109" s="286">
        <v>90</v>
      </c>
      <c r="K109" s="304">
        <v>980.14</v>
      </c>
    </row>
    <row r="110" spans="1:22" ht="14.25" x14ac:dyDescent="0.2">
      <c r="A110" s="301"/>
      <c r="B110" s="302"/>
      <c r="C110" s="302" t="s">
        <v>193</v>
      </c>
      <c r="D110" s="303" t="s">
        <v>187</v>
      </c>
      <c r="E110" s="286">
        <v>70</v>
      </c>
      <c r="F110" s="321"/>
      <c r="G110" s="305"/>
      <c r="H110" s="286"/>
      <c r="I110" s="304">
        <v>31.25</v>
      </c>
      <c r="J110" s="286">
        <v>41</v>
      </c>
      <c r="K110" s="304">
        <v>446.51</v>
      </c>
    </row>
    <row r="111" spans="1:22" ht="14.25" x14ac:dyDescent="0.2">
      <c r="A111" s="307"/>
      <c r="B111" s="308"/>
      <c r="C111" s="308" t="s">
        <v>192</v>
      </c>
      <c r="D111" s="309" t="s">
        <v>191</v>
      </c>
      <c r="E111" s="310">
        <v>0.52</v>
      </c>
      <c r="F111" s="361"/>
      <c r="G111" s="312" t="s">
        <v>1548</v>
      </c>
      <c r="H111" s="310">
        <v>1</v>
      </c>
      <c r="I111" s="311">
        <v>3.59</v>
      </c>
      <c r="J111" s="310"/>
      <c r="K111" s="311"/>
    </row>
    <row r="112" spans="1:22" ht="15" x14ac:dyDescent="0.25">
      <c r="A112" s="313"/>
      <c r="B112" s="313"/>
      <c r="C112" s="314" t="s">
        <v>183</v>
      </c>
      <c r="D112" s="313"/>
      <c r="E112" s="313"/>
      <c r="F112" s="313"/>
      <c r="G112" s="313"/>
      <c r="H112" s="472">
        <v>133.16</v>
      </c>
      <c r="I112" s="472"/>
      <c r="J112" s="472">
        <v>2527.09</v>
      </c>
      <c r="K112" s="472"/>
      <c r="O112" s="284">
        <f>I107+I108+I109+I110</f>
        <v>133.16</v>
      </c>
      <c r="P112" s="284">
        <f>K107+K108+K109+K110</f>
        <v>2527.09</v>
      </c>
    </row>
    <row r="114" spans="1:22" ht="65.25" x14ac:dyDescent="0.2">
      <c r="A114" s="301" t="s">
        <v>104</v>
      </c>
      <c r="B114" s="302" t="s">
        <v>1474</v>
      </c>
      <c r="C114" s="302" t="s">
        <v>1247</v>
      </c>
      <c r="D114" s="303" t="s">
        <v>1903</v>
      </c>
      <c r="E114" s="286">
        <v>1</v>
      </c>
      <c r="F114" s="321"/>
      <c r="G114" s="305"/>
      <c r="H114" s="286"/>
      <c r="I114" s="304"/>
      <c r="J114" s="286"/>
      <c r="K114" s="304"/>
      <c r="Q114" s="281">
        <f>[20]Source!X95</f>
        <v>35.11</v>
      </c>
      <c r="R114" s="281">
        <f>[20]Source!X96</f>
        <v>647.26</v>
      </c>
      <c r="S114" s="281">
        <f>[20]Source!Y95</f>
        <v>20.64</v>
      </c>
      <c r="T114" s="281">
        <f>[20]Source!Y96</f>
        <v>294.86</v>
      </c>
      <c r="U114" s="281">
        <f>ROUND((175/100)*ROUND([20]Source!R95, 2), 2)</f>
        <v>0</v>
      </c>
      <c r="V114" s="281">
        <f>ROUND((157/100)*ROUND([20]Source!R96, 2), 2)</f>
        <v>0</v>
      </c>
    </row>
    <row r="115" spans="1:22" ht="14.25" x14ac:dyDescent="0.2">
      <c r="A115" s="301"/>
      <c r="B115" s="302"/>
      <c r="C115" s="302" t="s">
        <v>197</v>
      </c>
      <c r="D115" s="303"/>
      <c r="E115" s="286"/>
      <c r="F115" s="321">
        <v>26.78</v>
      </c>
      <c r="G115" s="305" t="s">
        <v>1548</v>
      </c>
      <c r="H115" s="286">
        <v>1</v>
      </c>
      <c r="I115" s="304">
        <v>30.8</v>
      </c>
      <c r="J115" s="286">
        <v>23.35</v>
      </c>
      <c r="K115" s="304">
        <v>719.18</v>
      </c>
    </row>
    <row r="116" spans="1:22" ht="14.25" x14ac:dyDescent="0.2">
      <c r="A116" s="301"/>
      <c r="B116" s="302"/>
      <c r="C116" s="302" t="s">
        <v>205</v>
      </c>
      <c r="D116" s="303"/>
      <c r="E116" s="286"/>
      <c r="F116" s="321">
        <v>0.28000000000000003</v>
      </c>
      <c r="G116" s="305" t="s">
        <v>195</v>
      </c>
      <c r="H116" s="286">
        <v>1</v>
      </c>
      <c r="I116" s="304">
        <v>0.28000000000000003</v>
      </c>
      <c r="J116" s="286">
        <v>5.43</v>
      </c>
      <c r="K116" s="304">
        <v>1.52</v>
      </c>
    </row>
    <row r="117" spans="1:22" ht="14.25" x14ac:dyDescent="0.2">
      <c r="A117" s="301"/>
      <c r="B117" s="302"/>
      <c r="C117" s="302" t="s">
        <v>194</v>
      </c>
      <c r="D117" s="303" t="s">
        <v>187</v>
      </c>
      <c r="E117" s="286">
        <v>112</v>
      </c>
      <c r="F117" s="321"/>
      <c r="G117" s="305"/>
      <c r="H117" s="286"/>
      <c r="I117" s="304">
        <v>35.11</v>
      </c>
      <c r="J117" s="286">
        <v>90</v>
      </c>
      <c r="K117" s="304">
        <v>647.26</v>
      </c>
    </row>
    <row r="118" spans="1:22" ht="14.25" x14ac:dyDescent="0.2">
      <c r="A118" s="301"/>
      <c r="B118" s="302"/>
      <c r="C118" s="302" t="s">
        <v>193</v>
      </c>
      <c r="D118" s="303" t="s">
        <v>187</v>
      </c>
      <c r="E118" s="286">
        <v>70</v>
      </c>
      <c r="F118" s="321"/>
      <c r="G118" s="305"/>
      <c r="H118" s="286"/>
      <c r="I118" s="304">
        <v>20.64</v>
      </c>
      <c r="J118" s="286">
        <v>41</v>
      </c>
      <c r="K118" s="304">
        <v>294.86</v>
      </c>
    </row>
    <row r="119" spans="1:22" ht="14.25" x14ac:dyDescent="0.2">
      <c r="A119" s="307"/>
      <c r="B119" s="308"/>
      <c r="C119" s="308" t="s">
        <v>192</v>
      </c>
      <c r="D119" s="309" t="s">
        <v>191</v>
      </c>
      <c r="E119" s="310">
        <v>2.06</v>
      </c>
      <c r="F119" s="361"/>
      <c r="G119" s="312" t="s">
        <v>1548</v>
      </c>
      <c r="H119" s="310">
        <v>1</v>
      </c>
      <c r="I119" s="311">
        <v>2.37</v>
      </c>
      <c r="J119" s="310"/>
      <c r="K119" s="311"/>
    </row>
    <row r="120" spans="1:22" ht="15" x14ac:dyDescent="0.25">
      <c r="A120" s="313"/>
      <c r="B120" s="313"/>
      <c r="C120" s="314" t="s">
        <v>183</v>
      </c>
      <c r="D120" s="313"/>
      <c r="E120" s="313"/>
      <c r="F120" s="313"/>
      <c r="G120" s="313"/>
      <c r="H120" s="472">
        <v>86.83</v>
      </c>
      <c r="I120" s="472"/>
      <c r="J120" s="472">
        <v>1662.82</v>
      </c>
      <c r="K120" s="472"/>
      <c r="O120" s="284">
        <f>I115+I116+I117+I118</f>
        <v>86.83</v>
      </c>
      <c r="P120" s="284">
        <f>K115+K116+K117+K118</f>
        <v>1662.82</v>
      </c>
    </row>
    <row r="122" spans="1:22" ht="65.25" x14ac:dyDescent="0.2">
      <c r="A122" s="301" t="s">
        <v>1546</v>
      </c>
      <c r="B122" s="302" t="s">
        <v>1473</v>
      </c>
      <c r="C122" s="302" t="s">
        <v>1472</v>
      </c>
      <c r="D122" s="303" t="s">
        <v>1903</v>
      </c>
      <c r="E122" s="286">
        <v>1</v>
      </c>
      <c r="F122" s="321"/>
      <c r="G122" s="305"/>
      <c r="H122" s="286"/>
      <c r="I122" s="304"/>
      <c r="J122" s="286"/>
      <c r="K122" s="304"/>
      <c r="Q122" s="281">
        <f>[20]Source!X97</f>
        <v>7.62</v>
      </c>
      <c r="R122" s="281">
        <f>[20]Source!X98</f>
        <v>140.38</v>
      </c>
      <c r="S122" s="281">
        <f>[20]Source!Y97</f>
        <v>4.4800000000000004</v>
      </c>
      <c r="T122" s="281">
        <f>[20]Source!Y98</f>
        <v>63.95</v>
      </c>
      <c r="U122" s="281">
        <f>ROUND((175/100)*ROUND([20]Source!R97, 2), 2)</f>
        <v>12.09</v>
      </c>
      <c r="V122" s="281">
        <f>ROUND((157/100)*ROUND([20]Source!R98, 2), 2)</f>
        <v>253.32</v>
      </c>
    </row>
    <row r="123" spans="1:22" ht="14.25" x14ac:dyDescent="0.2">
      <c r="A123" s="301"/>
      <c r="B123" s="302"/>
      <c r="C123" s="302" t="s">
        <v>197</v>
      </c>
      <c r="D123" s="303"/>
      <c r="E123" s="286"/>
      <c r="F123" s="321">
        <v>5.81</v>
      </c>
      <c r="G123" s="305" t="s">
        <v>1548</v>
      </c>
      <c r="H123" s="286">
        <v>1</v>
      </c>
      <c r="I123" s="304">
        <v>6.68</v>
      </c>
      <c r="J123" s="286">
        <v>23.35</v>
      </c>
      <c r="K123" s="304">
        <v>155.97999999999999</v>
      </c>
    </row>
    <row r="124" spans="1:22" ht="14.25" x14ac:dyDescent="0.2">
      <c r="A124" s="301"/>
      <c r="B124" s="302"/>
      <c r="C124" s="302" t="s">
        <v>184</v>
      </c>
      <c r="D124" s="303"/>
      <c r="E124" s="286"/>
      <c r="F124" s="321">
        <v>27.61</v>
      </c>
      <c r="G124" s="305" t="s">
        <v>1549</v>
      </c>
      <c r="H124" s="286">
        <v>1</v>
      </c>
      <c r="I124" s="304">
        <v>34.51</v>
      </c>
      <c r="J124" s="286">
        <v>8.9600000000000009</v>
      </c>
      <c r="K124" s="304">
        <v>309.20999999999998</v>
      </c>
    </row>
    <row r="125" spans="1:22" ht="14.25" x14ac:dyDescent="0.2">
      <c r="A125" s="301"/>
      <c r="B125" s="302"/>
      <c r="C125" s="302" t="s">
        <v>189</v>
      </c>
      <c r="D125" s="303"/>
      <c r="E125" s="286"/>
      <c r="F125" s="321">
        <v>5.53</v>
      </c>
      <c r="G125" s="305" t="s">
        <v>1549</v>
      </c>
      <c r="H125" s="286">
        <v>1</v>
      </c>
      <c r="I125" s="306">
        <v>6.91</v>
      </c>
      <c r="J125" s="286">
        <v>23.35</v>
      </c>
      <c r="K125" s="306">
        <v>161.35</v>
      </c>
    </row>
    <row r="126" spans="1:22" ht="14.25" x14ac:dyDescent="0.2">
      <c r="A126" s="301"/>
      <c r="B126" s="302"/>
      <c r="C126" s="302" t="s">
        <v>205</v>
      </c>
      <c r="D126" s="303"/>
      <c r="E126" s="286"/>
      <c r="F126" s="321">
        <v>1.89</v>
      </c>
      <c r="G126" s="305" t="s">
        <v>195</v>
      </c>
      <c r="H126" s="286">
        <v>1</v>
      </c>
      <c r="I126" s="304">
        <v>1.89</v>
      </c>
      <c r="J126" s="286">
        <v>5.42</v>
      </c>
      <c r="K126" s="304">
        <v>10.24</v>
      </c>
    </row>
    <row r="127" spans="1:22" ht="14.25" x14ac:dyDescent="0.2">
      <c r="A127" s="301"/>
      <c r="B127" s="302"/>
      <c r="C127" s="302" t="s">
        <v>194</v>
      </c>
      <c r="D127" s="303" t="s">
        <v>187</v>
      </c>
      <c r="E127" s="286">
        <v>112</v>
      </c>
      <c r="F127" s="321"/>
      <c r="G127" s="305"/>
      <c r="H127" s="286"/>
      <c r="I127" s="304">
        <v>7.62</v>
      </c>
      <c r="J127" s="286">
        <v>90</v>
      </c>
      <c r="K127" s="304">
        <v>140.38</v>
      </c>
    </row>
    <row r="128" spans="1:22" ht="14.25" x14ac:dyDescent="0.2">
      <c r="A128" s="301"/>
      <c r="B128" s="302"/>
      <c r="C128" s="302" t="s">
        <v>193</v>
      </c>
      <c r="D128" s="303" t="s">
        <v>187</v>
      </c>
      <c r="E128" s="286">
        <v>70</v>
      </c>
      <c r="F128" s="321"/>
      <c r="G128" s="305"/>
      <c r="H128" s="286"/>
      <c r="I128" s="304">
        <v>4.4800000000000004</v>
      </c>
      <c r="J128" s="286">
        <v>41</v>
      </c>
      <c r="K128" s="304">
        <v>63.95</v>
      </c>
    </row>
    <row r="129" spans="1:22" ht="14.25" x14ac:dyDescent="0.2">
      <c r="A129" s="301"/>
      <c r="B129" s="302"/>
      <c r="C129" s="302" t="s">
        <v>188</v>
      </c>
      <c r="D129" s="303" t="s">
        <v>187</v>
      </c>
      <c r="E129" s="286">
        <v>175</v>
      </c>
      <c r="F129" s="321"/>
      <c r="G129" s="305"/>
      <c r="H129" s="286"/>
      <c r="I129" s="304">
        <v>12.09</v>
      </c>
      <c r="J129" s="286">
        <v>157</v>
      </c>
      <c r="K129" s="304">
        <v>253.32</v>
      </c>
    </row>
    <row r="130" spans="1:22" ht="14.25" x14ac:dyDescent="0.2">
      <c r="A130" s="307"/>
      <c r="B130" s="308"/>
      <c r="C130" s="308" t="s">
        <v>192</v>
      </c>
      <c r="D130" s="309" t="s">
        <v>191</v>
      </c>
      <c r="E130" s="310">
        <v>0.52</v>
      </c>
      <c r="F130" s="361"/>
      <c r="G130" s="312" t="s">
        <v>1548</v>
      </c>
      <c r="H130" s="310">
        <v>1</v>
      </c>
      <c r="I130" s="311">
        <v>0.6</v>
      </c>
      <c r="J130" s="310"/>
      <c r="K130" s="311"/>
    </row>
    <row r="131" spans="1:22" ht="15" x14ac:dyDescent="0.25">
      <c r="A131" s="313"/>
      <c r="B131" s="313"/>
      <c r="C131" s="314" t="s">
        <v>183</v>
      </c>
      <c r="D131" s="313"/>
      <c r="E131" s="313"/>
      <c r="F131" s="313"/>
      <c r="G131" s="313"/>
      <c r="H131" s="472">
        <v>67.27</v>
      </c>
      <c r="I131" s="472"/>
      <c r="J131" s="472">
        <v>933.08</v>
      </c>
      <c r="K131" s="472"/>
      <c r="O131" s="284">
        <f>I123+I124+I126+I127+I128+I129</f>
        <v>67.27</v>
      </c>
      <c r="P131" s="284">
        <f>K123+K124+K126+K127+K128+K129</f>
        <v>933.08</v>
      </c>
    </row>
    <row r="133" spans="1:22" ht="81" x14ac:dyDescent="0.2">
      <c r="A133" s="275" t="s">
        <v>105</v>
      </c>
      <c r="B133" s="276" t="s">
        <v>3752</v>
      </c>
      <c r="C133" s="276" t="s">
        <v>1511</v>
      </c>
      <c r="D133" s="277" t="s">
        <v>3240</v>
      </c>
      <c r="E133" s="278">
        <v>1</v>
      </c>
      <c r="F133" s="362">
        <v>37296.089999999997</v>
      </c>
      <c r="G133" s="280" t="s">
        <v>195</v>
      </c>
      <c r="H133" s="278">
        <v>1</v>
      </c>
      <c r="I133" s="279">
        <v>37296.089999999997</v>
      </c>
      <c r="J133" s="278">
        <v>4.4000000000000004</v>
      </c>
      <c r="K133" s="279">
        <v>164102.79999999999</v>
      </c>
      <c r="Q133" s="281">
        <f>[20]Source!X99</f>
        <v>0</v>
      </c>
      <c r="R133" s="281">
        <f>[20]Source!X100</f>
        <v>0</v>
      </c>
      <c r="S133" s="281">
        <f>[20]Source!Y99</f>
        <v>0</v>
      </c>
      <c r="T133" s="281">
        <f>[20]Source!Y100</f>
        <v>0</v>
      </c>
      <c r="U133" s="281">
        <f>ROUND((175/100)*ROUND([20]Source!R99, 2), 2)</f>
        <v>0</v>
      </c>
      <c r="V133" s="281">
        <f>ROUND((157/100)*ROUND([20]Source!R100, 2), 2)</f>
        <v>0</v>
      </c>
    </row>
    <row r="134" spans="1:22" ht="15" x14ac:dyDescent="0.25">
      <c r="A134" s="282"/>
      <c r="B134" s="282"/>
      <c r="C134" s="283" t="s">
        <v>183</v>
      </c>
      <c r="D134" s="282"/>
      <c r="E134" s="282"/>
      <c r="F134" s="282"/>
      <c r="G134" s="282"/>
      <c r="H134" s="473">
        <v>37296.089999999997</v>
      </c>
      <c r="I134" s="473"/>
      <c r="J134" s="473">
        <v>164102.79999999999</v>
      </c>
      <c r="K134" s="473"/>
      <c r="O134" s="284">
        <f>I133</f>
        <v>37296.089999999997</v>
      </c>
      <c r="P134" s="284">
        <f>K133</f>
        <v>164102.79999999999</v>
      </c>
    </row>
    <row r="137" spans="1:22" ht="15" x14ac:dyDescent="0.25">
      <c r="A137" s="447" t="s">
        <v>3755</v>
      </c>
      <c r="B137" s="447"/>
      <c r="C137" s="447"/>
      <c r="D137" s="447"/>
      <c r="E137" s="447"/>
      <c r="F137" s="447"/>
      <c r="G137" s="447"/>
      <c r="H137" s="445">
        <v>37804.94</v>
      </c>
      <c r="I137" s="446"/>
      <c r="J137" s="445">
        <v>173124.65</v>
      </c>
      <c r="K137" s="446"/>
    </row>
    <row r="138" spans="1:22" hidden="1" x14ac:dyDescent="0.2">
      <c r="A138" s="281" t="s">
        <v>182</v>
      </c>
      <c r="I138" s="281">
        <v>0</v>
      </c>
      <c r="J138" s="281">
        <v>0</v>
      </c>
    </row>
    <row r="139" spans="1:22" hidden="1" x14ac:dyDescent="0.2">
      <c r="A139" s="281" t="s">
        <v>181</v>
      </c>
      <c r="I139" s="281">
        <v>0</v>
      </c>
      <c r="J139" s="281">
        <v>0</v>
      </c>
    </row>
    <row r="141" spans="1:22" ht="16.5" x14ac:dyDescent="0.25">
      <c r="A141" s="448" t="s">
        <v>3756</v>
      </c>
      <c r="B141" s="448"/>
      <c r="C141" s="448"/>
      <c r="D141" s="448"/>
      <c r="E141" s="448"/>
      <c r="F141" s="448"/>
      <c r="G141" s="448"/>
      <c r="H141" s="448"/>
      <c r="I141" s="448"/>
      <c r="J141" s="448"/>
      <c r="K141" s="448"/>
    </row>
    <row r="142" spans="1:22" ht="65.25" x14ac:dyDescent="0.2">
      <c r="A142" s="301" t="s">
        <v>719</v>
      </c>
      <c r="B142" s="302" t="s">
        <v>1476</v>
      </c>
      <c r="C142" s="302" t="s">
        <v>1475</v>
      </c>
      <c r="D142" s="303" t="s">
        <v>1903</v>
      </c>
      <c r="E142" s="286">
        <v>1</v>
      </c>
      <c r="F142" s="321"/>
      <c r="G142" s="305"/>
      <c r="H142" s="286"/>
      <c r="I142" s="304"/>
      <c r="J142" s="286"/>
      <c r="K142" s="304"/>
      <c r="Q142" s="281">
        <f>[20]Source!X136</f>
        <v>78.39</v>
      </c>
      <c r="R142" s="281">
        <f>[20]Source!X137</f>
        <v>1445</v>
      </c>
      <c r="S142" s="281">
        <f>[20]Source!Y136</f>
        <v>46.07</v>
      </c>
      <c r="T142" s="281">
        <f>[20]Source!Y137</f>
        <v>658.28</v>
      </c>
      <c r="U142" s="281">
        <f>ROUND((175/100)*ROUND([20]Source!R136, 2), 2)</f>
        <v>1.42</v>
      </c>
      <c r="V142" s="281">
        <f>ROUND((157/100)*ROUND([20]Source!R137, 2), 2)</f>
        <v>29.69</v>
      </c>
    </row>
    <row r="143" spans="1:22" ht="14.25" x14ac:dyDescent="0.2">
      <c r="A143" s="301"/>
      <c r="B143" s="302"/>
      <c r="C143" s="302" t="s">
        <v>197</v>
      </c>
      <c r="D143" s="303"/>
      <c r="E143" s="286"/>
      <c r="F143" s="321">
        <v>59.79</v>
      </c>
      <c r="G143" s="305" t="s">
        <v>1548</v>
      </c>
      <c r="H143" s="286">
        <v>1</v>
      </c>
      <c r="I143" s="304">
        <v>68.760000000000005</v>
      </c>
      <c r="J143" s="286">
        <v>23.35</v>
      </c>
      <c r="K143" s="304">
        <v>1605.55</v>
      </c>
    </row>
    <row r="144" spans="1:22" ht="14.25" x14ac:dyDescent="0.2">
      <c r="A144" s="301"/>
      <c r="B144" s="302"/>
      <c r="C144" s="302" t="s">
        <v>184</v>
      </c>
      <c r="D144" s="303"/>
      <c r="E144" s="286"/>
      <c r="F144" s="321">
        <v>4.42</v>
      </c>
      <c r="G144" s="305" t="s">
        <v>1549</v>
      </c>
      <c r="H144" s="286">
        <v>1</v>
      </c>
      <c r="I144" s="304">
        <v>5.53</v>
      </c>
      <c r="J144" s="286">
        <v>8</v>
      </c>
      <c r="K144" s="304">
        <v>44.24</v>
      </c>
    </row>
    <row r="145" spans="1:22" ht="14.25" x14ac:dyDescent="0.2">
      <c r="A145" s="301"/>
      <c r="B145" s="302"/>
      <c r="C145" s="302" t="s">
        <v>189</v>
      </c>
      <c r="D145" s="303"/>
      <c r="E145" s="286"/>
      <c r="F145" s="321">
        <v>0.65</v>
      </c>
      <c r="G145" s="305" t="s">
        <v>1549</v>
      </c>
      <c r="H145" s="286">
        <v>1</v>
      </c>
      <c r="I145" s="306">
        <v>0.81</v>
      </c>
      <c r="J145" s="286">
        <v>23.35</v>
      </c>
      <c r="K145" s="306">
        <v>18.91</v>
      </c>
    </row>
    <row r="146" spans="1:22" ht="14.25" x14ac:dyDescent="0.2">
      <c r="A146" s="301"/>
      <c r="B146" s="302"/>
      <c r="C146" s="302" t="s">
        <v>205</v>
      </c>
      <c r="D146" s="303"/>
      <c r="E146" s="286"/>
      <c r="F146" s="321">
        <v>21.42</v>
      </c>
      <c r="G146" s="305" t="s">
        <v>195</v>
      </c>
      <c r="H146" s="286">
        <v>1</v>
      </c>
      <c r="I146" s="304">
        <v>21.42</v>
      </c>
      <c r="J146" s="286">
        <v>5.42</v>
      </c>
      <c r="K146" s="304">
        <v>116.1</v>
      </c>
    </row>
    <row r="147" spans="1:22" ht="14.25" x14ac:dyDescent="0.2">
      <c r="A147" s="301"/>
      <c r="B147" s="302"/>
      <c r="C147" s="302" t="s">
        <v>194</v>
      </c>
      <c r="D147" s="303" t="s">
        <v>187</v>
      </c>
      <c r="E147" s="286">
        <v>112</v>
      </c>
      <c r="F147" s="321"/>
      <c r="G147" s="305"/>
      <c r="H147" s="286"/>
      <c r="I147" s="304">
        <v>78.39</v>
      </c>
      <c r="J147" s="286">
        <v>90</v>
      </c>
      <c r="K147" s="304">
        <v>1445</v>
      </c>
    </row>
    <row r="148" spans="1:22" ht="14.25" x14ac:dyDescent="0.2">
      <c r="A148" s="301"/>
      <c r="B148" s="302"/>
      <c r="C148" s="302" t="s">
        <v>193</v>
      </c>
      <c r="D148" s="303" t="s">
        <v>187</v>
      </c>
      <c r="E148" s="286">
        <v>70</v>
      </c>
      <c r="F148" s="321"/>
      <c r="G148" s="305"/>
      <c r="H148" s="286"/>
      <c r="I148" s="304">
        <v>46.07</v>
      </c>
      <c r="J148" s="286">
        <v>41</v>
      </c>
      <c r="K148" s="304">
        <v>658.28</v>
      </c>
    </row>
    <row r="149" spans="1:22" ht="14.25" x14ac:dyDescent="0.2">
      <c r="A149" s="301"/>
      <c r="B149" s="302"/>
      <c r="C149" s="302" t="s">
        <v>188</v>
      </c>
      <c r="D149" s="303" t="s">
        <v>187</v>
      </c>
      <c r="E149" s="286">
        <v>175</v>
      </c>
      <c r="F149" s="321"/>
      <c r="G149" s="305"/>
      <c r="H149" s="286"/>
      <c r="I149" s="304">
        <v>1.42</v>
      </c>
      <c r="J149" s="286">
        <v>157</v>
      </c>
      <c r="K149" s="304">
        <v>29.69</v>
      </c>
    </row>
    <row r="150" spans="1:22" ht="14.25" x14ac:dyDescent="0.2">
      <c r="A150" s="307"/>
      <c r="B150" s="308"/>
      <c r="C150" s="308" t="s">
        <v>192</v>
      </c>
      <c r="D150" s="309" t="s">
        <v>191</v>
      </c>
      <c r="E150" s="310">
        <v>5.15</v>
      </c>
      <c r="F150" s="361"/>
      <c r="G150" s="312" t="s">
        <v>1548</v>
      </c>
      <c r="H150" s="310">
        <v>1</v>
      </c>
      <c r="I150" s="311">
        <v>5.92</v>
      </c>
      <c r="J150" s="310"/>
      <c r="K150" s="311"/>
    </row>
    <row r="151" spans="1:22" ht="15" x14ac:dyDescent="0.25">
      <c r="A151" s="313"/>
      <c r="B151" s="313"/>
      <c r="C151" s="314" t="s">
        <v>183</v>
      </c>
      <c r="D151" s="313"/>
      <c r="E151" s="313"/>
      <c r="F151" s="313"/>
      <c r="G151" s="313"/>
      <c r="H151" s="472">
        <v>221.59</v>
      </c>
      <c r="I151" s="472"/>
      <c r="J151" s="472">
        <v>3898.86</v>
      </c>
      <c r="K151" s="472"/>
      <c r="O151" s="284">
        <f>I143+I144+I146+I147+I148+I149</f>
        <v>221.59</v>
      </c>
      <c r="P151" s="284">
        <f>K143+K144+K146+K147+K148+K149</f>
        <v>3898.86</v>
      </c>
    </row>
    <row r="153" spans="1:22" ht="65.25" x14ac:dyDescent="0.2">
      <c r="A153" s="301" t="s">
        <v>1534</v>
      </c>
      <c r="B153" s="302" t="s">
        <v>1499</v>
      </c>
      <c r="C153" s="302" t="s">
        <v>965</v>
      </c>
      <c r="D153" s="303" t="s">
        <v>1903</v>
      </c>
      <c r="E153" s="286">
        <v>10</v>
      </c>
      <c r="F153" s="321"/>
      <c r="G153" s="305"/>
      <c r="H153" s="286"/>
      <c r="I153" s="304"/>
      <c r="J153" s="286"/>
      <c r="K153" s="304"/>
      <c r="Q153" s="281">
        <f>[20]Source!X138</f>
        <v>88.62</v>
      </c>
      <c r="R153" s="281">
        <f>[20]Source!X139</f>
        <v>1633.71</v>
      </c>
      <c r="S153" s="281">
        <f>[20]Source!Y138</f>
        <v>52.09</v>
      </c>
      <c r="T153" s="281">
        <f>[20]Source!Y139</f>
        <v>744.24</v>
      </c>
      <c r="U153" s="281">
        <f>ROUND((175/100)*ROUND([20]Source!R138, 2), 2)</f>
        <v>0</v>
      </c>
      <c r="V153" s="281">
        <f>ROUND((157/100)*ROUND([20]Source!R139, 2), 2)</f>
        <v>0</v>
      </c>
    </row>
    <row r="154" spans="1:22" ht="14.25" x14ac:dyDescent="0.2">
      <c r="A154" s="301"/>
      <c r="B154" s="302"/>
      <c r="C154" s="302" t="s">
        <v>197</v>
      </c>
      <c r="D154" s="303"/>
      <c r="E154" s="286"/>
      <c r="F154" s="321">
        <v>6.76</v>
      </c>
      <c r="G154" s="305" t="s">
        <v>1548</v>
      </c>
      <c r="H154" s="286">
        <v>1</v>
      </c>
      <c r="I154" s="304">
        <v>77.739999999999995</v>
      </c>
      <c r="J154" s="286">
        <v>23.35</v>
      </c>
      <c r="K154" s="304">
        <v>1815.23</v>
      </c>
    </row>
    <row r="155" spans="1:22" ht="14.25" x14ac:dyDescent="0.2">
      <c r="A155" s="301"/>
      <c r="B155" s="302"/>
      <c r="C155" s="302" t="s">
        <v>205</v>
      </c>
      <c r="D155" s="303"/>
      <c r="E155" s="286"/>
      <c r="F155" s="321">
        <v>0.35</v>
      </c>
      <c r="G155" s="305" t="s">
        <v>195</v>
      </c>
      <c r="H155" s="286">
        <v>1</v>
      </c>
      <c r="I155" s="304">
        <v>3.5</v>
      </c>
      <c r="J155" s="286">
        <v>5.43</v>
      </c>
      <c r="K155" s="304">
        <v>19.010000000000002</v>
      </c>
    </row>
    <row r="156" spans="1:22" ht="14.25" x14ac:dyDescent="0.2">
      <c r="A156" s="301"/>
      <c r="B156" s="302"/>
      <c r="C156" s="302" t="s">
        <v>194</v>
      </c>
      <c r="D156" s="303" t="s">
        <v>187</v>
      </c>
      <c r="E156" s="286">
        <v>112</v>
      </c>
      <c r="F156" s="321"/>
      <c r="G156" s="305"/>
      <c r="H156" s="286"/>
      <c r="I156" s="304">
        <v>88.62</v>
      </c>
      <c r="J156" s="286">
        <v>90</v>
      </c>
      <c r="K156" s="304">
        <v>1633.71</v>
      </c>
    </row>
    <row r="157" spans="1:22" ht="14.25" x14ac:dyDescent="0.2">
      <c r="A157" s="301"/>
      <c r="B157" s="302"/>
      <c r="C157" s="302" t="s">
        <v>193</v>
      </c>
      <c r="D157" s="303" t="s">
        <v>187</v>
      </c>
      <c r="E157" s="286">
        <v>70</v>
      </c>
      <c r="F157" s="321"/>
      <c r="G157" s="305"/>
      <c r="H157" s="286"/>
      <c r="I157" s="304">
        <v>52.09</v>
      </c>
      <c r="J157" s="286">
        <v>41</v>
      </c>
      <c r="K157" s="304">
        <v>744.24</v>
      </c>
    </row>
    <row r="158" spans="1:22" ht="14.25" x14ac:dyDescent="0.2">
      <c r="A158" s="307"/>
      <c r="B158" s="308"/>
      <c r="C158" s="308" t="s">
        <v>192</v>
      </c>
      <c r="D158" s="309" t="s">
        <v>191</v>
      </c>
      <c r="E158" s="310">
        <v>0.52</v>
      </c>
      <c r="F158" s="361"/>
      <c r="G158" s="312" t="s">
        <v>1548</v>
      </c>
      <c r="H158" s="310">
        <v>1</v>
      </c>
      <c r="I158" s="311">
        <v>5.98</v>
      </c>
      <c r="J158" s="310"/>
      <c r="K158" s="311"/>
    </row>
    <row r="159" spans="1:22" ht="15" x14ac:dyDescent="0.25">
      <c r="A159" s="313"/>
      <c r="B159" s="313"/>
      <c r="C159" s="314" t="s">
        <v>183</v>
      </c>
      <c r="D159" s="313"/>
      <c r="E159" s="313"/>
      <c r="F159" s="313"/>
      <c r="G159" s="313"/>
      <c r="H159" s="472">
        <v>221.95</v>
      </c>
      <c r="I159" s="472"/>
      <c r="J159" s="472">
        <v>4212.1899999999996</v>
      </c>
      <c r="K159" s="472"/>
      <c r="O159" s="284">
        <f>I154+I155+I156+I157</f>
        <v>221.95</v>
      </c>
      <c r="P159" s="284">
        <f>K154+K155+K156+K157</f>
        <v>4212.1899999999996</v>
      </c>
    </row>
    <row r="161" spans="1:22" ht="65.25" x14ac:dyDescent="0.2">
      <c r="A161" s="301" t="s">
        <v>104</v>
      </c>
      <c r="B161" s="302" t="s">
        <v>1474</v>
      </c>
      <c r="C161" s="302" t="s">
        <v>1247</v>
      </c>
      <c r="D161" s="303" t="s">
        <v>1903</v>
      </c>
      <c r="E161" s="286">
        <v>1</v>
      </c>
      <c r="F161" s="321"/>
      <c r="G161" s="305"/>
      <c r="H161" s="286"/>
      <c r="I161" s="304"/>
      <c r="J161" s="286"/>
      <c r="K161" s="304"/>
      <c r="Q161" s="281">
        <f>[20]Source!X140</f>
        <v>35.11</v>
      </c>
      <c r="R161" s="281">
        <f>[20]Source!X141</f>
        <v>647.26</v>
      </c>
      <c r="S161" s="281">
        <f>[20]Source!Y140</f>
        <v>20.64</v>
      </c>
      <c r="T161" s="281">
        <f>[20]Source!Y141</f>
        <v>294.86</v>
      </c>
      <c r="U161" s="281">
        <f>ROUND((175/100)*ROUND([20]Source!R140, 2), 2)</f>
        <v>0</v>
      </c>
      <c r="V161" s="281">
        <f>ROUND((157/100)*ROUND([20]Source!R141, 2), 2)</f>
        <v>0</v>
      </c>
    </row>
    <row r="162" spans="1:22" ht="14.25" x14ac:dyDescent="0.2">
      <c r="A162" s="301"/>
      <c r="B162" s="302"/>
      <c r="C162" s="302" t="s">
        <v>197</v>
      </c>
      <c r="D162" s="303"/>
      <c r="E162" s="286"/>
      <c r="F162" s="321">
        <v>26.78</v>
      </c>
      <c r="G162" s="305" t="s">
        <v>1548</v>
      </c>
      <c r="H162" s="286">
        <v>1</v>
      </c>
      <c r="I162" s="304">
        <v>30.8</v>
      </c>
      <c r="J162" s="286">
        <v>23.35</v>
      </c>
      <c r="K162" s="304">
        <v>719.18</v>
      </c>
    </row>
    <row r="163" spans="1:22" ht="14.25" x14ac:dyDescent="0.2">
      <c r="A163" s="301"/>
      <c r="B163" s="302"/>
      <c r="C163" s="302" t="s">
        <v>205</v>
      </c>
      <c r="D163" s="303"/>
      <c r="E163" s="286"/>
      <c r="F163" s="321">
        <v>0.28000000000000003</v>
      </c>
      <c r="G163" s="305" t="s">
        <v>195</v>
      </c>
      <c r="H163" s="286">
        <v>1</v>
      </c>
      <c r="I163" s="304">
        <v>0.28000000000000003</v>
      </c>
      <c r="J163" s="286">
        <v>5.43</v>
      </c>
      <c r="K163" s="304">
        <v>1.52</v>
      </c>
    </row>
    <row r="164" spans="1:22" ht="14.25" x14ac:dyDescent="0.2">
      <c r="A164" s="301"/>
      <c r="B164" s="302"/>
      <c r="C164" s="302" t="s">
        <v>194</v>
      </c>
      <c r="D164" s="303" t="s">
        <v>187</v>
      </c>
      <c r="E164" s="286">
        <v>112</v>
      </c>
      <c r="F164" s="321"/>
      <c r="G164" s="305"/>
      <c r="H164" s="286"/>
      <c r="I164" s="304">
        <v>35.11</v>
      </c>
      <c r="J164" s="286">
        <v>90</v>
      </c>
      <c r="K164" s="304">
        <v>647.26</v>
      </c>
    </row>
    <row r="165" spans="1:22" ht="14.25" x14ac:dyDescent="0.2">
      <c r="A165" s="301"/>
      <c r="B165" s="302"/>
      <c r="C165" s="302" t="s">
        <v>193</v>
      </c>
      <c r="D165" s="303" t="s">
        <v>187</v>
      </c>
      <c r="E165" s="286">
        <v>70</v>
      </c>
      <c r="F165" s="321"/>
      <c r="G165" s="305"/>
      <c r="H165" s="286"/>
      <c r="I165" s="304">
        <v>20.64</v>
      </c>
      <c r="J165" s="286">
        <v>41</v>
      </c>
      <c r="K165" s="304">
        <v>294.86</v>
      </c>
    </row>
    <row r="166" spans="1:22" ht="14.25" x14ac:dyDescent="0.2">
      <c r="A166" s="307"/>
      <c r="B166" s="308"/>
      <c r="C166" s="308" t="s">
        <v>192</v>
      </c>
      <c r="D166" s="309" t="s">
        <v>191</v>
      </c>
      <c r="E166" s="310">
        <v>2.06</v>
      </c>
      <c r="F166" s="361"/>
      <c r="G166" s="312" t="s">
        <v>1548</v>
      </c>
      <c r="H166" s="310">
        <v>1</v>
      </c>
      <c r="I166" s="311">
        <v>2.37</v>
      </c>
      <c r="J166" s="310"/>
      <c r="K166" s="311"/>
    </row>
    <row r="167" spans="1:22" ht="15" x14ac:dyDescent="0.25">
      <c r="A167" s="313"/>
      <c r="B167" s="313"/>
      <c r="C167" s="314" t="s">
        <v>183</v>
      </c>
      <c r="D167" s="313"/>
      <c r="E167" s="313"/>
      <c r="F167" s="313"/>
      <c r="G167" s="313"/>
      <c r="H167" s="472">
        <v>86.83</v>
      </c>
      <c r="I167" s="472"/>
      <c r="J167" s="472">
        <v>1662.82</v>
      </c>
      <c r="K167" s="472"/>
      <c r="O167" s="284">
        <f>I162+I163+I164+I165</f>
        <v>86.83</v>
      </c>
      <c r="P167" s="284">
        <f>K162+K163+K164+K165</f>
        <v>1662.82</v>
      </c>
    </row>
    <row r="169" spans="1:22" ht="65.25" x14ac:dyDescent="0.2">
      <c r="A169" s="301" t="s">
        <v>1546</v>
      </c>
      <c r="B169" s="302" t="s">
        <v>1473</v>
      </c>
      <c r="C169" s="302" t="s">
        <v>1472</v>
      </c>
      <c r="D169" s="303" t="s">
        <v>1903</v>
      </c>
      <c r="E169" s="286">
        <v>1</v>
      </c>
      <c r="F169" s="321"/>
      <c r="G169" s="305"/>
      <c r="H169" s="286"/>
      <c r="I169" s="304"/>
      <c r="J169" s="286"/>
      <c r="K169" s="304"/>
      <c r="Q169" s="281">
        <f>[20]Source!X142</f>
        <v>7.62</v>
      </c>
      <c r="R169" s="281">
        <f>[20]Source!X143</f>
        <v>140.38</v>
      </c>
      <c r="S169" s="281">
        <f>[20]Source!Y142</f>
        <v>4.4800000000000004</v>
      </c>
      <c r="T169" s="281">
        <f>[20]Source!Y143</f>
        <v>63.95</v>
      </c>
      <c r="U169" s="281">
        <f>ROUND((175/100)*ROUND([20]Source!R142, 2), 2)</f>
        <v>12.09</v>
      </c>
      <c r="V169" s="281">
        <f>ROUND((157/100)*ROUND([20]Source!R143, 2), 2)</f>
        <v>253.32</v>
      </c>
    </row>
    <row r="170" spans="1:22" ht="14.25" x14ac:dyDescent="0.2">
      <c r="A170" s="301"/>
      <c r="B170" s="302"/>
      <c r="C170" s="302" t="s">
        <v>197</v>
      </c>
      <c r="D170" s="303"/>
      <c r="E170" s="286"/>
      <c r="F170" s="321">
        <v>5.81</v>
      </c>
      <c r="G170" s="305" t="s">
        <v>1548</v>
      </c>
      <c r="H170" s="286">
        <v>1</v>
      </c>
      <c r="I170" s="304">
        <v>6.68</v>
      </c>
      <c r="J170" s="286">
        <v>23.35</v>
      </c>
      <c r="K170" s="304">
        <v>155.97999999999999</v>
      </c>
    </row>
    <row r="171" spans="1:22" ht="14.25" x14ac:dyDescent="0.2">
      <c r="A171" s="301"/>
      <c r="B171" s="302"/>
      <c r="C171" s="302" t="s">
        <v>184</v>
      </c>
      <c r="D171" s="303"/>
      <c r="E171" s="286"/>
      <c r="F171" s="321">
        <v>27.61</v>
      </c>
      <c r="G171" s="305" t="s">
        <v>1549</v>
      </c>
      <c r="H171" s="286">
        <v>1</v>
      </c>
      <c r="I171" s="304">
        <v>34.51</v>
      </c>
      <c r="J171" s="286">
        <v>8.9600000000000009</v>
      </c>
      <c r="K171" s="304">
        <v>309.20999999999998</v>
      </c>
    </row>
    <row r="172" spans="1:22" ht="14.25" x14ac:dyDescent="0.2">
      <c r="A172" s="301"/>
      <c r="B172" s="302"/>
      <c r="C172" s="302" t="s">
        <v>189</v>
      </c>
      <c r="D172" s="303"/>
      <c r="E172" s="286"/>
      <c r="F172" s="321">
        <v>5.53</v>
      </c>
      <c r="G172" s="305" t="s">
        <v>1549</v>
      </c>
      <c r="H172" s="286">
        <v>1</v>
      </c>
      <c r="I172" s="306">
        <v>6.91</v>
      </c>
      <c r="J172" s="286">
        <v>23.35</v>
      </c>
      <c r="K172" s="306">
        <v>161.35</v>
      </c>
    </row>
    <row r="173" spans="1:22" ht="14.25" x14ac:dyDescent="0.2">
      <c r="A173" s="301"/>
      <c r="B173" s="302"/>
      <c r="C173" s="302" t="s">
        <v>205</v>
      </c>
      <c r="D173" s="303"/>
      <c r="E173" s="286"/>
      <c r="F173" s="321">
        <v>1.89</v>
      </c>
      <c r="G173" s="305" t="s">
        <v>195</v>
      </c>
      <c r="H173" s="286">
        <v>1</v>
      </c>
      <c r="I173" s="304">
        <v>1.89</v>
      </c>
      <c r="J173" s="286">
        <v>5.42</v>
      </c>
      <c r="K173" s="304">
        <v>10.24</v>
      </c>
    </row>
    <row r="174" spans="1:22" ht="14.25" x14ac:dyDescent="0.2">
      <c r="A174" s="301"/>
      <c r="B174" s="302"/>
      <c r="C174" s="302" t="s">
        <v>194</v>
      </c>
      <c r="D174" s="303" t="s">
        <v>187</v>
      </c>
      <c r="E174" s="286">
        <v>112</v>
      </c>
      <c r="F174" s="321"/>
      <c r="G174" s="305"/>
      <c r="H174" s="286"/>
      <c r="I174" s="304">
        <v>7.62</v>
      </c>
      <c r="J174" s="286">
        <v>90</v>
      </c>
      <c r="K174" s="304">
        <v>140.38</v>
      </c>
    </row>
    <row r="175" spans="1:22" ht="14.25" x14ac:dyDescent="0.2">
      <c r="A175" s="301"/>
      <c r="B175" s="302"/>
      <c r="C175" s="302" t="s">
        <v>193</v>
      </c>
      <c r="D175" s="303" t="s">
        <v>187</v>
      </c>
      <c r="E175" s="286">
        <v>70</v>
      </c>
      <c r="F175" s="321"/>
      <c r="G175" s="305"/>
      <c r="H175" s="286"/>
      <c r="I175" s="304">
        <v>4.4800000000000004</v>
      </c>
      <c r="J175" s="286">
        <v>41</v>
      </c>
      <c r="K175" s="304">
        <v>63.95</v>
      </c>
    </row>
    <row r="176" spans="1:22" ht="14.25" x14ac:dyDescent="0.2">
      <c r="A176" s="301"/>
      <c r="B176" s="302"/>
      <c r="C176" s="302" t="s">
        <v>188</v>
      </c>
      <c r="D176" s="303" t="s">
        <v>187</v>
      </c>
      <c r="E176" s="286">
        <v>175</v>
      </c>
      <c r="F176" s="321"/>
      <c r="G176" s="305"/>
      <c r="H176" s="286"/>
      <c r="I176" s="304">
        <v>12.09</v>
      </c>
      <c r="J176" s="286">
        <v>157</v>
      </c>
      <c r="K176" s="304">
        <v>253.32</v>
      </c>
    </row>
    <row r="177" spans="1:22" ht="14.25" x14ac:dyDescent="0.2">
      <c r="A177" s="307"/>
      <c r="B177" s="308"/>
      <c r="C177" s="308" t="s">
        <v>192</v>
      </c>
      <c r="D177" s="309" t="s">
        <v>191</v>
      </c>
      <c r="E177" s="310">
        <v>0.52</v>
      </c>
      <c r="F177" s="361"/>
      <c r="G177" s="312" t="s">
        <v>1548</v>
      </c>
      <c r="H177" s="310">
        <v>1</v>
      </c>
      <c r="I177" s="311">
        <v>0.6</v>
      </c>
      <c r="J177" s="310"/>
      <c r="K177" s="311"/>
    </row>
    <row r="178" spans="1:22" ht="15" x14ac:dyDescent="0.25">
      <c r="A178" s="313"/>
      <c r="B178" s="313"/>
      <c r="C178" s="314" t="s">
        <v>183</v>
      </c>
      <c r="D178" s="313"/>
      <c r="E178" s="313"/>
      <c r="F178" s="313"/>
      <c r="G178" s="313"/>
      <c r="H178" s="472">
        <v>67.27</v>
      </c>
      <c r="I178" s="472"/>
      <c r="J178" s="472">
        <v>933.08</v>
      </c>
      <c r="K178" s="472"/>
      <c r="O178" s="284">
        <f>I170+I171+I173+I174+I175+I176</f>
        <v>67.27</v>
      </c>
      <c r="P178" s="284">
        <f>K170+K171+K173+K174+K175+K176</f>
        <v>933.08</v>
      </c>
    </row>
    <row r="180" spans="1:22" ht="81" x14ac:dyDescent="0.2">
      <c r="A180" s="275" t="s">
        <v>105</v>
      </c>
      <c r="B180" s="276" t="s">
        <v>3752</v>
      </c>
      <c r="C180" s="276" t="s">
        <v>1510</v>
      </c>
      <c r="D180" s="277" t="s">
        <v>3240</v>
      </c>
      <c r="E180" s="278">
        <v>1</v>
      </c>
      <c r="F180" s="362">
        <v>49325.86</v>
      </c>
      <c r="G180" s="280" t="s">
        <v>195</v>
      </c>
      <c r="H180" s="278">
        <v>1</v>
      </c>
      <c r="I180" s="279">
        <v>49325.86</v>
      </c>
      <c r="J180" s="278">
        <v>4.4000000000000004</v>
      </c>
      <c r="K180" s="279">
        <v>217033.78</v>
      </c>
      <c r="Q180" s="281">
        <f>[20]Source!X144</f>
        <v>0</v>
      </c>
      <c r="R180" s="281">
        <f>[20]Source!X145</f>
        <v>0</v>
      </c>
      <c r="S180" s="281">
        <f>[20]Source!Y144</f>
        <v>0</v>
      </c>
      <c r="T180" s="281">
        <f>[20]Source!Y145</f>
        <v>0</v>
      </c>
      <c r="U180" s="281">
        <f>ROUND((175/100)*ROUND([20]Source!R144, 2), 2)</f>
        <v>0</v>
      </c>
      <c r="V180" s="281">
        <f>ROUND((157/100)*ROUND([20]Source!R145, 2), 2)</f>
        <v>0</v>
      </c>
    </row>
    <row r="181" spans="1:22" ht="15" x14ac:dyDescent="0.25">
      <c r="A181" s="282"/>
      <c r="B181" s="282"/>
      <c r="C181" s="283" t="s">
        <v>183</v>
      </c>
      <c r="D181" s="282"/>
      <c r="E181" s="282"/>
      <c r="F181" s="282"/>
      <c r="G181" s="282"/>
      <c r="H181" s="473">
        <v>49325.86</v>
      </c>
      <c r="I181" s="473"/>
      <c r="J181" s="473">
        <v>217033.78</v>
      </c>
      <c r="K181" s="473"/>
      <c r="O181" s="284">
        <f>I180</f>
        <v>49325.86</v>
      </c>
      <c r="P181" s="284">
        <f>K180</f>
        <v>217033.78</v>
      </c>
    </row>
    <row r="184" spans="1:22" ht="15" x14ac:dyDescent="0.25">
      <c r="A184" s="447" t="s">
        <v>3757</v>
      </c>
      <c r="B184" s="447"/>
      <c r="C184" s="447"/>
      <c r="D184" s="447"/>
      <c r="E184" s="447"/>
      <c r="F184" s="447"/>
      <c r="G184" s="447"/>
      <c r="H184" s="445">
        <v>49923.5</v>
      </c>
      <c r="I184" s="446"/>
      <c r="J184" s="445">
        <v>227740.73</v>
      </c>
      <c r="K184" s="446"/>
    </row>
    <row r="185" spans="1:22" hidden="1" x14ac:dyDescent="0.2">
      <c r="A185" s="281" t="s">
        <v>182</v>
      </c>
      <c r="I185" s="281">
        <v>0</v>
      </c>
      <c r="J185" s="281">
        <v>0</v>
      </c>
    </row>
    <row r="186" spans="1:22" hidden="1" x14ac:dyDescent="0.2">
      <c r="A186" s="281" t="s">
        <v>181</v>
      </c>
      <c r="I186" s="281">
        <v>0</v>
      </c>
      <c r="J186" s="281">
        <v>0</v>
      </c>
    </row>
    <row r="188" spans="1:22" ht="16.5" x14ac:dyDescent="0.25">
      <c r="A188" s="448" t="s">
        <v>3758</v>
      </c>
      <c r="B188" s="448"/>
      <c r="C188" s="448"/>
      <c r="D188" s="448"/>
      <c r="E188" s="448"/>
      <c r="F188" s="448"/>
      <c r="G188" s="448"/>
      <c r="H188" s="448"/>
      <c r="I188" s="448"/>
      <c r="J188" s="448"/>
      <c r="K188" s="448"/>
    </row>
    <row r="189" spans="1:22" ht="65.25" x14ac:dyDescent="0.2">
      <c r="A189" s="301" t="s">
        <v>719</v>
      </c>
      <c r="B189" s="302" t="s">
        <v>1476</v>
      </c>
      <c r="C189" s="302" t="s">
        <v>1475</v>
      </c>
      <c r="D189" s="303" t="s">
        <v>1903</v>
      </c>
      <c r="E189" s="286">
        <v>1</v>
      </c>
      <c r="F189" s="321"/>
      <c r="G189" s="305"/>
      <c r="H189" s="286"/>
      <c r="I189" s="304"/>
      <c r="J189" s="286"/>
      <c r="K189" s="304"/>
      <c r="Q189" s="281">
        <f>[20]Source!X181</f>
        <v>78.39</v>
      </c>
      <c r="R189" s="281">
        <f>[20]Source!X182</f>
        <v>1445</v>
      </c>
      <c r="S189" s="281">
        <f>[20]Source!Y181</f>
        <v>46.07</v>
      </c>
      <c r="T189" s="281">
        <f>[20]Source!Y182</f>
        <v>658.28</v>
      </c>
      <c r="U189" s="281">
        <f>ROUND((175/100)*ROUND([20]Source!R181, 2), 2)</f>
        <v>1.42</v>
      </c>
      <c r="V189" s="281">
        <f>ROUND((157/100)*ROUND([20]Source!R182, 2), 2)</f>
        <v>29.69</v>
      </c>
    </row>
    <row r="190" spans="1:22" ht="14.25" x14ac:dyDescent="0.2">
      <c r="A190" s="301"/>
      <c r="B190" s="302"/>
      <c r="C190" s="302" t="s">
        <v>197</v>
      </c>
      <c r="D190" s="303"/>
      <c r="E190" s="286"/>
      <c r="F190" s="321">
        <v>59.79</v>
      </c>
      <c r="G190" s="305" t="s">
        <v>1548</v>
      </c>
      <c r="H190" s="286">
        <v>1</v>
      </c>
      <c r="I190" s="304">
        <v>68.760000000000005</v>
      </c>
      <c r="J190" s="286">
        <v>23.35</v>
      </c>
      <c r="K190" s="304">
        <v>1605.55</v>
      </c>
    </row>
    <row r="191" spans="1:22" ht="14.25" x14ac:dyDescent="0.2">
      <c r="A191" s="301"/>
      <c r="B191" s="302"/>
      <c r="C191" s="302" t="s">
        <v>184</v>
      </c>
      <c r="D191" s="303"/>
      <c r="E191" s="286"/>
      <c r="F191" s="321">
        <v>4.42</v>
      </c>
      <c r="G191" s="305" t="s">
        <v>1549</v>
      </c>
      <c r="H191" s="286">
        <v>1</v>
      </c>
      <c r="I191" s="304">
        <v>5.53</v>
      </c>
      <c r="J191" s="286">
        <v>8</v>
      </c>
      <c r="K191" s="304">
        <v>44.24</v>
      </c>
    </row>
    <row r="192" spans="1:22" ht="14.25" x14ac:dyDescent="0.2">
      <c r="A192" s="301"/>
      <c r="B192" s="302"/>
      <c r="C192" s="302" t="s">
        <v>189</v>
      </c>
      <c r="D192" s="303"/>
      <c r="E192" s="286"/>
      <c r="F192" s="321">
        <v>0.65</v>
      </c>
      <c r="G192" s="305" t="s">
        <v>1549</v>
      </c>
      <c r="H192" s="286">
        <v>1</v>
      </c>
      <c r="I192" s="306">
        <v>0.81</v>
      </c>
      <c r="J192" s="286">
        <v>23.35</v>
      </c>
      <c r="K192" s="306">
        <v>18.91</v>
      </c>
    </row>
    <row r="193" spans="1:22" ht="14.25" x14ac:dyDescent="0.2">
      <c r="A193" s="301"/>
      <c r="B193" s="302"/>
      <c r="C193" s="302" t="s">
        <v>205</v>
      </c>
      <c r="D193" s="303"/>
      <c r="E193" s="286"/>
      <c r="F193" s="321">
        <v>21.42</v>
      </c>
      <c r="G193" s="305" t="s">
        <v>195</v>
      </c>
      <c r="H193" s="286">
        <v>1</v>
      </c>
      <c r="I193" s="304">
        <v>21.42</v>
      </c>
      <c r="J193" s="286">
        <v>5.42</v>
      </c>
      <c r="K193" s="304">
        <v>116.1</v>
      </c>
    </row>
    <row r="194" spans="1:22" ht="14.25" x14ac:dyDescent="0.2">
      <c r="A194" s="301"/>
      <c r="B194" s="302"/>
      <c r="C194" s="302" t="s">
        <v>194</v>
      </c>
      <c r="D194" s="303" t="s">
        <v>187</v>
      </c>
      <c r="E194" s="286">
        <v>112</v>
      </c>
      <c r="F194" s="321"/>
      <c r="G194" s="305"/>
      <c r="H194" s="286"/>
      <c r="I194" s="304">
        <v>78.39</v>
      </c>
      <c r="J194" s="286">
        <v>90</v>
      </c>
      <c r="K194" s="304">
        <v>1445</v>
      </c>
    </row>
    <row r="195" spans="1:22" ht="14.25" x14ac:dyDescent="0.2">
      <c r="A195" s="301"/>
      <c r="B195" s="302"/>
      <c r="C195" s="302" t="s">
        <v>193</v>
      </c>
      <c r="D195" s="303" t="s">
        <v>187</v>
      </c>
      <c r="E195" s="286">
        <v>70</v>
      </c>
      <c r="F195" s="321"/>
      <c r="G195" s="305"/>
      <c r="H195" s="286"/>
      <c r="I195" s="304">
        <v>46.07</v>
      </c>
      <c r="J195" s="286">
        <v>41</v>
      </c>
      <c r="K195" s="304">
        <v>658.28</v>
      </c>
    </row>
    <row r="196" spans="1:22" ht="14.25" x14ac:dyDescent="0.2">
      <c r="A196" s="301"/>
      <c r="B196" s="302"/>
      <c r="C196" s="302" t="s">
        <v>188</v>
      </c>
      <c r="D196" s="303" t="s">
        <v>187</v>
      </c>
      <c r="E196" s="286">
        <v>175</v>
      </c>
      <c r="F196" s="321"/>
      <c r="G196" s="305"/>
      <c r="H196" s="286"/>
      <c r="I196" s="304">
        <v>1.42</v>
      </c>
      <c r="J196" s="286">
        <v>157</v>
      </c>
      <c r="K196" s="304">
        <v>29.69</v>
      </c>
    </row>
    <row r="197" spans="1:22" ht="14.25" x14ac:dyDescent="0.2">
      <c r="A197" s="307"/>
      <c r="B197" s="308"/>
      <c r="C197" s="308" t="s">
        <v>192</v>
      </c>
      <c r="D197" s="309" t="s">
        <v>191</v>
      </c>
      <c r="E197" s="310">
        <v>5.15</v>
      </c>
      <c r="F197" s="361"/>
      <c r="G197" s="312" t="s">
        <v>1548</v>
      </c>
      <c r="H197" s="310">
        <v>1</v>
      </c>
      <c r="I197" s="311">
        <v>5.92</v>
      </c>
      <c r="J197" s="310"/>
      <c r="K197" s="311"/>
    </row>
    <row r="198" spans="1:22" ht="15" x14ac:dyDescent="0.25">
      <c r="A198" s="313"/>
      <c r="B198" s="313"/>
      <c r="C198" s="314" t="s">
        <v>183</v>
      </c>
      <c r="D198" s="313"/>
      <c r="E198" s="313"/>
      <c r="F198" s="313"/>
      <c r="G198" s="313"/>
      <c r="H198" s="472">
        <v>221.59</v>
      </c>
      <c r="I198" s="472"/>
      <c r="J198" s="472">
        <v>3898.86</v>
      </c>
      <c r="K198" s="472"/>
      <c r="O198" s="284">
        <f>I190+I191+I193+I194+I195+I196</f>
        <v>221.59</v>
      </c>
      <c r="P198" s="284">
        <f>K190+K191+K193+K194+K195+K196</f>
        <v>3898.86</v>
      </c>
    </row>
    <row r="200" spans="1:22" ht="65.25" x14ac:dyDescent="0.2">
      <c r="A200" s="301" t="s">
        <v>1534</v>
      </c>
      <c r="B200" s="302" t="s">
        <v>1499</v>
      </c>
      <c r="C200" s="302" t="s">
        <v>965</v>
      </c>
      <c r="D200" s="303" t="s">
        <v>1903</v>
      </c>
      <c r="E200" s="286">
        <v>12</v>
      </c>
      <c r="F200" s="321"/>
      <c r="G200" s="305"/>
      <c r="H200" s="286"/>
      <c r="I200" s="304"/>
      <c r="J200" s="286"/>
      <c r="K200" s="304"/>
      <c r="Q200" s="281">
        <f>[20]Source!X183</f>
        <v>106.35</v>
      </c>
      <c r="R200" s="281">
        <f>[20]Source!X184</f>
        <v>1960.49</v>
      </c>
      <c r="S200" s="281">
        <f>[20]Source!Y183</f>
        <v>62.5</v>
      </c>
      <c r="T200" s="281">
        <f>[20]Source!Y184</f>
        <v>893.11</v>
      </c>
      <c r="U200" s="281">
        <f>ROUND((175/100)*ROUND([20]Source!R183, 2), 2)</f>
        <v>0</v>
      </c>
      <c r="V200" s="281">
        <f>ROUND((157/100)*ROUND([20]Source!R184, 2), 2)</f>
        <v>0</v>
      </c>
    </row>
    <row r="201" spans="1:22" ht="14.25" x14ac:dyDescent="0.2">
      <c r="A201" s="301"/>
      <c r="B201" s="302"/>
      <c r="C201" s="302" t="s">
        <v>197</v>
      </c>
      <c r="D201" s="303"/>
      <c r="E201" s="286"/>
      <c r="F201" s="321">
        <v>6.76</v>
      </c>
      <c r="G201" s="305" t="s">
        <v>1548</v>
      </c>
      <c r="H201" s="286">
        <v>1</v>
      </c>
      <c r="I201" s="304">
        <v>93.29</v>
      </c>
      <c r="J201" s="286">
        <v>23.35</v>
      </c>
      <c r="K201" s="304">
        <v>2178.3200000000002</v>
      </c>
    </row>
    <row r="202" spans="1:22" ht="14.25" x14ac:dyDescent="0.2">
      <c r="A202" s="301"/>
      <c r="B202" s="302"/>
      <c r="C202" s="302" t="s">
        <v>205</v>
      </c>
      <c r="D202" s="303"/>
      <c r="E202" s="286"/>
      <c r="F202" s="321">
        <v>0.35</v>
      </c>
      <c r="G202" s="305" t="s">
        <v>195</v>
      </c>
      <c r="H202" s="286">
        <v>1</v>
      </c>
      <c r="I202" s="304">
        <v>4.2</v>
      </c>
      <c r="J202" s="286">
        <v>5.43</v>
      </c>
      <c r="K202" s="304">
        <v>22.81</v>
      </c>
    </row>
    <row r="203" spans="1:22" ht="14.25" x14ac:dyDescent="0.2">
      <c r="A203" s="301"/>
      <c r="B203" s="302"/>
      <c r="C203" s="302" t="s">
        <v>194</v>
      </c>
      <c r="D203" s="303" t="s">
        <v>187</v>
      </c>
      <c r="E203" s="286">
        <v>112</v>
      </c>
      <c r="F203" s="321"/>
      <c r="G203" s="305"/>
      <c r="H203" s="286"/>
      <c r="I203" s="304">
        <v>106.35</v>
      </c>
      <c r="J203" s="286">
        <v>90</v>
      </c>
      <c r="K203" s="304">
        <v>1960.49</v>
      </c>
    </row>
    <row r="204" spans="1:22" ht="14.25" x14ac:dyDescent="0.2">
      <c r="A204" s="301"/>
      <c r="B204" s="302"/>
      <c r="C204" s="302" t="s">
        <v>193</v>
      </c>
      <c r="D204" s="303" t="s">
        <v>187</v>
      </c>
      <c r="E204" s="286">
        <v>70</v>
      </c>
      <c r="F204" s="321"/>
      <c r="G204" s="305"/>
      <c r="H204" s="286"/>
      <c r="I204" s="304">
        <v>62.5</v>
      </c>
      <c r="J204" s="286">
        <v>41</v>
      </c>
      <c r="K204" s="304">
        <v>893.11</v>
      </c>
    </row>
    <row r="205" spans="1:22" ht="14.25" x14ac:dyDescent="0.2">
      <c r="A205" s="307"/>
      <c r="B205" s="308"/>
      <c r="C205" s="308" t="s">
        <v>192</v>
      </c>
      <c r="D205" s="309" t="s">
        <v>191</v>
      </c>
      <c r="E205" s="310">
        <v>0.52</v>
      </c>
      <c r="F205" s="361"/>
      <c r="G205" s="312" t="s">
        <v>1548</v>
      </c>
      <c r="H205" s="310">
        <v>1</v>
      </c>
      <c r="I205" s="311">
        <v>7.18</v>
      </c>
      <c r="J205" s="310"/>
      <c r="K205" s="311"/>
    </row>
    <row r="206" spans="1:22" ht="15" x14ac:dyDescent="0.25">
      <c r="A206" s="313"/>
      <c r="B206" s="313"/>
      <c r="C206" s="314" t="s">
        <v>183</v>
      </c>
      <c r="D206" s="313"/>
      <c r="E206" s="313"/>
      <c r="F206" s="313"/>
      <c r="G206" s="313"/>
      <c r="H206" s="472">
        <v>266.33999999999997</v>
      </c>
      <c r="I206" s="472"/>
      <c r="J206" s="472">
        <v>5054.7299999999996</v>
      </c>
      <c r="K206" s="472"/>
      <c r="O206" s="284">
        <f>I201+I202+I203+I204</f>
        <v>266.33999999999997</v>
      </c>
      <c r="P206" s="284">
        <f>K201+K202+K203+K204</f>
        <v>5054.7299999999996</v>
      </c>
    </row>
    <row r="208" spans="1:22" ht="65.25" x14ac:dyDescent="0.2">
      <c r="A208" s="301" t="s">
        <v>104</v>
      </c>
      <c r="B208" s="302" t="s">
        <v>1474</v>
      </c>
      <c r="C208" s="302" t="s">
        <v>1247</v>
      </c>
      <c r="D208" s="303" t="s">
        <v>1903</v>
      </c>
      <c r="E208" s="286">
        <v>1</v>
      </c>
      <c r="F208" s="321"/>
      <c r="G208" s="305"/>
      <c r="H208" s="286"/>
      <c r="I208" s="304"/>
      <c r="J208" s="286"/>
      <c r="K208" s="304"/>
      <c r="Q208" s="281">
        <f>[20]Source!X185</f>
        <v>35.11</v>
      </c>
      <c r="R208" s="281">
        <f>[20]Source!X186</f>
        <v>647.26</v>
      </c>
      <c r="S208" s="281">
        <f>[20]Source!Y185</f>
        <v>20.64</v>
      </c>
      <c r="T208" s="281">
        <f>[20]Source!Y186</f>
        <v>294.86</v>
      </c>
      <c r="U208" s="281">
        <f>ROUND((175/100)*ROUND([20]Source!R185, 2), 2)</f>
        <v>0</v>
      </c>
      <c r="V208" s="281">
        <f>ROUND((157/100)*ROUND([20]Source!R186, 2), 2)</f>
        <v>0</v>
      </c>
    </row>
    <row r="209" spans="1:22" ht="14.25" x14ac:dyDescent="0.2">
      <c r="A209" s="301"/>
      <c r="B209" s="302"/>
      <c r="C209" s="302" t="s">
        <v>197</v>
      </c>
      <c r="D209" s="303"/>
      <c r="E209" s="286"/>
      <c r="F209" s="321">
        <v>26.78</v>
      </c>
      <c r="G209" s="305" t="s">
        <v>1548</v>
      </c>
      <c r="H209" s="286">
        <v>1</v>
      </c>
      <c r="I209" s="304">
        <v>30.8</v>
      </c>
      <c r="J209" s="286">
        <v>23.35</v>
      </c>
      <c r="K209" s="304">
        <v>719.18</v>
      </c>
    </row>
    <row r="210" spans="1:22" ht="14.25" x14ac:dyDescent="0.2">
      <c r="A210" s="301"/>
      <c r="B210" s="302"/>
      <c r="C210" s="302" t="s">
        <v>205</v>
      </c>
      <c r="D210" s="303"/>
      <c r="E210" s="286"/>
      <c r="F210" s="321">
        <v>0.28000000000000003</v>
      </c>
      <c r="G210" s="305" t="s">
        <v>195</v>
      </c>
      <c r="H210" s="286">
        <v>1</v>
      </c>
      <c r="I210" s="304">
        <v>0.28000000000000003</v>
      </c>
      <c r="J210" s="286">
        <v>5.43</v>
      </c>
      <c r="K210" s="304">
        <v>1.52</v>
      </c>
    </row>
    <row r="211" spans="1:22" ht="14.25" x14ac:dyDescent="0.2">
      <c r="A211" s="301"/>
      <c r="B211" s="302"/>
      <c r="C211" s="302" t="s">
        <v>194</v>
      </c>
      <c r="D211" s="303" t="s">
        <v>187</v>
      </c>
      <c r="E211" s="286">
        <v>112</v>
      </c>
      <c r="F211" s="321"/>
      <c r="G211" s="305"/>
      <c r="H211" s="286"/>
      <c r="I211" s="304">
        <v>35.11</v>
      </c>
      <c r="J211" s="286">
        <v>90</v>
      </c>
      <c r="K211" s="304">
        <v>647.26</v>
      </c>
    </row>
    <row r="212" spans="1:22" ht="14.25" x14ac:dyDescent="0.2">
      <c r="A212" s="301"/>
      <c r="B212" s="302"/>
      <c r="C212" s="302" t="s">
        <v>193</v>
      </c>
      <c r="D212" s="303" t="s">
        <v>187</v>
      </c>
      <c r="E212" s="286">
        <v>70</v>
      </c>
      <c r="F212" s="321"/>
      <c r="G212" s="305"/>
      <c r="H212" s="286"/>
      <c r="I212" s="304">
        <v>20.64</v>
      </c>
      <c r="J212" s="286">
        <v>41</v>
      </c>
      <c r="K212" s="304">
        <v>294.86</v>
      </c>
    </row>
    <row r="213" spans="1:22" ht="14.25" x14ac:dyDescent="0.2">
      <c r="A213" s="307"/>
      <c r="B213" s="308"/>
      <c r="C213" s="308" t="s">
        <v>192</v>
      </c>
      <c r="D213" s="309" t="s">
        <v>191</v>
      </c>
      <c r="E213" s="310">
        <v>2.06</v>
      </c>
      <c r="F213" s="361"/>
      <c r="G213" s="312" t="s">
        <v>1548</v>
      </c>
      <c r="H213" s="310">
        <v>1</v>
      </c>
      <c r="I213" s="311">
        <v>2.37</v>
      </c>
      <c r="J213" s="310"/>
      <c r="K213" s="311"/>
    </row>
    <row r="214" spans="1:22" ht="15" x14ac:dyDescent="0.25">
      <c r="A214" s="313"/>
      <c r="B214" s="313"/>
      <c r="C214" s="314" t="s">
        <v>183</v>
      </c>
      <c r="D214" s="313"/>
      <c r="E214" s="313"/>
      <c r="F214" s="313"/>
      <c r="G214" s="313"/>
      <c r="H214" s="472">
        <v>86.83</v>
      </c>
      <c r="I214" s="472"/>
      <c r="J214" s="472">
        <v>1662.82</v>
      </c>
      <c r="K214" s="472"/>
      <c r="O214" s="284">
        <f>I209+I210+I211+I212</f>
        <v>86.83</v>
      </c>
      <c r="P214" s="284">
        <f>K209+K210+K211+K212</f>
        <v>1662.82</v>
      </c>
    </row>
    <row r="216" spans="1:22" ht="65.25" x14ac:dyDescent="0.2">
      <c r="A216" s="301" t="s">
        <v>1546</v>
      </c>
      <c r="B216" s="302" t="s">
        <v>1473</v>
      </c>
      <c r="C216" s="302" t="s">
        <v>1472</v>
      </c>
      <c r="D216" s="303" t="s">
        <v>1903</v>
      </c>
      <c r="E216" s="286">
        <v>1</v>
      </c>
      <c r="F216" s="321"/>
      <c r="G216" s="305"/>
      <c r="H216" s="286"/>
      <c r="I216" s="304"/>
      <c r="J216" s="286"/>
      <c r="K216" s="304"/>
      <c r="Q216" s="281">
        <f>[20]Source!X187</f>
        <v>7.62</v>
      </c>
      <c r="R216" s="281">
        <f>[20]Source!X188</f>
        <v>140.38</v>
      </c>
      <c r="S216" s="281">
        <f>[20]Source!Y187</f>
        <v>4.4800000000000004</v>
      </c>
      <c r="T216" s="281">
        <f>[20]Source!Y188</f>
        <v>63.95</v>
      </c>
      <c r="U216" s="281">
        <f>ROUND((175/100)*ROUND([20]Source!R187, 2), 2)</f>
        <v>12.09</v>
      </c>
      <c r="V216" s="281">
        <f>ROUND((157/100)*ROUND([20]Source!R188, 2), 2)</f>
        <v>253.32</v>
      </c>
    </row>
    <row r="217" spans="1:22" ht="14.25" x14ac:dyDescent="0.2">
      <c r="A217" s="301"/>
      <c r="B217" s="302"/>
      <c r="C217" s="302" t="s">
        <v>197</v>
      </c>
      <c r="D217" s="303"/>
      <c r="E217" s="286"/>
      <c r="F217" s="321">
        <v>5.81</v>
      </c>
      <c r="G217" s="305" t="s">
        <v>1548</v>
      </c>
      <c r="H217" s="286">
        <v>1</v>
      </c>
      <c r="I217" s="304">
        <v>6.68</v>
      </c>
      <c r="J217" s="286">
        <v>23.35</v>
      </c>
      <c r="K217" s="304">
        <v>155.97999999999999</v>
      </c>
    </row>
    <row r="218" spans="1:22" ht="14.25" x14ac:dyDescent="0.2">
      <c r="A218" s="301"/>
      <c r="B218" s="302"/>
      <c r="C218" s="302" t="s">
        <v>184</v>
      </c>
      <c r="D218" s="303"/>
      <c r="E218" s="286"/>
      <c r="F218" s="321">
        <v>27.61</v>
      </c>
      <c r="G218" s="305" t="s">
        <v>1549</v>
      </c>
      <c r="H218" s="286">
        <v>1</v>
      </c>
      <c r="I218" s="304">
        <v>34.51</v>
      </c>
      <c r="J218" s="286">
        <v>8.9600000000000009</v>
      </c>
      <c r="K218" s="304">
        <v>309.20999999999998</v>
      </c>
    </row>
    <row r="219" spans="1:22" ht="14.25" x14ac:dyDescent="0.2">
      <c r="A219" s="301"/>
      <c r="B219" s="302"/>
      <c r="C219" s="302" t="s">
        <v>189</v>
      </c>
      <c r="D219" s="303"/>
      <c r="E219" s="286"/>
      <c r="F219" s="321">
        <v>5.53</v>
      </c>
      <c r="G219" s="305" t="s">
        <v>1549</v>
      </c>
      <c r="H219" s="286">
        <v>1</v>
      </c>
      <c r="I219" s="306">
        <v>6.91</v>
      </c>
      <c r="J219" s="286">
        <v>23.35</v>
      </c>
      <c r="K219" s="306">
        <v>161.35</v>
      </c>
    </row>
    <row r="220" spans="1:22" ht="14.25" x14ac:dyDescent="0.2">
      <c r="A220" s="301"/>
      <c r="B220" s="302"/>
      <c r="C220" s="302" t="s">
        <v>205</v>
      </c>
      <c r="D220" s="303"/>
      <c r="E220" s="286"/>
      <c r="F220" s="321">
        <v>1.89</v>
      </c>
      <c r="G220" s="305" t="s">
        <v>195</v>
      </c>
      <c r="H220" s="286">
        <v>1</v>
      </c>
      <c r="I220" s="304">
        <v>1.89</v>
      </c>
      <c r="J220" s="286">
        <v>5.42</v>
      </c>
      <c r="K220" s="304">
        <v>10.24</v>
      </c>
    </row>
    <row r="221" spans="1:22" ht="14.25" x14ac:dyDescent="0.2">
      <c r="A221" s="301"/>
      <c r="B221" s="302"/>
      <c r="C221" s="302" t="s">
        <v>194</v>
      </c>
      <c r="D221" s="303" t="s">
        <v>187</v>
      </c>
      <c r="E221" s="286">
        <v>112</v>
      </c>
      <c r="F221" s="321"/>
      <c r="G221" s="305"/>
      <c r="H221" s="286"/>
      <c r="I221" s="304">
        <v>7.62</v>
      </c>
      <c r="J221" s="286">
        <v>90</v>
      </c>
      <c r="K221" s="304">
        <v>140.38</v>
      </c>
    </row>
    <row r="222" spans="1:22" ht="14.25" x14ac:dyDescent="0.2">
      <c r="A222" s="301"/>
      <c r="B222" s="302"/>
      <c r="C222" s="302" t="s">
        <v>193</v>
      </c>
      <c r="D222" s="303" t="s">
        <v>187</v>
      </c>
      <c r="E222" s="286">
        <v>70</v>
      </c>
      <c r="F222" s="321"/>
      <c r="G222" s="305"/>
      <c r="H222" s="286"/>
      <c r="I222" s="304">
        <v>4.4800000000000004</v>
      </c>
      <c r="J222" s="286">
        <v>41</v>
      </c>
      <c r="K222" s="304">
        <v>63.95</v>
      </c>
    </row>
    <row r="223" spans="1:22" ht="14.25" x14ac:dyDescent="0.2">
      <c r="A223" s="301"/>
      <c r="B223" s="302"/>
      <c r="C223" s="302" t="s">
        <v>188</v>
      </c>
      <c r="D223" s="303" t="s">
        <v>187</v>
      </c>
      <c r="E223" s="286">
        <v>175</v>
      </c>
      <c r="F223" s="321"/>
      <c r="G223" s="305"/>
      <c r="H223" s="286"/>
      <c r="I223" s="304">
        <v>12.09</v>
      </c>
      <c r="J223" s="286">
        <v>157</v>
      </c>
      <c r="K223" s="304">
        <v>253.32</v>
      </c>
    </row>
    <row r="224" spans="1:22" ht="14.25" x14ac:dyDescent="0.2">
      <c r="A224" s="307"/>
      <c r="B224" s="308"/>
      <c r="C224" s="308" t="s">
        <v>192</v>
      </c>
      <c r="D224" s="309" t="s">
        <v>191</v>
      </c>
      <c r="E224" s="310">
        <v>0.52</v>
      </c>
      <c r="F224" s="361"/>
      <c r="G224" s="312" t="s">
        <v>1548</v>
      </c>
      <c r="H224" s="310">
        <v>1</v>
      </c>
      <c r="I224" s="311">
        <v>0.6</v>
      </c>
      <c r="J224" s="310"/>
      <c r="K224" s="311"/>
    </row>
    <row r="225" spans="1:22" ht="15" x14ac:dyDescent="0.25">
      <c r="A225" s="313"/>
      <c r="B225" s="313"/>
      <c r="C225" s="314" t="s">
        <v>183</v>
      </c>
      <c r="D225" s="313"/>
      <c r="E225" s="313"/>
      <c r="F225" s="313"/>
      <c r="G225" s="313"/>
      <c r="H225" s="472">
        <v>67.27</v>
      </c>
      <c r="I225" s="472"/>
      <c r="J225" s="472">
        <v>933.08</v>
      </c>
      <c r="K225" s="472"/>
      <c r="O225" s="284">
        <f>I217+I218+I220+I221+I222+I223</f>
        <v>67.27</v>
      </c>
      <c r="P225" s="284">
        <f>K217+K218+K220+K221+K222+K223</f>
        <v>933.08</v>
      </c>
    </row>
    <row r="227" spans="1:22" ht="81" x14ac:dyDescent="0.2">
      <c r="A227" s="275" t="s">
        <v>105</v>
      </c>
      <c r="B227" s="276" t="s">
        <v>3752</v>
      </c>
      <c r="C227" s="276" t="s">
        <v>1509</v>
      </c>
      <c r="D227" s="277" t="s">
        <v>3240</v>
      </c>
      <c r="E227" s="278">
        <v>1</v>
      </c>
      <c r="F227" s="362">
        <v>40839.58</v>
      </c>
      <c r="G227" s="280" t="s">
        <v>195</v>
      </c>
      <c r="H227" s="278">
        <v>1</v>
      </c>
      <c r="I227" s="279">
        <v>40839.58</v>
      </c>
      <c r="J227" s="278">
        <v>4.4000000000000004</v>
      </c>
      <c r="K227" s="279">
        <v>179694.15</v>
      </c>
      <c r="Q227" s="281">
        <f>[20]Source!X189</f>
        <v>0</v>
      </c>
      <c r="R227" s="281">
        <f>[20]Source!X190</f>
        <v>0</v>
      </c>
      <c r="S227" s="281">
        <f>[20]Source!Y189</f>
        <v>0</v>
      </c>
      <c r="T227" s="281">
        <f>[20]Source!Y190</f>
        <v>0</v>
      </c>
      <c r="U227" s="281">
        <f>ROUND((175/100)*ROUND([20]Source!R189, 2), 2)</f>
        <v>0</v>
      </c>
      <c r="V227" s="281">
        <f>ROUND((157/100)*ROUND([20]Source!R190, 2), 2)</f>
        <v>0</v>
      </c>
    </row>
    <row r="228" spans="1:22" ht="15" x14ac:dyDescent="0.25">
      <c r="A228" s="282"/>
      <c r="B228" s="282"/>
      <c r="C228" s="283" t="s">
        <v>183</v>
      </c>
      <c r="D228" s="282"/>
      <c r="E228" s="282"/>
      <c r="F228" s="282"/>
      <c r="G228" s="282"/>
      <c r="H228" s="473">
        <v>40839.58</v>
      </c>
      <c r="I228" s="473"/>
      <c r="J228" s="473">
        <v>179694.15</v>
      </c>
      <c r="K228" s="473"/>
      <c r="O228" s="284">
        <f>I227</f>
        <v>40839.58</v>
      </c>
      <c r="P228" s="284">
        <f>K227</f>
        <v>179694.15</v>
      </c>
    </row>
    <row r="231" spans="1:22" ht="15" x14ac:dyDescent="0.25">
      <c r="A231" s="447" t="s">
        <v>3759</v>
      </c>
      <c r="B231" s="447"/>
      <c r="C231" s="447"/>
      <c r="D231" s="447"/>
      <c r="E231" s="447"/>
      <c r="F231" s="447"/>
      <c r="G231" s="447"/>
      <c r="H231" s="445">
        <v>41481.61</v>
      </c>
      <c r="I231" s="446"/>
      <c r="J231" s="445">
        <v>191243.64</v>
      </c>
      <c r="K231" s="446"/>
    </row>
    <row r="232" spans="1:22" hidden="1" x14ac:dyDescent="0.2">
      <c r="A232" s="281" t="s">
        <v>182</v>
      </c>
      <c r="I232" s="281">
        <v>0</v>
      </c>
      <c r="J232" s="281">
        <v>0</v>
      </c>
    </row>
    <row r="233" spans="1:22" hidden="1" x14ac:dyDescent="0.2">
      <c r="A233" s="281" t="s">
        <v>181</v>
      </c>
      <c r="I233" s="281">
        <v>0</v>
      </c>
      <c r="J233" s="281">
        <v>0</v>
      </c>
    </row>
    <row r="235" spans="1:22" ht="16.5" x14ac:dyDescent="0.25">
      <c r="A235" s="448" t="s">
        <v>3760</v>
      </c>
      <c r="B235" s="448"/>
      <c r="C235" s="448"/>
      <c r="D235" s="448"/>
      <c r="E235" s="448"/>
      <c r="F235" s="448"/>
      <c r="G235" s="448"/>
      <c r="H235" s="448"/>
      <c r="I235" s="448"/>
      <c r="J235" s="448"/>
      <c r="K235" s="448"/>
    </row>
    <row r="236" spans="1:22" ht="65.25" x14ac:dyDescent="0.2">
      <c r="A236" s="301" t="s">
        <v>719</v>
      </c>
      <c r="B236" s="302" t="s">
        <v>1476</v>
      </c>
      <c r="C236" s="302" t="s">
        <v>1475</v>
      </c>
      <c r="D236" s="303" t="s">
        <v>1903</v>
      </c>
      <c r="E236" s="286">
        <v>1</v>
      </c>
      <c r="F236" s="321"/>
      <c r="G236" s="305"/>
      <c r="H236" s="286"/>
      <c r="I236" s="304"/>
      <c r="J236" s="286"/>
      <c r="K236" s="304"/>
      <c r="Q236" s="281">
        <f>[20]Source!X226</f>
        <v>78.39</v>
      </c>
      <c r="R236" s="281">
        <f>[20]Source!X227</f>
        <v>1445</v>
      </c>
      <c r="S236" s="281">
        <f>[20]Source!Y226</f>
        <v>46.07</v>
      </c>
      <c r="T236" s="281">
        <f>[20]Source!Y227</f>
        <v>658.28</v>
      </c>
      <c r="U236" s="281">
        <f>ROUND((175/100)*ROUND([20]Source!R226, 2), 2)</f>
        <v>1.42</v>
      </c>
      <c r="V236" s="281">
        <f>ROUND((157/100)*ROUND([20]Source!R227, 2), 2)</f>
        <v>29.69</v>
      </c>
    </row>
    <row r="237" spans="1:22" ht="14.25" x14ac:dyDescent="0.2">
      <c r="A237" s="301"/>
      <c r="B237" s="302"/>
      <c r="C237" s="302" t="s">
        <v>197</v>
      </c>
      <c r="D237" s="303"/>
      <c r="E237" s="286"/>
      <c r="F237" s="321">
        <v>59.79</v>
      </c>
      <c r="G237" s="305" t="s">
        <v>1548</v>
      </c>
      <c r="H237" s="286">
        <v>1</v>
      </c>
      <c r="I237" s="304">
        <v>68.760000000000005</v>
      </c>
      <c r="J237" s="286">
        <v>23.35</v>
      </c>
      <c r="K237" s="304">
        <v>1605.55</v>
      </c>
    </row>
    <row r="238" spans="1:22" ht="14.25" x14ac:dyDescent="0.2">
      <c r="A238" s="301"/>
      <c r="B238" s="302"/>
      <c r="C238" s="302" t="s">
        <v>184</v>
      </c>
      <c r="D238" s="303"/>
      <c r="E238" s="286"/>
      <c r="F238" s="321">
        <v>4.42</v>
      </c>
      <c r="G238" s="305" t="s">
        <v>1549</v>
      </c>
      <c r="H238" s="286">
        <v>1</v>
      </c>
      <c r="I238" s="304">
        <v>5.53</v>
      </c>
      <c r="J238" s="286">
        <v>8</v>
      </c>
      <c r="K238" s="304">
        <v>44.24</v>
      </c>
    </row>
    <row r="239" spans="1:22" ht="14.25" x14ac:dyDescent="0.2">
      <c r="A239" s="301"/>
      <c r="B239" s="302"/>
      <c r="C239" s="302" t="s">
        <v>189</v>
      </c>
      <c r="D239" s="303"/>
      <c r="E239" s="286"/>
      <c r="F239" s="321">
        <v>0.65</v>
      </c>
      <c r="G239" s="305" t="s">
        <v>1549</v>
      </c>
      <c r="H239" s="286">
        <v>1</v>
      </c>
      <c r="I239" s="306">
        <v>0.81</v>
      </c>
      <c r="J239" s="286">
        <v>23.35</v>
      </c>
      <c r="K239" s="306">
        <v>18.91</v>
      </c>
    </row>
    <row r="240" spans="1:22" ht="14.25" x14ac:dyDescent="0.2">
      <c r="A240" s="301"/>
      <c r="B240" s="302"/>
      <c r="C240" s="302" t="s">
        <v>205</v>
      </c>
      <c r="D240" s="303"/>
      <c r="E240" s="286"/>
      <c r="F240" s="321">
        <v>21.42</v>
      </c>
      <c r="G240" s="305" t="s">
        <v>195</v>
      </c>
      <c r="H240" s="286">
        <v>1</v>
      </c>
      <c r="I240" s="304">
        <v>21.42</v>
      </c>
      <c r="J240" s="286">
        <v>5.42</v>
      </c>
      <c r="K240" s="304">
        <v>116.1</v>
      </c>
    </row>
    <row r="241" spans="1:22" ht="14.25" x14ac:dyDescent="0.2">
      <c r="A241" s="301"/>
      <c r="B241" s="302"/>
      <c r="C241" s="302" t="s">
        <v>194</v>
      </c>
      <c r="D241" s="303" t="s">
        <v>187</v>
      </c>
      <c r="E241" s="286">
        <v>112</v>
      </c>
      <c r="F241" s="321"/>
      <c r="G241" s="305"/>
      <c r="H241" s="286"/>
      <c r="I241" s="304">
        <v>78.39</v>
      </c>
      <c r="J241" s="286">
        <v>90</v>
      </c>
      <c r="K241" s="304">
        <v>1445</v>
      </c>
    </row>
    <row r="242" spans="1:22" ht="14.25" x14ac:dyDescent="0.2">
      <c r="A242" s="301"/>
      <c r="B242" s="302"/>
      <c r="C242" s="302" t="s">
        <v>193</v>
      </c>
      <c r="D242" s="303" t="s">
        <v>187</v>
      </c>
      <c r="E242" s="286">
        <v>70</v>
      </c>
      <c r="F242" s="321"/>
      <c r="G242" s="305"/>
      <c r="H242" s="286"/>
      <c r="I242" s="304">
        <v>46.07</v>
      </c>
      <c r="J242" s="286">
        <v>41</v>
      </c>
      <c r="K242" s="304">
        <v>658.28</v>
      </c>
    </row>
    <row r="243" spans="1:22" ht="14.25" x14ac:dyDescent="0.2">
      <c r="A243" s="301"/>
      <c r="B243" s="302"/>
      <c r="C243" s="302" t="s">
        <v>188</v>
      </c>
      <c r="D243" s="303" t="s">
        <v>187</v>
      </c>
      <c r="E243" s="286">
        <v>175</v>
      </c>
      <c r="F243" s="321"/>
      <c r="G243" s="305"/>
      <c r="H243" s="286"/>
      <c r="I243" s="304">
        <v>1.42</v>
      </c>
      <c r="J243" s="286">
        <v>157</v>
      </c>
      <c r="K243" s="304">
        <v>29.69</v>
      </c>
    </row>
    <row r="244" spans="1:22" ht="14.25" x14ac:dyDescent="0.2">
      <c r="A244" s="307"/>
      <c r="B244" s="308"/>
      <c r="C244" s="308" t="s">
        <v>192</v>
      </c>
      <c r="D244" s="309" t="s">
        <v>191</v>
      </c>
      <c r="E244" s="310">
        <v>5.15</v>
      </c>
      <c r="F244" s="361"/>
      <c r="G244" s="312" t="s">
        <v>1548</v>
      </c>
      <c r="H244" s="310">
        <v>1</v>
      </c>
      <c r="I244" s="311">
        <v>5.92</v>
      </c>
      <c r="J244" s="310"/>
      <c r="K244" s="311"/>
    </row>
    <row r="245" spans="1:22" ht="15" x14ac:dyDescent="0.25">
      <c r="A245" s="313"/>
      <c r="B245" s="313"/>
      <c r="C245" s="314" t="s">
        <v>183</v>
      </c>
      <c r="D245" s="313"/>
      <c r="E245" s="313"/>
      <c r="F245" s="313"/>
      <c r="G245" s="313"/>
      <c r="H245" s="472">
        <v>221.59</v>
      </c>
      <c r="I245" s="472"/>
      <c r="J245" s="472">
        <v>3898.86</v>
      </c>
      <c r="K245" s="472"/>
      <c r="O245" s="284">
        <f>I237+I238+I240+I241+I242+I243</f>
        <v>221.59</v>
      </c>
      <c r="P245" s="284">
        <f>K237+K238+K240+K241+K242+K243</f>
        <v>3898.86</v>
      </c>
    </row>
    <row r="247" spans="1:22" ht="65.25" x14ac:dyDescent="0.2">
      <c r="A247" s="301" t="s">
        <v>1534</v>
      </c>
      <c r="B247" s="302" t="s">
        <v>1499</v>
      </c>
      <c r="C247" s="302" t="s">
        <v>965</v>
      </c>
      <c r="D247" s="303" t="s">
        <v>1903</v>
      </c>
      <c r="E247" s="286">
        <v>11</v>
      </c>
      <c r="F247" s="321"/>
      <c r="G247" s="305"/>
      <c r="H247" s="286"/>
      <c r="I247" s="304"/>
      <c r="J247" s="286"/>
      <c r="K247" s="304"/>
      <c r="Q247" s="281">
        <f>[20]Source!X228</f>
        <v>97.48</v>
      </c>
      <c r="R247" s="281">
        <f>[20]Source!X229</f>
        <v>1796.99</v>
      </c>
      <c r="S247" s="281">
        <f>[20]Source!Y228</f>
        <v>57.29</v>
      </c>
      <c r="T247" s="281">
        <f>[20]Source!Y229</f>
        <v>818.63</v>
      </c>
      <c r="U247" s="281">
        <f>ROUND((175/100)*ROUND([20]Source!R228, 2), 2)</f>
        <v>0</v>
      </c>
      <c r="V247" s="281">
        <f>ROUND((157/100)*ROUND([20]Source!R229, 2), 2)</f>
        <v>0</v>
      </c>
    </row>
    <row r="248" spans="1:22" ht="14.25" x14ac:dyDescent="0.2">
      <c r="A248" s="301"/>
      <c r="B248" s="302"/>
      <c r="C248" s="302" t="s">
        <v>197</v>
      </c>
      <c r="D248" s="303"/>
      <c r="E248" s="286"/>
      <c r="F248" s="321">
        <v>6.76</v>
      </c>
      <c r="G248" s="305" t="s">
        <v>1548</v>
      </c>
      <c r="H248" s="286">
        <v>1</v>
      </c>
      <c r="I248" s="304">
        <v>85.51</v>
      </c>
      <c r="J248" s="286">
        <v>23.35</v>
      </c>
      <c r="K248" s="304">
        <v>1996.66</v>
      </c>
    </row>
    <row r="249" spans="1:22" ht="14.25" x14ac:dyDescent="0.2">
      <c r="A249" s="301"/>
      <c r="B249" s="302"/>
      <c r="C249" s="302" t="s">
        <v>205</v>
      </c>
      <c r="D249" s="303"/>
      <c r="E249" s="286"/>
      <c r="F249" s="321">
        <v>0.35</v>
      </c>
      <c r="G249" s="305" t="s">
        <v>195</v>
      </c>
      <c r="H249" s="286">
        <v>1</v>
      </c>
      <c r="I249" s="304">
        <v>3.85</v>
      </c>
      <c r="J249" s="286">
        <v>5.43</v>
      </c>
      <c r="K249" s="304">
        <v>20.91</v>
      </c>
    </row>
    <row r="250" spans="1:22" ht="14.25" x14ac:dyDescent="0.2">
      <c r="A250" s="301"/>
      <c r="B250" s="302"/>
      <c r="C250" s="302" t="s">
        <v>194</v>
      </c>
      <c r="D250" s="303" t="s">
        <v>187</v>
      </c>
      <c r="E250" s="286">
        <v>112</v>
      </c>
      <c r="F250" s="321"/>
      <c r="G250" s="305"/>
      <c r="H250" s="286"/>
      <c r="I250" s="304">
        <v>97.48</v>
      </c>
      <c r="J250" s="286">
        <v>90</v>
      </c>
      <c r="K250" s="304">
        <v>1796.99</v>
      </c>
    </row>
    <row r="251" spans="1:22" ht="14.25" x14ac:dyDescent="0.2">
      <c r="A251" s="301"/>
      <c r="B251" s="302"/>
      <c r="C251" s="302" t="s">
        <v>193</v>
      </c>
      <c r="D251" s="303" t="s">
        <v>187</v>
      </c>
      <c r="E251" s="286">
        <v>70</v>
      </c>
      <c r="F251" s="321"/>
      <c r="G251" s="305"/>
      <c r="H251" s="286"/>
      <c r="I251" s="304">
        <v>57.29</v>
      </c>
      <c r="J251" s="286">
        <v>41</v>
      </c>
      <c r="K251" s="304">
        <v>818.63</v>
      </c>
    </row>
    <row r="252" spans="1:22" ht="14.25" x14ac:dyDescent="0.2">
      <c r="A252" s="307"/>
      <c r="B252" s="308"/>
      <c r="C252" s="308" t="s">
        <v>192</v>
      </c>
      <c r="D252" s="309" t="s">
        <v>191</v>
      </c>
      <c r="E252" s="310">
        <v>0.52</v>
      </c>
      <c r="F252" s="361"/>
      <c r="G252" s="312" t="s">
        <v>1548</v>
      </c>
      <c r="H252" s="310">
        <v>1</v>
      </c>
      <c r="I252" s="311">
        <v>6.58</v>
      </c>
      <c r="J252" s="310"/>
      <c r="K252" s="311"/>
    </row>
    <row r="253" spans="1:22" ht="15" x14ac:dyDescent="0.25">
      <c r="A253" s="313"/>
      <c r="B253" s="313"/>
      <c r="C253" s="314" t="s">
        <v>183</v>
      </c>
      <c r="D253" s="313"/>
      <c r="E253" s="313"/>
      <c r="F253" s="313"/>
      <c r="G253" s="313"/>
      <c r="H253" s="472">
        <v>244.13</v>
      </c>
      <c r="I253" s="472"/>
      <c r="J253" s="472">
        <v>4633.1899999999996</v>
      </c>
      <c r="K253" s="472"/>
      <c r="O253" s="284">
        <f>I248+I249+I250+I251</f>
        <v>244.13</v>
      </c>
      <c r="P253" s="284">
        <f>K248+K249+K250+K251</f>
        <v>4633.1899999999996</v>
      </c>
    </row>
    <row r="255" spans="1:22" ht="65.25" x14ac:dyDescent="0.2">
      <c r="A255" s="301" t="s">
        <v>104</v>
      </c>
      <c r="B255" s="302" t="s">
        <v>1474</v>
      </c>
      <c r="C255" s="302" t="s">
        <v>1247</v>
      </c>
      <c r="D255" s="303" t="s">
        <v>1903</v>
      </c>
      <c r="E255" s="286">
        <v>1</v>
      </c>
      <c r="F255" s="321"/>
      <c r="G255" s="305"/>
      <c r="H255" s="286"/>
      <c r="I255" s="304"/>
      <c r="J255" s="286"/>
      <c r="K255" s="304"/>
      <c r="Q255" s="281">
        <f>[20]Source!X230</f>
        <v>35.11</v>
      </c>
      <c r="R255" s="281">
        <f>[20]Source!X231</f>
        <v>647.26</v>
      </c>
      <c r="S255" s="281">
        <f>[20]Source!Y230</f>
        <v>20.64</v>
      </c>
      <c r="T255" s="281">
        <f>[20]Source!Y231</f>
        <v>294.86</v>
      </c>
      <c r="U255" s="281">
        <f>ROUND((175/100)*ROUND([20]Source!R230, 2), 2)</f>
        <v>0</v>
      </c>
      <c r="V255" s="281">
        <f>ROUND((157/100)*ROUND([20]Source!R231, 2), 2)</f>
        <v>0</v>
      </c>
    </row>
    <row r="256" spans="1:22" ht="14.25" x14ac:dyDescent="0.2">
      <c r="A256" s="301"/>
      <c r="B256" s="302"/>
      <c r="C256" s="302" t="s">
        <v>197</v>
      </c>
      <c r="D256" s="303"/>
      <c r="E256" s="286"/>
      <c r="F256" s="321">
        <v>26.78</v>
      </c>
      <c r="G256" s="305" t="s">
        <v>1548</v>
      </c>
      <c r="H256" s="286">
        <v>1</v>
      </c>
      <c r="I256" s="304">
        <v>30.8</v>
      </c>
      <c r="J256" s="286">
        <v>23.35</v>
      </c>
      <c r="K256" s="304">
        <v>719.18</v>
      </c>
    </row>
    <row r="257" spans="1:22" ht="14.25" x14ac:dyDescent="0.2">
      <c r="A257" s="301"/>
      <c r="B257" s="302"/>
      <c r="C257" s="302" t="s">
        <v>205</v>
      </c>
      <c r="D257" s="303"/>
      <c r="E257" s="286"/>
      <c r="F257" s="321">
        <v>0.28000000000000003</v>
      </c>
      <c r="G257" s="305" t="s">
        <v>195</v>
      </c>
      <c r="H257" s="286">
        <v>1</v>
      </c>
      <c r="I257" s="304">
        <v>0.28000000000000003</v>
      </c>
      <c r="J257" s="286">
        <v>5.43</v>
      </c>
      <c r="K257" s="304">
        <v>1.52</v>
      </c>
    </row>
    <row r="258" spans="1:22" ht="14.25" x14ac:dyDescent="0.2">
      <c r="A258" s="301"/>
      <c r="B258" s="302"/>
      <c r="C258" s="302" t="s">
        <v>194</v>
      </c>
      <c r="D258" s="303" t="s">
        <v>187</v>
      </c>
      <c r="E258" s="286">
        <v>112</v>
      </c>
      <c r="F258" s="321"/>
      <c r="G258" s="305"/>
      <c r="H258" s="286"/>
      <c r="I258" s="304">
        <v>35.11</v>
      </c>
      <c r="J258" s="286">
        <v>90</v>
      </c>
      <c r="K258" s="304">
        <v>647.26</v>
      </c>
    </row>
    <row r="259" spans="1:22" ht="14.25" x14ac:dyDescent="0.2">
      <c r="A259" s="301"/>
      <c r="B259" s="302"/>
      <c r="C259" s="302" t="s">
        <v>193</v>
      </c>
      <c r="D259" s="303" t="s">
        <v>187</v>
      </c>
      <c r="E259" s="286">
        <v>70</v>
      </c>
      <c r="F259" s="321"/>
      <c r="G259" s="305"/>
      <c r="H259" s="286"/>
      <c r="I259" s="304">
        <v>20.64</v>
      </c>
      <c r="J259" s="286">
        <v>41</v>
      </c>
      <c r="K259" s="304">
        <v>294.86</v>
      </c>
    </row>
    <row r="260" spans="1:22" ht="14.25" x14ac:dyDescent="0.2">
      <c r="A260" s="307"/>
      <c r="B260" s="308"/>
      <c r="C260" s="308" t="s">
        <v>192</v>
      </c>
      <c r="D260" s="309" t="s">
        <v>191</v>
      </c>
      <c r="E260" s="310">
        <v>2.06</v>
      </c>
      <c r="F260" s="361"/>
      <c r="G260" s="312" t="s">
        <v>1548</v>
      </c>
      <c r="H260" s="310">
        <v>1</v>
      </c>
      <c r="I260" s="311">
        <v>2.37</v>
      </c>
      <c r="J260" s="310"/>
      <c r="K260" s="311"/>
    </row>
    <row r="261" spans="1:22" ht="15" x14ac:dyDescent="0.25">
      <c r="A261" s="313"/>
      <c r="B261" s="313"/>
      <c r="C261" s="314" t="s">
        <v>183</v>
      </c>
      <c r="D261" s="313"/>
      <c r="E261" s="313"/>
      <c r="F261" s="313"/>
      <c r="G261" s="313"/>
      <c r="H261" s="472">
        <v>86.83</v>
      </c>
      <c r="I261" s="472"/>
      <c r="J261" s="472">
        <v>1662.82</v>
      </c>
      <c r="K261" s="472"/>
      <c r="O261" s="284">
        <f>I256+I257+I258+I259</f>
        <v>86.83</v>
      </c>
      <c r="P261" s="284">
        <f>K256+K257+K258+K259</f>
        <v>1662.82</v>
      </c>
    </row>
    <row r="263" spans="1:22" ht="65.25" x14ac:dyDescent="0.2">
      <c r="A263" s="301" t="s">
        <v>1546</v>
      </c>
      <c r="B263" s="302" t="s">
        <v>1473</v>
      </c>
      <c r="C263" s="302" t="s">
        <v>1472</v>
      </c>
      <c r="D263" s="303" t="s">
        <v>1903</v>
      </c>
      <c r="E263" s="286">
        <v>1</v>
      </c>
      <c r="F263" s="321"/>
      <c r="G263" s="305"/>
      <c r="H263" s="286"/>
      <c r="I263" s="304"/>
      <c r="J263" s="286"/>
      <c r="K263" s="304"/>
      <c r="Q263" s="281">
        <f>[20]Source!X232</f>
        <v>7.62</v>
      </c>
      <c r="R263" s="281">
        <f>[20]Source!X233</f>
        <v>140.38</v>
      </c>
      <c r="S263" s="281">
        <f>[20]Source!Y232</f>
        <v>4.4800000000000004</v>
      </c>
      <c r="T263" s="281">
        <f>[20]Source!Y233</f>
        <v>63.95</v>
      </c>
      <c r="U263" s="281">
        <f>ROUND((175/100)*ROUND([20]Source!R232, 2), 2)</f>
        <v>12.09</v>
      </c>
      <c r="V263" s="281">
        <f>ROUND((157/100)*ROUND([20]Source!R233, 2), 2)</f>
        <v>253.32</v>
      </c>
    </row>
    <row r="264" spans="1:22" ht="14.25" x14ac:dyDescent="0.2">
      <c r="A264" s="301"/>
      <c r="B264" s="302"/>
      <c r="C264" s="302" t="s">
        <v>197</v>
      </c>
      <c r="D264" s="303"/>
      <c r="E264" s="286"/>
      <c r="F264" s="321">
        <v>5.81</v>
      </c>
      <c r="G264" s="305" t="s">
        <v>1548</v>
      </c>
      <c r="H264" s="286">
        <v>1</v>
      </c>
      <c r="I264" s="304">
        <v>6.68</v>
      </c>
      <c r="J264" s="286">
        <v>23.35</v>
      </c>
      <c r="K264" s="304">
        <v>155.97999999999999</v>
      </c>
    </row>
    <row r="265" spans="1:22" ht="14.25" x14ac:dyDescent="0.2">
      <c r="A265" s="301"/>
      <c r="B265" s="302"/>
      <c r="C265" s="302" t="s">
        <v>184</v>
      </c>
      <c r="D265" s="303"/>
      <c r="E265" s="286"/>
      <c r="F265" s="321">
        <v>27.61</v>
      </c>
      <c r="G265" s="305" t="s">
        <v>1549</v>
      </c>
      <c r="H265" s="286">
        <v>1</v>
      </c>
      <c r="I265" s="304">
        <v>34.51</v>
      </c>
      <c r="J265" s="286">
        <v>8.9600000000000009</v>
      </c>
      <c r="K265" s="304">
        <v>309.20999999999998</v>
      </c>
    </row>
    <row r="266" spans="1:22" ht="14.25" x14ac:dyDescent="0.2">
      <c r="A266" s="301"/>
      <c r="B266" s="302"/>
      <c r="C266" s="302" t="s">
        <v>189</v>
      </c>
      <c r="D266" s="303"/>
      <c r="E266" s="286"/>
      <c r="F266" s="321">
        <v>5.53</v>
      </c>
      <c r="G266" s="305" t="s">
        <v>1549</v>
      </c>
      <c r="H266" s="286">
        <v>1</v>
      </c>
      <c r="I266" s="306">
        <v>6.91</v>
      </c>
      <c r="J266" s="286">
        <v>23.35</v>
      </c>
      <c r="K266" s="306">
        <v>161.35</v>
      </c>
    </row>
    <row r="267" spans="1:22" ht="14.25" x14ac:dyDescent="0.2">
      <c r="A267" s="301"/>
      <c r="B267" s="302"/>
      <c r="C267" s="302" t="s">
        <v>205</v>
      </c>
      <c r="D267" s="303"/>
      <c r="E267" s="286"/>
      <c r="F267" s="321">
        <v>1.89</v>
      </c>
      <c r="G267" s="305" t="s">
        <v>195</v>
      </c>
      <c r="H267" s="286">
        <v>1</v>
      </c>
      <c r="I267" s="304">
        <v>1.89</v>
      </c>
      <c r="J267" s="286">
        <v>5.42</v>
      </c>
      <c r="K267" s="304">
        <v>10.24</v>
      </c>
    </row>
    <row r="268" spans="1:22" ht="14.25" x14ac:dyDescent="0.2">
      <c r="A268" s="301"/>
      <c r="B268" s="302"/>
      <c r="C268" s="302" t="s">
        <v>194</v>
      </c>
      <c r="D268" s="303" t="s">
        <v>187</v>
      </c>
      <c r="E268" s="286">
        <v>112</v>
      </c>
      <c r="F268" s="321"/>
      <c r="G268" s="305"/>
      <c r="H268" s="286"/>
      <c r="I268" s="304">
        <v>7.62</v>
      </c>
      <c r="J268" s="286">
        <v>90</v>
      </c>
      <c r="K268" s="304">
        <v>140.38</v>
      </c>
    </row>
    <row r="269" spans="1:22" ht="14.25" x14ac:dyDescent="0.2">
      <c r="A269" s="301"/>
      <c r="B269" s="302"/>
      <c r="C269" s="302" t="s">
        <v>193</v>
      </c>
      <c r="D269" s="303" t="s">
        <v>187</v>
      </c>
      <c r="E269" s="286">
        <v>70</v>
      </c>
      <c r="F269" s="321"/>
      <c r="G269" s="305"/>
      <c r="H269" s="286"/>
      <c r="I269" s="304">
        <v>4.4800000000000004</v>
      </c>
      <c r="J269" s="286">
        <v>41</v>
      </c>
      <c r="K269" s="304">
        <v>63.95</v>
      </c>
    </row>
    <row r="270" spans="1:22" ht="14.25" x14ac:dyDescent="0.2">
      <c r="A270" s="301"/>
      <c r="B270" s="302"/>
      <c r="C270" s="302" t="s">
        <v>188</v>
      </c>
      <c r="D270" s="303" t="s">
        <v>187</v>
      </c>
      <c r="E270" s="286">
        <v>175</v>
      </c>
      <c r="F270" s="321"/>
      <c r="G270" s="305"/>
      <c r="H270" s="286"/>
      <c r="I270" s="304">
        <v>12.09</v>
      </c>
      <c r="J270" s="286">
        <v>157</v>
      </c>
      <c r="K270" s="304">
        <v>253.32</v>
      </c>
    </row>
    <row r="271" spans="1:22" ht="14.25" x14ac:dyDescent="0.2">
      <c r="A271" s="307"/>
      <c r="B271" s="308"/>
      <c r="C271" s="308" t="s">
        <v>192</v>
      </c>
      <c r="D271" s="309" t="s">
        <v>191</v>
      </c>
      <c r="E271" s="310">
        <v>0.52</v>
      </c>
      <c r="F271" s="361"/>
      <c r="G271" s="312" t="s">
        <v>1548</v>
      </c>
      <c r="H271" s="310">
        <v>1</v>
      </c>
      <c r="I271" s="311">
        <v>0.6</v>
      </c>
      <c r="J271" s="310"/>
      <c r="K271" s="311"/>
    </row>
    <row r="272" spans="1:22" ht="15" x14ac:dyDescent="0.25">
      <c r="A272" s="313"/>
      <c r="B272" s="313"/>
      <c r="C272" s="314" t="s">
        <v>183</v>
      </c>
      <c r="D272" s="313"/>
      <c r="E272" s="313"/>
      <c r="F272" s="313"/>
      <c r="G272" s="313"/>
      <c r="H272" s="472">
        <v>67.27</v>
      </c>
      <c r="I272" s="472"/>
      <c r="J272" s="472">
        <v>933.08</v>
      </c>
      <c r="K272" s="472"/>
      <c r="O272" s="284">
        <f>I264+I265+I267+I268+I269+I270</f>
        <v>67.27</v>
      </c>
      <c r="P272" s="284">
        <f>K264+K265+K267+K268+K269+K270</f>
        <v>933.08</v>
      </c>
    </row>
    <row r="274" spans="1:32" ht="81" x14ac:dyDescent="0.2">
      <c r="A274" s="275" t="s">
        <v>105</v>
      </c>
      <c r="B274" s="276" t="s">
        <v>3752</v>
      </c>
      <c r="C274" s="276" t="s">
        <v>1508</v>
      </c>
      <c r="D274" s="277" t="s">
        <v>3240</v>
      </c>
      <c r="E274" s="278">
        <v>1</v>
      </c>
      <c r="F274" s="362">
        <v>36631.160000000003</v>
      </c>
      <c r="G274" s="280" t="s">
        <v>195</v>
      </c>
      <c r="H274" s="278">
        <v>1</v>
      </c>
      <c r="I274" s="279">
        <v>36631.160000000003</v>
      </c>
      <c r="J274" s="278">
        <v>4.4000000000000004</v>
      </c>
      <c r="K274" s="279">
        <v>161177.1</v>
      </c>
      <c r="Q274" s="281">
        <f>[20]Source!X234</f>
        <v>0</v>
      </c>
      <c r="R274" s="281">
        <f>[20]Source!X235</f>
        <v>0</v>
      </c>
      <c r="S274" s="281">
        <f>[20]Source!Y234</f>
        <v>0</v>
      </c>
      <c r="T274" s="281">
        <f>[20]Source!Y235</f>
        <v>0</v>
      </c>
      <c r="U274" s="281">
        <f>ROUND((175/100)*ROUND([20]Source!R234, 2), 2)</f>
        <v>0</v>
      </c>
      <c r="V274" s="281">
        <f>ROUND((157/100)*ROUND([20]Source!R235, 2), 2)</f>
        <v>0</v>
      </c>
    </row>
    <row r="275" spans="1:32" ht="15" x14ac:dyDescent="0.25">
      <c r="A275" s="282"/>
      <c r="B275" s="282"/>
      <c r="C275" s="283" t="s">
        <v>183</v>
      </c>
      <c r="D275" s="282"/>
      <c r="E275" s="282"/>
      <c r="F275" s="282"/>
      <c r="G275" s="282"/>
      <c r="H275" s="473">
        <v>36631.160000000003</v>
      </c>
      <c r="I275" s="473"/>
      <c r="J275" s="473">
        <v>161177.1</v>
      </c>
      <c r="K275" s="473"/>
      <c r="O275" s="284">
        <f>I274</f>
        <v>36631.160000000003</v>
      </c>
      <c r="P275" s="284">
        <f>K274</f>
        <v>161177.1</v>
      </c>
    </row>
    <row r="278" spans="1:32" ht="15" x14ac:dyDescent="0.25">
      <c r="A278" s="447" t="s">
        <v>3761</v>
      </c>
      <c r="B278" s="447"/>
      <c r="C278" s="447"/>
      <c r="D278" s="447"/>
      <c r="E278" s="447"/>
      <c r="F278" s="447"/>
      <c r="G278" s="447"/>
      <c r="H278" s="445">
        <v>37250.980000000003</v>
      </c>
      <c r="I278" s="446"/>
      <c r="J278" s="445">
        <v>172305.05</v>
      </c>
      <c r="K278" s="446"/>
      <c r="AF278" s="360" t="str">
        <f>CONCATENATE("Итого по разделу: ",IF([20]Source!G237&lt;&gt;"Новый раздел", [20]Source!G237, ""))</f>
        <v>Итого по разделу: Автоматика системы П2резерв (L=4170 м3/ч, Pc=600 Па)</v>
      </c>
    </row>
    <row r="279" spans="1:32" hidden="1" x14ac:dyDescent="0.2">
      <c r="A279" s="281" t="s">
        <v>182</v>
      </c>
      <c r="I279" s="281">
        <v>0</v>
      </c>
      <c r="J279" s="281">
        <v>0</v>
      </c>
    </row>
    <row r="280" spans="1:32" hidden="1" x14ac:dyDescent="0.2">
      <c r="A280" s="281" t="s">
        <v>181</v>
      </c>
      <c r="I280" s="281">
        <v>0</v>
      </c>
      <c r="J280" s="281">
        <v>0</v>
      </c>
    </row>
    <row r="282" spans="1:32" ht="16.5" x14ac:dyDescent="0.25">
      <c r="A282" s="448" t="s">
        <v>3762</v>
      </c>
      <c r="B282" s="448"/>
      <c r="C282" s="448"/>
      <c r="D282" s="448"/>
      <c r="E282" s="448"/>
      <c r="F282" s="448"/>
      <c r="G282" s="448"/>
      <c r="H282" s="448"/>
      <c r="I282" s="448"/>
      <c r="J282" s="448"/>
      <c r="K282" s="448"/>
    </row>
    <row r="283" spans="1:32" ht="65.25" x14ac:dyDescent="0.2">
      <c r="A283" s="301" t="s">
        <v>719</v>
      </c>
      <c r="B283" s="302" t="s">
        <v>1476</v>
      </c>
      <c r="C283" s="302" t="s">
        <v>1475</v>
      </c>
      <c r="D283" s="303" t="s">
        <v>1903</v>
      </c>
      <c r="E283" s="286">
        <v>1</v>
      </c>
      <c r="F283" s="321"/>
      <c r="G283" s="305"/>
      <c r="H283" s="286"/>
      <c r="I283" s="304"/>
      <c r="J283" s="286"/>
      <c r="K283" s="304"/>
      <c r="Q283" s="281">
        <f>[20]Source!X271</f>
        <v>78.39</v>
      </c>
      <c r="R283" s="281">
        <f>[20]Source!X272</f>
        <v>1445</v>
      </c>
      <c r="S283" s="281">
        <f>[20]Source!Y271</f>
        <v>46.07</v>
      </c>
      <c r="T283" s="281">
        <f>[20]Source!Y272</f>
        <v>658.28</v>
      </c>
      <c r="U283" s="281">
        <f>ROUND((175/100)*ROUND([20]Source!R271, 2), 2)</f>
        <v>1.42</v>
      </c>
      <c r="V283" s="281">
        <f>ROUND((157/100)*ROUND([20]Source!R272, 2), 2)</f>
        <v>29.69</v>
      </c>
    </row>
    <row r="284" spans="1:32" ht="14.25" x14ac:dyDescent="0.2">
      <c r="A284" s="301"/>
      <c r="B284" s="302"/>
      <c r="C284" s="302" t="s">
        <v>197</v>
      </c>
      <c r="D284" s="303"/>
      <c r="E284" s="286"/>
      <c r="F284" s="321">
        <v>59.79</v>
      </c>
      <c r="G284" s="305" t="s">
        <v>1548</v>
      </c>
      <c r="H284" s="286">
        <v>1</v>
      </c>
      <c r="I284" s="304">
        <v>68.760000000000005</v>
      </c>
      <c r="J284" s="286">
        <v>23.35</v>
      </c>
      <c r="K284" s="304">
        <v>1605.55</v>
      </c>
    </row>
    <row r="285" spans="1:32" ht="14.25" x14ac:dyDescent="0.2">
      <c r="A285" s="301"/>
      <c r="B285" s="302"/>
      <c r="C285" s="302" t="s">
        <v>184</v>
      </c>
      <c r="D285" s="303"/>
      <c r="E285" s="286"/>
      <c r="F285" s="321">
        <v>4.42</v>
      </c>
      <c r="G285" s="305" t="s">
        <v>1549</v>
      </c>
      <c r="H285" s="286">
        <v>1</v>
      </c>
      <c r="I285" s="304">
        <v>5.53</v>
      </c>
      <c r="J285" s="286">
        <v>8</v>
      </c>
      <c r="K285" s="304">
        <v>44.24</v>
      </c>
    </row>
    <row r="286" spans="1:32" ht="14.25" x14ac:dyDescent="0.2">
      <c r="A286" s="301"/>
      <c r="B286" s="302"/>
      <c r="C286" s="302" t="s">
        <v>189</v>
      </c>
      <c r="D286" s="303"/>
      <c r="E286" s="286"/>
      <c r="F286" s="321">
        <v>0.65</v>
      </c>
      <c r="G286" s="305" t="s">
        <v>1549</v>
      </c>
      <c r="H286" s="286">
        <v>1</v>
      </c>
      <c r="I286" s="306">
        <v>0.81</v>
      </c>
      <c r="J286" s="286">
        <v>23.35</v>
      </c>
      <c r="K286" s="306">
        <v>18.91</v>
      </c>
    </row>
    <row r="287" spans="1:32" ht="14.25" x14ac:dyDescent="0.2">
      <c r="A287" s="301"/>
      <c r="B287" s="302"/>
      <c r="C287" s="302" t="s">
        <v>205</v>
      </c>
      <c r="D287" s="303"/>
      <c r="E287" s="286"/>
      <c r="F287" s="321">
        <v>21.42</v>
      </c>
      <c r="G287" s="305" t="s">
        <v>195</v>
      </c>
      <c r="H287" s="286">
        <v>1</v>
      </c>
      <c r="I287" s="304">
        <v>21.42</v>
      </c>
      <c r="J287" s="286">
        <v>5.42</v>
      </c>
      <c r="K287" s="304">
        <v>116.1</v>
      </c>
    </row>
    <row r="288" spans="1:32" ht="14.25" x14ac:dyDescent="0.2">
      <c r="A288" s="301"/>
      <c r="B288" s="302"/>
      <c r="C288" s="302" t="s">
        <v>194</v>
      </c>
      <c r="D288" s="303" t="s">
        <v>187</v>
      </c>
      <c r="E288" s="286">
        <v>112</v>
      </c>
      <c r="F288" s="321"/>
      <c r="G288" s="305"/>
      <c r="H288" s="286"/>
      <c r="I288" s="304">
        <v>78.39</v>
      </c>
      <c r="J288" s="286">
        <v>90</v>
      </c>
      <c r="K288" s="304">
        <v>1445</v>
      </c>
    </row>
    <row r="289" spans="1:22" ht="14.25" x14ac:dyDescent="0.2">
      <c r="A289" s="301"/>
      <c r="B289" s="302"/>
      <c r="C289" s="302" t="s">
        <v>193</v>
      </c>
      <c r="D289" s="303" t="s">
        <v>187</v>
      </c>
      <c r="E289" s="286">
        <v>70</v>
      </c>
      <c r="F289" s="321"/>
      <c r="G289" s="305"/>
      <c r="H289" s="286"/>
      <c r="I289" s="304">
        <v>46.07</v>
      </c>
      <c r="J289" s="286">
        <v>41</v>
      </c>
      <c r="K289" s="304">
        <v>658.28</v>
      </c>
    </row>
    <row r="290" spans="1:22" ht="14.25" x14ac:dyDescent="0.2">
      <c r="A290" s="301"/>
      <c r="B290" s="302"/>
      <c r="C290" s="302" t="s">
        <v>188</v>
      </c>
      <c r="D290" s="303" t="s">
        <v>187</v>
      </c>
      <c r="E290" s="286">
        <v>175</v>
      </c>
      <c r="F290" s="321"/>
      <c r="G290" s="305"/>
      <c r="H290" s="286"/>
      <c r="I290" s="304">
        <v>1.42</v>
      </c>
      <c r="J290" s="286">
        <v>157</v>
      </c>
      <c r="K290" s="304">
        <v>29.69</v>
      </c>
    </row>
    <row r="291" spans="1:22" ht="14.25" x14ac:dyDescent="0.2">
      <c r="A291" s="307"/>
      <c r="B291" s="308"/>
      <c r="C291" s="308" t="s">
        <v>192</v>
      </c>
      <c r="D291" s="309" t="s">
        <v>191</v>
      </c>
      <c r="E291" s="310">
        <v>5.15</v>
      </c>
      <c r="F291" s="361"/>
      <c r="G291" s="312" t="s">
        <v>1548</v>
      </c>
      <c r="H291" s="310">
        <v>1</v>
      </c>
      <c r="I291" s="311">
        <v>5.92</v>
      </c>
      <c r="J291" s="310"/>
      <c r="K291" s="311"/>
    </row>
    <row r="292" spans="1:22" ht="15" x14ac:dyDescent="0.25">
      <c r="A292" s="313"/>
      <c r="B292" s="313"/>
      <c r="C292" s="314" t="s">
        <v>183</v>
      </c>
      <c r="D292" s="313"/>
      <c r="E292" s="313"/>
      <c r="F292" s="313"/>
      <c r="G292" s="313"/>
      <c r="H292" s="472">
        <v>221.59</v>
      </c>
      <c r="I292" s="472"/>
      <c r="J292" s="472">
        <v>3898.86</v>
      </c>
      <c r="K292" s="472"/>
      <c r="O292" s="284">
        <f>I284+I285+I287+I288+I289+I290</f>
        <v>221.59</v>
      </c>
      <c r="P292" s="284">
        <f>K284+K285+K287+K288+K289+K290</f>
        <v>3898.86</v>
      </c>
    </row>
    <row r="294" spans="1:22" ht="65.25" x14ac:dyDescent="0.2">
      <c r="A294" s="301" t="s">
        <v>1534</v>
      </c>
      <c r="B294" s="302" t="s">
        <v>1499</v>
      </c>
      <c r="C294" s="302" t="s">
        <v>965</v>
      </c>
      <c r="D294" s="303" t="s">
        <v>1903</v>
      </c>
      <c r="E294" s="286">
        <v>10</v>
      </c>
      <c r="F294" s="321"/>
      <c r="G294" s="305"/>
      <c r="H294" s="286"/>
      <c r="I294" s="304"/>
      <c r="J294" s="286"/>
      <c r="K294" s="304"/>
      <c r="Q294" s="281">
        <f>[20]Source!X273</f>
        <v>88.62</v>
      </c>
      <c r="R294" s="281">
        <f>[20]Source!X274</f>
        <v>1633.71</v>
      </c>
      <c r="S294" s="281">
        <f>[20]Source!Y273</f>
        <v>52.09</v>
      </c>
      <c r="T294" s="281">
        <f>[20]Source!Y274</f>
        <v>744.24</v>
      </c>
      <c r="U294" s="281">
        <f>ROUND((175/100)*ROUND([20]Source!R273, 2), 2)</f>
        <v>0</v>
      </c>
      <c r="V294" s="281">
        <f>ROUND((157/100)*ROUND([20]Source!R274, 2), 2)</f>
        <v>0</v>
      </c>
    </row>
    <row r="295" spans="1:22" ht="14.25" x14ac:dyDescent="0.2">
      <c r="A295" s="301"/>
      <c r="B295" s="302"/>
      <c r="C295" s="302" t="s">
        <v>197</v>
      </c>
      <c r="D295" s="303"/>
      <c r="E295" s="286"/>
      <c r="F295" s="321">
        <v>6.76</v>
      </c>
      <c r="G295" s="305" t="s">
        <v>1548</v>
      </c>
      <c r="H295" s="286">
        <v>1</v>
      </c>
      <c r="I295" s="304">
        <v>77.739999999999995</v>
      </c>
      <c r="J295" s="286">
        <v>23.35</v>
      </c>
      <c r="K295" s="304">
        <v>1815.23</v>
      </c>
    </row>
    <row r="296" spans="1:22" ht="14.25" x14ac:dyDescent="0.2">
      <c r="A296" s="301"/>
      <c r="B296" s="302"/>
      <c r="C296" s="302" t="s">
        <v>205</v>
      </c>
      <c r="D296" s="303"/>
      <c r="E296" s="286"/>
      <c r="F296" s="321">
        <v>0.35</v>
      </c>
      <c r="G296" s="305" t="s">
        <v>195</v>
      </c>
      <c r="H296" s="286">
        <v>1</v>
      </c>
      <c r="I296" s="304">
        <v>3.5</v>
      </c>
      <c r="J296" s="286">
        <v>5.43</v>
      </c>
      <c r="K296" s="304">
        <v>19.010000000000002</v>
      </c>
    </row>
    <row r="297" spans="1:22" ht="14.25" x14ac:dyDescent="0.2">
      <c r="A297" s="301"/>
      <c r="B297" s="302"/>
      <c r="C297" s="302" t="s">
        <v>194</v>
      </c>
      <c r="D297" s="303" t="s">
        <v>187</v>
      </c>
      <c r="E297" s="286">
        <v>112</v>
      </c>
      <c r="F297" s="321"/>
      <c r="G297" s="305"/>
      <c r="H297" s="286"/>
      <c r="I297" s="304">
        <v>88.62</v>
      </c>
      <c r="J297" s="286">
        <v>90</v>
      </c>
      <c r="K297" s="304">
        <v>1633.71</v>
      </c>
    </row>
    <row r="298" spans="1:22" ht="14.25" x14ac:dyDescent="0.2">
      <c r="A298" s="301"/>
      <c r="B298" s="302"/>
      <c r="C298" s="302" t="s">
        <v>193</v>
      </c>
      <c r="D298" s="303" t="s">
        <v>187</v>
      </c>
      <c r="E298" s="286">
        <v>70</v>
      </c>
      <c r="F298" s="321"/>
      <c r="G298" s="305"/>
      <c r="H298" s="286"/>
      <c r="I298" s="304">
        <v>52.09</v>
      </c>
      <c r="J298" s="286">
        <v>41</v>
      </c>
      <c r="K298" s="304">
        <v>744.24</v>
      </c>
    </row>
    <row r="299" spans="1:22" ht="14.25" x14ac:dyDescent="0.2">
      <c r="A299" s="307"/>
      <c r="B299" s="308"/>
      <c r="C299" s="308" t="s">
        <v>192</v>
      </c>
      <c r="D299" s="309" t="s">
        <v>191</v>
      </c>
      <c r="E299" s="310">
        <v>0.52</v>
      </c>
      <c r="F299" s="361"/>
      <c r="G299" s="312" t="s">
        <v>1548</v>
      </c>
      <c r="H299" s="310">
        <v>1</v>
      </c>
      <c r="I299" s="311">
        <v>5.98</v>
      </c>
      <c r="J299" s="310"/>
      <c r="K299" s="311"/>
    </row>
    <row r="300" spans="1:22" ht="15" x14ac:dyDescent="0.25">
      <c r="A300" s="313"/>
      <c r="B300" s="313"/>
      <c r="C300" s="314" t="s">
        <v>183</v>
      </c>
      <c r="D300" s="313"/>
      <c r="E300" s="313"/>
      <c r="F300" s="313"/>
      <c r="G300" s="313"/>
      <c r="H300" s="472">
        <v>221.95</v>
      </c>
      <c r="I300" s="472"/>
      <c r="J300" s="472">
        <v>4212.1899999999996</v>
      </c>
      <c r="K300" s="472"/>
      <c r="O300" s="284">
        <f>I295+I296+I297+I298</f>
        <v>221.95</v>
      </c>
      <c r="P300" s="284">
        <f>K295+K296+K297+K298</f>
        <v>4212.1899999999996</v>
      </c>
    </row>
    <row r="302" spans="1:22" ht="65.25" x14ac:dyDescent="0.2">
      <c r="A302" s="301" t="s">
        <v>104</v>
      </c>
      <c r="B302" s="302" t="s">
        <v>1474</v>
      </c>
      <c r="C302" s="302" t="s">
        <v>1247</v>
      </c>
      <c r="D302" s="303" t="s">
        <v>1903</v>
      </c>
      <c r="E302" s="286">
        <v>1</v>
      </c>
      <c r="F302" s="321"/>
      <c r="G302" s="305"/>
      <c r="H302" s="286"/>
      <c r="I302" s="304"/>
      <c r="J302" s="286"/>
      <c r="K302" s="304"/>
      <c r="Q302" s="281">
        <f>[20]Source!X275</f>
        <v>35.11</v>
      </c>
      <c r="R302" s="281">
        <f>[20]Source!X276</f>
        <v>647.26</v>
      </c>
      <c r="S302" s="281">
        <f>[20]Source!Y275</f>
        <v>20.64</v>
      </c>
      <c r="T302" s="281">
        <f>[20]Source!Y276</f>
        <v>294.86</v>
      </c>
      <c r="U302" s="281">
        <f>ROUND((175/100)*ROUND([20]Source!R275, 2), 2)</f>
        <v>0</v>
      </c>
      <c r="V302" s="281">
        <f>ROUND((157/100)*ROUND([20]Source!R276, 2), 2)</f>
        <v>0</v>
      </c>
    </row>
    <row r="303" spans="1:22" ht="14.25" x14ac:dyDescent="0.2">
      <c r="A303" s="301"/>
      <c r="B303" s="302"/>
      <c r="C303" s="302" t="s">
        <v>197</v>
      </c>
      <c r="D303" s="303"/>
      <c r="E303" s="286"/>
      <c r="F303" s="321">
        <v>26.78</v>
      </c>
      <c r="G303" s="305" t="s">
        <v>1548</v>
      </c>
      <c r="H303" s="286">
        <v>1</v>
      </c>
      <c r="I303" s="304">
        <v>30.8</v>
      </c>
      <c r="J303" s="286">
        <v>23.35</v>
      </c>
      <c r="K303" s="304">
        <v>719.18</v>
      </c>
    </row>
    <row r="304" spans="1:22" ht="14.25" x14ac:dyDescent="0.2">
      <c r="A304" s="301"/>
      <c r="B304" s="302"/>
      <c r="C304" s="302" t="s">
        <v>205</v>
      </c>
      <c r="D304" s="303"/>
      <c r="E304" s="286"/>
      <c r="F304" s="321">
        <v>0.28000000000000003</v>
      </c>
      <c r="G304" s="305" t="s">
        <v>195</v>
      </c>
      <c r="H304" s="286">
        <v>1</v>
      </c>
      <c r="I304" s="304">
        <v>0.28000000000000003</v>
      </c>
      <c r="J304" s="286">
        <v>5.43</v>
      </c>
      <c r="K304" s="304">
        <v>1.52</v>
      </c>
    </row>
    <row r="305" spans="1:22" ht="14.25" x14ac:dyDescent="0.2">
      <c r="A305" s="301"/>
      <c r="B305" s="302"/>
      <c r="C305" s="302" t="s">
        <v>194</v>
      </c>
      <c r="D305" s="303" t="s">
        <v>187</v>
      </c>
      <c r="E305" s="286">
        <v>112</v>
      </c>
      <c r="F305" s="321"/>
      <c r="G305" s="305"/>
      <c r="H305" s="286"/>
      <c r="I305" s="304">
        <v>35.11</v>
      </c>
      <c r="J305" s="286">
        <v>90</v>
      </c>
      <c r="K305" s="304">
        <v>647.26</v>
      </c>
    </row>
    <row r="306" spans="1:22" ht="14.25" x14ac:dyDescent="0.2">
      <c r="A306" s="301"/>
      <c r="B306" s="302"/>
      <c r="C306" s="302" t="s">
        <v>193</v>
      </c>
      <c r="D306" s="303" t="s">
        <v>187</v>
      </c>
      <c r="E306" s="286">
        <v>70</v>
      </c>
      <c r="F306" s="321"/>
      <c r="G306" s="305"/>
      <c r="H306" s="286"/>
      <c r="I306" s="304">
        <v>20.64</v>
      </c>
      <c r="J306" s="286">
        <v>41</v>
      </c>
      <c r="K306" s="304">
        <v>294.86</v>
      </c>
    </row>
    <row r="307" spans="1:22" ht="14.25" x14ac:dyDescent="0.2">
      <c r="A307" s="307"/>
      <c r="B307" s="308"/>
      <c r="C307" s="308" t="s">
        <v>192</v>
      </c>
      <c r="D307" s="309" t="s">
        <v>191</v>
      </c>
      <c r="E307" s="310">
        <v>2.06</v>
      </c>
      <c r="F307" s="361"/>
      <c r="G307" s="312" t="s">
        <v>1548</v>
      </c>
      <c r="H307" s="310">
        <v>1</v>
      </c>
      <c r="I307" s="311">
        <v>2.37</v>
      </c>
      <c r="J307" s="310"/>
      <c r="K307" s="311"/>
    </row>
    <row r="308" spans="1:22" ht="15" x14ac:dyDescent="0.25">
      <c r="A308" s="313"/>
      <c r="B308" s="313"/>
      <c r="C308" s="314" t="s">
        <v>183</v>
      </c>
      <c r="D308" s="313"/>
      <c r="E308" s="313"/>
      <c r="F308" s="313"/>
      <c r="G308" s="313"/>
      <c r="H308" s="472">
        <v>86.83</v>
      </c>
      <c r="I308" s="472"/>
      <c r="J308" s="472">
        <v>1662.82</v>
      </c>
      <c r="K308" s="472"/>
      <c r="O308" s="284">
        <f>I303+I304+I305+I306</f>
        <v>86.83</v>
      </c>
      <c r="P308" s="284">
        <f>K303+K304+K305+K306</f>
        <v>1662.82</v>
      </c>
    </row>
    <row r="310" spans="1:22" ht="65.25" x14ac:dyDescent="0.2">
      <c r="A310" s="301" t="s">
        <v>1546</v>
      </c>
      <c r="B310" s="302" t="s">
        <v>1473</v>
      </c>
      <c r="C310" s="302" t="s">
        <v>1472</v>
      </c>
      <c r="D310" s="303" t="s">
        <v>1903</v>
      </c>
      <c r="E310" s="286">
        <v>1</v>
      </c>
      <c r="F310" s="321"/>
      <c r="G310" s="305"/>
      <c r="H310" s="286"/>
      <c r="I310" s="304"/>
      <c r="J310" s="286"/>
      <c r="K310" s="304"/>
      <c r="Q310" s="281">
        <f>[20]Source!X277</f>
        <v>7.62</v>
      </c>
      <c r="R310" s="281">
        <f>[20]Source!X278</f>
        <v>140.38</v>
      </c>
      <c r="S310" s="281">
        <f>[20]Source!Y277</f>
        <v>4.4800000000000004</v>
      </c>
      <c r="T310" s="281">
        <f>[20]Source!Y278</f>
        <v>63.95</v>
      </c>
      <c r="U310" s="281">
        <f>ROUND((175/100)*ROUND([20]Source!R277, 2), 2)</f>
        <v>12.09</v>
      </c>
      <c r="V310" s="281">
        <f>ROUND((157/100)*ROUND([20]Source!R278, 2), 2)</f>
        <v>253.32</v>
      </c>
    </row>
    <row r="311" spans="1:22" ht="14.25" x14ac:dyDescent="0.2">
      <c r="A311" s="301"/>
      <c r="B311" s="302"/>
      <c r="C311" s="302" t="s">
        <v>197</v>
      </c>
      <c r="D311" s="303"/>
      <c r="E311" s="286"/>
      <c r="F311" s="321">
        <v>5.81</v>
      </c>
      <c r="G311" s="305" t="s">
        <v>1548</v>
      </c>
      <c r="H311" s="286">
        <v>1</v>
      </c>
      <c r="I311" s="304">
        <v>6.68</v>
      </c>
      <c r="J311" s="286">
        <v>23.35</v>
      </c>
      <c r="K311" s="304">
        <v>155.97999999999999</v>
      </c>
    </row>
    <row r="312" spans="1:22" ht="14.25" x14ac:dyDescent="0.2">
      <c r="A312" s="301"/>
      <c r="B312" s="302"/>
      <c r="C312" s="302" t="s">
        <v>184</v>
      </c>
      <c r="D312" s="303"/>
      <c r="E312" s="286"/>
      <c r="F312" s="321">
        <v>27.61</v>
      </c>
      <c r="G312" s="305" t="s">
        <v>1549</v>
      </c>
      <c r="H312" s="286">
        <v>1</v>
      </c>
      <c r="I312" s="304">
        <v>34.51</v>
      </c>
      <c r="J312" s="286">
        <v>8.9600000000000009</v>
      </c>
      <c r="K312" s="304">
        <v>309.20999999999998</v>
      </c>
    </row>
    <row r="313" spans="1:22" ht="14.25" x14ac:dyDescent="0.2">
      <c r="A313" s="301"/>
      <c r="B313" s="302"/>
      <c r="C313" s="302" t="s">
        <v>189</v>
      </c>
      <c r="D313" s="303"/>
      <c r="E313" s="286"/>
      <c r="F313" s="321">
        <v>5.53</v>
      </c>
      <c r="G313" s="305" t="s">
        <v>1549</v>
      </c>
      <c r="H313" s="286">
        <v>1</v>
      </c>
      <c r="I313" s="306">
        <v>6.91</v>
      </c>
      <c r="J313" s="286">
        <v>23.35</v>
      </c>
      <c r="K313" s="306">
        <v>161.35</v>
      </c>
    </row>
    <row r="314" spans="1:22" ht="14.25" x14ac:dyDescent="0.2">
      <c r="A314" s="301"/>
      <c r="B314" s="302"/>
      <c r="C314" s="302" t="s">
        <v>205</v>
      </c>
      <c r="D314" s="303"/>
      <c r="E314" s="286"/>
      <c r="F314" s="321">
        <v>1.89</v>
      </c>
      <c r="G314" s="305" t="s">
        <v>195</v>
      </c>
      <c r="H314" s="286">
        <v>1</v>
      </c>
      <c r="I314" s="304">
        <v>1.89</v>
      </c>
      <c r="J314" s="286">
        <v>5.42</v>
      </c>
      <c r="K314" s="304">
        <v>10.24</v>
      </c>
    </row>
    <row r="315" spans="1:22" ht="14.25" x14ac:dyDescent="0.2">
      <c r="A315" s="301"/>
      <c r="B315" s="302"/>
      <c r="C315" s="302" t="s">
        <v>194</v>
      </c>
      <c r="D315" s="303" t="s">
        <v>187</v>
      </c>
      <c r="E315" s="286">
        <v>112</v>
      </c>
      <c r="F315" s="321"/>
      <c r="G315" s="305"/>
      <c r="H315" s="286"/>
      <c r="I315" s="304">
        <v>7.62</v>
      </c>
      <c r="J315" s="286">
        <v>90</v>
      </c>
      <c r="K315" s="304">
        <v>140.38</v>
      </c>
    </row>
    <row r="316" spans="1:22" ht="14.25" x14ac:dyDescent="0.2">
      <c r="A316" s="301"/>
      <c r="B316" s="302"/>
      <c r="C316" s="302" t="s">
        <v>193</v>
      </c>
      <c r="D316" s="303" t="s">
        <v>187</v>
      </c>
      <c r="E316" s="286">
        <v>70</v>
      </c>
      <c r="F316" s="321"/>
      <c r="G316" s="305"/>
      <c r="H316" s="286"/>
      <c r="I316" s="304">
        <v>4.4800000000000004</v>
      </c>
      <c r="J316" s="286">
        <v>41</v>
      </c>
      <c r="K316" s="304">
        <v>63.95</v>
      </c>
    </row>
    <row r="317" spans="1:22" ht="14.25" x14ac:dyDescent="0.2">
      <c r="A317" s="301"/>
      <c r="B317" s="302"/>
      <c r="C317" s="302" t="s">
        <v>188</v>
      </c>
      <c r="D317" s="303" t="s">
        <v>187</v>
      </c>
      <c r="E317" s="286">
        <v>175</v>
      </c>
      <c r="F317" s="321"/>
      <c r="G317" s="305"/>
      <c r="H317" s="286"/>
      <c r="I317" s="304">
        <v>12.09</v>
      </c>
      <c r="J317" s="286">
        <v>157</v>
      </c>
      <c r="K317" s="304">
        <v>253.32</v>
      </c>
    </row>
    <row r="318" spans="1:22" ht="14.25" x14ac:dyDescent="0.2">
      <c r="A318" s="307"/>
      <c r="B318" s="308"/>
      <c r="C318" s="308" t="s">
        <v>192</v>
      </c>
      <c r="D318" s="309" t="s">
        <v>191</v>
      </c>
      <c r="E318" s="310">
        <v>0.52</v>
      </c>
      <c r="F318" s="361"/>
      <c r="G318" s="312" t="s">
        <v>1548</v>
      </c>
      <c r="H318" s="310">
        <v>1</v>
      </c>
      <c r="I318" s="311">
        <v>0.6</v>
      </c>
      <c r="J318" s="310"/>
      <c r="K318" s="311"/>
    </row>
    <row r="319" spans="1:22" ht="15" x14ac:dyDescent="0.25">
      <c r="A319" s="313"/>
      <c r="B319" s="313"/>
      <c r="C319" s="314" t="s">
        <v>183</v>
      </c>
      <c r="D319" s="313"/>
      <c r="E319" s="313"/>
      <c r="F319" s="313"/>
      <c r="G319" s="313"/>
      <c r="H319" s="472">
        <v>67.27</v>
      </c>
      <c r="I319" s="472"/>
      <c r="J319" s="472">
        <v>933.08</v>
      </c>
      <c r="K319" s="472"/>
      <c r="O319" s="284">
        <f>I311+I312+I314+I315+I316+I317</f>
        <v>67.27</v>
      </c>
      <c r="P319" s="284">
        <f>K311+K312+K314+K315+K316+K317</f>
        <v>933.08</v>
      </c>
    </row>
    <row r="321" spans="1:22" ht="81" x14ac:dyDescent="0.2">
      <c r="A321" s="275" t="s">
        <v>105</v>
      </c>
      <c r="B321" s="276" t="s">
        <v>3752</v>
      </c>
      <c r="C321" s="276" t="s">
        <v>1507</v>
      </c>
      <c r="D321" s="277" t="s">
        <v>3240</v>
      </c>
      <c r="E321" s="278">
        <v>1</v>
      </c>
      <c r="F321" s="362">
        <v>34631.11</v>
      </c>
      <c r="G321" s="280" t="s">
        <v>195</v>
      </c>
      <c r="H321" s="278">
        <v>1</v>
      </c>
      <c r="I321" s="279">
        <v>34631.11</v>
      </c>
      <c r="J321" s="278">
        <v>4.4000000000000004</v>
      </c>
      <c r="K321" s="279">
        <v>152376.88</v>
      </c>
      <c r="Q321" s="281">
        <f>[20]Source!X279</f>
        <v>0</v>
      </c>
      <c r="R321" s="281">
        <f>[20]Source!X280</f>
        <v>0</v>
      </c>
      <c r="S321" s="281">
        <f>[20]Source!Y279</f>
        <v>0</v>
      </c>
      <c r="T321" s="281">
        <f>[20]Source!Y280</f>
        <v>0</v>
      </c>
      <c r="U321" s="281">
        <f>ROUND((175/100)*ROUND([20]Source!R279, 2), 2)</f>
        <v>0</v>
      </c>
      <c r="V321" s="281">
        <f>ROUND((157/100)*ROUND([20]Source!R280, 2), 2)</f>
        <v>0</v>
      </c>
    </row>
    <row r="322" spans="1:22" ht="15" x14ac:dyDescent="0.25">
      <c r="A322" s="282"/>
      <c r="B322" s="282"/>
      <c r="C322" s="283" t="s">
        <v>183</v>
      </c>
      <c r="D322" s="282"/>
      <c r="E322" s="282"/>
      <c r="F322" s="282"/>
      <c r="G322" s="282"/>
      <c r="H322" s="473">
        <v>34631.11</v>
      </c>
      <c r="I322" s="473"/>
      <c r="J322" s="473">
        <v>152376.88</v>
      </c>
      <c r="K322" s="473"/>
      <c r="O322" s="284">
        <f>I321</f>
        <v>34631.11</v>
      </c>
      <c r="P322" s="284">
        <f>K321</f>
        <v>152376.88</v>
      </c>
    </row>
    <row r="325" spans="1:22" ht="15" x14ac:dyDescent="0.25">
      <c r="A325" s="447" t="s">
        <v>3763</v>
      </c>
      <c r="B325" s="447"/>
      <c r="C325" s="447"/>
      <c r="D325" s="447"/>
      <c r="E325" s="447"/>
      <c r="F325" s="447"/>
      <c r="G325" s="447"/>
      <c r="H325" s="445">
        <v>35228.75</v>
      </c>
      <c r="I325" s="446"/>
      <c r="J325" s="445">
        <v>163083.82999999999</v>
      </c>
      <c r="K325" s="446"/>
    </row>
    <row r="326" spans="1:22" hidden="1" x14ac:dyDescent="0.2">
      <c r="A326" s="281" t="s">
        <v>182</v>
      </c>
      <c r="I326" s="281">
        <v>0</v>
      </c>
      <c r="J326" s="281">
        <v>0</v>
      </c>
    </row>
    <row r="327" spans="1:22" hidden="1" x14ac:dyDescent="0.2">
      <c r="A327" s="281" t="s">
        <v>181</v>
      </c>
      <c r="I327" s="281">
        <v>0</v>
      </c>
      <c r="J327" s="281">
        <v>0</v>
      </c>
    </row>
    <row r="329" spans="1:22" ht="16.5" x14ac:dyDescent="0.25">
      <c r="A329" s="448" t="s">
        <v>3764</v>
      </c>
      <c r="B329" s="448"/>
      <c r="C329" s="448"/>
      <c r="D329" s="448"/>
      <c r="E329" s="448"/>
      <c r="F329" s="448"/>
      <c r="G329" s="448"/>
      <c r="H329" s="448"/>
      <c r="I329" s="448"/>
      <c r="J329" s="448"/>
      <c r="K329" s="448"/>
    </row>
    <row r="330" spans="1:22" ht="65.25" x14ac:dyDescent="0.2">
      <c r="A330" s="301" t="s">
        <v>719</v>
      </c>
      <c r="B330" s="302" t="s">
        <v>1476</v>
      </c>
      <c r="C330" s="302" t="s">
        <v>1475</v>
      </c>
      <c r="D330" s="303" t="s">
        <v>1903</v>
      </c>
      <c r="E330" s="286">
        <v>1</v>
      </c>
      <c r="F330" s="321"/>
      <c r="G330" s="305"/>
      <c r="H330" s="286"/>
      <c r="I330" s="304"/>
      <c r="J330" s="286"/>
      <c r="K330" s="304"/>
      <c r="Q330" s="281">
        <f>[20]Source!X316</f>
        <v>78.39</v>
      </c>
      <c r="R330" s="281">
        <f>[20]Source!X317</f>
        <v>1445</v>
      </c>
      <c r="S330" s="281">
        <f>[20]Source!Y316</f>
        <v>46.07</v>
      </c>
      <c r="T330" s="281">
        <f>[20]Source!Y317</f>
        <v>658.28</v>
      </c>
      <c r="U330" s="281">
        <f>ROUND((175/100)*ROUND([20]Source!R316, 2), 2)</f>
        <v>1.42</v>
      </c>
      <c r="V330" s="281">
        <f>ROUND((157/100)*ROUND([20]Source!R317, 2), 2)</f>
        <v>29.69</v>
      </c>
    </row>
    <row r="331" spans="1:22" ht="14.25" x14ac:dyDescent="0.2">
      <c r="A331" s="301"/>
      <c r="B331" s="302"/>
      <c r="C331" s="302" t="s">
        <v>197</v>
      </c>
      <c r="D331" s="303"/>
      <c r="E331" s="286"/>
      <c r="F331" s="321">
        <v>59.79</v>
      </c>
      <c r="G331" s="305" t="s">
        <v>1548</v>
      </c>
      <c r="H331" s="286">
        <v>1</v>
      </c>
      <c r="I331" s="304">
        <v>68.760000000000005</v>
      </c>
      <c r="J331" s="286">
        <v>23.35</v>
      </c>
      <c r="K331" s="304">
        <v>1605.55</v>
      </c>
    </row>
    <row r="332" spans="1:22" ht="14.25" x14ac:dyDescent="0.2">
      <c r="A332" s="301"/>
      <c r="B332" s="302"/>
      <c r="C332" s="302" t="s">
        <v>184</v>
      </c>
      <c r="D332" s="303"/>
      <c r="E332" s="286"/>
      <c r="F332" s="321">
        <v>4.42</v>
      </c>
      <c r="G332" s="305" t="s">
        <v>1549</v>
      </c>
      <c r="H332" s="286">
        <v>1</v>
      </c>
      <c r="I332" s="304">
        <v>5.53</v>
      </c>
      <c r="J332" s="286">
        <v>8</v>
      </c>
      <c r="K332" s="304">
        <v>44.24</v>
      </c>
    </row>
    <row r="333" spans="1:22" ht="14.25" x14ac:dyDescent="0.2">
      <c r="A333" s="301"/>
      <c r="B333" s="302"/>
      <c r="C333" s="302" t="s">
        <v>189</v>
      </c>
      <c r="D333" s="303"/>
      <c r="E333" s="286"/>
      <c r="F333" s="321">
        <v>0.65</v>
      </c>
      <c r="G333" s="305" t="s">
        <v>1549</v>
      </c>
      <c r="H333" s="286">
        <v>1</v>
      </c>
      <c r="I333" s="306">
        <v>0.81</v>
      </c>
      <c r="J333" s="286">
        <v>23.35</v>
      </c>
      <c r="K333" s="306">
        <v>18.91</v>
      </c>
    </row>
    <row r="334" spans="1:22" ht="14.25" x14ac:dyDescent="0.2">
      <c r="A334" s="301"/>
      <c r="B334" s="302"/>
      <c r="C334" s="302" t="s">
        <v>205</v>
      </c>
      <c r="D334" s="303"/>
      <c r="E334" s="286"/>
      <c r="F334" s="321">
        <v>21.42</v>
      </c>
      <c r="G334" s="305" t="s">
        <v>195</v>
      </c>
      <c r="H334" s="286">
        <v>1</v>
      </c>
      <c r="I334" s="304">
        <v>21.42</v>
      </c>
      <c r="J334" s="286">
        <v>5.42</v>
      </c>
      <c r="K334" s="304">
        <v>116.1</v>
      </c>
    </row>
    <row r="335" spans="1:22" ht="14.25" x14ac:dyDescent="0.2">
      <c r="A335" s="301"/>
      <c r="B335" s="302"/>
      <c r="C335" s="302" t="s">
        <v>194</v>
      </c>
      <c r="D335" s="303" t="s">
        <v>187</v>
      </c>
      <c r="E335" s="286">
        <v>112</v>
      </c>
      <c r="F335" s="321"/>
      <c r="G335" s="305"/>
      <c r="H335" s="286"/>
      <c r="I335" s="304">
        <v>78.39</v>
      </c>
      <c r="J335" s="286">
        <v>90</v>
      </c>
      <c r="K335" s="304">
        <v>1445</v>
      </c>
    </row>
    <row r="336" spans="1:22" ht="14.25" x14ac:dyDescent="0.2">
      <c r="A336" s="301"/>
      <c r="B336" s="302"/>
      <c r="C336" s="302" t="s">
        <v>193</v>
      </c>
      <c r="D336" s="303" t="s">
        <v>187</v>
      </c>
      <c r="E336" s="286">
        <v>70</v>
      </c>
      <c r="F336" s="321"/>
      <c r="G336" s="305"/>
      <c r="H336" s="286"/>
      <c r="I336" s="304">
        <v>46.07</v>
      </c>
      <c r="J336" s="286">
        <v>41</v>
      </c>
      <c r="K336" s="304">
        <v>658.28</v>
      </c>
    </row>
    <row r="337" spans="1:22" ht="14.25" x14ac:dyDescent="0.2">
      <c r="A337" s="301"/>
      <c r="B337" s="302"/>
      <c r="C337" s="302" t="s">
        <v>188</v>
      </c>
      <c r="D337" s="303" t="s">
        <v>187</v>
      </c>
      <c r="E337" s="286">
        <v>175</v>
      </c>
      <c r="F337" s="321"/>
      <c r="G337" s="305"/>
      <c r="H337" s="286"/>
      <c r="I337" s="304">
        <v>1.42</v>
      </c>
      <c r="J337" s="286">
        <v>157</v>
      </c>
      <c r="K337" s="304">
        <v>29.69</v>
      </c>
    </row>
    <row r="338" spans="1:22" ht="14.25" x14ac:dyDescent="0.2">
      <c r="A338" s="307"/>
      <c r="B338" s="308"/>
      <c r="C338" s="308" t="s">
        <v>192</v>
      </c>
      <c r="D338" s="309" t="s">
        <v>191</v>
      </c>
      <c r="E338" s="310">
        <v>5.15</v>
      </c>
      <c r="F338" s="361"/>
      <c r="G338" s="312" t="s">
        <v>1548</v>
      </c>
      <c r="H338" s="310">
        <v>1</v>
      </c>
      <c r="I338" s="311">
        <v>5.92</v>
      </c>
      <c r="J338" s="310"/>
      <c r="K338" s="311"/>
    </row>
    <row r="339" spans="1:22" ht="15" x14ac:dyDescent="0.25">
      <c r="A339" s="313"/>
      <c r="B339" s="313"/>
      <c r="C339" s="314" t="s">
        <v>183</v>
      </c>
      <c r="D339" s="313"/>
      <c r="E339" s="313"/>
      <c r="F339" s="313"/>
      <c r="G339" s="313"/>
      <c r="H339" s="472">
        <v>221.59</v>
      </c>
      <c r="I339" s="472"/>
      <c r="J339" s="472">
        <v>3898.86</v>
      </c>
      <c r="K339" s="472"/>
      <c r="O339" s="284">
        <f>I331+I332+I334+I335+I336+I337</f>
        <v>221.59</v>
      </c>
      <c r="P339" s="284">
        <f>K331+K332+K334+K335+K336+K337</f>
        <v>3898.86</v>
      </c>
    </row>
    <row r="341" spans="1:22" ht="65.25" x14ac:dyDescent="0.2">
      <c r="A341" s="301" t="s">
        <v>1534</v>
      </c>
      <c r="B341" s="302" t="s">
        <v>1499</v>
      </c>
      <c r="C341" s="302" t="s">
        <v>965</v>
      </c>
      <c r="D341" s="303" t="s">
        <v>1903</v>
      </c>
      <c r="E341" s="286">
        <v>10</v>
      </c>
      <c r="F341" s="321"/>
      <c r="G341" s="305"/>
      <c r="H341" s="286"/>
      <c r="I341" s="304"/>
      <c r="J341" s="286"/>
      <c r="K341" s="304"/>
      <c r="Q341" s="281">
        <f>[20]Source!X318</f>
        <v>88.62</v>
      </c>
      <c r="R341" s="281">
        <f>[20]Source!X319</f>
        <v>1633.71</v>
      </c>
      <c r="S341" s="281">
        <f>[20]Source!Y318</f>
        <v>52.09</v>
      </c>
      <c r="T341" s="281">
        <f>[20]Source!Y319</f>
        <v>744.24</v>
      </c>
      <c r="U341" s="281">
        <f>ROUND((175/100)*ROUND([20]Source!R318, 2), 2)</f>
        <v>0</v>
      </c>
      <c r="V341" s="281">
        <f>ROUND((157/100)*ROUND([20]Source!R319, 2), 2)</f>
        <v>0</v>
      </c>
    </row>
    <row r="342" spans="1:22" ht="14.25" x14ac:dyDescent="0.2">
      <c r="A342" s="301"/>
      <c r="B342" s="302"/>
      <c r="C342" s="302" t="s">
        <v>197</v>
      </c>
      <c r="D342" s="303"/>
      <c r="E342" s="286"/>
      <c r="F342" s="321">
        <v>6.76</v>
      </c>
      <c r="G342" s="305" t="s">
        <v>1548</v>
      </c>
      <c r="H342" s="286">
        <v>1</v>
      </c>
      <c r="I342" s="304">
        <v>77.739999999999995</v>
      </c>
      <c r="J342" s="286">
        <v>23.35</v>
      </c>
      <c r="K342" s="304">
        <v>1815.23</v>
      </c>
    </row>
    <row r="343" spans="1:22" ht="14.25" x14ac:dyDescent="0.2">
      <c r="A343" s="301"/>
      <c r="B343" s="302"/>
      <c r="C343" s="302" t="s">
        <v>205</v>
      </c>
      <c r="D343" s="303"/>
      <c r="E343" s="286"/>
      <c r="F343" s="321">
        <v>0.35</v>
      </c>
      <c r="G343" s="305" t="s">
        <v>195</v>
      </c>
      <c r="H343" s="286">
        <v>1</v>
      </c>
      <c r="I343" s="304">
        <v>3.5</v>
      </c>
      <c r="J343" s="286">
        <v>5.43</v>
      </c>
      <c r="K343" s="304">
        <v>19.010000000000002</v>
      </c>
    </row>
    <row r="344" spans="1:22" ht="14.25" x14ac:dyDescent="0.2">
      <c r="A344" s="301"/>
      <c r="B344" s="302"/>
      <c r="C344" s="302" t="s">
        <v>194</v>
      </c>
      <c r="D344" s="303" t="s">
        <v>187</v>
      </c>
      <c r="E344" s="286">
        <v>112</v>
      </c>
      <c r="F344" s="321"/>
      <c r="G344" s="305"/>
      <c r="H344" s="286"/>
      <c r="I344" s="304">
        <v>88.62</v>
      </c>
      <c r="J344" s="286">
        <v>90</v>
      </c>
      <c r="K344" s="304">
        <v>1633.71</v>
      </c>
    </row>
    <row r="345" spans="1:22" ht="14.25" x14ac:dyDescent="0.2">
      <c r="A345" s="301"/>
      <c r="B345" s="302"/>
      <c r="C345" s="302" t="s">
        <v>193</v>
      </c>
      <c r="D345" s="303" t="s">
        <v>187</v>
      </c>
      <c r="E345" s="286">
        <v>70</v>
      </c>
      <c r="F345" s="321"/>
      <c r="G345" s="305"/>
      <c r="H345" s="286"/>
      <c r="I345" s="304">
        <v>52.09</v>
      </c>
      <c r="J345" s="286">
        <v>41</v>
      </c>
      <c r="K345" s="304">
        <v>744.24</v>
      </c>
    </row>
    <row r="346" spans="1:22" ht="14.25" x14ac:dyDescent="0.2">
      <c r="A346" s="307"/>
      <c r="B346" s="308"/>
      <c r="C346" s="308" t="s">
        <v>192</v>
      </c>
      <c r="D346" s="309" t="s">
        <v>191</v>
      </c>
      <c r="E346" s="310">
        <v>0.52</v>
      </c>
      <c r="F346" s="361"/>
      <c r="G346" s="312" t="s">
        <v>1548</v>
      </c>
      <c r="H346" s="310">
        <v>1</v>
      </c>
      <c r="I346" s="311">
        <v>5.98</v>
      </c>
      <c r="J346" s="310"/>
      <c r="K346" s="311"/>
    </row>
    <row r="347" spans="1:22" ht="15" x14ac:dyDescent="0.25">
      <c r="A347" s="313"/>
      <c r="B347" s="313"/>
      <c r="C347" s="314" t="s">
        <v>183</v>
      </c>
      <c r="D347" s="313"/>
      <c r="E347" s="313"/>
      <c r="F347" s="313"/>
      <c r="G347" s="313"/>
      <c r="H347" s="472">
        <v>221.95</v>
      </c>
      <c r="I347" s="472"/>
      <c r="J347" s="472">
        <v>4212.1899999999996</v>
      </c>
      <c r="K347" s="472"/>
      <c r="O347" s="284">
        <f>I342+I343+I344+I345</f>
        <v>221.95</v>
      </c>
      <c r="P347" s="284">
        <f>K342+K343+K344+K345</f>
        <v>4212.1899999999996</v>
      </c>
    </row>
    <row r="349" spans="1:22" ht="65.25" x14ac:dyDescent="0.2">
      <c r="A349" s="301" t="s">
        <v>104</v>
      </c>
      <c r="B349" s="302" t="s">
        <v>1474</v>
      </c>
      <c r="C349" s="302" t="s">
        <v>1247</v>
      </c>
      <c r="D349" s="303" t="s">
        <v>1903</v>
      </c>
      <c r="E349" s="286">
        <v>1</v>
      </c>
      <c r="F349" s="321"/>
      <c r="G349" s="305"/>
      <c r="H349" s="286"/>
      <c r="I349" s="304"/>
      <c r="J349" s="286"/>
      <c r="K349" s="304"/>
      <c r="Q349" s="281">
        <f>[20]Source!X320</f>
        <v>35.11</v>
      </c>
      <c r="R349" s="281">
        <f>[20]Source!X321</f>
        <v>647.26</v>
      </c>
      <c r="S349" s="281">
        <f>[20]Source!Y320</f>
        <v>20.64</v>
      </c>
      <c r="T349" s="281">
        <f>[20]Source!Y321</f>
        <v>294.86</v>
      </c>
      <c r="U349" s="281">
        <f>ROUND((175/100)*ROUND([20]Source!R320, 2), 2)</f>
        <v>0</v>
      </c>
      <c r="V349" s="281">
        <f>ROUND((157/100)*ROUND([20]Source!R321, 2), 2)</f>
        <v>0</v>
      </c>
    </row>
    <row r="350" spans="1:22" ht="14.25" x14ac:dyDescent="0.2">
      <c r="A350" s="301"/>
      <c r="B350" s="302"/>
      <c r="C350" s="302" t="s">
        <v>197</v>
      </c>
      <c r="D350" s="303"/>
      <c r="E350" s="286"/>
      <c r="F350" s="321">
        <v>26.78</v>
      </c>
      <c r="G350" s="305" t="s">
        <v>1548</v>
      </c>
      <c r="H350" s="286">
        <v>1</v>
      </c>
      <c r="I350" s="304">
        <v>30.8</v>
      </c>
      <c r="J350" s="286">
        <v>23.35</v>
      </c>
      <c r="K350" s="304">
        <v>719.18</v>
      </c>
    </row>
    <row r="351" spans="1:22" ht="14.25" x14ac:dyDescent="0.2">
      <c r="A351" s="301"/>
      <c r="B351" s="302"/>
      <c r="C351" s="302" t="s">
        <v>205</v>
      </c>
      <c r="D351" s="303"/>
      <c r="E351" s="286"/>
      <c r="F351" s="321">
        <v>0.28000000000000003</v>
      </c>
      <c r="G351" s="305" t="s">
        <v>195</v>
      </c>
      <c r="H351" s="286">
        <v>1</v>
      </c>
      <c r="I351" s="304">
        <v>0.28000000000000003</v>
      </c>
      <c r="J351" s="286">
        <v>5.43</v>
      </c>
      <c r="K351" s="304">
        <v>1.52</v>
      </c>
    </row>
    <row r="352" spans="1:22" ht="14.25" x14ac:dyDescent="0.2">
      <c r="A352" s="301"/>
      <c r="B352" s="302"/>
      <c r="C352" s="302" t="s">
        <v>194</v>
      </c>
      <c r="D352" s="303" t="s">
        <v>187</v>
      </c>
      <c r="E352" s="286">
        <v>112</v>
      </c>
      <c r="F352" s="321"/>
      <c r="G352" s="305"/>
      <c r="H352" s="286"/>
      <c r="I352" s="304">
        <v>35.11</v>
      </c>
      <c r="J352" s="286">
        <v>90</v>
      </c>
      <c r="K352" s="304">
        <v>647.26</v>
      </c>
    </row>
    <row r="353" spans="1:22" ht="14.25" x14ac:dyDescent="0.2">
      <c r="A353" s="301"/>
      <c r="B353" s="302"/>
      <c r="C353" s="302" t="s">
        <v>193</v>
      </c>
      <c r="D353" s="303" t="s">
        <v>187</v>
      </c>
      <c r="E353" s="286">
        <v>70</v>
      </c>
      <c r="F353" s="321"/>
      <c r="G353" s="305"/>
      <c r="H353" s="286"/>
      <c r="I353" s="304">
        <v>20.64</v>
      </c>
      <c r="J353" s="286">
        <v>41</v>
      </c>
      <c r="K353" s="304">
        <v>294.86</v>
      </c>
    </row>
    <row r="354" spans="1:22" ht="14.25" x14ac:dyDescent="0.2">
      <c r="A354" s="307"/>
      <c r="B354" s="308"/>
      <c r="C354" s="308" t="s">
        <v>192</v>
      </c>
      <c r="D354" s="309" t="s">
        <v>191</v>
      </c>
      <c r="E354" s="310">
        <v>2.06</v>
      </c>
      <c r="F354" s="361"/>
      <c r="G354" s="312" t="s">
        <v>1548</v>
      </c>
      <c r="H354" s="310">
        <v>1</v>
      </c>
      <c r="I354" s="311">
        <v>2.37</v>
      </c>
      <c r="J354" s="310"/>
      <c r="K354" s="311"/>
    </row>
    <row r="355" spans="1:22" ht="15" x14ac:dyDescent="0.25">
      <c r="A355" s="313"/>
      <c r="B355" s="313"/>
      <c r="C355" s="314" t="s">
        <v>183</v>
      </c>
      <c r="D355" s="313"/>
      <c r="E355" s="313"/>
      <c r="F355" s="313"/>
      <c r="G355" s="313"/>
      <c r="H355" s="472">
        <v>86.83</v>
      </c>
      <c r="I355" s="472"/>
      <c r="J355" s="472">
        <v>1662.82</v>
      </c>
      <c r="K355" s="472"/>
      <c r="O355" s="284">
        <f>I350+I351+I352+I353</f>
        <v>86.83</v>
      </c>
      <c r="P355" s="284">
        <f>K350+K351+K352+K353</f>
        <v>1662.82</v>
      </c>
    </row>
    <row r="357" spans="1:22" ht="65.25" x14ac:dyDescent="0.2">
      <c r="A357" s="301" t="s">
        <v>1546</v>
      </c>
      <c r="B357" s="302" t="s">
        <v>1473</v>
      </c>
      <c r="C357" s="302" t="s">
        <v>1472</v>
      </c>
      <c r="D357" s="303" t="s">
        <v>1903</v>
      </c>
      <c r="E357" s="286">
        <v>1</v>
      </c>
      <c r="F357" s="321"/>
      <c r="G357" s="305"/>
      <c r="H357" s="286"/>
      <c r="I357" s="304"/>
      <c r="J357" s="286"/>
      <c r="K357" s="304"/>
      <c r="Q357" s="281">
        <f>[20]Source!X322</f>
        <v>7.62</v>
      </c>
      <c r="R357" s="281">
        <f>[20]Source!X323</f>
        <v>140.38</v>
      </c>
      <c r="S357" s="281">
        <f>[20]Source!Y322</f>
        <v>4.4800000000000004</v>
      </c>
      <c r="T357" s="281">
        <f>[20]Source!Y323</f>
        <v>63.95</v>
      </c>
      <c r="U357" s="281">
        <f>ROUND((175/100)*ROUND([20]Source!R322, 2), 2)</f>
        <v>12.09</v>
      </c>
      <c r="V357" s="281">
        <f>ROUND((157/100)*ROUND([20]Source!R323, 2), 2)</f>
        <v>253.32</v>
      </c>
    </row>
    <row r="358" spans="1:22" ht="14.25" x14ac:dyDescent="0.2">
      <c r="A358" s="301"/>
      <c r="B358" s="302"/>
      <c r="C358" s="302" t="s">
        <v>197</v>
      </c>
      <c r="D358" s="303"/>
      <c r="E358" s="286"/>
      <c r="F358" s="321">
        <v>5.81</v>
      </c>
      <c r="G358" s="305" t="s">
        <v>1548</v>
      </c>
      <c r="H358" s="286">
        <v>1</v>
      </c>
      <c r="I358" s="304">
        <v>6.68</v>
      </c>
      <c r="J358" s="286">
        <v>23.35</v>
      </c>
      <c r="K358" s="304">
        <v>155.97999999999999</v>
      </c>
    </row>
    <row r="359" spans="1:22" ht="14.25" x14ac:dyDescent="0.2">
      <c r="A359" s="301"/>
      <c r="B359" s="302"/>
      <c r="C359" s="302" t="s">
        <v>184</v>
      </c>
      <c r="D359" s="303"/>
      <c r="E359" s="286"/>
      <c r="F359" s="321">
        <v>27.61</v>
      </c>
      <c r="G359" s="305" t="s">
        <v>1549</v>
      </c>
      <c r="H359" s="286">
        <v>1</v>
      </c>
      <c r="I359" s="304">
        <v>34.51</v>
      </c>
      <c r="J359" s="286">
        <v>8.9600000000000009</v>
      </c>
      <c r="K359" s="304">
        <v>309.20999999999998</v>
      </c>
    </row>
    <row r="360" spans="1:22" ht="14.25" x14ac:dyDescent="0.2">
      <c r="A360" s="301"/>
      <c r="B360" s="302"/>
      <c r="C360" s="302" t="s">
        <v>189</v>
      </c>
      <c r="D360" s="303"/>
      <c r="E360" s="286"/>
      <c r="F360" s="321">
        <v>5.53</v>
      </c>
      <c r="G360" s="305" t="s">
        <v>1549</v>
      </c>
      <c r="H360" s="286">
        <v>1</v>
      </c>
      <c r="I360" s="306">
        <v>6.91</v>
      </c>
      <c r="J360" s="286">
        <v>23.35</v>
      </c>
      <c r="K360" s="306">
        <v>161.35</v>
      </c>
    </row>
    <row r="361" spans="1:22" ht="14.25" x14ac:dyDescent="0.2">
      <c r="A361" s="301"/>
      <c r="B361" s="302"/>
      <c r="C361" s="302" t="s">
        <v>205</v>
      </c>
      <c r="D361" s="303"/>
      <c r="E361" s="286"/>
      <c r="F361" s="321">
        <v>1.89</v>
      </c>
      <c r="G361" s="305" t="s">
        <v>195</v>
      </c>
      <c r="H361" s="286">
        <v>1</v>
      </c>
      <c r="I361" s="304">
        <v>1.89</v>
      </c>
      <c r="J361" s="286">
        <v>5.42</v>
      </c>
      <c r="K361" s="304">
        <v>10.24</v>
      </c>
    </row>
    <row r="362" spans="1:22" ht="14.25" x14ac:dyDescent="0.2">
      <c r="A362" s="301"/>
      <c r="B362" s="302"/>
      <c r="C362" s="302" t="s">
        <v>194</v>
      </c>
      <c r="D362" s="303" t="s">
        <v>187</v>
      </c>
      <c r="E362" s="286">
        <v>112</v>
      </c>
      <c r="F362" s="321"/>
      <c r="G362" s="305"/>
      <c r="H362" s="286"/>
      <c r="I362" s="304">
        <v>7.62</v>
      </c>
      <c r="J362" s="286">
        <v>90</v>
      </c>
      <c r="K362" s="304">
        <v>140.38</v>
      </c>
    </row>
    <row r="363" spans="1:22" ht="14.25" x14ac:dyDescent="0.2">
      <c r="A363" s="301"/>
      <c r="B363" s="302"/>
      <c r="C363" s="302" t="s">
        <v>193</v>
      </c>
      <c r="D363" s="303" t="s">
        <v>187</v>
      </c>
      <c r="E363" s="286">
        <v>70</v>
      </c>
      <c r="F363" s="321"/>
      <c r="G363" s="305"/>
      <c r="H363" s="286"/>
      <c r="I363" s="304">
        <v>4.4800000000000004</v>
      </c>
      <c r="J363" s="286">
        <v>41</v>
      </c>
      <c r="K363" s="304">
        <v>63.95</v>
      </c>
    </row>
    <row r="364" spans="1:22" ht="14.25" x14ac:dyDescent="0.2">
      <c r="A364" s="301"/>
      <c r="B364" s="302"/>
      <c r="C364" s="302" t="s">
        <v>188</v>
      </c>
      <c r="D364" s="303" t="s">
        <v>187</v>
      </c>
      <c r="E364" s="286">
        <v>175</v>
      </c>
      <c r="F364" s="321"/>
      <c r="G364" s="305"/>
      <c r="H364" s="286"/>
      <c r="I364" s="304">
        <v>12.09</v>
      </c>
      <c r="J364" s="286">
        <v>157</v>
      </c>
      <c r="K364" s="304">
        <v>253.32</v>
      </c>
    </row>
    <row r="365" spans="1:22" ht="14.25" x14ac:dyDescent="0.2">
      <c r="A365" s="307"/>
      <c r="B365" s="308"/>
      <c r="C365" s="308" t="s">
        <v>192</v>
      </c>
      <c r="D365" s="309" t="s">
        <v>191</v>
      </c>
      <c r="E365" s="310">
        <v>0.52</v>
      </c>
      <c r="F365" s="361"/>
      <c r="G365" s="312" t="s">
        <v>1548</v>
      </c>
      <c r="H365" s="310">
        <v>1</v>
      </c>
      <c r="I365" s="311">
        <v>0.6</v>
      </c>
      <c r="J365" s="310"/>
      <c r="K365" s="311"/>
    </row>
    <row r="366" spans="1:22" ht="15" x14ac:dyDescent="0.25">
      <c r="A366" s="313"/>
      <c r="B366" s="313"/>
      <c r="C366" s="314" t="s">
        <v>183</v>
      </c>
      <c r="D366" s="313"/>
      <c r="E366" s="313"/>
      <c r="F366" s="313"/>
      <c r="G366" s="313"/>
      <c r="H366" s="472">
        <v>67.27</v>
      </c>
      <c r="I366" s="472"/>
      <c r="J366" s="472">
        <v>933.08</v>
      </c>
      <c r="K366" s="472"/>
      <c r="O366" s="284">
        <f>I358+I359+I361+I362+I363+I364</f>
        <v>67.27</v>
      </c>
      <c r="P366" s="284">
        <f>K358+K359+K361+K362+K363+K364</f>
        <v>933.08</v>
      </c>
    </row>
    <row r="368" spans="1:22" ht="81" x14ac:dyDescent="0.2">
      <c r="A368" s="275" t="s">
        <v>105</v>
      </c>
      <c r="B368" s="276" t="s">
        <v>3752</v>
      </c>
      <c r="C368" s="276" t="s">
        <v>1506</v>
      </c>
      <c r="D368" s="277" t="s">
        <v>3240</v>
      </c>
      <c r="E368" s="278">
        <v>1</v>
      </c>
      <c r="F368" s="362">
        <v>35683.199999999997</v>
      </c>
      <c r="G368" s="280" t="s">
        <v>195</v>
      </c>
      <c r="H368" s="278">
        <v>1</v>
      </c>
      <c r="I368" s="279">
        <v>35683.199999999997</v>
      </c>
      <c r="J368" s="278">
        <v>4.4000000000000004</v>
      </c>
      <c r="K368" s="279">
        <v>157006.07999999999</v>
      </c>
      <c r="Q368" s="281">
        <f>[20]Source!X324</f>
        <v>0</v>
      </c>
      <c r="R368" s="281">
        <f>[20]Source!X325</f>
        <v>0</v>
      </c>
      <c r="S368" s="281">
        <f>[20]Source!Y324</f>
        <v>0</v>
      </c>
      <c r="T368" s="281">
        <f>[20]Source!Y325</f>
        <v>0</v>
      </c>
      <c r="U368" s="281">
        <f>ROUND((175/100)*ROUND([20]Source!R324, 2), 2)</f>
        <v>0</v>
      </c>
      <c r="V368" s="281">
        <f>ROUND((157/100)*ROUND([20]Source!R325, 2), 2)</f>
        <v>0</v>
      </c>
    </row>
    <row r="369" spans="1:22" ht="15" x14ac:dyDescent="0.25">
      <c r="A369" s="282"/>
      <c r="B369" s="282"/>
      <c r="C369" s="283" t="s">
        <v>183</v>
      </c>
      <c r="D369" s="282"/>
      <c r="E369" s="282"/>
      <c r="F369" s="282"/>
      <c r="G369" s="282"/>
      <c r="H369" s="473">
        <v>35683.199999999997</v>
      </c>
      <c r="I369" s="473"/>
      <c r="J369" s="473">
        <v>157006.07999999999</v>
      </c>
      <c r="K369" s="473"/>
      <c r="O369" s="284">
        <f>I368</f>
        <v>35683.199999999997</v>
      </c>
      <c r="P369" s="284">
        <f>K368</f>
        <v>157006.07999999999</v>
      </c>
    </row>
    <row r="372" spans="1:22" ht="15" x14ac:dyDescent="0.25">
      <c r="A372" s="447" t="s">
        <v>3765</v>
      </c>
      <c r="B372" s="447"/>
      <c r="C372" s="447"/>
      <c r="D372" s="447"/>
      <c r="E372" s="447"/>
      <c r="F372" s="447"/>
      <c r="G372" s="447"/>
      <c r="H372" s="445">
        <v>36280.839999999997</v>
      </c>
      <c r="I372" s="446"/>
      <c r="J372" s="445">
        <v>167713.03</v>
      </c>
      <c r="K372" s="446"/>
    </row>
    <row r="373" spans="1:22" hidden="1" x14ac:dyDescent="0.2">
      <c r="A373" s="281" t="s">
        <v>182</v>
      </c>
      <c r="I373" s="281">
        <v>0</v>
      </c>
      <c r="J373" s="281">
        <v>0</v>
      </c>
    </row>
    <row r="374" spans="1:22" hidden="1" x14ac:dyDescent="0.2">
      <c r="A374" s="281" t="s">
        <v>181</v>
      </c>
      <c r="I374" s="281">
        <v>0</v>
      </c>
      <c r="J374" s="281">
        <v>0</v>
      </c>
    </row>
    <row r="376" spans="1:22" ht="16.5" x14ac:dyDescent="0.25">
      <c r="A376" s="448" t="s">
        <v>3766</v>
      </c>
      <c r="B376" s="448"/>
      <c r="C376" s="448"/>
      <c r="D376" s="448"/>
      <c r="E376" s="448"/>
      <c r="F376" s="448"/>
      <c r="G376" s="448"/>
      <c r="H376" s="448"/>
      <c r="I376" s="448"/>
      <c r="J376" s="448"/>
      <c r="K376" s="448"/>
    </row>
    <row r="377" spans="1:22" ht="65.25" x14ac:dyDescent="0.2">
      <c r="A377" s="301" t="s">
        <v>719</v>
      </c>
      <c r="B377" s="302" t="s">
        <v>1476</v>
      </c>
      <c r="C377" s="302" t="s">
        <v>1475</v>
      </c>
      <c r="D377" s="303" t="s">
        <v>1903</v>
      </c>
      <c r="E377" s="286">
        <v>1</v>
      </c>
      <c r="F377" s="321"/>
      <c r="G377" s="305"/>
      <c r="H377" s="286"/>
      <c r="I377" s="304"/>
      <c r="J377" s="286"/>
      <c r="K377" s="304"/>
      <c r="Q377" s="281">
        <f>[20]Source!X361</f>
        <v>78.39</v>
      </c>
      <c r="R377" s="281">
        <f>[20]Source!X362</f>
        <v>1445</v>
      </c>
      <c r="S377" s="281">
        <f>[20]Source!Y361</f>
        <v>46.07</v>
      </c>
      <c r="T377" s="281">
        <f>[20]Source!Y362</f>
        <v>658.28</v>
      </c>
      <c r="U377" s="281">
        <f>ROUND((175/100)*ROUND([20]Source!R361, 2), 2)</f>
        <v>1.42</v>
      </c>
      <c r="V377" s="281">
        <f>ROUND((157/100)*ROUND([20]Source!R362, 2), 2)</f>
        <v>29.69</v>
      </c>
    </row>
    <row r="378" spans="1:22" ht="14.25" x14ac:dyDescent="0.2">
      <c r="A378" s="301"/>
      <c r="B378" s="302"/>
      <c r="C378" s="302" t="s">
        <v>197</v>
      </c>
      <c r="D378" s="303"/>
      <c r="E378" s="286"/>
      <c r="F378" s="321">
        <v>59.79</v>
      </c>
      <c r="G378" s="305" t="s">
        <v>1548</v>
      </c>
      <c r="H378" s="286">
        <v>1</v>
      </c>
      <c r="I378" s="304">
        <v>68.760000000000005</v>
      </c>
      <c r="J378" s="286">
        <v>23.35</v>
      </c>
      <c r="K378" s="304">
        <v>1605.55</v>
      </c>
    </row>
    <row r="379" spans="1:22" ht="14.25" x14ac:dyDescent="0.2">
      <c r="A379" s="301"/>
      <c r="B379" s="302"/>
      <c r="C379" s="302" t="s">
        <v>184</v>
      </c>
      <c r="D379" s="303"/>
      <c r="E379" s="286"/>
      <c r="F379" s="321">
        <v>4.42</v>
      </c>
      <c r="G379" s="305" t="s">
        <v>1549</v>
      </c>
      <c r="H379" s="286">
        <v>1</v>
      </c>
      <c r="I379" s="304">
        <v>5.53</v>
      </c>
      <c r="J379" s="286">
        <v>8</v>
      </c>
      <c r="K379" s="304">
        <v>44.24</v>
      </c>
    </row>
    <row r="380" spans="1:22" ht="14.25" x14ac:dyDescent="0.2">
      <c r="A380" s="301"/>
      <c r="B380" s="302"/>
      <c r="C380" s="302" t="s">
        <v>189</v>
      </c>
      <c r="D380" s="303"/>
      <c r="E380" s="286"/>
      <c r="F380" s="321">
        <v>0.65</v>
      </c>
      <c r="G380" s="305" t="s">
        <v>1549</v>
      </c>
      <c r="H380" s="286">
        <v>1</v>
      </c>
      <c r="I380" s="306">
        <v>0.81</v>
      </c>
      <c r="J380" s="286">
        <v>23.35</v>
      </c>
      <c r="K380" s="306">
        <v>18.91</v>
      </c>
    </row>
    <row r="381" spans="1:22" ht="14.25" x14ac:dyDescent="0.2">
      <c r="A381" s="301"/>
      <c r="B381" s="302"/>
      <c r="C381" s="302" t="s">
        <v>205</v>
      </c>
      <c r="D381" s="303"/>
      <c r="E381" s="286"/>
      <c r="F381" s="321">
        <v>21.42</v>
      </c>
      <c r="G381" s="305" t="s">
        <v>195</v>
      </c>
      <c r="H381" s="286">
        <v>1</v>
      </c>
      <c r="I381" s="304">
        <v>21.42</v>
      </c>
      <c r="J381" s="286">
        <v>5.42</v>
      </c>
      <c r="K381" s="304">
        <v>116.1</v>
      </c>
    </row>
    <row r="382" spans="1:22" ht="14.25" x14ac:dyDescent="0.2">
      <c r="A382" s="301"/>
      <c r="B382" s="302"/>
      <c r="C382" s="302" t="s">
        <v>194</v>
      </c>
      <c r="D382" s="303" t="s">
        <v>187</v>
      </c>
      <c r="E382" s="286">
        <v>112</v>
      </c>
      <c r="F382" s="321"/>
      <c r="G382" s="305"/>
      <c r="H382" s="286"/>
      <c r="I382" s="304">
        <v>78.39</v>
      </c>
      <c r="J382" s="286">
        <v>90</v>
      </c>
      <c r="K382" s="304">
        <v>1445</v>
      </c>
    </row>
    <row r="383" spans="1:22" ht="14.25" x14ac:dyDescent="0.2">
      <c r="A383" s="301"/>
      <c r="B383" s="302"/>
      <c r="C383" s="302" t="s">
        <v>193</v>
      </c>
      <c r="D383" s="303" t="s">
        <v>187</v>
      </c>
      <c r="E383" s="286">
        <v>70</v>
      </c>
      <c r="F383" s="321"/>
      <c r="G383" s="305"/>
      <c r="H383" s="286"/>
      <c r="I383" s="304">
        <v>46.07</v>
      </c>
      <c r="J383" s="286">
        <v>41</v>
      </c>
      <c r="K383" s="304">
        <v>658.28</v>
      </c>
    </row>
    <row r="384" spans="1:22" ht="14.25" x14ac:dyDescent="0.2">
      <c r="A384" s="301"/>
      <c r="B384" s="302"/>
      <c r="C384" s="302" t="s">
        <v>188</v>
      </c>
      <c r="D384" s="303" t="s">
        <v>187</v>
      </c>
      <c r="E384" s="286">
        <v>175</v>
      </c>
      <c r="F384" s="321"/>
      <c r="G384" s="305"/>
      <c r="H384" s="286"/>
      <c r="I384" s="304">
        <v>1.42</v>
      </c>
      <c r="J384" s="286">
        <v>157</v>
      </c>
      <c r="K384" s="304">
        <v>29.69</v>
      </c>
    </row>
    <row r="385" spans="1:22" ht="14.25" x14ac:dyDescent="0.2">
      <c r="A385" s="307"/>
      <c r="B385" s="308"/>
      <c r="C385" s="308" t="s">
        <v>192</v>
      </c>
      <c r="D385" s="309" t="s">
        <v>191</v>
      </c>
      <c r="E385" s="310">
        <v>5.15</v>
      </c>
      <c r="F385" s="361"/>
      <c r="G385" s="312" t="s">
        <v>1548</v>
      </c>
      <c r="H385" s="310">
        <v>1</v>
      </c>
      <c r="I385" s="311">
        <v>5.92</v>
      </c>
      <c r="J385" s="310"/>
      <c r="K385" s="311"/>
    </row>
    <row r="386" spans="1:22" ht="15" x14ac:dyDescent="0.25">
      <c r="A386" s="313"/>
      <c r="B386" s="313"/>
      <c r="C386" s="314" t="s">
        <v>183</v>
      </c>
      <c r="D386" s="313"/>
      <c r="E386" s="313"/>
      <c r="F386" s="313"/>
      <c r="G386" s="313"/>
      <c r="H386" s="472">
        <v>221.59</v>
      </c>
      <c r="I386" s="472"/>
      <c r="J386" s="472">
        <v>3898.86</v>
      </c>
      <c r="K386" s="472"/>
      <c r="O386" s="284">
        <f>I378+I379+I381+I382+I383+I384</f>
        <v>221.59</v>
      </c>
      <c r="P386" s="284">
        <f>K378+K379+K381+K382+K383+K384</f>
        <v>3898.86</v>
      </c>
    </row>
    <row r="388" spans="1:22" ht="65.25" x14ac:dyDescent="0.2">
      <c r="A388" s="301" t="s">
        <v>1534</v>
      </c>
      <c r="B388" s="302" t="s">
        <v>1499</v>
      </c>
      <c r="C388" s="302" t="s">
        <v>965</v>
      </c>
      <c r="D388" s="303" t="s">
        <v>1903</v>
      </c>
      <c r="E388" s="286">
        <v>10</v>
      </c>
      <c r="F388" s="321"/>
      <c r="G388" s="305"/>
      <c r="H388" s="286"/>
      <c r="I388" s="304"/>
      <c r="J388" s="286"/>
      <c r="K388" s="304"/>
      <c r="Q388" s="281">
        <f>[20]Source!X363</f>
        <v>88.62</v>
      </c>
      <c r="R388" s="281">
        <f>[20]Source!X364</f>
        <v>1633.71</v>
      </c>
      <c r="S388" s="281">
        <f>[20]Source!Y363</f>
        <v>52.09</v>
      </c>
      <c r="T388" s="281">
        <f>[20]Source!Y364</f>
        <v>744.24</v>
      </c>
      <c r="U388" s="281">
        <f>ROUND((175/100)*ROUND([20]Source!R363, 2), 2)</f>
        <v>0</v>
      </c>
      <c r="V388" s="281">
        <f>ROUND((157/100)*ROUND([20]Source!R364, 2), 2)</f>
        <v>0</v>
      </c>
    </row>
    <row r="389" spans="1:22" ht="14.25" x14ac:dyDescent="0.2">
      <c r="A389" s="301"/>
      <c r="B389" s="302"/>
      <c r="C389" s="302" t="s">
        <v>197</v>
      </c>
      <c r="D389" s="303"/>
      <c r="E389" s="286"/>
      <c r="F389" s="321">
        <v>6.76</v>
      </c>
      <c r="G389" s="305" t="s">
        <v>1548</v>
      </c>
      <c r="H389" s="286">
        <v>1</v>
      </c>
      <c r="I389" s="304">
        <v>77.739999999999995</v>
      </c>
      <c r="J389" s="286">
        <v>23.35</v>
      </c>
      <c r="K389" s="304">
        <v>1815.23</v>
      </c>
    </row>
    <row r="390" spans="1:22" ht="14.25" x14ac:dyDescent="0.2">
      <c r="A390" s="301"/>
      <c r="B390" s="302"/>
      <c r="C390" s="302" t="s">
        <v>205</v>
      </c>
      <c r="D390" s="303"/>
      <c r="E390" s="286"/>
      <c r="F390" s="321">
        <v>0.35</v>
      </c>
      <c r="G390" s="305" t="s">
        <v>195</v>
      </c>
      <c r="H390" s="286">
        <v>1</v>
      </c>
      <c r="I390" s="304">
        <v>3.5</v>
      </c>
      <c r="J390" s="286">
        <v>5.43</v>
      </c>
      <c r="K390" s="304">
        <v>19.010000000000002</v>
      </c>
    </row>
    <row r="391" spans="1:22" ht="14.25" x14ac:dyDescent="0.2">
      <c r="A391" s="301"/>
      <c r="B391" s="302"/>
      <c r="C391" s="302" t="s">
        <v>194</v>
      </c>
      <c r="D391" s="303" t="s">
        <v>187</v>
      </c>
      <c r="E391" s="286">
        <v>112</v>
      </c>
      <c r="F391" s="321"/>
      <c r="G391" s="305"/>
      <c r="H391" s="286"/>
      <c r="I391" s="304">
        <v>88.62</v>
      </c>
      <c r="J391" s="286">
        <v>90</v>
      </c>
      <c r="K391" s="304">
        <v>1633.71</v>
      </c>
    </row>
    <row r="392" spans="1:22" ht="14.25" x14ac:dyDescent="0.2">
      <c r="A392" s="301"/>
      <c r="B392" s="302"/>
      <c r="C392" s="302" t="s">
        <v>193</v>
      </c>
      <c r="D392" s="303" t="s">
        <v>187</v>
      </c>
      <c r="E392" s="286">
        <v>70</v>
      </c>
      <c r="F392" s="321"/>
      <c r="G392" s="305"/>
      <c r="H392" s="286"/>
      <c r="I392" s="304">
        <v>52.09</v>
      </c>
      <c r="J392" s="286">
        <v>41</v>
      </c>
      <c r="K392" s="304">
        <v>744.24</v>
      </c>
    </row>
    <row r="393" spans="1:22" ht="14.25" x14ac:dyDescent="0.2">
      <c r="A393" s="307"/>
      <c r="B393" s="308"/>
      <c r="C393" s="308" t="s">
        <v>192</v>
      </c>
      <c r="D393" s="309" t="s">
        <v>191</v>
      </c>
      <c r="E393" s="310">
        <v>0.52</v>
      </c>
      <c r="F393" s="361"/>
      <c r="G393" s="312" t="s">
        <v>1548</v>
      </c>
      <c r="H393" s="310">
        <v>1</v>
      </c>
      <c r="I393" s="311">
        <v>5.98</v>
      </c>
      <c r="J393" s="310"/>
      <c r="K393" s="311"/>
    </row>
    <row r="394" spans="1:22" ht="15" x14ac:dyDescent="0.25">
      <c r="A394" s="313"/>
      <c r="B394" s="313"/>
      <c r="C394" s="314" t="s">
        <v>183</v>
      </c>
      <c r="D394" s="313"/>
      <c r="E394" s="313"/>
      <c r="F394" s="313"/>
      <c r="G394" s="313"/>
      <c r="H394" s="472">
        <v>221.95</v>
      </c>
      <c r="I394" s="472"/>
      <c r="J394" s="472">
        <v>4212.1899999999996</v>
      </c>
      <c r="K394" s="472"/>
      <c r="O394" s="284">
        <f>I389+I390+I391+I392</f>
        <v>221.95</v>
      </c>
      <c r="P394" s="284">
        <f>K389+K390+K391+K392</f>
        <v>4212.1899999999996</v>
      </c>
    </row>
    <row r="396" spans="1:22" ht="65.25" x14ac:dyDescent="0.2">
      <c r="A396" s="301" t="s">
        <v>104</v>
      </c>
      <c r="B396" s="302" t="s">
        <v>1474</v>
      </c>
      <c r="C396" s="302" t="s">
        <v>1247</v>
      </c>
      <c r="D396" s="303" t="s">
        <v>1903</v>
      </c>
      <c r="E396" s="286">
        <v>1</v>
      </c>
      <c r="F396" s="321"/>
      <c r="G396" s="305"/>
      <c r="H396" s="286"/>
      <c r="I396" s="304"/>
      <c r="J396" s="286"/>
      <c r="K396" s="304"/>
      <c r="Q396" s="281">
        <f>[20]Source!X365</f>
        <v>35.11</v>
      </c>
      <c r="R396" s="281">
        <f>[20]Source!X366</f>
        <v>647.26</v>
      </c>
      <c r="S396" s="281">
        <f>[20]Source!Y365</f>
        <v>20.64</v>
      </c>
      <c r="T396" s="281">
        <f>[20]Source!Y366</f>
        <v>294.86</v>
      </c>
      <c r="U396" s="281">
        <f>ROUND((175/100)*ROUND([20]Source!R365, 2), 2)</f>
        <v>0</v>
      </c>
      <c r="V396" s="281">
        <f>ROUND((157/100)*ROUND([20]Source!R366, 2), 2)</f>
        <v>0</v>
      </c>
    </row>
    <row r="397" spans="1:22" ht="14.25" x14ac:dyDescent="0.2">
      <c r="A397" s="301"/>
      <c r="B397" s="302"/>
      <c r="C397" s="302" t="s">
        <v>197</v>
      </c>
      <c r="D397" s="303"/>
      <c r="E397" s="286"/>
      <c r="F397" s="321">
        <v>26.78</v>
      </c>
      <c r="G397" s="305" t="s">
        <v>1548</v>
      </c>
      <c r="H397" s="286">
        <v>1</v>
      </c>
      <c r="I397" s="304">
        <v>30.8</v>
      </c>
      <c r="J397" s="286">
        <v>23.35</v>
      </c>
      <c r="K397" s="304">
        <v>719.18</v>
      </c>
    </row>
    <row r="398" spans="1:22" ht="14.25" x14ac:dyDescent="0.2">
      <c r="A398" s="301"/>
      <c r="B398" s="302"/>
      <c r="C398" s="302" t="s">
        <v>205</v>
      </c>
      <c r="D398" s="303"/>
      <c r="E398" s="286"/>
      <c r="F398" s="321">
        <v>0.28000000000000003</v>
      </c>
      <c r="G398" s="305" t="s">
        <v>195</v>
      </c>
      <c r="H398" s="286">
        <v>1</v>
      </c>
      <c r="I398" s="304">
        <v>0.28000000000000003</v>
      </c>
      <c r="J398" s="286">
        <v>5.43</v>
      </c>
      <c r="K398" s="304">
        <v>1.52</v>
      </c>
    </row>
    <row r="399" spans="1:22" ht="14.25" x14ac:dyDescent="0.2">
      <c r="A399" s="301"/>
      <c r="B399" s="302"/>
      <c r="C399" s="302" t="s">
        <v>194</v>
      </c>
      <c r="D399" s="303" t="s">
        <v>187</v>
      </c>
      <c r="E399" s="286">
        <v>112</v>
      </c>
      <c r="F399" s="321"/>
      <c r="G399" s="305"/>
      <c r="H399" s="286"/>
      <c r="I399" s="304">
        <v>35.11</v>
      </c>
      <c r="J399" s="286">
        <v>90</v>
      </c>
      <c r="K399" s="304">
        <v>647.26</v>
      </c>
    </row>
    <row r="400" spans="1:22" ht="14.25" x14ac:dyDescent="0.2">
      <c r="A400" s="301"/>
      <c r="B400" s="302"/>
      <c r="C400" s="302" t="s">
        <v>193</v>
      </c>
      <c r="D400" s="303" t="s">
        <v>187</v>
      </c>
      <c r="E400" s="286">
        <v>70</v>
      </c>
      <c r="F400" s="321"/>
      <c r="G400" s="305"/>
      <c r="H400" s="286"/>
      <c r="I400" s="304">
        <v>20.64</v>
      </c>
      <c r="J400" s="286">
        <v>41</v>
      </c>
      <c r="K400" s="304">
        <v>294.86</v>
      </c>
    </row>
    <row r="401" spans="1:22" ht="14.25" x14ac:dyDescent="0.2">
      <c r="A401" s="307"/>
      <c r="B401" s="308"/>
      <c r="C401" s="308" t="s">
        <v>192</v>
      </c>
      <c r="D401" s="309" t="s">
        <v>191</v>
      </c>
      <c r="E401" s="310">
        <v>2.06</v>
      </c>
      <c r="F401" s="361"/>
      <c r="G401" s="312" t="s">
        <v>1548</v>
      </c>
      <c r="H401" s="310">
        <v>1</v>
      </c>
      <c r="I401" s="311">
        <v>2.37</v>
      </c>
      <c r="J401" s="310"/>
      <c r="K401" s="311"/>
    </row>
    <row r="402" spans="1:22" ht="15" x14ac:dyDescent="0.25">
      <c r="A402" s="313"/>
      <c r="B402" s="313"/>
      <c r="C402" s="314" t="s">
        <v>183</v>
      </c>
      <c r="D402" s="313"/>
      <c r="E402" s="313"/>
      <c r="F402" s="313"/>
      <c r="G402" s="313"/>
      <c r="H402" s="472">
        <v>86.83</v>
      </c>
      <c r="I402" s="472"/>
      <c r="J402" s="472">
        <v>1662.82</v>
      </c>
      <c r="K402" s="472"/>
      <c r="O402" s="284">
        <f>I397+I398+I399+I400</f>
        <v>86.83</v>
      </c>
      <c r="P402" s="284">
        <f>K397+K398+K399+K400</f>
        <v>1662.82</v>
      </c>
    </row>
    <row r="404" spans="1:22" ht="65.25" x14ac:dyDescent="0.2">
      <c r="A404" s="301" t="s">
        <v>1546</v>
      </c>
      <c r="B404" s="302" t="s">
        <v>1473</v>
      </c>
      <c r="C404" s="302" t="s">
        <v>1472</v>
      </c>
      <c r="D404" s="303" t="s">
        <v>1903</v>
      </c>
      <c r="E404" s="286">
        <v>1</v>
      </c>
      <c r="F404" s="321"/>
      <c r="G404" s="305"/>
      <c r="H404" s="286"/>
      <c r="I404" s="304"/>
      <c r="J404" s="286"/>
      <c r="K404" s="304"/>
      <c r="Q404" s="281">
        <f>[20]Source!X367</f>
        <v>7.62</v>
      </c>
      <c r="R404" s="281">
        <f>[20]Source!X368</f>
        <v>140.38</v>
      </c>
      <c r="S404" s="281">
        <f>[20]Source!Y367</f>
        <v>4.4800000000000004</v>
      </c>
      <c r="T404" s="281">
        <f>[20]Source!Y368</f>
        <v>63.95</v>
      </c>
      <c r="U404" s="281">
        <f>ROUND((175/100)*ROUND([20]Source!R367, 2), 2)</f>
        <v>12.09</v>
      </c>
      <c r="V404" s="281">
        <f>ROUND((157/100)*ROUND([20]Source!R368, 2), 2)</f>
        <v>253.32</v>
      </c>
    </row>
    <row r="405" spans="1:22" ht="14.25" x14ac:dyDescent="0.2">
      <c r="A405" s="301"/>
      <c r="B405" s="302"/>
      <c r="C405" s="302" t="s">
        <v>197</v>
      </c>
      <c r="D405" s="303"/>
      <c r="E405" s="286"/>
      <c r="F405" s="321">
        <v>5.81</v>
      </c>
      <c r="G405" s="305" t="s">
        <v>1548</v>
      </c>
      <c r="H405" s="286">
        <v>1</v>
      </c>
      <c r="I405" s="304">
        <v>6.68</v>
      </c>
      <c r="J405" s="286">
        <v>23.35</v>
      </c>
      <c r="K405" s="304">
        <v>155.97999999999999</v>
      </c>
    </row>
    <row r="406" spans="1:22" ht="14.25" x14ac:dyDescent="0.2">
      <c r="A406" s="301"/>
      <c r="B406" s="302"/>
      <c r="C406" s="302" t="s">
        <v>184</v>
      </c>
      <c r="D406" s="303"/>
      <c r="E406" s="286"/>
      <c r="F406" s="321">
        <v>27.61</v>
      </c>
      <c r="G406" s="305" t="s">
        <v>1549</v>
      </c>
      <c r="H406" s="286">
        <v>1</v>
      </c>
      <c r="I406" s="304">
        <v>34.51</v>
      </c>
      <c r="J406" s="286">
        <v>8.9600000000000009</v>
      </c>
      <c r="K406" s="304">
        <v>309.20999999999998</v>
      </c>
    </row>
    <row r="407" spans="1:22" ht="14.25" x14ac:dyDescent="0.2">
      <c r="A407" s="301"/>
      <c r="B407" s="302"/>
      <c r="C407" s="302" t="s">
        <v>189</v>
      </c>
      <c r="D407" s="303"/>
      <c r="E407" s="286"/>
      <c r="F407" s="321">
        <v>5.53</v>
      </c>
      <c r="G407" s="305" t="s">
        <v>1549</v>
      </c>
      <c r="H407" s="286">
        <v>1</v>
      </c>
      <c r="I407" s="306">
        <v>6.91</v>
      </c>
      <c r="J407" s="286">
        <v>23.35</v>
      </c>
      <c r="K407" s="306">
        <v>161.35</v>
      </c>
    </row>
    <row r="408" spans="1:22" ht="14.25" x14ac:dyDescent="0.2">
      <c r="A408" s="301"/>
      <c r="B408" s="302"/>
      <c r="C408" s="302" t="s">
        <v>205</v>
      </c>
      <c r="D408" s="303"/>
      <c r="E408" s="286"/>
      <c r="F408" s="321">
        <v>1.89</v>
      </c>
      <c r="G408" s="305" t="s">
        <v>195</v>
      </c>
      <c r="H408" s="286">
        <v>1</v>
      </c>
      <c r="I408" s="304">
        <v>1.89</v>
      </c>
      <c r="J408" s="286">
        <v>5.42</v>
      </c>
      <c r="K408" s="304">
        <v>10.24</v>
      </c>
    </row>
    <row r="409" spans="1:22" ht="14.25" x14ac:dyDescent="0.2">
      <c r="A409" s="301"/>
      <c r="B409" s="302"/>
      <c r="C409" s="302" t="s">
        <v>194</v>
      </c>
      <c r="D409" s="303" t="s">
        <v>187</v>
      </c>
      <c r="E409" s="286">
        <v>112</v>
      </c>
      <c r="F409" s="321"/>
      <c r="G409" s="305"/>
      <c r="H409" s="286"/>
      <c r="I409" s="304">
        <v>7.62</v>
      </c>
      <c r="J409" s="286">
        <v>90</v>
      </c>
      <c r="K409" s="304">
        <v>140.38</v>
      </c>
    </row>
    <row r="410" spans="1:22" ht="14.25" x14ac:dyDescent="0.2">
      <c r="A410" s="301"/>
      <c r="B410" s="302"/>
      <c r="C410" s="302" t="s">
        <v>193</v>
      </c>
      <c r="D410" s="303" t="s">
        <v>187</v>
      </c>
      <c r="E410" s="286">
        <v>70</v>
      </c>
      <c r="F410" s="321"/>
      <c r="G410" s="305"/>
      <c r="H410" s="286"/>
      <c r="I410" s="304">
        <v>4.4800000000000004</v>
      </c>
      <c r="J410" s="286">
        <v>41</v>
      </c>
      <c r="K410" s="304">
        <v>63.95</v>
      </c>
    </row>
    <row r="411" spans="1:22" ht="14.25" x14ac:dyDescent="0.2">
      <c r="A411" s="301"/>
      <c r="B411" s="302"/>
      <c r="C411" s="302" t="s">
        <v>188</v>
      </c>
      <c r="D411" s="303" t="s">
        <v>187</v>
      </c>
      <c r="E411" s="286">
        <v>175</v>
      </c>
      <c r="F411" s="321"/>
      <c r="G411" s="305"/>
      <c r="H411" s="286"/>
      <c r="I411" s="304">
        <v>12.09</v>
      </c>
      <c r="J411" s="286">
        <v>157</v>
      </c>
      <c r="K411" s="304">
        <v>253.32</v>
      </c>
    </row>
    <row r="412" spans="1:22" ht="14.25" x14ac:dyDescent="0.2">
      <c r="A412" s="307"/>
      <c r="B412" s="308"/>
      <c r="C412" s="308" t="s">
        <v>192</v>
      </c>
      <c r="D412" s="309" t="s">
        <v>191</v>
      </c>
      <c r="E412" s="310">
        <v>0.52</v>
      </c>
      <c r="F412" s="361"/>
      <c r="G412" s="312" t="s">
        <v>1548</v>
      </c>
      <c r="H412" s="310">
        <v>1</v>
      </c>
      <c r="I412" s="311">
        <v>0.6</v>
      </c>
      <c r="J412" s="310"/>
      <c r="K412" s="311"/>
    </row>
    <row r="413" spans="1:22" ht="15" x14ac:dyDescent="0.25">
      <c r="A413" s="313"/>
      <c r="B413" s="313"/>
      <c r="C413" s="314" t="s">
        <v>183</v>
      </c>
      <c r="D413" s="313"/>
      <c r="E413" s="313"/>
      <c r="F413" s="313"/>
      <c r="G413" s="313"/>
      <c r="H413" s="472">
        <v>67.27</v>
      </c>
      <c r="I413" s="472"/>
      <c r="J413" s="472">
        <v>933.08</v>
      </c>
      <c r="K413" s="472"/>
      <c r="O413" s="284">
        <f>I405+I406+I408+I409+I410+I411</f>
        <v>67.27</v>
      </c>
      <c r="P413" s="284">
        <f>K405+K406+K408+K409+K410+K411</f>
        <v>933.08</v>
      </c>
    </row>
    <row r="415" spans="1:22" ht="81" x14ac:dyDescent="0.2">
      <c r="A415" s="275" t="s">
        <v>105</v>
      </c>
      <c r="B415" s="276" t="s">
        <v>3752</v>
      </c>
      <c r="C415" s="276" t="s">
        <v>1505</v>
      </c>
      <c r="D415" s="277" t="s">
        <v>3240</v>
      </c>
      <c r="E415" s="278">
        <v>1</v>
      </c>
      <c r="F415" s="362">
        <v>36209.26</v>
      </c>
      <c r="G415" s="280" t="s">
        <v>195</v>
      </c>
      <c r="H415" s="278">
        <v>1</v>
      </c>
      <c r="I415" s="279">
        <v>36209.26</v>
      </c>
      <c r="J415" s="278">
        <v>4.4000000000000004</v>
      </c>
      <c r="K415" s="279">
        <v>159320.74</v>
      </c>
      <c r="Q415" s="281">
        <f>[20]Source!X369</f>
        <v>0</v>
      </c>
      <c r="R415" s="281">
        <f>[20]Source!X370</f>
        <v>0</v>
      </c>
      <c r="S415" s="281">
        <f>[20]Source!Y369</f>
        <v>0</v>
      </c>
      <c r="T415" s="281">
        <f>[20]Source!Y370</f>
        <v>0</v>
      </c>
      <c r="U415" s="281">
        <f>ROUND((175/100)*ROUND([20]Source!R369, 2), 2)</f>
        <v>0</v>
      </c>
      <c r="V415" s="281">
        <f>ROUND((157/100)*ROUND([20]Source!R370, 2), 2)</f>
        <v>0</v>
      </c>
    </row>
    <row r="416" spans="1:22" ht="15" x14ac:dyDescent="0.25">
      <c r="A416" s="282"/>
      <c r="B416" s="282"/>
      <c r="C416" s="283" t="s">
        <v>183</v>
      </c>
      <c r="D416" s="282"/>
      <c r="E416" s="282"/>
      <c r="F416" s="282"/>
      <c r="G416" s="282"/>
      <c r="H416" s="473">
        <v>36209.26</v>
      </c>
      <c r="I416" s="473"/>
      <c r="J416" s="473">
        <v>159320.74</v>
      </c>
      <c r="K416" s="473"/>
      <c r="O416" s="284">
        <f>I415</f>
        <v>36209.26</v>
      </c>
      <c r="P416" s="284">
        <f>K415</f>
        <v>159320.74</v>
      </c>
    </row>
    <row r="419" spans="1:22" ht="15" x14ac:dyDescent="0.25">
      <c r="A419" s="447" t="s">
        <v>3767</v>
      </c>
      <c r="B419" s="447"/>
      <c r="C419" s="447"/>
      <c r="D419" s="447"/>
      <c r="E419" s="447"/>
      <c r="F419" s="447"/>
      <c r="G419" s="447"/>
      <c r="H419" s="445">
        <v>36806.9</v>
      </c>
      <c r="I419" s="446"/>
      <c r="J419" s="445">
        <v>170027.69</v>
      </c>
      <c r="K419" s="446"/>
    </row>
    <row r="420" spans="1:22" hidden="1" x14ac:dyDescent="0.2">
      <c r="A420" s="281" t="s">
        <v>182</v>
      </c>
      <c r="I420" s="281">
        <v>0</v>
      </c>
      <c r="J420" s="281">
        <v>0</v>
      </c>
    </row>
    <row r="421" spans="1:22" hidden="1" x14ac:dyDescent="0.2">
      <c r="A421" s="281" t="s">
        <v>181</v>
      </c>
      <c r="I421" s="281">
        <v>0</v>
      </c>
      <c r="J421" s="281">
        <v>0</v>
      </c>
    </row>
    <row r="423" spans="1:22" ht="16.5" x14ac:dyDescent="0.25">
      <c r="A423" s="448" t="s">
        <v>3768</v>
      </c>
      <c r="B423" s="448"/>
      <c r="C423" s="448"/>
      <c r="D423" s="448"/>
      <c r="E423" s="448"/>
      <c r="F423" s="448"/>
      <c r="G423" s="448"/>
      <c r="H423" s="448"/>
      <c r="I423" s="448"/>
      <c r="J423" s="448"/>
      <c r="K423" s="448"/>
    </row>
    <row r="424" spans="1:22" ht="65.25" x14ac:dyDescent="0.2">
      <c r="A424" s="301" t="s">
        <v>719</v>
      </c>
      <c r="B424" s="302" t="s">
        <v>1476</v>
      </c>
      <c r="C424" s="302" t="s">
        <v>1475</v>
      </c>
      <c r="D424" s="303" t="s">
        <v>1903</v>
      </c>
      <c r="E424" s="286">
        <v>1</v>
      </c>
      <c r="F424" s="321"/>
      <c r="G424" s="305"/>
      <c r="H424" s="286"/>
      <c r="I424" s="304"/>
      <c r="J424" s="286"/>
      <c r="K424" s="304"/>
      <c r="Q424" s="281">
        <f>[20]Source!X406</f>
        <v>78.39</v>
      </c>
      <c r="R424" s="281">
        <f>[20]Source!X407</f>
        <v>1445</v>
      </c>
      <c r="S424" s="281">
        <f>[20]Source!Y406</f>
        <v>46.07</v>
      </c>
      <c r="T424" s="281">
        <f>[20]Source!Y407</f>
        <v>658.28</v>
      </c>
      <c r="U424" s="281">
        <f>ROUND((175/100)*ROUND([20]Source!R406, 2), 2)</f>
        <v>1.42</v>
      </c>
      <c r="V424" s="281">
        <f>ROUND((157/100)*ROUND([20]Source!R407, 2), 2)</f>
        <v>29.69</v>
      </c>
    </row>
    <row r="425" spans="1:22" ht="14.25" x14ac:dyDescent="0.2">
      <c r="A425" s="301"/>
      <c r="B425" s="302"/>
      <c r="C425" s="302" t="s">
        <v>197</v>
      </c>
      <c r="D425" s="303"/>
      <c r="E425" s="286"/>
      <c r="F425" s="321">
        <v>59.79</v>
      </c>
      <c r="G425" s="305" t="s">
        <v>1548</v>
      </c>
      <c r="H425" s="286">
        <v>1</v>
      </c>
      <c r="I425" s="304">
        <v>68.760000000000005</v>
      </c>
      <c r="J425" s="286">
        <v>23.35</v>
      </c>
      <c r="K425" s="304">
        <v>1605.55</v>
      </c>
    </row>
    <row r="426" spans="1:22" ht="14.25" x14ac:dyDescent="0.2">
      <c r="A426" s="301"/>
      <c r="B426" s="302"/>
      <c r="C426" s="302" t="s">
        <v>184</v>
      </c>
      <c r="D426" s="303"/>
      <c r="E426" s="286"/>
      <c r="F426" s="321">
        <v>4.42</v>
      </c>
      <c r="G426" s="305" t="s">
        <v>1549</v>
      </c>
      <c r="H426" s="286">
        <v>1</v>
      </c>
      <c r="I426" s="304">
        <v>5.53</v>
      </c>
      <c r="J426" s="286">
        <v>8</v>
      </c>
      <c r="K426" s="304">
        <v>44.24</v>
      </c>
    </row>
    <row r="427" spans="1:22" ht="14.25" x14ac:dyDescent="0.2">
      <c r="A427" s="301"/>
      <c r="B427" s="302"/>
      <c r="C427" s="302" t="s">
        <v>189</v>
      </c>
      <c r="D427" s="303"/>
      <c r="E427" s="286"/>
      <c r="F427" s="321">
        <v>0.65</v>
      </c>
      <c r="G427" s="305" t="s">
        <v>1549</v>
      </c>
      <c r="H427" s="286">
        <v>1</v>
      </c>
      <c r="I427" s="306">
        <v>0.81</v>
      </c>
      <c r="J427" s="286">
        <v>23.35</v>
      </c>
      <c r="K427" s="306">
        <v>18.91</v>
      </c>
    </row>
    <row r="428" spans="1:22" ht="14.25" x14ac:dyDescent="0.2">
      <c r="A428" s="301"/>
      <c r="B428" s="302"/>
      <c r="C428" s="302" t="s">
        <v>205</v>
      </c>
      <c r="D428" s="303"/>
      <c r="E428" s="286"/>
      <c r="F428" s="321">
        <v>21.42</v>
      </c>
      <c r="G428" s="305" t="s">
        <v>195</v>
      </c>
      <c r="H428" s="286">
        <v>1</v>
      </c>
      <c r="I428" s="304">
        <v>21.42</v>
      </c>
      <c r="J428" s="286">
        <v>5.42</v>
      </c>
      <c r="K428" s="304">
        <v>116.1</v>
      </c>
    </row>
    <row r="429" spans="1:22" ht="14.25" x14ac:dyDescent="0.2">
      <c r="A429" s="301"/>
      <c r="B429" s="302"/>
      <c r="C429" s="302" t="s">
        <v>194</v>
      </c>
      <c r="D429" s="303" t="s">
        <v>187</v>
      </c>
      <c r="E429" s="286">
        <v>112</v>
      </c>
      <c r="F429" s="321"/>
      <c r="G429" s="305"/>
      <c r="H429" s="286"/>
      <c r="I429" s="304">
        <v>78.39</v>
      </c>
      <c r="J429" s="286">
        <v>90</v>
      </c>
      <c r="K429" s="304">
        <v>1445</v>
      </c>
    </row>
    <row r="430" spans="1:22" ht="14.25" x14ac:dyDescent="0.2">
      <c r="A430" s="301"/>
      <c r="B430" s="302"/>
      <c r="C430" s="302" t="s">
        <v>193</v>
      </c>
      <c r="D430" s="303" t="s">
        <v>187</v>
      </c>
      <c r="E430" s="286">
        <v>70</v>
      </c>
      <c r="F430" s="321"/>
      <c r="G430" s="305"/>
      <c r="H430" s="286"/>
      <c r="I430" s="304">
        <v>46.07</v>
      </c>
      <c r="J430" s="286">
        <v>41</v>
      </c>
      <c r="K430" s="304">
        <v>658.28</v>
      </c>
    </row>
    <row r="431" spans="1:22" ht="14.25" x14ac:dyDescent="0.2">
      <c r="A431" s="301"/>
      <c r="B431" s="302"/>
      <c r="C431" s="302" t="s">
        <v>188</v>
      </c>
      <c r="D431" s="303" t="s">
        <v>187</v>
      </c>
      <c r="E431" s="286">
        <v>175</v>
      </c>
      <c r="F431" s="321"/>
      <c r="G431" s="305"/>
      <c r="H431" s="286"/>
      <c r="I431" s="304">
        <v>1.42</v>
      </c>
      <c r="J431" s="286">
        <v>157</v>
      </c>
      <c r="K431" s="304">
        <v>29.69</v>
      </c>
    </row>
    <row r="432" spans="1:22" ht="14.25" x14ac:dyDescent="0.2">
      <c r="A432" s="307"/>
      <c r="B432" s="308"/>
      <c r="C432" s="308" t="s">
        <v>192</v>
      </c>
      <c r="D432" s="309" t="s">
        <v>191</v>
      </c>
      <c r="E432" s="310">
        <v>5.15</v>
      </c>
      <c r="F432" s="361"/>
      <c r="G432" s="312" t="s">
        <v>1548</v>
      </c>
      <c r="H432" s="310">
        <v>1</v>
      </c>
      <c r="I432" s="311">
        <v>5.92</v>
      </c>
      <c r="J432" s="310"/>
      <c r="K432" s="311"/>
    </row>
    <row r="433" spans="1:22" ht="15" x14ac:dyDescent="0.25">
      <c r="A433" s="313"/>
      <c r="B433" s="313"/>
      <c r="C433" s="314" t="s">
        <v>183</v>
      </c>
      <c r="D433" s="313"/>
      <c r="E433" s="313"/>
      <c r="F433" s="313"/>
      <c r="G433" s="313"/>
      <c r="H433" s="472">
        <v>221.59</v>
      </c>
      <c r="I433" s="472"/>
      <c r="J433" s="472">
        <v>3898.86</v>
      </c>
      <c r="K433" s="472"/>
      <c r="O433" s="284">
        <f>I425+I426+I428+I429+I430+I431</f>
        <v>221.59</v>
      </c>
      <c r="P433" s="284">
        <f>K425+K426+K428+K429+K430+K431</f>
        <v>3898.86</v>
      </c>
    </row>
    <row r="435" spans="1:22" ht="65.25" x14ac:dyDescent="0.2">
      <c r="A435" s="301" t="s">
        <v>1534</v>
      </c>
      <c r="B435" s="302" t="s">
        <v>1499</v>
      </c>
      <c r="C435" s="302" t="s">
        <v>965</v>
      </c>
      <c r="D435" s="303" t="s">
        <v>1903</v>
      </c>
      <c r="E435" s="286">
        <v>1</v>
      </c>
      <c r="F435" s="321"/>
      <c r="G435" s="305"/>
      <c r="H435" s="286"/>
      <c r="I435" s="304"/>
      <c r="J435" s="286"/>
      <c r="K435" s="304"/>
      <c r="Q435" s="281">
        <f>[20]Source!X408</f>
        <v>8.86</v>
      </c>
      <c r="R435" s="281">
        <f>[20]Source!X409</f>
        <v>163.29</v>
      </c>
      <c r="S435" s="281">
        <f>[20]Source!Y408</f>
        <v>5.21</v>
      </c>
      <c r="T435" s="281">
        <f>[20]Source!Y409</f>
        <v>74.39</v>
      </c>
      <c r="U435" s="281">
        <f>ROUND((175/100)*ROUND([20]Source!R408, 2), 2)</f>
        <v>0</v>
      </c>
      <c r="V435" s="281">
        <f>ROUND((157/100)*ROUND([20]Source!R409, 2), 2)</f>
        <v>0</v>
      </c>
    </row>
    <row r="436" spans="1:22" ht="14.25" x14ac:dyDescent="0.2">
      <c r="A436" s="301"/>
      <c r="B436" s="302"/>
      <c r="C436" s="302" t="s">
        <v>197</v>
      </c>
      <c r="D436" s="303"/>
      <c r="E436" s="286"/>
      <c r="F436" s="321">
        <v>6.76</v>
      </c>
      <c r="G436" s="305" t="s">
        <v>1548</v>
      </c>
      <c r="H436" s="286">
        <v>1</v>
      </c>
      <c r="I436" s="304">
        <v>7.77</v>
      </c>
      <c r="J436" s="286">
        <v>23.35</v>
      </c>
      <c r="K436" s="304">
        <v>181.43</v>
      </c>
    </row>
    <row r="437" spans="1:22" ht="14.25" x14ac:dyDescent="0.2">
      <c r="A437" s="301"/>
      <c r="B437" s="302"/>
      <c r="C437" s="302" t="s">
        <v>205</v>
      </c>
      <c r="D437" s="303"/>
      <c r="E437" s="286"/>
      <c r="F437" s="321">
        <v>0.35</v>
      </c>
      <c r="G437" s="305" t="s">
        <v>195</v>
      </c>
      <c r="H437" s="286">
        <v>1</v>
      </c>
      <c r="I437" s="304">
        <v>0.35</v>
      </c>
      <c r="J437" s="286">
        <v>5.43</v>
      </c>
      <c r="K437" s="304">
        <v>1.9</v>
      </c>
    </row>
    <row r="438" spans="1:22" ht="14.25" x14ac:dyDescent="0.2">
      <c r="A438" s="301"/>
      <c r="B438" s="302"/>
      <c r="C438" s="302" t="s">
        <v>194</v>
      </c>
      <c r="D438" s="303" t="s">
        <v>187</v>
      </c>
      <c r="E438" s="286">
        <v>112</v>
      </c>
      <c r="F438" s="321"/>
      <c r="G438" s="305"/>
      <c r="H438" s="286"/>
      <c r="I438" s="304">
        <v>8.86</v>
      </c>
      <c r="J438" s="286">
        <v>90</v>
      </c>
      <c r="K438" s="304">
        <v>163.29</v>
      </c>
    </row>
    <row r="439" spans="1:22" ht="14.25" x14ac:dyDescent="0.2">
      <c r="A439" s="301"/>
      <c r="B439" s="302"/>
      <c r="C439" s="302" t="s">
        <v>193</v>
      </c>
      <c r="D439" s="303" t="s">
        <v>187</v>
      </c>
      <c r="E439" s="286">
        <v>70</v>
      </c>
      <c r="F439" s="321"/>
      <c r="G439" s="305"/>
      <c r="H439" s="286"/>
      <c r="I439" s="304">
        <v>5.21</v>
      </c>
      <c r="J439" s="286">
        <v>41</v>
      </c>
      <c r="K439" s="304">
        <v>74.39</v>
      </c>
    </row>
    <row r="440" spans="1:22" ht="14.25" x14ac:dyDescent="0.2">
      <c r="A440" s="307"/>
      <c r="B440" s="308"/>
      <c r="C440" s="308" t="s">
        <v>192</v>
      </c>
      <c r="D440" s="309" t="s">
        <v>191</v>
      </c>
      <c r="E440" s="310">
        <v>0.52</v>
      </c>
      <c r="F440" s="361"/>
      <c r="G440" s="312" t="s">
        <v>1548</v>
      </c>
      <c r="H440" s="310">
        <v>1</v>
      </c>
      <c r="I440" s="311">
        <v>0.6</v>
      </c>
      <c r="J440" s="310"/>
      <c r="K440" s="311"/>
    </row>
    <row r="441" spans="1:22" ht="15" x14ac:dyDescent="0.25">
      <c r="A441" s="313"/>
      <c r="B441" s="313"/>
      <c r="C441" s="314" t="s">
        <v>183</v>
      </c>
      <c r="D441" s="313"/>
      <c r="E441" s="313"/>
      <c r="F441" s="313"/>
      <c r="G441" s="313"/>
      <c r="H441" s="472">
        <v>22.19</v>
      </c>
      <c r="I441" s="472"/>
      <c r="J441" s="472">
        <v>421.01</v>
      </c>
      <c r="K441" s="472"/>
      <c r="O441" s="284">
        <f>I436+I437+I438+I439</f>
        <v>22.19</v>
      </c>
      <c r="P441" s="284">
        <f>K436+K437+K438+K439</f>
        <v>421.01</v>
      </c>
    </row>
    <row r="443" spans="1:22" ht="65.25" x14ac:dyDescent="0.2">
      <c r="A443" s="301" t="s">
        <v>104</v>
      </c>
      <c r="B443" s="302" t="s">
        <v>1474</v>
      </c>
      <c r="C443" s="302" t="s">
        <v>1247</v>
      </c>
      <c r="D443" s="303" t="s">
        <v>1903</v>
      </c>
      <c r="E443" s="286">
        <v>1</v>
      </c>
      <c r="F443" s="321"/>
      <c r="G443" s="305"/>
      <c r="H443" s="286"/>
      <c r="I443" s="304"/>
      <c r="J443" s="286"/>
      <c r="K443" s="304"/>
      <c r="Q443" s="281">
        <f>[20]Source!X410</f>
        <v>35.11</v>
      </c>
      <c r="R443" s="281">
        <f>[20]Source!X411</f>
        <v>647.26</v>
      </c>
      <c r="S443" s="281">
        <f>[20]Source!Y410</f>
        <v>20.64</v>
      </c>
      <c r="T443" s="281">
        <f>[20]Source!Y411</f>
        <v>294.86</v>
      </c>
      <c r="U443" s="281">
        <f>ROUND((175/100)*ROUND([20]Source!R410, 2), 2)</f>
        <v>0</v>
      </c>
      <c r="V443" s="281">
        <f>ROUND((157/100)*ROUND([20]Source!R411, 2), 2)</f>
        <v>0</v>
      </c>
    </row>
    <row r="444" spans="1:22" ht="14.25" x14ac:dyDescent="0.2">
      <c r="A444" s="301"/>
      <c r="B444" s="302"/>
      <c r="C444" s="302" t="s">
        <v>197</v>
      </c>
      <c r="D444" s="303"/>
      <c r="E444" s="286"/>
      <c r="F444" s="321">
        <v>26.78</v>
      </c>
      <c r="G444" s="305" t="s">
        <v>1548</v>
      </c>
      <c r="H444" s="286">
        <v>1</v>
      </c>
      <c r="I444" s="304">
        <v>30.8</v>
      </c>
      <c r="J444" s="286">
        <v>23.35</v>
      </c>
      <c r="K444" s="304">
        <v>719.18</v>
      </c>
    </row>
    <row r="445" spans="1:22" ht="14.25" x14ac:dyDescent="0.2">
      <c r="A445" s="301"/>
      <c r="B445" s="302"/>
      <c r="C445" s="302" t="s">
        <v>205</v>
      </c>
      <c r="D445" s="303"/>
      <c r="E445" s="286"/>
      <c r="F445" s="321">
        <v>0.28000000000000003</v>
      </c>
      <c r="G445" s="305" t="s">
        <v>195</v>
      </c>
      <c r="H445" s="286">
        <v>1</v>
      </c>
      <c r="I445" s="304">
        <v>0.28000000000000003</v>
      </c>
      <c r="J445" s="286">
        <v>5.43</v>
      </c>
      <c r="K445" s="304">
        <v>1.52</v>
      </c>
    </row>
    <row r="446" spans="1:22" ht="14.25" x14ac:dyDescent="0.2">
      <c r="A446" s="301"/>
      <c r="B446" s="302"/>
      <c r="C446" s="302" t="s">
        <v>194</v>
      </c>
      <c r="D446" s="303" t="s">
        <v>187</v>
      </c>
      <c r="E446" s="286">
        <v>112</v>
      </c>
      <c r="F446" s="321"/>
      <c r="G446" s="305"/>
      <c r="H446" s="286"/>
      <c r="I446" s="304">
        <v>35.11</v>
      </c>
      <c r="J446" s="286">
        <v>90</v>
      </c>
      <c r="K446" s="304">
        <v>647.26</v>
      </c>
    </row>
    <row r="447" spans="1:22" ht="14.25" x14ac:dyDescent="0.2">
      <c r="A447" s="301"/>
      <c r="B447" s="302"/>
      <c r="C447" s="302" t="s">
        <v>193</v>
      </c>
      <c r="D447" s="303" t="s">
        <v>187</v>
      </c>
      <c r="E447" s="286">
        <v>70</v>
      </c>
      <c r="F447" s="321"/>
      <c r="G447" s="305"/>
      <c r="H447" s="286"/>
      <c r="I447" s="304">
        <v>20.64</v>
      </c>
      <c r="J447" s="286">
        <v>41</v>
      </c>
      <c r="K447" s="304">
        <v>294.86</v>
      </c>
    </row>
    <row r="448" spans="1:22" ht="14.25" x14ac:dyDescent="0.2">
      <c r="A448" s="307"/>
      <c r="B448" s="308"/>
      <c r="C448" s="308" t="s">
        <v>192</v>
      </c>
      <c r="D448" s="309" t="s">
        <v>191</v>
      </c>
      <c r="E448" s="310">
        <v>2.06</v>
      </c>
      <c r="F448" s="361"/>
      <c r="G448" s="312" t="s">
        <v>1548</v>
      </c>
      <c r="H448" s="310">
        <v>1</v>
      </c>
      <c r="I448" s="311">
        <v>2.37</v>
      </c>
      <c r="J448" s="310"/>
      <c r="K448" s="311"/>
    </row>
    <row r="449" spans="1:22" ht="15" x14ac:dyDescent="0.25">
      <c r="A449" s="313"/>
      <c r="B449" s="313"/>
      <c r="C449" s="314" t="s">
        <v>183</v>
      </c>
      <c r="D449" s="313"/>
      <c r="E449" s="313"/>
      <c r="F449" s="313"/>
      <c r="G449" s="313"/>
      <c r="H449" s="472">
        <v>86.83</v>
      </c>
      <c r="I449" s="472"/>
      <c r="J449" s="472">
        <v>1662.82</v>
      </c>
      <c r="K449" s="472"/>
      <c r="O449" s="284">
        <f>I444+I445+I446+I447</f>
        <v>86.83</v>
      </c>
      <c r="P449" s="284">
        <f>K444+K445+K446+K447</f>
        <v>1662.82</v>
      </c>
    </row>
    <row r="451" spans="1:22" ht="65.25" x14ac:dyDescent="0.2">
      <c r="A451" s="301" t="s">
        <v>1546</v>
      </c>
      <c r="B451" s="302" t="s">
        <v>1473</v>
      </c>
      <c r="C451" s="302" t="s">
        <v>1472</v>
      </c>
      <c r="D451" s="303" t="s">
        <v>1903</v>
      </c>
      <c r="E451" s="286">
        <v>1</v>
      </c>
      <c r="F451" s="321"/>
      <c r="G451" s="305"/>
      <c r="H451" s="286"/>
      <c r="I451" s="304"/>
      <c r="J451" s="286"/>
      <c r="K451" s="304"/>
      <c r="Q451" s="281">
        <f>[20]Source!X412</f>
        <v>7.62</v>
      </c>
      <c r="R451" s="281">
        <f>[20]Source!X413</f>
        <v>140.38</v>
      </c>
      <c r="S451" s="281">
        <f>[20]Source!Y412</f>
        <v>4.4800000000000004</v>
      </c>
      <c r="T451" s="281">
        <f>[20]Source!Y413</f>
        <v>63.95</v>
      </c>
      <c r="U451" s="281">
        <f>ROUND((175/100)*ROUND([20]Source!R412, 2), 2)</f>
        <v>12.09</v>
      </c>
      <c r="V451" s="281">
        <f>ROUND((157/100)*ROUND([20]Source!R413, 2), 2)</f>
        <v>253.32</v>
      </c>
    </row>
    <row r="452" spans="1:22" ht="14.25" x14ac:dyDescent="0.2">
      <c r="A452" s="301"/>
      <c r="B452" s="302"/>
      <c r="C452" s="302" t="s">
        <v>197</v>
      </c>
      <c r="D452" s="303"/>
      <c r="E452" s="286"/>
      <c r="F452" s="321">
        <v>5.81</v>
      </c>
      <c r="G452" s="305" t="s">
        <v>1548</v>
      </c>
      <c r="H452" s="286">
        <v>1</v>
      </c>
      <c r="I452" s="304">
        <v>6.68</v>
      </c>
      <c r="J452" s="286">
        <v>23.35</v>
      </c>
      <c r="K452" s="304">
        <v>155.97999999999999</v>
      </c>
    </row>
    <row r="453" spans="1:22" ht="14.25" x14ac:dyDescent="0.2">
      <c r="A453" s="301"/>
      <c r="B453" s="302"/>
      <c r="C453" s="302" t="s">
        <v>184</v>
      </c>
      <c r="D453" s="303"/>
      <c r="E453" s="286"/>
      <c r="F453" s="321">
        <v>27.61</v>
      </c>
      <c r="G453" s="305" t="s">
        <v>1549</v>
      </c>
      <c r="H453" s="286">
        <v>1</v>
      </c>
      <c r="I453" s="304">
        <v>34.51</v>
      </c>
      <c r="J453" s="286">
        <v>8.9600000000000009</v>
      </c>
      <c r="K453" s="304">
        <v>309.20999999999998</v>
      </c>
    </row>
    <row r="454" spans="1:22" ht="14.25" x14ac:dyDescent="0.2">
      <c r="A454" s="301"/>
      <c r="B454" s="302"/>
      <c r="C454" s="302" t="s">
        <v>189</v>
      </c>
      <c r="D454" s="303"/>
      <c r="E454" s="286"/>
      <c r="F454" s="321">
        <v>5.53</v>
      </c>
      <c r="G454" s="305" t="s">
        <v>1549</v>
      </c>
      <c r="H454" s="286">
        <v>1</v>
      </c>
      <c r="I454" s="306">
        <v>6.91</v>
      </c>
      <c r="J454" s="286">
        <v>23.35</v>
      </c>
      <c r="K454" s="306">
        <v>161.35</v>
      </c>
    </row>
    <row r="455" spans="1:22" ht="14.25" x14ac:dyDescent="0.2">
      <c r="A455" s="301"/>
      <c r="B455" s="302"/>
      <c r="C455" s="302" t="s">
        <v>205</v>
      </c>
      <c r="D455" s="303"/>
      <c r="E455" s="286"/>
      <c r="F455" s="321">
        <v>1.89</v>
      </c>
      <c r="G455" s="305" t="s">
        <v>195</v>
      </c>
      <c r="H455" s="286">
        <v>1</v>
      </c>
      <c r="I455" s="304">
        <v>1.89</v>
      </c>
      <c r="J455" s="286">
        <v>5.42</v>
      </c>
      <c r="K455" s="304">
        <v>10.24</v>
      </c>
    </row>
    <row r="456" spans="1:22" ht="14.25" x14ac:dyDescent="0.2">
      <c r="A456" s="301"/>
      <c r="B456" s="302"/>
      <c r="C456" s="302" t="s">
        <v>194</v>
      </c>
      <c r="D456" s="303" t="s">
        <v>187</v>
      </c>
      <c r="E456" s="286">
        <v>112</v>
      </c>
      <c r="F456" s="321"/>
      <c r="G456" s="305"/>
      <c r="H456" s="286"/>
      <c r="I456" s="304">
        <v>7.62</v>
      </c>
      <c r="J456" s="286">
        <v>90</v>
      </c>
      <c r="K456" s="304">
        <v>140.38</v>
      </c>
    </row>
    <row r="457" spans="1:22" ht="14.25" x14ac:dyDescent="0.2">
      <c r="A457" s="301"/>
      <c r="B457" s="302"/>
      <c r="C457" s="302" t="s">
        <v>193</v>
      </c>
      <c r="D457" s="303" t="s">
        <v>187</v>
      </c>
      <c r="E457" s="286">
        <v>70</v>
      </c>
      <c r="F457" s="321"/>
      <c r="G457" s="305"/>
      <c r="H457" s="286"/>
      <c r="I457" s="304">
        <v>4.4800000000000004</v>
      </c>
      <c r="J457" s="286">
        <v>41</v>
      </c>
      <c r="K457" s="304">
        <v>63.95</v>
      </c>
    </row>
    <row r="458" spans="1:22" ht="14.25" x14ac:dyDescent="0.2">
      <c r="A458" s="301"/>
      <c r="B458" s="302"/>
      <c r="C458" s="302" t="s">
        <v>188</v>
      </c>
      <c r="D458" s="303" t="s">
        <v>187</v>
      </c>
      <c r="E458" s="286">
        <v>175</v>
      </c>
      <c r="F458" s="321"/>
      <c r="G458" s="305"/>
      <c r="H458" s="286"/>
      <c r="I458" s="304">
        <v>12.09</v>
      </c>
      <c r="J458" s="286">
        <v>157</v>
      </c>
      <c r="K458" s="304">
        <v>253.32</v>
      </c>
    </row>
    <row r="459" spans="1:22" ht="14.25" x14ac:dyDescent="0.2">
      <c r="A459" s="307"/>
      <c r="B459" s="308"/>
      <c r="C459" s="308" t="s">
        <v>192</v>
      </c>
      <c r="D459" s="309" t="s">
        <v>191</v>
      </c>
      <c r="E459" s="310">
        <v>0.52</v>
      </c>
      <c r="F459" s="361"/>
      <c r="G459" s="312" t="s">
        <v>1548</v>
      </c>
      <c r="H459" s="310">
        <v>1</v>
      </c>
      <c r="I459" s="311">
        <v>0.6</v>
      </c>
      <c r="J459" s="310"/>
      <c r="K459" s="311"/>
    </row>
    <row r="460" spans="1:22" ht="15" x14ac:dyDescent="0.25">
      <c r="A460" s="313"/>
      <c r="B460" s="313"/>
      <c r="C460" s="314" t="s">
        <v>183</v>
      </c>
      <c r="D460" s="313"/>
      <c r="E460" s="313"/>
      <c r="F460" s="313"/>
      <c r="G460" s="313"/>
      <c r="H460" s="472">
        <v>67.27</v>
      </c>
      <c r="I460" s="472"/>
      <c r="J460" s="472">
        <v>933.08</v>
      </c>
      <c r="K460" s="472"/>
      <c r="O460" s="284">
        <f>I452+I453+I455+I456+I457+I458</f>
        <v>67.27</v>
      </c>
      <c r="P460" s="284">
        <f>K452+K453+K455+K456+K457+K458</f>
        <v>933.08</v>
      </c>
    </row>
    <row r="462" spans="1:22" ht="81" x14ac:dyDescent="0.2">
      <c r="A462" s="275" t="s">
        <v>105</v>
      </c>
      <c r="B462" s="276" t="s">
        <v>3752</v>
      </c>
      <c r="C462" s="276" t="s">
        <v>1504</v>
      </c>
      <c r="D462" s="277" t="s">
        <v>3240</v>
      </c>
      <c r="E462" s="278">
        <v>1</v>
      </c>
      <c r="F462" s="362">
        <v>11543.7</v>
      </c>
      <c r="G462" s="280" t="s">
        <v>195</v>
      </c>
      <c r="H462" s="278">
        <v>1</v>
      </c>
      <c r="I462" s="279">
        <v>11543.7</v>
      </c>
      <c r="J462" s="278">
        <v>4.4000000000000004</v>
      </c>
      <c r="K462" s="279">
        <v>50792.28</v>
      </c>
      <c r="Q462" s="281">
        <f>[20]Source!X414</f>
        <v>0</v>
      </c>
      <c r="R462" s="281">
        <f>[20]Source!X415</f>
        <v>0</v>
      </c>
      <c r="S462" s="281">
        <f>[20]Source!Y414</f>
        <v>0</v>
      </c>
      <c r="T462" s="281">
        <f>[20]Source!Y415</f>
        <v>0</v>
      </c>
      <c r="U462" s="281">
        <f>ROUND((175/100)*ROUND([20]Source!R414, 2), 2)</f>
        <v>0</v>
      </c>
      <c r="V462" s="281">
        <f>ROUND((157/100)*ROUND([20]Source!R415, 2), 2)</f>
        <v>0</v>
      </c>
    </row>
    <row r="463" spans="1:22" ht="15" x14ac:dyDescent="0.25">
      <c r="A463" s="282"/>
      <c r="B463" s="282"/>
      <c r="C463" s="283" t="s">
        <v>183</v>
      </c>
      <c r="D463" s="282"/>
      <c r="E463" s="282"/>
      <c r="F463" s="282"/>
      <c r="G463" s="282"/>
      <c r="H463" s="473">
        <v>11543.7</v>
      </c>
      <c r="I463" s="473"/>
      <c r="J463" s="473">
        <v>50792.28</v>
      </c>
      <c r="K463" s="473"/>
      <c r="O463" s="284">
        <f>I462</f>
        <v>11543.7</v>
      </c>
      <c r="P463" s="284">
        <f>K462</f>
        <v>50792.28</v>
      </c>
    </row>
    <row r="466" spans="1:22" ht="15" x14ac:dyDescent="0.25">
      <c r="A466" s="447" t="s">
        <v>3769</v>
      </c>
      <c r="B466" s="447"/>
      <c r="C466" s="447"/>
      <c r="D466" s="447"/>
      <c r="E466" s="447"/>
      <c r="F466" s="447"/>
      <c r="G466" s="447"/>
      <c r="H466" s="445">
        <v>11941.58</v>
      </c>
      <c r="I466" s="446"/>
      <c r="J466" s="445">
        <v>57708.05</v>
      </c>
      <c r="K466" s="446"/>
    </row>
    <row r="467" spans="1:22" hidden="1" x14ac:dyDescent="0.2">
      <c r="A467" s="281" t="s">
        <v>182</v>
      </c>
      <c r="I467" s="281">
        <v>0</v>
      </c>
      <c r="J467" s="281">
        <v>0</v>
      </c>
    </row>
    <row r="468" spans="1:22" hidden="1" x14ac:dyDescent="0.2">
      <c r="A468" s="281" t="s">
        <v>181</v>
      </c>
      <c r="I468" s="281">
        <v>0</v>
      </c>
      <c r="J468" s="281">
        <v>0</v>
      </c>
    </row>
    <row r="470" spans="1:22" ht="16.5" x14ac:dyDescent="0.25">
      <c r="A470" s="448" t="s">
        <v>3770</v>
      </c>
      <c r="B470" s="448"/>
      <c r="C470" s="448"/>
      <c r="D470" s="448"/>
      <c r="E470" s="448"/>
      <c r="F470" s="448"/>
      <c r="G470" s="448"/>
      <c r="H470" s="448"/>
      <c r="I470" s="448"/>
      <c r="J470" s="448"/>
      <c r="K470" s="448"/>
    </row>
    <row r="471" spans="1:22" ht="65.25" x14ac:dyDescent="0.2">
      <c r="A471" s="301" t="s">
        <v>719</v>
      </c>
      <c r="B471" s="302" t="s">
        <v>1476</v>
      </c>
      <c r="C471" s="302" t="s">
        <v>1475</v>
      </c>
      <c r="D471" s="303" t="s">
        <v>1903</v>
      </c>
      <c r="E471" s="286">
        <v>1</v>
      </c>
      <c r="F471" s="321"/>
      <c r="G471" s="305"/>
      <c r="H471" s="286"/>
      <c r="I471" s="304"/>
      <c r="J471" s="286"/>
      <c r="K471" s="304"/>
      <c r="Q471" s="281">
        <f>[20]Source!X451</f>
        <v>78.39</v>
      </c>
      <c r="R471" s="281">
        <f>[20]Source!X452</f>
        <v>1445</v>
      </c>
      <c r="S471" s="281">
        <f>[20]Source!Y451</f>
        <v>46.07</v>
      </c>
      <c r="T471" s="281">
        <f>[20]Source!Y452</f>
        <v>658.28</v>
      </c>
      <c r="U471" s="281">
        <f>ROUND((175/100)*ROUND([20]Source!R451, 2), 2)</f>
        <v>1.42</v>
      </c>
      <c r="V471" s="281">
        <f>ROUND((157/100)*ROUND([20]Source!R452, 2), 2)</f>
        <v>29.69</v>
      </c>
    </row>
    <row r="472" spans="1:22" ht="14.25" x14ac:dyDescent="0.2">
      <c r="A472" s="301"/>
      <c r="B472" s="302"/>
      <c r="C472" s="302" t="s">
        <v>197</v>
      </c>
      <c r="D472" s="303"/>
      <c r="E472" s="286"/>
      <c r="F472" s="321">
        <v>59.79</v>
      </c>
      <c r="G472" s="305" t="s">
        <v>1548</v>
      </c>
      <c r="H472" s="286">
        <v>1</v>
      </c>
      <c r="I472" s="304">
        <v>68.760000000000005</v>
      </c>
      <c r="J472" s="286">
        <v>23.35</v>
      </c>
      <c r="K472" s="304">
        <v>1605.55</v>
      </c>
    </row>
    <row r="473" spans="1:22" ht="14.25" x14ac:dyDescent="0.2">
      <c r="A473" s="301"/>
      <c r="B473" s="302"/>
      <c r="C473" s="302" t="s">
        <v>184</v>
      </c>
      <c r="D473" s="303"/>
      <c r="E473" s="286"/>
      <c r="F473" s="321">
        <v>4.42</v>
      </c>
      <c r="G473" s="305" t="s">
        <v>1549</v>
      </c>
      <c r="H473" s="286">
        <v>1</v>
      </c>
      <c r="I473" s="304">
        <v>5.53</v>
      </c>
      <c r="J473" s="286">
        <v>8</v>
      </c>
      <c r="K473" s="304">
        <v>44.24</v>
      </c>
    </row>
    <row r="474" spans="1:22" ht="14.25" x14ac:dyDescent="0.2">
      <c r="A474" s="301"/>
      <c r="B474" s="302"/>
      <c r="C474" s="302" t="s">
        <v>189</v>
      </c>
      <c r="D474" s="303"/>
      <c r="E474" s="286"/>
      <c r="F474" s="321">
        <v>0.65</v>
      </c>
      <c r="G474" s="305" t="s">
        <v>1549</v>
      </c>
      <c r="H474" s="286">
        <v>1</v>
      </c>
      <c r="I474" s="306">
        <v>0.81</v>
      </c>
      <c r="J474" s="286">
        <v>23.35</v>
      </c>
      <c r="K474" s="306">
        <v>18.91</v>
      </c>
    </row>
    <row r="475" spans="1:22" ht="14.25" x14ac:dyDescent="0.2">
      <c r="A475" s="301"/>
      <c r="B475" s="302"/>
      <c r="C475" s="302" t="s">
        <v>205</v>
      </c>
      <c r="D475" s="303"/>
      <c r="E475" s="286"/>
      <c r="F475" s="321">
        <v>21.42</v>
      </c>
      <c r="G475" s="305" t="s">
        <v>195</v>
      </c>
      <c r="H475" s="286">
        <v>1</v>
      </c>
      <c r="I475" s="304">
        <v>21.42</v>
      </c>
      <c r="J475" s="286">
        <v>5.42</v>
      </c>
      <c r="K475" s="304">
        <v>116.1</v>
      </c>
    </row>
    <row r="476" spans="1:22" ht="14.25" x14ac:dyDescent="0.2">
      <c r="A476" s="301"/>
      <c r="B476" s="302"/>
      <c r="C476" s="302" t="s">
        <v>194</v>
      </c>
      <c r="D476" s="303" t="s">
        <v>187</v>
      </c>
      <c r="E476" s="286">
        <v>112</v>
      </c>
      <c r="F476" s="321"/>
      <c r="G476" s="305"/>
      <c r="H476" s="286"/>
      <c r="I476" s="304">
        <v>78.39</v>
      </c>
      <c r="J476" s="286">
        <v>90</v>
      </c>
      <c r="K476" s="304">
        <v>1445</v>
      </c>
    </row>
    <row r="477" spans="1:22" ht="14.25" x14ac:dyDescent="0.2">
      <c r="A477" s="301"/>
      <c r="B477" s="302"/>
      <c r="C477" s="302" t="s">
        <v>193</v>
      </c>
      <c r="D477" s="303" t="s">
        <v>187</v>
      </c>
      <c r="E477" s="286">
        <v>70</v>
      </c>
      <c r="F477" s="321"/>
      <c r="G477" s="305"/>
      <c r="H477" s="286"/>
      <c r="I477" s="304">
        <v>46.07</v>
      </c>
      <c r="J477" s="286">
        <v>41</v>
      </c>
      <c r="K477" s="304">
        <v>658.28</v>
      </c>
    </row>
    <row r="478" spans="1:22" ht="14.25" x14ac:dyDescent="0.2">
      <c r="A478" s="301"/>
      <c r="B478" s="302"/>
      <c r="C478" s="302" t="s">
        <v>188</v>
      </c>
      <c r="D478" s="303" t="s">
        <v>187</v>
      </c>
      <c r="E478" s="286">
        <v>175</v>
      </c>
      <c r="F478" s="321"/>
      <c r="G478" s="305"/>
      <c r="H478" s="286"/>
      <c r="I478" s="304">
        <v>1.42</v>
      </c>
      <c r="J478" s="286">
        <v>157</v>
      </c>
      <c r="K478" s="304">
        <v>29.69</v>
      </c>
    </row>
    <row r="479" spans="1:22" ht="14.25" x14ac:dyDescent="0.2">
      <c r="A479" s="307"/>
      <c r="B479" s="308"/>
      <c r="C479" s="308" t="s">
        <v>192</v>
      </c>
      <c r="D479" s="309" t="s">
        <v>191</v>
      </c>
      <c r="E479" s="310">
        <v>5.15</v>
      </c>
      <c r="F479" s="361"/>
      <c r="G479" s="312" t="s">
        <v>1548</v>
      </c>
      <c r="H479" s="310">
        <v>1</v>
      </c>
      <c r="I479" s="311">
        <v>5.92</v>
      </c>
      <c r="J479" s="310"/>
      <c r="K479" s="311"/>
    </row>
    <row r="480" spans="1:22" ht="15" x14ac:dyDescent="0.25">
      <c r="A480" s="313"/>
      <c r="B480" s="313"/>
      <c r="C480" s="314" t="s">
        <v>183</v>
      </c>
      <c r="D480" s="313"/>
      <c r="E480" s="313"/>
      <c r="F480" s="313"/>
      <c r="G480" s="313"/>
      <c r="H480" s="472">
        <v>221.59</v>
      </c>
      <c r="I480" s="472"/>
      <c r="J480" s="472">
        <v>3898.86</v>
      </c>
      <c r="K480" s="472"/>
      <c r="O480" s="284">
        <f>I472+I473+I475+I476+I477+I478</f>
        <v>221.59</v>
      </c>
      <c r="P480" s="284">
        <f>K472+K473+K475+K476+K477+K478</f>
        <v>3898.86</v>
      </c>
    </row>
    <row r="482" spans="1:22" ht="65.25" x14ac:dyDescent="0.2">
      <c r="A482" s="301" t="s">
        <v>1534</v>
      </c>
      <c r="B482" s="302" t="s">
        <v>1499</v>
      </c>
      <c r="C482" s="302" t="s">
        <v>965</v>
      </c>
      <c r="D482" s="303" t="s">
        <v>1903</v>
      </c>
      <c r="E482" s="286">
        <v>1</v>
      </c>
      <c r="F482" s="321"/>
      <c r="G482" s="305"/>
      <c r="H482" s="286"/>
      <c r="I482" s="304"/>
      <c r="J482" s="286"/>
      <c r="K482" s="304"/>
      <c r="Q482" s="281">
        <f>[20]Source!X453</f>
        <v>8.86</v>
      </c>
      <c r="R482" s="281">
        <f>[20]Source!X454</f>
        <v>163.29</v>
      </c>
      <c r="S482" s="281">
        <f>[20]Source!Y453</f>
        <v>5.21</v>
      </c>
      <c r="T482" s="281">
        <f>[20]Source!Y454</f>
        <v>74.39</v>
      </c>
      <c r="U482" s="281">
        <f>ROUND((175/100)*ROUND([20]Source!R453, 2), 2)</f>
        <v>0</v>
      </c>
      <c r="V482" s="281">
        <f>ROUND((157/100)*ROUND([20]Source!R454, 2), 2)</f>
        <v>0</v>
      </c>
    </row>
    <row r="483" spans="1:22" ht="14.25" x14ac:dyDescent="0.2">
      <c r="A483" s="301"/>
      <c r="B483" s="302"/>
      <c r="C483" s="302" t="s">
        <v>197</v>
      </c>
      <c r="D483" s="303"/>
      <c r="E483" s="286"/>
      <c r="F483" s="321">
        <v>6.76</v>
      </c>
      <c r="G483" s="305" t="s">
        <v>1548</v>
      </c>
      <c r="H483" s="286">
        <v>1</v>
      </c>
      <c r="I483" s="304">
        <v>7.77</v>
      </c>
      <c r="J483" s="286">
        <v>23.35</v>
      </c>
      <c r="K483" s="304">
        <v>181.43</v>
      </c>
    </row>
    <row r="484" spans="1:22" ht="14.25" x14ac:dyDescent="0.2">
      <c r="A484" s="301"/>
      <c r="B484" s="302"/>
      <c r="C484" s="302" t="s">
        <v>205</v>
      </c>
      <c r="D484" s="303"/>
      <c r="E484" s="286"/>
      <c r="F484" s="321">
        <v>0.35</v>
      </c>
      <c r="G484" s="305" t="s">
        <v>195</v>
      </c>
      <c r="H484" s="286">
        <v>1</v>
      </c>
      <c r="I484" s="304">
        <v>0.35</v>
      </c>
      <c r="J484" s="286">
        <v>5.43</v>
      </c>
      <c r="K484" s="304">
        <v>1.9</v>
      </c>
    </row>
    <row r="485" spans="1:22" ht="14.25" x14ac:dyDescent="0.2">
      <c r="A485" s="301"/>
      <c r="B485" s="302"/>
      <c r="C485" s="302" t="s">
        <v>194</v>
      </c>
      <c r="D485" s="303" t="s">
        <v>187</v>
      </c>
      <c r="E485" s="286">
        <v>112</v>
      </c>
      <c r="F485" s="321"/>
      <c r="G485" s="305"/>
      <c r="H485" s="286"/>
      <c r="I485" s="304">
        <v>8.86</v>
      </c>
      <c r="J485" s="286">
        <v>90</v>
      </c>
      <c r="K485" s="304">
        <v>163.29</v>
      </c>
    </row>
    <row r="486" spans="1:22" ht="14.25" x14ac:dyDescent="0.2">
      <c r="A486" s="301"/>
      <c r="B486" s="302"/>
      <c r="C486" s="302" t="s">
        <v>193</v>
      </c>
      <c r="D486" s="303" t="s">
        <v>187</v>
      </c>
      <c r="E486" s="286">
        <v>70</v>
      </c>
      <c r="F486" s="321"/>
      <c r="G486" s="305"/>
      <c r="H486" s="286"/>
      <c r="I486" s="304">
        <v>5.21</v>
      </c>
      <c r="J486" s="286">
        <v>41</v>
      </c>
      <c r="K486" s="304">
        <v>74.39</v>
      </c>
    </row>
    <row r="487" spans="1:22" ht="14.25" x14ac:dyDescent="0.2">
      <c r="A487" s="307"/>
      <c r="B487" s="308"/>
      <c r="C487" s="308" t="s">
        <v>192</v>
      </c>
      <c r="D487" s="309" t="s">
        <v>191</v>
      </c>
      <c r="E487" s="310">
        <v>0.52</v>
      </c>
      <c r="F487" s="361"/>
      <c r="G487" s="312" t="s">
        <v>1548</v>
      </c>
      <c r="H487" s="310">
        <v>1</v>
      </c>
      <c r="I487" s="311">
        <v>0.6</v>
      </c>
      <c r="J487" s="310"/>
      <c r="K487" s="311"/>
    </row>
    <row r="488" spans="1:22" ht="15" x14ac:dyDescent="0.25">
      <c r="A488" s="313"/>
      <c r="B488" s="313"/>
      <c r="C488" s="314" t="s">
        <v>183</v>
      </c>
      <c r="D488" s="313"/>
      <c r="E488" s="313"/>
      <c r="F488" s="313"/>
      <c r="G488" s="313"/>
      <c r="H488" s="472">
        <v>22.19</v>
      </c>
      <c r="I488" s="472"/>
      <c r="J488" s="472">
        <v>421.01</v>
      </c>
      <c r="K488" s="472"/>
      <c r="O488" s="284">
        <f>I483+I484+I485+I486</f>
        <v>22.19</v>
      </c>
      <c r="P488" s="284">
        <f>K483+K484+K485+K486</f>
        <v>421.01</v>
      </c>
    </row>
    <row r="490" spans="1:22" ht="65.25" x14ac:dyDescent="0.2">
      <c r="A490" s="301" t="s">
        <v>104</v>
      </c>
      <c r="B490" s="302" t="s">
        <v>1474</v>
      </c>
      <c r="C490" s="302" t="s">
        <v>1247</v>
      </c>
      <c r="D490" s="303" t="s">
        <v>1903</v>
      </c>
      <c r="E490" s="286">
        <v>1</v>
      </c>
      <c r="F490" s="321"/>
      <c r="G490" s="305"/>
      <c r="H490" s="286"/>
      <c r="I490" s="304"/>
      <c r="J490" s="286"/>
      <c r="K490" s="304"/>
      <c r="Q490" s="281">
        <f>[20]Source!X455</f>
        <v>35.11</v>
      </c>
      <c r="R490" s="281">
        <f>[20]Source!X456</f>
        <v>647.26</v>
      </c>
      <c r="S490" s="281">
        <f>[20]Source!Y455</f>
        <v>20.64</v>
      </c>
      <c r="T490" s="281">
        <f>[20]Source!Y456</f>
        <v>294.86</v>
      </c>
      <c r="U490" s="281">
        <f>ROUND((175/100)*ROUND([20]Source!R455, 2), 2)</f>
        <v>0</v>
      </c>
      <c r="V490" s="281">
        <f>ROUND((157/100)*ROUND([20]Source!R456, 2), 2)</f>
        <v>0</v>
      </c>
    </row>
    <row r="491" spans="1:22" ht="14.25" x14ac:dyDescent="0.2">
      <c r="A491" s="301"/>
      <c r="B491" s="302"/>
      <c r="C491" s="302" t="s">
        <v>197</v>
      </c>
      <c r="D491" s="303"/>
      <c r="E491" s="286"/>
      <c r="F491" s="321">
        <v>26.78</v>
      </c>
      <c r="G491" s="305" t="s">
        <v>1548</v>
      </c>
      <c r="H491" s="286">
        <v>1</v>
      </c>
      <c r="I491" s="304">
        <v>30.8</v>
      </c>
      <c r="J491" s="286">
        <v>23.35</v>
      </c>
      <c r="K491" s="304">
        <v>719.18</v>
      </c>
    </row>
    <row r="492" spans="1:22" ht="14.25" x14ac:dyDescent="0.2">
      <c r="A492" s="301"/>
      <c r="B492" s="302"/>
      <c r="C492" s="302" t="s">
        <v>205</v>
      </c>
      <c r="D492" s="303"/>
      <c r="E492" s="286"/>
      <c r="F492" s="321">
        <v>0.28000000000000003</v>
      </c>
      <c r="G492" s="305" t="s">
        <v>195</v>
      </c>
      <c r="H492" s="286">
        <v>1</v>
      </c>
      <c r="I492" s="304">
        <v>0.28000000000000003</v>
      </c>
      <c r="J492" s="286">
        <v>5.43</v>
      </c>
      <c r="K492" s="304">
        <v>1.52</v>
      </c>
    </row>
    <row r="493" spans="1:22" ht="14.25" x14ac:dyDescent="0.2">
      <c r="A493" s="301"/>
      <c r="B493" s="302"/>
      <c r="C493" s="302" t="s">
        <v>194</v>
      </c>
      <c r="D493" s="303" t="s">
        <v>187</v>
      </c>
      <c r="E493" s="286">
        <v>112</v>
      </c>
      <c r="F493" s="321"/>
      <c r="G493" s="305"/>
      <c r="H493" s="286"/>
      <c r="I493" s="304">
        <v>35.11</v>
      </c>
      <c r="J493" s="286">
        <v>90</v>
      </c>
      <c r="K493" s="304">
        <v>647.26</v>
      </c>
    </row>
    <row r="494" spans="1:22" ht="14.25" x14ac:dyDescent="0.2">
      <c r="A494" s="301"/>
      <c r="B494" s="302"/>
      <c r="C494" s="302" t="s">
        <v>193</v>
      </c>
      <c r="D494" s="303" t="s">
        <v>187</v>
      </c>
      <c r="E494" s="286">
        <v>70</v>
      </c>
      <c r="F494" s="321"/>
      <c r="G494" s="305"/>
      <c r="H494" s="286"/>
      <c r="I494" s="304">
        <v>20.64</v>
      </c>
      <c r="J494" s="286">
        <v>41</v>
      </c>
      <c r="K494" s="304">
        <v>294.86</v>
      </c>
    </row>
    <row r="495" spans="1:22" ht="14.25" x14ac:dyDescent="0.2">
      <c r="A495" s="307"/>
      <c r="B495" s="308"/>
      <c r="C495" s="308" t="s">
        <v>192</v>
      </c>
      <c r="D495" s="309" t="s">
        <v>191</v>
      </c>
      <c r="E495" s="310">
        <v>2.06</v>
      </c>
      <c r="F495" s="361"/>
      <c r="G495" s="312" t="s">
        <v>1548</v>
      </c>
      <c r="H495" s="310">
        <v>1</v>
      </c>
      <c r="I495" s="311">
        <v>2.37</v>
      </c>
      <c r="J495" s="310"/>
      <c r="K495" s="311"/>
    </row>
    <row r="496" spans="1:22" ht="15" x14ac:dyDescent="0.25">
      <c r="A496" s="313"/>
      <c r="B496" s="313"/>
      <c r="C496" s="314" t="s">
        <v>183</v>
      </c>
      <c r="D496" s="313"/>
      <c r="E496" s="313"/>
      <c r="F496" s="313"/>
      <c r="G496" s="313"/>
      <c r="H496" s="472">
        <v>86.83</v>
      </c>
      <c r="I496" s="472"/>
      <c r="J496" s="472">
        <v>1662.82</v>
      </c>
      <c r="K496" s="472"/>
      <c r="O496" s="284">
        <f>I491+I492+I493+I494</f>
        <v>86.83</v>
      </c>
      <c r="P496" s="284">
        <f>K491+K492+K493+K494</f>
        <v>1662.82</v>
      </c>
    </row>
    <row r="498" spans="1:22" ht="65.25" x14ac:dyDescent="0.2">
      <c r="A498" s="301" t="s">
        <v>1546</v>
      </c>
      <c r="B498" s="302" t="s">
        <v>1473</v>
      </c>
      <c r="C498" s="302" t="s">
        <v>1472</v>
      </c>
      <c r="D498" s="303" t="s">
        <v>1903</v>
      </c>
      <c r="E498" s="286">
        <v>1</v>
      </c>
      <c r="F498" s="321"/>
      <c r="G498" s="305"/>
      <c r="H498" s="286"/>
      <c r="I498" s="304"/>
      <c r="J498" s="286"/>
      <c r="K498" s="304"/>
      <c r="Q498" s="281">
        <f>[20]Source!X457</f>
        <v>7.62</v>
      </c>
      <c r="R498" s="281">
        <f>[20]Source!X458</f>
        <v>140.38</v>
      </c>
      <c r="S498" s="281">
        <f>[20]Source!Y457</f>
        <v>4.4800000000000004</v>
      </c>
      <c r="T498" s="281">
        <f>[20]Source!Y458</f>
        <v>63.95</v>
      </c>
      <c r="U498" s="281">
        <f>ROUND((175/100)*ROUND([20]Source!R457, 2), 2)</f>
        <v>12.09</v>
      </c>
      <c r="V498" s="281">
        <f>ROUND((157/100)*ROUND([20]Source!R458, 2), 2)</f>
        <v>253.32</v>
      </c>
    </row>
    <row r="499" spans="1:22" ht="14.25" x14ac:dyDescent="0.2">
      <c r="A499" s="301"/>
      <c r="B499" s="302"/>
      <c r="C499" s="302" t="s">
        <v>197</v>
      </c>
      <c r="D499" s="303"/>
      <c r="E499" s="286"/>
      <c r="F499" s="321">
        <v>5.81</v>
      </c>
      <c r="G499" s="305" t="s">
        <v>1548</v>
      </c>
      <c r="H499" s="286">
        <v>1</v>
      </c>
      <c r="I499" s="304">
        <v>6.68</v>
      </c>
      <c r="J499" s="286">
        <v>23.35</v>
      </c>
      <c r="K499" s="304">
        <v>155.97999999999999</v>
      </c>
    </row>
    <row r="500" spans="1:22" ht="14.25" x14ac:dyDescent="0.2">
      <c r="A500" s="301"/>
      <c r="B500" s="302"/>
      <c r="C500" s="302" t="s">
        <v>184</v>
      </c>
      <c r="D500" s="303"/>
      <c r="E500" s="286"/>
      <c r="F500" s="321">
        <v>27.61</v>
      </c>
      <c r="G500" s="305" t="s">
        <v>1549</v>
      </c>
      <c r="H500" s="286">
        <v>1</v>
      </c>
      <c r="I500" s="304">
        <v>34.51</v>
      </c>
      <c r="J500" s="286">
        <v>8.9600000000000009</v>
      </c>
      <c r="K500" s="304">
        <v>309.20999999999998</v>
      </c>
    </row>
    <row r="501" spans="1:22" ht="14.25" x14ac:dyDescent="0.2">
      <c r="A501" s="301"/>
      <c r="B501" s="302"/>
      <c r="C501" s="302" t="s">
        <v>189</v>
      </c>
      <c r="D501" s="303"/>
      <c r="E501" s="286"/>
      <c r="F501" s="321">
        <v>5.53</v>
      </c>
      <c r="G501" s="305" t="s">
        <v>1549</v>
      </c>
      <c r="H501" s="286">
        <v>1</v>
      </c>
      <c r="I501" s="306">
        <v>6.91</v>
      </c>
      <c r="J501" s="286">
        <v>23.35</v>
      </c>
      <c r="K501" s="306">
        <v>161.35</v>
      </c>
    </row>
    <row r="502" spans="1:22" ht="14.25" x14ac:dyDescent="0.2">
      <c r="A502" s="301"/>
      <c r="B502" s="302"/>
      <c r="C502" s="302" t="s">
        <v>205</v>
      </c>
      <c r="D502" s="303"/>
      <c r="E502" s="286"/>
      <c r="F502" s="321">
        <v>1.89</v>
      </c>
      <c r="G502" s="305" t="s">
        <v>195</v>
      </c>
      <c r="H502" s="286">
        <v>1</v>
      </c>
      <c r="I502" s="304">
        <v>1.89</v>
      </c>
      <c r="J502" s="286">
        <v>5.42</v>
      </c>
      <c r="K502" s="304">
        <v>10.24</v>
      </c>
    </row>
    <row r="503" spans="1:22" ht="14.25" x14ac:dyDescent="0.2">
      <c r="A503" s="301"/>
      <c r="B503" s="302"/>
      <c r="C503" s="302" t="s">
        <v>194</v>
      </c>
      <c r="D503" s="303" t="s">
        <v>187</v>
      </c>
      <c r="E503" s="286">
        <v>112</v>
      </c>
      <c r="F503" s="321"/>
      <c r="G503" s="305"/>
      <c r="H503" s="286"/>
      <c r="I503" s="304">
        <v>7.62</v>
      </c>
      <c r="J503" s="286">
        <v>90</v>
      </c>
      <c r="K503" s="304">
        <v>140.38</v>
      </c>
    </row>
    <row r="504" spans="1:22" ht="14.25" x14ac:dyDescent="0.2">
      <c r="A504" s="301"/>
      <c r="B504" s="302"/>
      <c r="C504" s="302" t="s">
        <v>193</v>
      </c>
      <c r="D504" s="303" t="s">
        <v>187</v>
      </c>
      <c r="E504" s="286">
        <v>70</v>
      </c>
      <c r="F504" s="321"/>
      <c r="G504" s="305"/>
      <c r="H504" s="286"/>
      <c r="I504" s="304">
        <v>4.4800000000000004</v>
      </c>
      <c r="J504" s="286">
        <v>41</v>
      </c>
      <c r="K504" s="304">
        <v>63.95</v>
      </c>
    </row>
    <row r="505" spans="1:22" ht="14.25" x14ac:dyDescent="0.2">
      <c r="A505" s="301"/>
      <c r="B505" s="302"/>
      <c r="C505" s="302" t="s">
        <v>188</v>
      </c>
      <c r="D505" s="303" t="s">
        <v>187</v>
      </c>
      <c r="E505" s="286">
        <v>175</v>
      </c>
      <c r="F505" s="321"/>
      <c r="G505" s="305"/>
      <c r="H505" s="286"/>
      <c r="I505" s="304">
        <v>12.09</v>
      </c>
      <c r="J505" s="286">
        <v>157</v>
      </c>
      <c r="K505" s="304">
        <v>253.32</v>
      </c>
    </row>
    <row r="506" spans="1:22" ht="14.25" x14ac:dyDescent="0.2">
      <c r="A506" s="307"/>
      <c r="B506" s="308"/>
      <c r="C506" s="308" t="s">
        <v>192</v>
      </c>
      <c r="D506" s="309" t="s">
        <v>191</v>
      </c>
      <c r="E506" s="310">
        <v>0.52</v>
      </c>
      <c r="F506" s="361"/>
      <c r="G506" s="312" t="s">
        <v>1548</v>
      </c>
      <c r="H506" s="310">
        <v>1</v>
      </c>
      <c r="I506" s="311">
        <v>0.6</v>
      </c>
      <c r="J506" s="310"/>
      <c r="K506" s="311"/>
    </row>
    <row r="507" spans="1:22" ht="15" x14ac:dyDescent="0.25">
      <c r="A507" s="313"/>
      <c r="B507" s="313"/>
      <c r="C507" s="314" t="s">
        <v>183</v>
      </c>
      <c r="D507" s="313"/>
      <c r="E507" s="313"/>
      <c r="F507" s="313"/>
      <c r="G507" s="313"/>
      <c r="H507" s="472">
        <v>67.27</v>
      </c>
      <c r="I507" s="472"/>
      <c r="J507" s="472">
        <v>933.08</v>
      </c>
      <c r="K507" s="472"/>
      <c r="O507" s="284">
        <f>I499+I500+I502+I503+I504+I505</f>
        <v>67.27</v>
      </c>
      <c r="P507" s="284">
        <f>K499+K500+K502+K503+K504+K505</f>
        <v>933.08</v>
      </c>
    </row>
    <row r="509" spans="1:22" ht="81" x14ac:dyDescent="0.2">
      <c r="A509" s="275" t="s">
        <v>105</v>
      </c>
      <c r="B509" s="276" t="s">
        <v>3752</v>
      </c>
      <c r="C509" s="276" t="s">
        <v>1503</v>
      </c>
      <c r="D509" s="277" t="s">
        <v>3240</v>
      </c>
      <c r="E509" s="278">
        <v>1</v>
      </c>
      <c r="F509" s="362">
        <v>11543.7</v>
      </c>
      <c r="G509" s="280" t="s">
        <v>195</v>
      </c>
      <c r="H509" s="278">
        <v>1</v>
      </c>
      <c r="I509" s="279">
        <v>11543.7</v>
      </c>
      <c r="J509" s="278">
        <v>4.4000000000000004</v>
      </c>
      <c r="K509" s="279">
        <v>50792.28</v>
      </c>
      <c r="Q509" s="281">
        <f>[20]Source!X459</f>
        <v>0</v>
      </c>
      <c r="R509" s="281">
        <f>[20]Source!X460</f>
        <v>0</v>
      </c>
      <c r="S509" s="281">
        <f>[20]Source!Y459</f>
        <v>0</v>
      </c>
      <c r="T509" s="281">
        <f>[20]Source!Y460</f>
        <v>0</v>
      </c>
      <c r="U509" s="281">
        <f>ROUND((175/100)*ROUND([20]Source!R459, 2), 2)</f>
        <v>0</v>
      </c>
      <c r="V509" s="281">
        <f>ROUND((157/100)*ROUND([20]Source!R460, 2), 2)</f>
        <v>0</v>
      </c>
    </row>
    <row r="510" spans="1:22" ht="15" x14ac:dyDescent="0.25">
      <c r="A510" s="282"/>
      <c r="B510" s="282"/>
      <c r="C510" s="283" t="s">
        <v>183</v>
      </c>
      <c r="D510" s="282"/>
      <c r="E510" s="282"/>
      <c r="F510" s="282"/>
      <c r="G510" s="282"/>
      <c r="H510" s="473">
        <v>11543.7</v>
      </c>
      <c r="I510" s="473"/>
      <c r="J510" s="473">
        <v>50792.28</v>
      </c>
      <c r="K510" s="473"/>
      <c r="O510" s="284">
        <f>I509</f>
        <v>11543.7</v>
      </c>
      <c r="P510" s="284">
        <f>K509</f>
        <v>50792.28</v>
      </c>
    </row>
    <row r="513" spans="1:22" ht="15" x14ac:dyDescent="0.25">
      <c r="A513" s="447" t="s">
        <v>3771</v>
      </c>
      <c r="B513" s="447"/>
      <c r="C513" s="447"/>
      <c r="D513" s="447"/>
      <c r="E513" s="447"/>
      <c r="F513" s="447"/>
      <c r="G513" s="447"/>
      <c r="H513" s="445">
        <v>11941.58</v>
      </c>
      <c r="I513" s="446"/>
      <c r="J513" s="445">
        <v>57708.05</v>
      </c>
      <c r="K513" s="446"/>
    </row>
    <row r="514" spans="1:22" hidden="1" x14ac:dyDescent="0.2">
      <c r="A514" s="281" t="s">
        <v>182</v>
      </c>
      <c r="I514" s="281">
        <v>0</v>
      </c>
      <c r="J514" s="281">
        <v>0</v>
      </c>
    </row>
    <row r="515" spans="1:22" hidden="1" x14ac:dyDescent="0.2">
      <c r="A515" s="281" t="s">
        <v>181</v>
      </c>
      <c r="I515" s="281">
        <v>0</v>
      </c>
      <c r="J515" s="281">
        <v>0</v>
      </c>
    </row>
    <row r="517" spans="1:22" ht="16.5" x14ac:dyDescent="0.25">
      <c r="A517" s="448" t="s">
        <v>3772</v>
      </c>
      <c r="B517" s="448"/>
      <c r="C517" s="448"/>
      <c r="D517" s="448"/>
      <c r="E517" s="448"/>
      <c r="F517" s="448"/>
      <c r="G517" s="448"/>
      <c r="H517" s="448"/>
      <c r="I517" s="448"/>
      <c r="J517" s="448"/>
      <c r="K517" s="448"/>
    </row>
    <row r="518" spans="1:22" ht="65.25" x14ac:dyDescent="0.2">
      <c r="A518" s="301" t="s">
        <v>719</v>
      </c>
      <c r="B518" s="302" t="s">
        <v>1476</v>
      </c>
      <c r="C518" s="302" t="s">
        <v>1475</v>
      </c>
      <c r="D518" s="303" t="s">
        <v>1903</v>
      </c>
      <c r="E518" s="286">
        <v>1</v>
      </c>
      <c r="F518" s="321"/>
      <c r="G518" s="305"/>
      <c r="H518" s="286"/>
      <c r="I518" s="304"/>
      <c r="J518" s="286"/>
      <c r="K518" s="304"/>
      <c r="Q518" s="281">
        <f>[20]Source!X496</f>
        <v>78.39</v>
      </c>
      <c r="R518" s="281">
        <f>[20]Source!X497</f>
        <v>1445</v>
      </c>
      <c r="S518" s="281">
        <f>[20]Source!Y496</f>
        <v>46.07</v>
      </c>
      <c r="T518" s="281">
        <f>[20]Source!Y497</f>
        <v>658.28</v>
      </c>
      <c r="U518" s="281">
        <f>ROUND((175/100)*ROUND([20]Source!R496, 2), 2)</f>
        <v>1.42</v>
      </c>
      <c r="V518" s="281">
        <f>ROUND((157/100)*ROUND([20]Source!R497, 2), 2)</f>
        <v>29.69</v>
      </c>
    </row>
    <row r="519" spans="1:22" ht="14.25" x14ac:dyDescent="0.2">
      <c r="A519" s="301"/>
      <c r="B519" s="302"/>
      <c r="C519" s="302" t="s">
        <v>197</v>
      </c>
      <c r="D519" s="303"/>
      <c r="E519" s="286"/>
      <c r="F519" s="321">
        <v>59.79</v>
      </c>
      <c r="G519" s="305" t="s">
        <v>1548</v>
      </c>
      <c r="H519" s="286">
        <v>1</v>
      </c>
      <c r="I519" s="304">
        <v>68.760000000000005</v>
      </c>
      <c r="J519" s="286">
        <v>23.35</v>
      </c>
      <c r="K519" s="304">
        <v>1605.55</v>
      </c>
    </row>
    <row r="520" spans="1:22" ht="14.25" x14ac:dyDescent="0.2">
      <c r="A520" s="301"/>
      <c r="B520" s="302"/>
      <c r="C520" s="302" t="s">
        <v>184</v>
      </c>
      <c r="D520" s="303"/>
      <c r="E520" s="286"/>
      <c r="F520" s="321">
        <v>4.42</v>
      </c>
      <c r="G520" s="305" t="s">
        <v>1549</v>
      </c>
      <c r="H520" s="286">
        <v>1</v>
      </c>
      <c r="I520" s="304">
        <v>5.53</v>
      </c>
      <c r="J520" s="286">
        <v>8</v>
      </c>
      <c r="K520" s="304">
        <v>44.24</v>
      </c>
    </row>
    <row r="521" spans="1:22" ht="14.25" x14ac:dyDescent="0.2">
      <c r="A521" s="301"/>
      <c r="B521" s="302"/>
      <c r="C521" s="302" t="s">
        <v>189</v>
      </c>
      <c r="D521" s="303"/>
      <c r="E521" s="286"/>
      <c r="F521" s="321">
        <v>0.65</v>
      </c>
      <c r="G521" s="305" t="s">
        <v>1549</v>
      </c>
      <c r="H521" s="286">
        <v>1</v>
      </c>
      <c r="I521" s="306">
        <v>0.81</v>
      </c>
      <c r="J521" s="286">
        <v>23.35</v>
      </c>
      <c r="K521" s="306">
        <v>18.91</v>
      </c>
    </row>
    <row r="522" spans="1:22" ht="14.25" x14ac:dyDescent="0.2">
      <c r="A522" s="301"/>
      <c r="B522" s="302"/>
      <c r="C522" s="302" t="s">
        <v>205</v>
      </c>
      <c r="D522" s="303"/>
      <c r="E522" s="286"/>
      <c r="F522" s="321">
        <v>21.42</v>
      </c>
      <c r="G522" s="305" t="s">
        <v>195</v>
      </c>
      <c r="H522" s="286">
        <v>1</v>
      </c>
      <c r="I522" s="304">
        <v>21.42</v>
      </c>
      <c r="J522" s="286">
        <v>5.42</v>
      </c>
      <c r="K522" s="304">
        <v>116.1</v>
      </c>
    </row>
    <row r="523" spans="1:22" ht="14.25" x14ac:dyDescent="0.2">
      <c r="A523" s="301"/>
      <c r="B523" s="302"/>
      <c r="C523" s="302" t="s">
        <v>194</v>
      </c>
      <c r="D523" s="303" t="s">
        <v>187</v>
      </c>
      <c r="E523" s="286">
        <v>112</v>
      </c>
      <c r="F523" s="321"/>
      <c r="G523" s="305"/>
      <c r="H523" s="286"/>
      <c r="I523" s="304">
        <v>78.39</v>
      </c>
      <c r="J523" s="286">
        <v>90</v>
      </c>
      <c r="K523" s="304">
        <v>1445</v>
      </c>
    </row>
    <row r="524" spans="1:22" ht="14.25" x14ac:dyDescent="0.2">
      <c r="A524" s="301"/>
      <c r="B524" s="302"/>
      <c r="C524" s="302" t="s">
        <v>193</v>
      </c>
      <c r="D524" s="303" t="s">
        <v>187</v>
      </c>
      <c r="E524" s="286">
        <v>70</v>
      </c>
      <c r="F524" s="321"/>
      <c r="G524" s="305"/>
      <c r="H524" s="286"/>
      <c r="I524" s="304">
        <v>46.07</v>
      </c>
      <c r="J524" s="286">
        <v>41</v>
      </c>
      <c r="K524" s="304">
        <v>658.28</v>
      </c>
    </row>
    <row r="525" spans="1:22" ht="14.25" x14ac:dyDescent="0.2">
      <c r="A525" s="301"/>
      <c r="B525" s="302"/>
      <c r="C525" s="302" t="s">
        <v>188</v>
      </c>
      <c r="D525" s="303" t="s">
        <v>187</v>
      </c>
      <c r="E525" s="286">
        <v>175</v>
      </c>
      <c r="F525" s="321"/>
      <c r="G525" s="305"/>
      <c r="H525" s="286"/>
      <c r="I525" s="304">
        <v>1.42</v>
      </c>
      <c r="J525" s="286">
        <v>157</v>
      </c>
      <c r="K525" s="304">
        <v>29.69</v>
      </c>
    </row>
    <row r="526" spans="1:22" ht="14.25" x14ac:dyDescent="0.2">
      <c r="A526" s="307"/>
      <c r="B526" s="308"/>
      <c r="C526" s="308" t="s">
        <v>192</v>
      </c>
      <c r="D526" s="309" t="s">
        <v>191</v>
      </c>
      <c r="E526" s="310">
        <v>5.15</v>
      </c>
      <c r="F526" s="361"/>
      <c r="G526" s="312" t="s">
        <v>1548</v>
      </c>
      <c r="H526" s="310">
        <v>1</v>
      </c>
      <c r="I526" s="311">
        <v>5.92</v>
      </c>
      <c r="J526" s="310"/>
      <c r="K526" s="311"/>
    </row>
    <row r="527" spans="1:22" ht="15" x14ac:dyDescent="0.25">
      <c r="A527" s="313"/>
      <c r="B527" s="313"/>
      <c r="C527" s="314" t="s">
        <v>183</v>
      </c>
      <c r="D527" s="313"/>
      <c r="E527" s="313"/>
      <c r="F527" s="313"/>
      <c r="G527" s="313"/>
      <c r="H527" s="472">
        <v>221.59</v>
      </c>
      <c r="I527" s="472"/>
      <c r="J527" s="472">
        <v>3898.86</v>
      </c>
      <c r="K527" s="472"/>
      <c r="O527" s="284">
        <f>I519+I520+I522+I523+I524+I525</f>
        <v>221.59</v>
      </c>
      <c r="P527" s="284">
        <f>K519+K520+K522+K523+K524+K525</f>
        <v>3898.86</v>
      </c>
    </row>
    <row r="529" spans="1:22" ht="65.25" x14ac:dyDescent="0.2">
      <c r="A529" s="301" t="s">
        <v>1534</v>
      </c>
      <c r="B529" s="302" t="s">
        <v>1499</v>
      </c>
      <c r="C529" s="302" t="s">
        <v>965</v>
      </c>
      <c r="D529" s="303" t="s">
        <v>1903</v>
      </c>
      <c r="E529" s="286">
        <v>1</v>
      </c>
      <c r="F529" s="321"/>
      <c r="G529" s="305"/>
      <c r="H529" s="286"/>
      <c r="I529" s="304"/>
      <c r="J529" s="286"/>
      <c r="K529" s="304"/>
      <c r="Q529" s="281">
        <f>[20]Source!X498</f>
        <v>8.86</v>
      </c>
      <c r="R529" s="281">
        <f>[20]Source!X499</f>
        <v>163.29</v>
      </c>
      <c r="S529" s="281">
        <f>[20]Source!Y498</f>
        <v>5.21</v>
      </c>
      <c r="T529" s="281">
        <f>[20]Source!Y499</f>
        <v>74.39</v>
      </c>
      <c r="U529" s="281">
        <f>ROUND((175/100)*ROUND([20]Source!R498, 2), 2)</f>
        <v>0</v>
      </c>
      <c r="V529" s="281">
        <f>ROUND((157/100)*ROUND([20]Source!R499, 2), 2)</f>
        <v>0</v>
      </c>
    </row>
    <row r="530" spans="1:22" ht="14.25" x14ac:dyDescent="0.2">
      <c r="A530" s="301"/>
      <c r="B530" s="302"/>
      <c r="C530" s="302" t="s">
        <v>197</v>
      </c>
      <c r="D530" s="303"/>
      <c r="E530" s="286"/>
      <c r="F530" s="321">
        <v>6.76</v>
      </c>
      <c r="G530" s="305" t="s">
        <v>1548</v>
      </c>
      <c r="H530" s="286">
        <v>1</v>
      </c>
      <c r="I530" s="304">
        <v>7.77</v>
      </c>
      <c r="J530" s="286">
        <v>23.35</v>
      </c>
      <c r="K530" s="304">
        <v>181.43</v>
      </c>
    </row>
    <row r="531" spans="1:22" ht="14.25" x14ac:dyDescent="0.2">
      <c r="A531" s="301"/>
      <c r="B531" s="302"/>
      <c r="C531" s="302" t="s">
        <v>205</v>
      </c>
      <c r="D531" s="303"/>
      <c r="E531" s="286"/>
      <c r="F531" s="321">
        <v>0.35</v>
      </c>
      <c r="G531" s="305" t="s">
        <v>195</v>
      </c>
      <c r="H531" s="286">
        <v>1</v>
      </c>
      <c r="I531" s="304">
        <v>0.35</v>
      </c>
      <c r="J531" s="286">
        <v>5.43</v>
      </c>
      <c r="K531" s="304">
        <v>1.9</v>
      </c>
    </row>
    <row r="532" spans="1:22" ht="14.25" x14ac:dyDescent="0.2">
      <c r="A532" s="301"/>
      <c r="B532" s="302"/>
      <c r="C532" s="302" t="s">
        <v>194</v>
      </c>
      <c r="D532" s="303" t="s">
        <v>187</v>
      </c>
      <c r="E532" s="286">
        <v>112</v>
      </c>
      <c r="F532" s="321"/>
      <c r="G532" s="305"/>
      <c r="H532" s="286"/>
      <c r="I532" s="304">
        <v>8.86</v>
      </c>
      <c r="J532" s="286">
        <v>90</v>
      </c>
      <c r="K532" s="304">
        <v>163.29</v>
      </c>
    </row>
    <row r="533" spans="1:22" ht="14.25" x14ac:dyDescent="0.2">
      <c r="A533" s="301"/>
      <c r="B533" s="302"/>
      <c r="C533" s="302" t="s">
        <v>193</v>
      </c>
      <c r="D533" s="303" t="s">
        <v>187</v>
      </c>
      <c r="E533" s="286">
        <v>70</v>
      </c>
      <c r="F533" s="321"/>
      <c r="G533" s="305"/>
      <c r="H533" s="286"/>
      <c r="I533" s="304">
        <v>5.21</v>
      </c>
      <c r="J533" s="286">
        <v>41</v>
      </c>
      <c r="K533" s="304">
        <v>74.39</v>
      </c>
    </row>
    <row r="534" spans="1:22" ht="14.25" x14ac:dyDescent="0.2">
      <c r="A534" s="307"/>
      <c r="B534" s="308"/>
      <c r="C534" s="308" t="s">
        <v>192</v>
      </c>
      <c r="D534" s="309" t="s">
        <v>191</v>
      </c>
      <c r="E534" s="310">
        <v>0.52</v>
      </c>
      <c r="F534" s="361"/>
      <c r="G534" s="312" t="s">
        <v>1548</v>
      </c>
      <c r="H534" s="310">
        <v>1</v>
      </c>
      <c r="I534" s="311">
        <v>0.6</v>
      </c>
      <c r="J534" s="310"/>
      <c r="K534" s="311"/>
    </row>
    <row r="535" spans="1:22" ht="15" x14ac:dyDescent="0.25">
      <c r="A535" s="313"/>
      <c r="B535" s="313"/>
      <c r="C535" s="314" t="s">
        <v>183</v>
      </c>
      <c r="D535" s="313"/>
      <c r="E535" s="313"/>
      <c r="F535" s="313"/>
      <c r="G535" s="313"/>
      <c r="H535" s="472">
        <v>22.19</v>
      </c>
      <c r="I535" s="472"/>
      <c r="J535" s="472">
        <v>421.01</v>
      </c>
      <c r="K535" s="472"/>
      <c r="O535" s="284">
        <f>I530+I531+I532+I533</f>
        <v>22.19</v>
      </c>
      <c r="P535" s="284">
        <f>K530+K531+K532+K533</f>
        <v>421.01</v>
      </c>
    </row>
    <row r="537" spans="1:22" ht="65.25" x14ac:dyDescent="0.2">
      <c r="A537" s="301" t="s">
        <v>104</v>
      </c>
      <c r="B537" s="302" t="s">
        <v>1474</v>
      </c>
      <c r="C537" s="302" t="s">
        <v>1247</v>
      </c>
      <c r="D537" s="303" t="s">
        <v>1903</v>
      </c>
      <c r="E537" s="286">
        <v>1</v>
      </c>
      <c r="F537" s="321"/>
      <c r="G537" s="305"/>
      <c r="H537" s="286"/>
      <c r="I537" s="304"/>
      <c r="J537" s="286"/>
      <c r="K537" s="304"/>
      <c r="Q537" s="281">
        <f>[20]Source!X500</f>
        <v>35.11</v>
      </c>
      <c r="R537" s="281">
        <f>[20]Source!X501</f>
        <v>647.26</v>
      </c>
      <c r="S537" s="281">
        <f>[20]Source!Y500</f>
        <v>20.64</v>
      </c>
      <c r="T537" s="281">
        <f>[20]Source!Y501</f>
        <v>294.86</v>
      </c>
      <c r="U537" s="281">
        <f>ROUND((175/100)*ROUND([20]Source!R500, 2), 2)</f>
        <v>0</v>
      </c>
      <c r="V537" s="281">
        <f>ROUND((157/100)*ROUND([20]Source!R501, 2), 2)</f>
        <v>0</v>
      </c>
    </row>
    <row r="538" spans="1:22" ht="14.25" x14ac:dyDescent="0.2">
      <c r="A538" s="301"/>
      <c r="B538" s="302"/>
      <c r="C538" s="302" t="s">
        <v>197</v>
      </c>
      <c r="D538" s="303"/>
      <c r="E538" s="286"/>
      <c r="F538" s="321">
        <v>26.78</v>
      </c>
      <c r="G538" s="305" t="s">
        <v>1548</v>
      </c>
      <c r="H538" s="286">
        <v>1</v>
      </c>
      <c r="I538" s="304">
        <v>30.8</v>
      </c>
      <c r="J538" s="286">
        <v>23.35</v>
      </c>
      <c r="K538" s="304">
        <v>719.18</v>
      </c>
    </row>
    <row r="539" spans="1:22" ht="14.25" x14ac:dyDescent="0.2">
      <c r="A539" s="301"/>
      <c r="B539" s="302"/>
      <c r="C539" s="302" t="s">
        <v>205</v>
      </c>
      <c r="D539" s="303"/>
      <c r="E539" s="286"/>
      <c r="F539" s="321">
        <v>0.28000000000000003</v>
      </c>
      <c r="G539" s="305" t="s">
        <v>195</v>
      </c>
      <c r="H539" s="286">
        <v>1</v>
      </c>
      <c r="I539" s="304">
        <v>0.28000000000000003</v>
      </c>
      <c r="J539" s="286">
        <v>5.43</v>
      </c>
      <c r="K539" s="304">
        <v>1.52</v>
      </c>
    </row>
    <row r="540" spans="1:22" ht="14.25" x14ac:dyDescent="0.2">
      <c r="A540" s="301"/>
      <c r="B540" s="302"/>
      <c r="C540" s="302" t="s">
        <v>194</v>
      </c>
      <c r="D540" s="303" t="s">
        <v>187</v>
      </c>
      <c r="E540" s="286">
        <v>112</v>
      </c>
      <c r="F540" s="321"/>
      <c r="G540" s="305"/>
      <c r="H540" s="286"/>
      <c r="I540" s="304">
        <v>35.11</v>
      </c>
      <c r="J540" s="286">
        <v>90</v>
      </c>
      <c r="K540" s="304">
        <v>647.26</v>
      </c>
    </row>
    <row r="541" spans="1:22" ht="14.25" x14ac:dyDescent="0.2">
      <c r="A541" s="301"/>
      <c r="B541" s="302"/>
      <c r="C541" s="302" t="s">
        <v>193</v>
      </c>
      <c r="D541" s="303" t="s">
        <v>187</v>
      </c>
      <c r="E541" s="286">
        <v>70</v>
      </c>
      <c r="F541" s="321"/>
      <c r="G541" s="305"/>
      <c r="H541" s="286"/>
      <c r="I541" s="304">
        <v>20.64</v>
      </c>
      <c r="J541" s="286">
        <v>41</v>
      </c>
      <c r="K541" s="304">
        <v>294.86</v>
      </c>
    </row>
    <row r="542" spans="1:22" ht="14.25" x14ac:dyDescent="0.2">
      <c r="A542" s="307"/>
      <c r="B542" s="308"/>
      <c r="C542" s="308" t="s">
        <v>192</v>
      </c>
      <c r="D542" s="309" t="s">
        <v>191</v>
      </c>
      <c r="E542" s="310">
        <v>2.06</v>
      </c>
      <c r="F542" s="361"/>
      <c r="G542" s="312" t="s">
        <v>1548</v>
      </c>
      <c r="H542" s="310">
        <v>1</v>
      </c>
      <c r="I542" s="311">
        <v>2.37</v>
      </c>
      <c r="J542" s="310"/>
      <c r="K542" s="311"/>
    </row>
    <row r="543" spans="1:22" ht="15" x14ac:dyDescent="0.25">
      <c r="A543" s="313"/>
      <c r="B543" s="313"/>
      <c r="C543" s="314" t="s">
        <v>183</v>
      </c>
      <c r="D543" s="313"/>
      <c r="E543" s="313"/>
      <c r="F543" s="313"/>
      <c r="G543" s="313"/>
      <c r="H543" s="472">
        <v>86.83</v>
      </c>
      <c r="I543" s="472"/>
      <c r="J543" s="472">
        <v>1662.82</v>
      </c>
      <c r="K543" s="472"/>
      <c r="O543" s="284">
        <f>I538+I539+I540+I541</f>
        <v>86.83</v>
      </c>
      <c r="P543" s="284">
        <f>K538+K539+K540+K541</f>
        <v>1662.82</v>
      </c>
    </row>
    <row r="545" spans="1:22" ht="65.25" x14ac:dyDescent="0.2">
      <c r="A545" s="301" t="s">
        <v>1546</v>
      </c>
      <c r="B545" s="302" t="s">
        <v>1473</v>
      </c>
      <c r="C545" s="302" t="s">
        <v>1472</v>
      </c>
      <c r="D545" s="303" t="s">
        <v>1903</v>
      </c>
      <c r="E545" s="286">
        <v>1</v>
      </c>
      <c r="F545" s="321"/>
      <c r="G545" s="305"/>
      <c r="H545" s="286"/>
      <c r="I545" s="304"/>
      <c r="J545" s="286"/>
      <c r="K545" s="304"/>
      <c r="Q545" s="281">
        <f>[20]Source!X502</f>
        <v>7.62</v>
      </c>
      <c r="R545" s="281">
        <f>[20]Source!X503</f>
        <v>140.38</v>
      </c>
      <c r="S545" s="281">
        <f>[20]Source!Y502</f>
        <v>4.4800000000000004</v>
      </c>
      <c r="T545" s="281">
        <f>[20]Source!Y503</f>
        <v>63.95</v>
      </c>
      <c r="U545" s="281">
        <f>ROUND((175/100)*ROUND([20]Source!R502, 2), 2)</f>
        <v>12.09</v>
      </c>
      <c r="V545" s="281">
        <f>ROUND((157/100)*ROUND([20]Source!R503, 2), 2)</f>
        <v>253.32</v>
      </c>
    </row>
    <row r="546" spans="1:22" ht="14.25" x14ac:dyDescent="0.2">
      <c r="A546" s="301"/>
      <c r="B546" s="302"/>
      <c r="C546" s="302" t="s">
        <v>197</v>
      </c>
      <c r="D546" s="303"/>
      <c r="E546" s="286"/>
      <c r="F546" s="321">
        <v>5.81</v>
      </c>
      <c r="G546" s="305" t="s">
        <v>1548</v>
      </c>
      <c r="H546" s="286">
        <v>1</v>
      </c>
      <c r="I546" s="304">
        <v>6.68</v>
      </c>
      <c r="J546" s="286">
        <v>23.35</v>
      </c>
      <c r="K546" s="304">
        <v>155.97999999999999</v>
      </c>
    </row>
    <row r="547" spans="1:22" ht="14.25" x14ac:dyDescent="0.2">
      <c r="A547" s="301"/>
      <c r="B547" s="302"/>
      <c r="C547" s="302" t="s">
        <v>184</v>
      </c>
      <c r="D547" s="303"/>
      <c r="E547" s="286"/>
      <c r="F547" s="321">
        <v>27.61</v>
      </c>
      <c r="G547" s="305" t="s">
        <v>1549</v>
      </c>
      <c r="H547" s="286">
        <v>1</v>
      </c>
      <c r="I547" s="304">
        <v>34.51</v>
      </c>
      <c r="J547" s="286">
        <v>8.9600000000000009</v>
      </c>
      <c r="K547" s="304">
        <v>309.20999999999998</v>
      </c>
    </row>
    <row r="548" spans="1:22" ht="14.25" x14ac:dyDescent="0.2">
      <c r="A548" s="301"/>
      <c r="B548" s="302"/>
      <c r="C548" s="302" t="s">
        <v>189</v>
      </c>
      <c r="D548" s="303"/>
      <c r="E548" s="286"/>
      <c r="F548" s="321">
        <v>5.53</v>
      </c>
      <c r="G548" s="305" t="s">
        <v>1549</v>
      </c>
      <c r="H548" s="286">
        <v>1</v>
      </c>
      <c r="I548" s="306">
        <v>6.91</v>
      </c>
      <c r="J548" s="286">
        <v>23.35</v>
      </c>
      <c r="K548" s="306">
        <v>161.35</v>
      </c>
    </row>
    <row r="549" spans="1:22" ht="14.25" x14ac:dyDescent="0.2">
      <c r="A549" s="301"/>
      <c r="B549" s="302"/>
      <c r="C549" s="302" t="s">
        <v>205</v>
      </c>
      <c r="D549" s="303"/>
      <c r="E549" s="286"/>
      <c r="F549" s="321">
        <v>1.89</v>
      </c>
      <c r="G549" s="305" t="s">
        <v>195</v>
      </c>
      <c r="H549" s="286">
        <v>1</v>
      </c>
      <c r="I549" s="304">
        <v>1.89</v>
      </c>
      <c r="J549" s="286">
        <v>5.42</v>
      </c>
      <c r="K549" s="304">
        <v>10.24</v>
      </c>
    </row>
    <row r="550" spans="1:22" ht="14.25" x14ac:dyDescent="0.2">
      <c r="A550" s="301"/>
      <c r="B550" s="302"/>
      <c r="C550" s="302" t="s">
        <v>194</v>
      </c>
      <c r="D550" s="303" t="s">
        <v>187</v>
      </c>
      <c r="E550" s="286">
        <v>112</v>
      </c>
      <c r="F550" s="321"/>
      <c r="G550" s="305"/>
      <c r="H550" s="286"/>
      <c r="I550" s="304">
        <v>7.62</v>
      </c>
      <c r="J550" s="286">
        <v>90</v>
      </c>
      <c r="K550" s="304">
        <v>140.38</v>
      </c>
    </row>
    <row r="551" spans="1:22" ht="14.25" x14ac:dyDescent="0.2">
      <c r="A551" s="301"/>
      <c r="B551" s="302"/>
      <c r="C551" s="302" t="s">
        <v>193</v>
      </c>
      <c r="D551" s="303" t="s">
        <v>187</v>
      </c>
      <c r="E551" s="286">
        <v>70</v>
      </c>
      <c r="F551" s="321"/>
      <c r="G551" s="305"/>
      <c r="H551" s="286"/>
      <c r="I551" s="304">
        <v>4.4800000000000004</v>
      </c>
      <c r="J551" s="286">
        <v>41</v>
      </c>
      <c r="K551" s="304">
        <v>63.95</v>
      </c>
    </row>
    <row r="552" spans="1:22" ht="14.25" x14ac:dyDescent="0.2">
      <c r="A552" s="301"/>
      <c r="B552" s="302"/>
      <c r="C552" s="302" t="s">
        <v>188</v>
      </c>
      <c r="D552" s="303" t="s">
        <v>187</v>
      </c>
      <c r="E552" s="286">
        <v>175</v>
      </c>
      <c r="F552" s="321"/>
      <c r="G552" s="305"/>
      <c r="H552" s="286"/>
      <c r="I552" s="304">
        <v>12.09</v>
      </c>
      <c r="J552" s="286">
        <v>157</v>
      </c>
      <c r="K552" s="304">
        <v>253.32</v>
      </c>
    </row>
    <row r="553" spans="1:22" ht="14.25" x14ac:dyDescent="0.2">
      <c r="A553" s="307"/>
      <c r="B553" s="308"/>
      <c r="C553" s="308" t="s">
        <v>192</v>
      </c>
      <c r="D553" s="309" t="s">
        <v>191</v>
      </c>
      <c r="E553" s="310">
        <v>0.52</v>
      </c>
      <c r="F553" s="361"/>
      <c r="G553" s="312" t="s">
        <v>1548</v>
      </c>
      <c r="H553" s="310">
        <v>1</v>
      </c>
      <c r="I553" s="311">
        <v>0.6</v>
      </c>
      <c r="J553" s="310"/>
      <c r="K553" s="311"/>
    </row>
    <row r="554" spans="1:22" ht="15" x14ac:dyDescent="0.25">
      <c r="A554" s="313"/>
      <c r="B554" s="313"/>
      <c r="C554" s="314" t="s">
        <v>183</v>
      </c>
      <c r="D554" s="313"/>
      <c r="E554" s="313"/>
      <c r="F554" s="313"/>
      <c r="G554" s="313"/>
      <c r="H554" s="472">
        <v>67.27</v>
      </c>
      <c r="I554" s="472"/>
      <c r="J554" s="472">
        <v>933.08</v>
      </c>
      <c r="K554" s="472"/>
      <c r="O554" s="284">
        <f>I546+I547+I549+I550+I551+I552</f>
        <v>67.27</v>
      </c>
      <c r="P554" s="284">
        <f>K546+K547+K549+K550+K551+K552</f>
        <v>933.08</v>
      </c>
    </row>
    <row r="556" spans="1:22" ht="81" x14ac:dyDescent="0.2">
      <c r="A556" s="275" t="s">
        <v>105</v>
      </c>
      <c r="B556" s="276" t="s">
        <v>3752</v>
      </c>
      <c r="C556" s="276" t="s">
        <v>1502</v>
      </c>
      <c r="D556" s="277" t="s">
        <v>3240</v>
      </c>
      <c r="E556" s="278">
        <v>1</v>
      </c>
      <c r="F556" s="362">
        <v>11543.7</v>
      </c>
      <c r="G556" s="280" t="s">
        <v>195</v>
      </c>
      <c r="H556" s="278">
        <v>1</v>
      </c>
      <c r="I556" s="279">
        <v>11543.7</v>
      </c>
      <c r="J556" s="278">
        <v>4.4000000000000004</v>
      </c>
      <c r="K556" s="279">
        <v>50792.28</v>
      </c>
      <c r="Q556" s="281">
        <f>[20]Source!X504</f>
        <v>0</v>
      </c>
      <c r="R556" s="281">
        <f>[20]Source!X505</f>
        <v>0</v>
      </c>
      <c r="S556" s="281">
        <f>[20]Source!Y504</f>
        <v>0</v>
      </c>
      <c r="T556" s="281">
        <f>[20]Source!Y505</f>
        <v>0</v>
      </c>
      <c r="U556" s="281">
        <f>ROUND((175/100)*ROUND([20]Source!R504, 2), 2)</f>
        <v>0</v>
      </c>
      <c r="V556" s="281">
        <f>ROUND((157/100)*ROUND([20]Source!R505, 2), 2)</f>
        <v>0</v>
      </c>
    </row>
    <row r="557" spans="1:22" ht="15" x14ac:dyDescent="0.25">
      <c r="A557" s="282"/>
      <c r="B557" s="282"/>
      <c r="C557" s="283" t="s">
        <v>183</v>
      </c>
      <c r="D557" s="282"/>
      <c r="E557" s="282"/>
      <c r="F557" s="282"/>
      <c r="G557" s="282"/>
      <c r="H557" s="473">
        <v>11543.7</v>
      </c>
      <c r="I557" s="473"/>
      <c r="J557" s="473">
        <v>50792.28</v>
      </c>
      <c r="K557" s="473"/>
      <c r="O557" s="284">
        <f>I556</f>
        <v>11543.7</v>
      </c>
      <c r="P557" s="284">
        <f>K556</f>
        <v>50792.28</v>
      </c>
    </row>
    <row r="560" spans="1:22" ht="15" x14ac:dyDescent="0.25">
      <c r="A560" s="447" t="s">
        <v>3773</v>
      </c>
      <c r="B560" s="447"/>
      <c r="C560" s="447"/>
      <c r="D560" s="447"/>
      <c r="E560" s="447"/>
      <c r="F560" s="447"/>
      <c r="G560" s="447"/>
      <c r="H560" s="445">
        <v>11941.58</v>
      </c>
      <c r="I560" s="446"/>
      <c r="J560" s="445">
        <v>57708.05</v>
      </c>
      <c r="K560" s="446"/>
    </row>
    <row r="561" spans="1:22" hidden="1" x14ac:dyDescent="0.2">
      <c r="A561" s="281" t="s">
        <v>182</v>
      </c>
      <c r="I561" s="281">
        <v>0</v>
      </c>
      <c r="J561" s="281">
        <v>0</v>
      </c>
    </row>
    <row r="562" spans="1:22" hidden="1" x14ac:dyDescent="0.2">
      <c r="A562" s="281" t="s">
        <v>181</v>
      </c>
      <c r="I562" s="281">
        <v>0</v>
      </c>
      <c r="J562" s="281">
        <v>0</v>
      </c>
    </row>
    <row r="564" spans="1:22" ht="16.5" x14ac:dyDescent="0.25">
      <c r="A564" s="448" t="s">
        <v>3774</v>
      </c>
      <c r="B564" s="448"/>
      <c r="C564" s="448"/>
      <c r="D564" s="448"/>
      <c r="E564" s="448"/>
      <c r="F564" s="448"/>
      <c r="G564" s="448"/>
      <c r="H564" s="448"/>
      <c r="I564" s="448"/>
      <c r="J564" s="448"/>
      <c r="K564" s="448"/>
    </row>
    <row r="565" spans="1:22" ht="65.25" x14ac:dyDescent="0.2">
      <c r="A565" s="301" t="s">
        <v>719</v>
      </c>
      <c r="B565" s="302" t="s">
        <v>1476</v>
      </c>
      <c r="C565" s="302" t="s">
        <v>1475</v>
      </c>
      <c r="D565" s="303" t="s">
        <v>1903</v>
      </c>
      <c r="E565" s="286">
        <v>1</v>
      </c>
      <c r="F565" s="321"/>
      <c r="G565" s="305"/>
      <c r="H565" s="286"/>
      <c r="I565" s="304"/>
      <c r="J565" s="286"/>
      <c r="K565" s="304"/>
      <c r="Q565" s="281">
        <f>[20]Source!X541</f>
        <v>78.39</v>
      </c>
      <c r="R565" s="281">
        <f>[20]Source!X542</f>
        <v>1445</v>
      </c>
      <c r="S565" s="281">
        <f>[20]Source!Y541</f>
        <v>46.07</v>
      </c>
      <c r="T565" s="281">
        <f>[20]Source!Y542</f>
        <v>658.28</v>
      </c>
      <c r="U565" s="281">
        <f>ROUND((175/100)*ROUND([20]Source!R541, 2), 2)</f>
        <v>1.42</v>
      </c>
      <c r="V565" s="281">
        <f>ROUND((157/100)*ROUND([20]Source!R542, 2), 2)</f>
        <v>29.69</v>
      </c>
    </row>
    <row r="566" spans="1:22" ht="14.25" x14ac:dyDescent="0.2">
      <c r="A566" s="301"/>
      <c r="B566" s="302"/>
      <c r="C566" s="302" t="s">
        <v>197</v>
      </c>
      <c r="D566" s="303"/>
      <c r="E566" s="286"/>
      <c r="F566" s="321">
        <v>59.79</v>
      </c>
      <c r="G566" s="305" t="s">
        <v>1548</v>
      </c>
      <c r="H566" s="286">
        <v>1</v>
      </c>
      <c r="I566" s="304">
        <v>68.760000000000005</v>
      </c>
      <c r="J566" s="286">
        <v>23.35</v>
      </c>
      <c r="K566" s="304">
        <v>1605.55</v>
      </c>
    </row>
    <row r="567" spans="1:22" ht="14.25" x14ac:dyDescent="0.2">
      <c r="A567" s="301"/>
      <c r="B567" s="302"/>
      <c r="C567" s="302" t="s">
        <v>184</v>
      </c>
      <c r="D567" s="303"/>
      <c r="E567" s="286"/>
      <c r="F567" s="321">
        <v>4.42</v>
      </c>
      <c r="G567" s="305" t="s">
        <v>1549</v>
      </c>
      <c r="H567" s="286">
        <v>1</v>
      </c>
      <c r="I567" s="304">
        <v>5.53</v>
      </c>
      <c r="J567" s="286">
        <v>8</v>
      </c>
      <c r="K567" s="304">
        <v>44.24</v>
      </c>
    </row>
    <row r="568" spans="1:22" ht="14.25" x14ac:dyDescent="0.2">
      <c r="A568" s="301"/>
      <c r="B568" s="302"/>
      <c r="C568" s="302" t="s">
        <v>189</v>
      </c>
      <c r="D568" s="303"/>
      <c r="E568" s="286"/>
      <c r="F568" s="321">
        <v>0.65</v>
      </c>
      <c r="G568" s="305" t="s">
        <v>1549</v>
      </c>
      <c r="H568" s="286">
        <v>1</v>
      </c>
      <c r="I568" s="306">
        <v>0.81</v>
      </c>
      <c r="J568" s="286">
        <v>23.35</v>
      </c>
      <c r="K568" s="306">
        <v>18.91</v>
      </c>
    </row>
    <row r="569" spans="1:22" ht="14.25" x14ac:dyDescent="0.2">
      <c r="A569" s="301"/>
      <c r="B569" s="302"/>
      <c r="C569" s="302" t="s">
        <v>205</v>
      </c>
      <c r="D569" s="303"/>
      <c r="E569" s="286"/>
      <c r="F569" s="321">
        <v>21.42</v>
      </c>
      <c r="G569" s="305" t="s">
        <v>195</v>
      </c>
      <c r="H569" s="286">
        <v>1</v>
      </c>
      <c r="I569" s="304">
        <v>21.42</v>
      </c>
      <c r="J569" s="286">
        <v>5.42</v>
      </c>
      <c r="K569" s="304">
        <v>116.1</v>
      </c>
    </row>
    <row r="570" spans="1:22" ht="14.25" x14ac:dyDescent="0.2">
      <c r="A570" s="301"/>
      <c r="B570" s="302"/>
      <c r="C570" s="302" t="s">
        <v>194</v>
      </c>
      <c r="D570" s="303" t="s">
        <v>187</v>
      </c>
      <c r="E570" s="286">
        <v>112</v>
      </c>
      <c r="F570" s="321"/>
      <c r="G570" s="305"/>
      <c r="H570" s="286"/>
      <c r="I570" s="304">
        <v>78.39</v>
      </c>
      <c r="J570" s="286">
        <v>90</v>
      </c>
      <c r="K570" s="304">
        <v>1445</v>
      </c>
    </row>
    <row r="571" spans="1:22" ht="14.25" x14ac:dyDescent="0.2">
      <c r="A571" s="301"/>
      <c r="B571" s="302"/>
      <c r="C571" s="302" t="s">
        <v>193</v>
      </c>
      <c r="D571" s="303" t="s">
        <v>187</v>
      </c>
      <c r="E571" s="286">
        <v>70</v>
      </c>
      <c r="F571" s="321"/>
      <c r="G571" s="305"/>
      <c r="H571" s="286"/>
      <c r="I571" s="304">
        <v>46.07</v>
      </c>
      <c r="J571" s="286">
        <v>41</v>
      </c>
      <c r="K571" s="304">
        <v>658.28</v>
      </c>
    </row>
    <row r="572" spans="1:22" ht="14.25" x14ac:dyDescent="0.2">
      <c r="A572" s="301"/>
      <c r="B572" s="302"/>
      <c r="C572" s="302" t="s">
        <v>188</v>
      </c>
      <c r="D572" s="303" t="s">
        <v>187</v>
      </c>
      <c r="E572" s="286">
        <v>175</v>
      </c>
      <c r="F572" s="321"/>
      <c r="G572" s="305"/>
      <c r="H572" s="286"/>
      <c r="I572" s="304">
        <v>1.42</v>
      </c>
      <c r="J572" s="286">
        <v>157</v>
      </c>
      <c r="K572" s="304">
        <v>29.69</v>
      </c>
    </row>
    <row r="573" spans="1:22" ht="14.25" x14ac:dyDescent="0.2">
      <c r="A573" s="307"/>
      <c r="B573" s="308"/>
      <c r="C573" s="308" t="s">
        <v>192</v>
      </c>
      <c r="D573" s="309" t="s">
        <v>191</v>
      </c>
      <c r="E573" s="310">
        <v>5.15</v>
      </c>
      <c r="F573" s="361"/>
      <c r="G573" s="312" t="s">
        <v>1548</v>
      </c>
      <c r="H573" s="310">
        <v>1</v>
      </c>
      <c r="I573" s="311">
        <v>5.92</v>
      </c>
      <c r="J573" s="310"/>
      <c r="K573" s="311"/>
    </row>
    <row r="574" spans="1:22" ht="15" x14ac:dyDescent="0.25">
      <c r="A574" s="313"/>
      <c r="B574" s="313"/>
      <c r="C574" s="314" t="s">
        <v>183</v>
      </c>
      <c r="D574" s="313"/>
      <c r="E574" s="313"/>
      <c r="F574" s="313"/>
      <c r="G574" s="313"/>
      <c r="H574" s="472">
        <v>221.59</v>
      </c>
      <c r="I574" s="472"/>
      <c r="J574" s="472">
        <v>3898.86</v>
      </c>
      <c r="K574" s="472"/>
      <c r="O574" s="284">
        <f>I566+I567+I569+I570+I571+I572</f>
        <v>221.59</v>
      </c>
      <c r="P574" s="284">
        <f>K566+K567+K569+K570+K571+K572</f>
        <v>3898.86</v>
      </c>
    </row>
    <row r="576" spans="1:22" ht="65.25" x14ac:dyDescent="0.2">
      <c r="A576" s="301" t="s">
        <v>1534</v>
      </c>
      <c r="B576" s="302" t="s">
        <v>1499</v>
      </c>
      <c r="C576" s="302" t="s">
        <v>965</v>
      </c>
      <c r="D576" s="303" t="s">
        <v>1903</v>
      </c>
      <c r="E576" s="286">
        <v>1</v>
      </c>
      <c r="F576" s="321"/>
      <c r="G576" s="305"/>
      <c r="H576" s="286"/>
      <c r="I576" s="304"/>
      <c r="J576" s="286"/>
      <c r="K576" s="304"/>
      <c r="Q576" s="281">
        <f>[20]Source!X543</f>
        <v>8.86</v>
      </c>
      <c r="R576" s="281">
        <f>[20]Source!X544</f>
        <v>163.29</v>
      </c>
      <c r="S576" s="281">
        <f>[20]Source!Y543</f>
        <v>5.21</v>
      </c>
      <c r="T576" s="281">
        <f>[20]Source!Y544</f>
        <v>74.39</v>
      </c>
      <c r="U576" s="281">
        <f>ROUND((175/100)*ROUND([20]Source!R543, 2), 2)</f>
        <v>0</v>
      </c>
      <c r="V576" s="281">
        <f>ROUND((157/100)*ROUND([20]Source!R544, 2), 2)</f>
        <v>0</v>
      </c>
    </row>
    <row r="577" spans="1:22" ht="14.25" x14ac:dyDescent="0.2">
      <c r="A577" s="301"/>
      <c r="B577" s="302"/>
      <c r="C577" s="302" t="s">
        <v>197</v>
      </c>
      <c r="D577" s="303"/>
      <c r="E577" s="286"/>
      <c r="F577" s="321">
        <v>6.76</v>
      </c>
      <c r="G577" s="305" t="s">
        <v>1548</v>
      </c>
      <c r="H577" s="286">
        <v>1</v>
      </c>
      <c r="I577" s="304">
        <v>7.77</v>
      </c>
      <c r="J577" s="286">
        <v>23.35</v>
      </c>
      <c r="K577" s="304">
        <v>181.43</v>
      </c>
    </row>
    <row r="578" spans="1:22" ht="14.25" x14ac:dyDescent="0.2">
      <c r="A578" s="301"/>
      <c r="B578" s="302"/>
      <c r="C578" s="302" t="s">
        <v>205</v>
      </c>
      <c r="D578" s="303"/>
      <c r="E578" s="286"/>
      <c r="F578" s="321">
        <v>0.35</v>
      </c>
      <c r="G578" s="305" t="s">
        <v>195</v>
      </c>
      <c r="H578" s="286">
        <v>1</v>
      </c>
      <c r="I578" s="304">
        <v>0.35</v>
      </c>
      <c r="J578" s="286">
        <v>5.43</v>
      </c>
      <c r="K578" s="304">
        <v>1.9</v>
      </c>
    </row>
    <row r="579" spans="1:22" ht="14.25" x14ac:dyDescent="0.2">
      <c r="A579" s="301"/>
      <c r="B579" s="302"/>
      <c r="C579" s="302" t="s">
        <v>194</v>
      </c>
      <c r="D579" s="303" t="s">
        <v>187</v>
      </c>
      <c r="E579" s="286">
        <v>112</v>
      </c>
      <c r="F579" s="321"/>
      <c r="G579" s="305"/>
      <c r="H579" s="286"/>
      <c r="I579" s="304">
        <v>8.86</v>
      </c>
      <c r="J579" s="286">
        <v>90</v>
      </c>
      <c r="K579" s="304">
        <v>163.29</v>
      </c>
    </row>
    <row r="580" spans="1:22" ht="14.25" x14ac:dyDescent="0.2">
      <c r="A580" s="301"/>
      <c r="B580" s="302"/>
      <c r="C580" s="302" t="s">
        <v>193</v>
      </c>
      <c r="D580" s="303" t="s">
        <v>187</v>
      </c>
      <c r="E580" s="286">
        <v>70</v>
      </c>
      <c r="F580" s="321"/>
      <c r="G580" s="305"/>
      <c r="H580" s="286"/>
      <c r="I580" s="304">
        <v>5.21</v>
      </c>
      <c r="J580" s="286">
        <v>41</v>
      </c>
      <c r="K580" s="304">
        <v>74.39</v>
      </c>
    </row>
    <row r="581" spans="1:22" ht="14.25" x14ac:dyDescent="0.2">
      <c r="A581" s="307"/>
      <c r="B581" s="308"/>
      <c r="C581" s="308" t="s">
        <v>192</v>
      </c>
      <c r="D581" s="309" t="s">
        <v>191</v>
      </c>
      <c r="E581" s="310">
        <v>0.52</v>
      </c>
      <c r="F581" s="361"/>
      <c r="G581" s="312" t="s">
        <v>1548</v>
      </c>
      <c r="H581" s="310">
        <v>1</v>
      </c>
      <c r="I581" s="311">
        <v>0.6</v>
      </c>
      <c r="J581" s="310"/>
      <c r="K581" s="311"/>
    </row>
    <row r="582" spans="1:22" ht="15" x14ac:dyDescent="0.25">
      <c r="A582" s="313"/>
      <c r="B582" s="313"/>
      <c r="C582" s="314" t="s">
        <v>183</v>
      </c>
      <c r="D582" s="313"/>
      <c r="E582" s="313"/>
      <c r="F582" s="313"/>
      <c r="G582" s="313"/>
      <c r="H582" s="472">
        <v>22.19</v>
      </c>
      <c r="I582" s="472"/>
      <c r="J582" s="472">
        <v>421.01</v>
      </c>
      <c r="K582" s="472"/>
      <c r="O582" s="284">
        <f>I577+I578+I579+I580</f>
        <v>22.19</v>
      </c>
      <c r="P582" s="284">
        <f>K577+K578+K579+K580</f>
        <v>421.01</v>
      </c>
    </row>
    <row r="584" spans="1:22" ht="65.25" x14ac:dyDescent="0.2">
      <c r="A584" s="301" t="s">
        <v>104</v>
      </c>
      <c r="B584" s="302" t="s">
        <v>1474</v>
      </c>
      <c r="C584" s="302" t="s">
        <v>1247</v>
      </c>
      <c r="D584" s="303" t="s">
        <v>1903</v>
      </c>
      <c r="E584" s="286">
        <v>1</v>
      </c>
      <c r="F584" s="321"/>
      <c r="G584" s="305"/>
      <c r="H584" s="286"/>
      <c r="I584" s="304"/>
      <c r="J584" s="286"/>
      <c r="K584" s="304"/>
      <c r="Q584" s="281">
        <f>[20]Source!X545</f>
        <v>35.11</v>
      </c>
      <c r="R584" s="281">
        <f>[20]Source!X546</f>
        <v>647.26</v>
      </c>
      <c r="S584" s="281">
        <f>[20]Source!Y545</f>
        <v>20.64</v>
      </c>
      <c r="T584" s="281">
        <f>[20]Source!Y546</f>
        <v>294.86</v>
      </c>
      <c r="U584" s="281">
        <f>ROUND((175/100)*ROUND([20]Source!R545, 2), 2)</f>
        <v>0</v>
      </c>
      <c r="V584" s="281">
        <f>ROUND((157/100)*ROUND([20]Source!R546, 2), 2)</f>
        <v>0</v>
      </c>
    </row>
    <row r="585" spans="1:22" ht="14.25" x14ac:dyDescent="0.2">
      <c r="A585" s="301"/>
      <c r="B585" s="302"/>
      <c r="C585" s="302" t="s">
        <v>197</v>
      </c>
      <c r="D585" s="303"/>
      <c r="E585" s="286"/>
      <c r="F585" s="321">
        <v>26.78</v>
      </c>
      <c r="G585" s="305" t="s">
        <v>1548</v>
      </c>
      <c r="H585" s="286">
        <v>1</v>
      </c>
      <c r="I585" s="304">
        <v>30.8</v>
      </c>
      <c r="J585" s="286">
        <v>23.35</v>
      </c>
      <c r="K585" s="304">
        <v>719.18</v>
      </c>
    </row>
    <row r="586" spans="1:22" ht="14.25" x14ac:dyDescent="0.2">
      <c r="A586" s="301"/>
      <c r="B586" s="302"/>
      <c r="C586" s="302" t="s">
        <v>205</v>
      </c>
      <c r="D586" s="303"/>
      <c r="E586" s="286"/>
      <c r="F586" s="321">
        <v>0.28000000000000003</v>
      </c>
      <c r="G586" s="305" t="s">
        <v>195</v>
      </c>
      <c r="H586" s="286">
        <v>1</v>
      </c>
      <c r="I586" s="304">
        <v>0.28000000000000003</v>
      </c>
      <c r="J586" s="286">
        <v>5.43</v>
      </c>
      <c r="K586" s="304">
        <v>1.52</v>
      </c>
    </row>
    <row r="587" spans="1:22" ht="14.25" x14ac:dyDescent="0.2">
      <c r="A587" s="301"/>
      <c r="B587" s="302"/>
      <c r="C587" s="302" t="s">
        <v>194</v>
      </c>
      <c r="D587" s="303" t="s">
        <v>187</v>
      </c>
      <c r="E587" s="286">
        <v>112</v>
      </c>
      <c r="F587" s="321"/>
      <c r="G587" s="305"/>
      <c r="H587" s="286"/>
      <c r="I587" s="304">
        <v>35.11</v>
      </c>
      <c r="J587" s="286">
        <v>90</v>
      </c>
      <c r="K587" s="304">
        <v>647.26</v>
      </c>
    </row>
    <row r="588" spans="1:22" ht="14.25" x14ac:dyDescent="0.2">
      <c r="A588" s="301"/>
      <c r="B588" s="302"/>
      <c r="C588" s="302" t="s">
        <v>193</v>
      </c>
      <c r="D588" s="303" t="s">
        <v>187</v>
      </c>
      <c r="E588" s="286">
        <v>70</v>
      </c>
      <c r="F588" s="321"/>
      <c r="G588" s="305"/>
      <c r="H588" s="286"/>
      <c r="I588" s="304">
        <v>20.64</v>
      </c>
      <c r="J588" s="286">
        <v>41</v>
      </c>
      <c r="K588" s="304">
        <v>294.86</v>
      </c>
    </row>
    <row r="589" spans="1:22" ht="14.25" x14ac:dyDescent="0.2">
      <c r="A589" s="307"/>
      <c r="B589" s="308"/>
      <c r="C589" s="308" t="s">
        <v>192</v>
      </c>
      <c r="D589" s="309" t="s">
        <v>191</v>
      </c>
      <c r="E589" s="310">
        <v>2.06</v>
      </c>
      <c r="F589" s="361"/>
      <c r="G589" s="312" t="s">
        <v>1548</v>
      </c>
      <c r="H589" s="310">
        <v>1</v>
      </c>
      <c r="I589" s="311">
        <v>2.37</v>
      </c>
      <c r="J589" s="310"/>
      <c r="K589" s="311"/>
    </row>
    <row r="590" spans="1:22" ht="15" x14ac:dyDescent="0.25">
      <c r="A590" s="313"/>
      <c r="B590" s="313"/>
      <c r="C590" s="314" t="s">
        <v>183</v>
      </c>
      <c r="D590" s="313"/>
      <c r="E590" s="313"/>
      <c r="F590" s="313"/>
      <c r="G590" s="313"/>
      <c r="H590" s="472">
        <v>86.83</v>
      </c>
      <c r="I590" s="472"/>
      <c r="J590" s="472">
        <v>1662.82</v>
      </c>
      <c r="K590" s="472"/>
      <c r="O590" s="284">
        <f>I585+I586+I587+I588</f>
        <v>86.83</v>
      </c>
      <c r="P590" s="284">
        <f>K585+K586+K587+K588</f>
        <v>1662.82</v>
      </c>
    </row>
    <row r="592" spans="1:22" ht="65.25" x14ac:dyDescent="0.2">
      <c r="A592" s="301" t="s">
        <v>1546</v>
      </c>
      <c r="B592" s="302" t="s">
        <v>1473</v>
      </c>
      <c r="C592" s="302" t="s">
        <v>1472</v>
      </c>
      <c r="D592" s="303" t="s">
        <v>1903</v>
      </c>
      <c r="E592" s="286">
        <v>1</v>
      </c>
      <c r="F592" s="321"/>
      <c r="G592" s="305"/>
      <c r="H592" s="286"/>
      <c r="I592" s="304"/>
      <c r="J592" s="286"/>
      <c r="K592" s="304"/>
      <c r="Q592" s="281">
        <f>[20]Source!X547</f>
        <v>7.62</v>
      </c>
      <c r="R592" s="281">
        <f>[20]Source!X548</f>
        <v>140.38</v>
      </c>
      <c r="S592" s="281">
        <f>[20]Source!Y547</f>
        <v>4.4800000000000004</v>
      </c>
      <c r="T592" s="281">
        <f>[20]Source!Y548</f>
        <v>63.95</v>
      </c>
      <c r="U592" s="281">
        <f>ROUND((175/100)*ROUND([20]Source!R547, 2), 2)</f>
        <v>12.09</v>
      </c>
      <c r="V592" s="281">
        <f>ROUND((157/100)*ROUND([20]Source!R548, 2), 2)</f>
        <v>253.32</v>
      </c>
    </row>
    <row r="593" spans="1:22" ht="14.25" x14ac:dyDescent="0.2">
      <c r="A593" s="301"/>
      <c r="B593" s="302"/>
      <c r="C593" s="302" t="s">
        <v>197</v>
      </c>
      <c r="D593" s="303"/>
      <c r="E593" s="286"/>
      <c r="F593" s="321">
        <v>5.81</v>
      </c>
      <c r="G593" s="305" t="s">
        <v>1548</v>
      </c>
      <c r="H593" s="286">
        <v>1</v>
      </c>
      <c r="I593" s="304">
        <v>6.68</v>
      </c>
      <c r="J593" s="286">
        <v>23.35</v>
      </c>
      <c r="K593" s="304">
        <v>155.97999999999999</v>
      </c>
    </row>
    <row r="594" spans="1:22" ht="14.25" x14ac:dyDescent="0.2">
      <c r="A594" s="301"/>
      <c r="B594" s="302"/>
      <c r="C594" s="302" t="s">
        <v>184</v>
      </c>
      <c r="D594" s="303"/>
      <c r="E594" s="286"/>
      <c r="F594" s="321">
        <v>27.61</v>
      </c>
      <c r="G594" s="305" t="s">
        <v>1549</v>
      </c>
      <c r="H594" s="286">
        <v>1</v>
      </c>
      <c r="I594" s="304">
        <v>34.51</v>
      </c>
      <c r="J594" s="286">
        <v>8.9600000000000009</v>
      </c>
      <c r="K594" s="304">
        <v>309.20999999999998</v>
      </c>
    </row>
    <row r="595" spans="1:22" ht="14.25" x14ac:dyDescent="0.2">
      <c r="A595" s="301"/>
      <c r="B595" s="302"/>
      <c r="C595" s="302" t="s">
        <v>189</v>
      </c>
      <c r="D595" s="303"/>
      <c r="E595" s="286"/>
      <c r="F595" s="321">
        <v>5.53</v>
      </c>
      <c r="G595" s="305" t="s">
        <v>1549</v>
      </c>
      <c r="H595" s="286">
        <v>1</v>
      </c>
      <c r="I595" s="306">
        <v>6.91</v>
      </c>
      <c r="J595" s="286">
        <v>23.35</v>
      </c>
      <c r="K595" s="306">
        <v>161.35</v>
      </c>
    </row>
    <row r="596" spans="1:22" ht="14.25" x14ac:dyDescent="0.2">
      <c r="A596" s="301"/>
      <c r="B596" s="302"/>
      <c r="C596" s="302" t="s">
        <v>205</v>
      </c>
      <c r="D596" s="303"/>
      <c r="E596" s="286"/>
      <c r="F596" s="321">
        <v>1.89</v>
      </c>
      <c r="G596" s="305" t="s">
        <v>195</v>
      </c>
      <c r="H596" s="286">
        <v>1</v>
      </c>
      <c r="I596" s="304">
        <v>1.89</v>
      </c>
      <c r="J596" s="286">
        <v>5.42</v>
      </c>
      <c r="K596" s="304">
        <v>10.24</v>
      </c>
    </row>
    <row r="597" spans="1:22" ht="14.25" x14ac:dyDescent="0.2">
      <c r="A597" s="301"/>
      <c r="B597" s="302"/>
      <c r="C597" s="302" t="s">
        <v>194</v>
      </c>
      <c r="D597" s="303" t="s">
        <v>187</v>
      </c>
      <c r="E597" s="286">
        <v>112</v>
      </c>
      <c r="F597" s="321"/>
      <c r="G597" s="305"/>
      <c r="H597" s="286"/>
      <c r="I597" s="304">
        <v>7.62</v>
      </c>
      <c r="J597" s="286">
        <v>90</v>
      </c>
      <c r="K597" s="304">
        <v>140.38</v>
      </c>
    </row>
    <row r="598" spans="1:22" ht="14.25" x14ac:dyDescent="0.2">
      <c r="A598" s="301"/>
      <c r="B598" s="302"/>
      <c r="C598" s="302" t="s">
        <v>193</v>
      </c>
      <c r="D598" s="303" t="s">
        <v>187</v>
      </c>
      <c r="E598" s="286">
        <v>70</v>
      </c>
      <c r="F598" s="321"/>
      <c r="G598" s="305"/>
      <c r="H598" s="286"/>
      <c r="I598" s="304">
        <v>4.4800000000000004</v>
      </c>
      <c r="J598" s="286">
        <v>41</v>
      </c>
      <c r="K598" s="304">
        <v>63.95</v>
      </c>
    </row>
    <row r="599" spans="1:22" ht="14.25" x14ac:dyDescent="0.2">
      <c r="A599" s="301"/>
      <c r="B599" s="302"/>
      <c r="C599" s="302" t="s">
        <v>188</v>
      </c>
      <c r="D599" s="303" t="s">
        <v>187</v>
      </c>
      <c r="E599" s="286">
        <v>175</v>
      </c>
      <c r="F599" s="321"/>
      <c r="G599" s="305"/>
      <c r="H599" s="286"/>
      <c r="I599" s="304">
        <v>12.09</v>
      </c>
      <c r="J599" s="286">
        <v>157</v>
      </c>
      <c r="K599" s="304">
        <v>253.32</v>
      </c>
    </row>
    <row r="600" spans="1:22" ht="14.25" x14ac:dyDescent="0.2">
      <c r="A600" s="307"/>
      <c r="B600" s="308"/>
      <c r="C600" s="308" t="s">
        <v>192</v>
      </c>
      <c r="D600" s="309" t="s">
        <v>191</v>
      </c>
      <c r="E600" s="310">
        <v>0.52</v>
      </c>
      <c r="F600" s="361"/>
      <c r="G600" s="312" t="s">
        <v>1548</v>
      </c>
      <c r="H600" s="310">
        <v>1</v>
      </c>
      <c r="I600" s="311">
        <v>0.6</v>
      </c>
      <c r="J600" s="310"/>
      <c r="K600" s="311"/>
    </row>
    <row r="601" spans="1:22" ht="15" x14ac:dyDescent="0.25">
      <c r="A601" s="313"/>
      <c r="B601" s="313"/>
      <c r="C601" s="314" t="s">
        <v>183</v>
      </c>
      <c r="D601" s="313"/>
      <c r="E601" s="313"/>
      <c r="F601" s="313"/>
      <c r="G601" s="313"/>
      <c r="H601" s="472">
        <v>67.27</v>
      </c>
      <c r="I601" s="472"/>
      <c r="J601" s="472">
        <v>933.08</v>
      </c>
      <c r="K601" s="472"/>
      <c r="O601" s="284">
        <f>I593+I594+I596+I597+I598+I599</f>
        <v>67.27</v>
      </c>
      <c r="P601" s="284">
        <f>K593+K594+K596+K597+K598+K599</f>
        <v>933.08</v>
      </c>
    </row>
    <row r="603" spans="1:22" ht="81" x14ac:dyDescent="0.2">
      <c r="A603" s="275" t="s">
        <v>105</v>
      </c>
      <c r="B603" s="276" t="s">
        <v>3752</v>
      </c>
      <c r="C603" s="276" t="s">
        <v>1501</v>
      </c>
      <c r="D603" s="277" t="s">
        <v>3240</v>
      </c>
      <c r="E603" s="278">
        <v>1</v>
      </c>
      <c r="F603" s="362">
        <v>17432.34</v>
      </c>
      <c r="G603" s="280" t="s">
        <v>195</v>
      </c>
      <c r="H603" s="278">
        <v>1</v>
      </c>
      <c r="I603" s="279">
        <v>17432.34</v>
      </c>
      <c r="J603" s="278">
        <v>4.4000000000000004</v>
      </c>
      <c r="K603" s="279">
        <v>76702.3</v>
      </c>
      <c r="Q603" s="281">
        <f>[20]Source!X549</f>
        <v>0</v>
      </c>
      <c r="R603" s="281">
        <f>[20]Source!X550</f>
        <v>0</v>
      </c>
      <c r="S603" s="281">
        <f>[20]Source!Y549</f>
        <v>0</v>
      </c>
      <c r="T603" s="281">
        <f>[20]Source!Y550</f>
        <v>0</v>
      </c>
      <c r="U603" s="281">
        <f>ROUND((175/100)*ROUND([20]Source!R549, 2), 2)</f>
        <v>0</v>
      </c>
      <c r="V603" s="281">
        <f>ROUND((157/100)*ROUND([20]Source!R550, 2), 2)</f>
        <v>0</v>
      </c>
    </row>
    <row r="604" spans="1:22" ht="15" x14ac:dyDescent="0.25">
      <c r="A604" s="282"/>
      <c r="B604" s="282"/>
      <c r="C604" s="283" t="s">
        <v>183</v>
      </c>
      <c r="D604" s="282"/>
      <c r="E604" s="282"/>
      <c r="F604" s="282"/>
      <c r="G604" s="282"/>
      <c r="H604" s="473">
        <v>17432.34</v>
      </c>
      <c r="I604" s="473"/>
      <c r="J604" s="473">
        <v>76702.3</v>
      </c>
      <c r="K604" s="473"/>
      <c r="O604" s="284">
        <f>I603</f>
        <v>17432.34</v>
      </c>
      <c r="P604" s="284">
        <f>K603</f>
        <v>76702.3</v>
      </c>
    </row>
    <row r="607" spans="1:22" ht="15" x14ac:dyDescent="0.25">
      <c r="A607" s="447" t="s">
        <v>3775</v>
      </c>
      <c r="B607" s="447"/>
      <c r="C607" s="447"/>
      <c r="D607" s="447"/>
      <c r="E607" s="447"/>
      <c r="F607" s="447"/>
      <c r="G607" s="447"/>
      <c r="H607" s="445">
        <v>17830.22</v>
      </c>
      <c r="I607" s="446"/>
      <c r="J607" s="445">
        <v>83618.070000000007</v>
      </c>
      <c r="K607" s="446"/>
    </row>
    <row r="608" spans="1:22" hidden="1" x14ac:dyDescent="0.2">
      <c r="A608" s="281" t="s">
        <v>182</v>
      </c>
      <c r="I608" s="281">
        <v>0</v>
      </c>
      <c r="J608" s="281">
        <v>0</v>
      </c>
    </row>
    <row r="609" spans="1:22" hidden="1" x14ac:dyDescent="0.2">
      <c r="A609" s="281" t="s">
        <v>181</v>
      </c>
      <c r="I609" s="281">
        <v>0</v>
      </c>
      <c r="J609" s="281">
        <v>0</v>
      </c>
    </row>
    <row r="611" spans="1:22" ht="16.5" x14ac:dyDescent="0.25">
      <c r="A611" s="448" t="s">
        <v>3776</v>
      </c>
      <c r="B611" s="448"/>
      <c r="C611" s="448"/>
      <c r="D611" s="448"/>
      <c r="E611" s="448"/>
      <c r="F611" s="448"/>
      <c r="G611" s="448"/>
      <c r="H611" s="448"/>
      <c r="I611" s="448"/>
      <c r="J611" s="448"/>
      <c r="K611" s="448"/>
    </row>
    <row r="612" spans="1:22" ht="65.25" x14ac:dyDescent="0.2">
      <c r="A612" s="301" t="s">
        <v>719</v>
      </c>
      <c r="B612" s="302" t="s">
        <v>1476</v>
      </c>
      <c r="C612" s="302" t="s">
        <v>1475</v>
      </c>
      <c r="D612" s="303" t="s">
        <v>1903</v>
      </c>
      <c r="E612" s="286">
        <v>1</v>
      </c>
      <c r="F612" s="321"/>
      <c r="G612" s="305"/>
      <c r="H612" s="286"/>
      <c r="I612" s="304"/>
      <c r="J612" s="286"/>
      <c r="K612" s="304"/>
      <c r="Q612" s="281">
        <f>[20]Source!X586</f>
        <v>78.39</v>
      </c>
      <c r="R612" s="281">
        <f>[20]Source!X587</f>
        <v>1445</v>
      </c>
      <c r="S612" s="281">
        <f>[20]Source!Y586</f>
        <v>46.07</v>
      </c>
      <c r="T612" s="281">
        <f>[20]Source!Y587</f>
        <v>658.28</v>
      </c>
      <c r="U612" s="281">
        <f>ROUND((175/100)*ROUND([20]Source!R586, 2), 2)</f>
        <v>1.42</v>
      </c>
      <c r="V612" s="281">
        <f>ROUND((157/100)*ROUND([20]Source!R587, 2), 2)</f>
        <v>29.69</v>
      </c>
    </row>
    <row r="613" spans="1:22" ht="14.25" x14ac:dyDescent="0.2">
      <c r="A613" s="301"/>
      <c r="B613" s="302"/>
      <c r="C613" s="302" t="s">
        <v>197</v>
      </c>
      <c r="D613" s="303"/>
      <c r="E613" s="286"/>
      <c r="F613" s="321">
        <v>59.79</v>
      </c>
      <c r="G613" s="305" t="s">
        <v>1548</v>
      </c>
      <c r="H613" s="286">
        <v>1</v>
      </c>
      <c r="I613" s="304">
        <v>68.760000000000005</v>
      </c>
      <c r="J613" s="286">
        <v>23.35</v>
      </c>
      <c r="K613" s="304">
        <v>1605.55</v>
      </c>
    </row>
    <row r="614" spans="1:22" ht="14.25" x14ac:dyDescent="0.2">
      <c r="A614" s="301"/>
      <c r="B614" s="302"/>
      <c r="C614" s="302" t="s">
        <v>184</v>
      </c>
      <c r="D614" s="303"/>
      <c r="E614" s="286"/>
      <c r="F614" s="321">
        <v>4.42</v>
      </c>
      <c r="G614" s="305" t="s">
        <v>1549</v>
      </c>
      <c r="H614" s="286">
        <v>1</v>
      </c>
      <c r="I614" s="304">
        <v>5.53</v>
      </c>
      <c r="J614" s="286">
        <v>8</v>
      </c>
      <c r="K614" s="304">
        <v>44.24</v>
      </c>
    </row>
    <row r="615" spans="1:22" ht="14.25" x14ac:dyDescent="0.2">
      <c r="A615" s="301"/>
      <c r="B615" s="302"/>
      <c r="C615" s="302" t="s">
        <v>189</v>
      </c>
      <c r="D615" s="303"/>
      <c r="E615" s="286"/>
      <c r="F615" s="321">
        <v>0.65</v>
      </c>
      <c r="G615" s="305" t="s">
        <v>1549</v>
      </c>
      <c r="H615" s="286">
        <v>1</v>
      </c>
      <c r="I615" s="306">
        <v>0.81</v>
      </c>
      <c r="J615" s="286">
        <v>23.35</v>
      </c>
      <c r="K615" s="306">
        <v>18.91</v>
      </c>
    </row>
    <row r="616" spans="1:22" ht="14.25" x14ac:dyDescent="0.2">
      <c r="A616" s="301"/>
      <c r="B616" s="302"/>
      <c r="C616" s="302" t="s">
        <v>205</v>
      </c>
      <c r="D616" s="303"/>
      <c r="E616" s="286"/>
      <c r="F616" s="321">
        <v>21.42</v>
      </c>
      <c r="G616" s="305" t="s">
        <v>195</v>
      </c>
      <c r="H616" s="286">
        <v>1</v>
      </c>
      <c r="I616" s="304">
        <v>21.42</v>
      </c>
      <c r="J616" s="286">
        <v>5.42</v>
      </c>
      <c r="K616" s="304">
        <v>116.1</v>
      </c>
    </row>
    <row r="617" spans="1:22" ht="14.25" x14ac:dyDescent="0.2">
      <c r="A617" s="301"/>
      <c r="B617" s="302"/>
      <c r="C617" s="302" t="s">
        <v>194</v>
      </c>
      <c r="D617" s="303" t="s">
        <v>187</v>
      </c>
      <c r="E617" s="286">
        <v>112</v>
      </c>
      <c r="F617" s="321"/>
      <c r="G617" s="305"/>
      <c r="H617" s="286"/>
      <c r="I617" s="304">
        <v>78.39</v>
      </c>
      <c r="J617" s="286">
        <v>90</v>
      </c>
      <c r="K617" s="304">
        <v>1445</v>
      </c>
    </row>
    <row r="618" spans="1:22" ht="14.25" x14ac:dyDescent="0.2">
      <c r="A618" s="301"/>
      <c r="B618" s="302"/>
      <c r="C618" s="302" t="s">
        <v>193</v>
      </c>
      <c r="D618" s="303" t="s">
        <v>187</v>
      </c>
      <c r="E618" s="286">
        <v>70</v>
      </c>
      <c r="F618" s="321"/>
      <c r="G618" s="305"/>
      <c r="H618" s="286"/>
      <c r="I618" s="304">
        <v>46.07</v>
      </c>
      <c r="J618" s="286">
        <v>41</v>
      </c>
      <c r="K618" s="304">
        <v>658.28</v>
      </c>
    </row>
    <row r="619" spans="1:22" ht="14.25" x14ac:dyDescent="0.2">
      <c r="A619" s="301"/>
      <c r="B619" s="302"/>
      <c r="C619" s="302" t="s">
        <v>188</v>
      </c>
      <c r="D619" s="303" t="s">
        <v>187</v>
      </c>
      <c r="E619" s="286">
        <v>175</v>
      </c>
      <c r="F619" s="321"/>
      <c r="G619" s="305"/>
      <c r="H619" s="286"/>
      <c r="I619" s="304">
        <v>1.42</v>
      </c>
      <c r="J619" s="286">
        <v>157</v>
      </c>
      <c r="K619" s="304">
        <v>29.69</v>
      </c>
    </row>
    <row r="620" spans="1:22" ht="14.25" x14ac:dyDescent="0.2">
      <c r="A620" s="307"/>
      <c r="B620" s="308"/>
      <c r="C620" s="308" t="s">
        <v>192</v>
      </c>
      <c r="D620" s="309" t="s">
        <v>191</v>
      </c>
      <c r="E620" s="310">
        <v>5.15</v>
      </c>
      <c r="F620" s="361"/>
      <c r="G620" s="312" t="s">
        <v>1548</v>
      </c>
      <c r="H620" s="310">
        <v>1</v>
      </c>
      <c r="I620" s="311">
        <v>5.92</v>
      </c>
      <c r="J620" s="310"/>
      <c r="K620" s="311"/>
    </row>
    <row r="621" spans="1:22" ht="15" x14ac:dyDescent="0.25">
      <c r="A621" s="313"/>
      <c r="B621" s="313"/>
      <c r="C621" s="314" t="s">
        <v>183</v>
      </c>
      <c r="D621" s="313"/>
      <c r="E621" s="313"/>
      <c r="F621" s="313"/>
      <c r="G621" s="313"/>
      <c r="H621" s="472">
        <v>221.59</v>
      </c>
      <c r="I621" s="472"/>
      <c r="J621" s="472">
        <v>3898.86</v>
      </c>
      <c r="K621" s="472"/>
      <c r="O621" s="284">
        <f>I613+I614+I616+I617+I618+I619</f>
        <v>221.59</v>
      </c>
      <c r="P621" s="284">
        <f>K613+K614+K616+K617+K618+K619</f>
        <v>3898.86</v>
      </c>
    </row>
    <row r="623" spans="1:22" ht="65.25" x14ac:dyDescent="0.2">
      <c r="A623" s="301" t="s">
        <v>1534</v>
      </c>
      <c r="B623" s="302" t="s">
        <v>1474</v>
      </c>
      <c r="C623" s="302" t="s">
        <v>1247</v>
      </c>
      <c r="D623" s="303" t="s">
        <v>1903</v>
      </c>
      <c r="E623" s="286">
        <v>1</v>
      </c>
      <c r="F623" s="321"/>
      <c r="G623" s="305"/>
      <c r="H623" s="286"/>
      <c r="I623" s="304"/>
      <c r="J623" s="286"/>
      <c r="K623" s="304"/>
      <c r="Q623" s="281">
        <f>[20]Source!X588</f>
        <v>35.11</v>
      </c>
      <c r="R623" s="281">
        <f>[20]Source!X589</f>
        <v>647.26</v>
      </c>
      <c r="S623" s="281">
        <f>[20]Source!Y588</f>
        <v>20.64</v>
      </c>
      <c r="T623" s="281">
        <f>[20]Source!Y589</f>
        <v>294.86</v>
      </c>
      <c r="U623" s="281">
        <f>ROUND((175/100)*ROUND([20]Source!R588, 2), 2)</f>
        <v>0</v>
      </c>
      <c r="V623" s="281">
        <f>ROUND((157/100)*ROUND([20]Source!R589, 2), 2)</f>
        <v>0</v>
      </c>
    </row>
    <row r="624" spans="1:22" ht="14.25" x14ac:dyDescent="0.2">
      <c r="A624" s="301"/>
      <c r="B624" s="302"/>
      <c r="C624" s="302" t="s">
        <v>197</v>
      </c>
      <c r="D624" s="303"/>
      <c r="E624" s="286"/>
      <c r="F624" s="321">
        <v>26.78</v>
      </c>
      <c r="G624" s="305" t="s">
        <v>1548</v>
      </c>
      <c r="H624" s="286">
        <v>1</v>
      </c>
      <c r="I624" s="304">
        <v>30.8</v>
      </c>
      <c r="J624" s="286">
        <v>23.35</v>
      </c>
      <c r="K624" s="304">
        <v>719.18</v>
      </c>
    </row>
    <row r="625" spans="1:22" ht="14.25" x14ac:dyDescent="0.2">
      <c r="A625" s="301"/>
      <c r="B625" s="302"/>
      <c r="C625" s="302" t="s">
        <v>205</v>
      </c>
      <c r="D625" s="303"/>
      <c r="E625" s="286"/>
      <c r="F625" s="321">
        <v>0.28000000000000003</v>
      </c>
      <c r="G625" s="305" t="s">
        <v>195</v>
      </c>
      <c r="H625" s="286">
        <v>1</v>
      </c>
      <c r="I625" s="304">
        <v>0.28000000000000003</v>
      </c>
      <c r="J625" s="286">
        <v>5.43</v>
      </c>
      <c r="K625" s="304">
        <v>1.52</v>
      </c>
    </row>
    <row r="626" spans="1:22" ht="14.25" x14ac:dyDescent="0.2">
      <c r="A626" s="301"/>
      <c r="B626" s="302"/>
      <c r="C626" s="302" t="s">
        <v>194</v>
      </c>
      <c r="D626" s="303" t="s">
        <v>187</v>
      </c>
      <c r="E626" s="286">
        <v>112</v>
      </c>
      <c r="F626" s="321"/>
      <c r="G626" s="305"/>
      <c r="H626" s="286"/>
      <c r="I626" s="304">
        <v>35.11</v>
      </c>
      <c r="J626" s="286">
        <v>90</v>
      </c>
      <c r="K626" s="304">
        <v>647.26</v>
      </c>
    </row>
    <row r="627" spans="1:22" ht="14.25" x14ac:dyDescent="0.2">
      <c r="A627" s="301"/>
      <c r="B627" s="302"/>
      <c r="C627" s="302" t="s">
        <v>193</v>
      </c>
      <c r="D627" s="303" t="s">
        <v>187</v>
      </c>
      <c r="E627" s="286">
        <v>70</v>
      </c>
      <c r="F627" s="321"/>
      <c r="G627" s="305"/>
      <c r="H627" s="286"/>
      <c r="I627" s="304">
        <v>20.64</v>
      </c>
      <c r="J627" s="286">
        <v>41</v>
      </c>
      <c r="K627" s="304">
        <v>294.86</v>
      </c>
    </row>
    <row r="628" spans="1:22" ht="14.25" x14ac:dyDescent="0.2">
      <c r="A628" s="307"/>
      <c r="B628" s="308"/>
      <c r="C628" s="308" t="s">
        <v>192</v>
      </c>
      <c r="D628" s="309" t="s">
        <v>191</v>
      </c>
      <c r="E628" s="310">
        <v>2.06</v>
      </c>
      <c r="F628" s="361"/>
      <c r="G628" s="312" t="s">
        <v>1548</v>
      </c>
      <c r="H628" s="310">
        <v>1</v>
      </c>
      <c r="I628" s="311">
        <v>2.37</v>
      </c>
      <c r="J628" s="310"/>
      <c r="K628" s="311"/>
    </row>
    <row r="629" spans="1:22" ht="15" x14ac:dyDescent="0.25">
      <c r="A629" s="313"/>
      <c r="B629" s="313"/>
      <c r="C629" s="314" t="s">
        <v>183</v>
      </c>
      <c r="D629" s="313"/>
      <c r="E629" s="313"/>
      <c r="F629" s="313"/>
      <c r="G629" s="313"/>
      <c r="H629" s="472">
        <v>86.83</v>
      </c>
      <c r="I629" s="472"/>
      <c r="J629" s="472">
        <v>1662.82</v>
      </c>
      <c r="K629" s="472"/>
      <c r="O629" s="284">
        <f>I624+I625+I626+I627</f>
        <v>86.83</v>
      </c>
      <c r="P629" s="284">
        <f>K624+K625+K626+K627</f>
        <v>1662.82</v>
      </c>
    </row>
    <row r="631" spans="1:22" ht="65.25" x14ac:dyDescent="0.2">
      <c r="A631" s="301" t="s">
        <v>104</v>
      </c>
      <c r="B631" s="302" t="s">
        <v>1473</v>
      </c>
      <c r="C631" s="302" t="s">
        <v>1472</v>
      </c>
      <c r="D631" s="303" t="s">
        <v>1903</v>
      </c>
      <c r="E631" s="286">
        <v>1</v>
      </c>
      <c r="F631" s="321"/>
      <c r="G631" s="305"/>
      <c r="H631" s="286"/>
      <c r="I631" s="304"/>
      <c r="J631" s="286"/>
      <c r="K631" s="304"/>
      <c r="Q631" s="281">
        <f>[20]Source!X590</f>
        <v>7.62</v>
      </c>
      <c r="R631" s="281">
        <f>[20]Source!X591</f>
        <v>140.38</v>
      </c>
      <c r="S631" s="281">
        <f>[20]Source!Y590</f>
        <v>4.4800000000000004</v>
      </c>
      <c r="T631" s="281">
        <f>[20]Source!Y591</f>
        <v>63.95</v>
      </c>
      <c r="U631" s="281">
        <f>ROUND((175/100)*ROUND([20]Source!R590, 2), 2)</f>
        <v>12.09</v>
      </c>
      <c r="V631" s="281">
        <f>ROUND((157/100)*ROUND([20]Source!R591, 2), 2)</f>
        <v>253.32</v>
      </c>
    </row>
    <row r="632" spans="1:22" ht="14.25" x14ac:dyDescent="0.2">
      <c r="A632" s="301"/>
      <c r="B632" s="302"/>
      <c r="C632" s="302" t="s">
        <v>197</v>
      </c>
      <c r="D632" s="303"/>
      <c r="E632" s="286"/>
      <c r="F632" s="321">
        <v>5.81</v>
      </c>
      <c r="G632" s="305" t="s">
        <v>1548</v>
      </c>
      <c r="H632" s="286">
        <v>1</v>
      </c>
      <c r="I632" s="304">
        <v>6.68</v>
      </c>
      <c r="J632" s="286">
        <v>23.35</v>
      </c>
      <c r="K632" s="304">
        <v>155.97999999999999</v>
      </c>
    </row>
    <row r="633" spans="1:22" ht="14.25" x14ac:dyDescent="0.2">
      <c r="A633" s="301"/>
      <c r="B633" s="302"/>
      <c r="C633" s="302" t="s">
        <v>184</v>
      </c>
      <c r="D633" s="303"/>
      <c r="E633" s="286"/>
      <c r="F633" s="321">
        <v>27.61</v>
      </c>
      <c r="G633" s="305" t="s">
        <v>1549</v>
      </c>
      <c r="H633" s="286">
        <v>1</v>
      </c>
      <c r="I633" s="304">
        <v>34.51</v>
      </c>
      <c r="J633" s="286">
        <v>8.9600000000000009</v>
      </c>
      <c r="K633" s="304">
        <v>309.20999999999998</v>
      </c>
    </row>
    <row r="634" spans="1:22" ht="14.25" x14ac:dyDescent="0.2">
      <c r="A634" s="301"/>
      <c r="B634" s="302"/>
      <c r="C634" s="302" t="s">
        <v>189</v>
      </c>
      <c r="D634" s="303"/>
      <c r="E634" s="286"/>
      <c r="F634" s="321">
        <v>5.53</v>
      </c>
      <c r="G634" s="305" t="s">
        <v>1549</v>
      </c>
      <c r="H634" s="286">
        <v>1</v>
      </c>
      <c r="I634" s="306">
        <v>6.91</v>
      </c>
      <c r="J634" s="286">
        <v>23.35</v>
      </c>
      <c r="K634" s="306">
        <v>161.35</v>
      </c>
    </row>
    <row r="635" spans="1:22" ht="14.25" x14ac:dyDescent="0.2">
      <c r="A635" s="301"/>
      <c r="B635" s="302"/>
      <c r="C635" s="302" t="s">
        <v>205</v>
      </c>
      <c r="D635" s="303"/>
      <c r="E635" s="286"/>
      <c r="F635" s="321">
        <v>1.89</v>
      </c>
      <c r="G635" s="305" t="s">
        <v>195</v>
      </c>
      <c r="H635" s="286">
        <v>1</v>
      </c>
      <c r="I635" s="304">
        <v>1.89</v>
      </c>
      <c r="J635" s="286">
        <v>5.42</v>
      </c>
      <c r="K635" s="304">
        <v>10.24</v>
      </c>
    </row>
    <row r="636" spans="1:22" ht="14.25" x14ac:dyDescent="0.2">
      <c r="A636" s="301"/>
      <c r="B636" s="302"/>
      <c r="C636" s="302" t="s">
        <v>194</v>
      </c>
      <c r="D636" s="303" t="s">
        <v>187</v>
      </c>
      <c r="E636" s="286">
        <v>112</v>
      </c>
      <c r="F636" s="321"/>
      <c r="G636" s="305"/>
      <c r="H636" s="286"/>
      <c r="I636" s="304">
        <v>7.62</v>
      </c>
      <c r="J636" s="286">
        <v>90</v>
      </c>
      <c r="K636" s="304">
        <v>140.38</v>
      </c>
    </row>
    <row r="637" spans="1:22" ht="14.25" x14ac:dyDescent="0.2">
      <c r="A637" s="301"/>
      <c r="B637" s="302"/>
      <c r="C637" s="302" t="s">
        <v>193</v>
      </c>
      <c r="D637" s="303" t="s">
        <v>187</v>
      </c>
      <c r="E637" s="286">
        <v>70</v>
      </c>
      <c r="F637" s="321"/>
      <c r="G637" s="305"/>
      <c r="H637" s="286"/>
      <c r="I637" s="304">
        <v>4.4800000000000004</v>
      </c>
      <c r="J637" s="286">
        <v>41</v>
      </c>
      <c r="K637" s="304">
        <v>63.95</v>
      </c>
    </row>
    <row r="638" spans="1:22" ht="14.25" x14ac:dyDescent="0.2">
      <c r="A638" s="301"/>
      <c r="B638" s="302"/>
      <c r="C638" s="302" t="s">
        <v>188</v>
      </c>
      <c r="D638" s="303" t="s">
        <v>187</v>
      </c>
      <c r="E638" s="286">
        <v>175</v>
      </c>
      <c r="F638" s="321"/>
      <c r="G638" s="305"/>
      <c r="H638" s="286"/>
      <c r="I638" s="304">
        <v>12.09</v>
      </c>
      <c r="J638" s="286">
        <v>157</v>
      </c>
      <c r="K638" s="304">
        <v>253.32</v>
      </c>
    </row>
    <row r="639" spans="1:22" ht="14.25" x14ac:dyDescent="0.2">
      <c r="A639" s="307"/>
      <c r="B639" s="308"/>
      <c r="C639" s="308" t="s">
        <v>192</v>
      </c>
      <c r="D639" s="309" t="s">
        <v>191</v>
      </c>
      <c r="E639" s="310">
        <v>0.52</v>
      </c>
      <c r="F639" s="361"/>
      <c r="G639" s="312" t="s">
        <v>1548</v>
      </c>
      <c r="H639" s="310">
        <v>1</v>
      </c>
      <c r="I639" s="311">
        <v>0.6</v>
      </c>
      <c r="J639" s="310"/>
      <c r="K639" s="311"/>
    </row>
    <row r="640" spans="1:22" ht="15" x14ac:dyDescent="0.25">
      <c r="A640" s="313"/>
      <c r="B640" s="313"/>
      <c r="C640" s="314" t="s">
        <v>183</v>
      </c>
      <c r="D640" s="313"/>
      <c r="E640" s="313"/>
      <c r="F640" s="313"/>
      <c r="G640" s="313"/>
      <c r="H640" s="472">
        <v>67.27</v>
      </c>
      <c r="I640" s="472"/>
      <c r="J640" s="472">
        <v>933.08</v>
      </c>
      <c r="K640" s="472"/>
      <c r="O640" s="284">
        <f>I632+I633+I635+I636+I637+I638</f>
        <v>67.27</v>
      </c>
      <c r="P640" s="284">
        <f>K632+K633+K635+K636+K637+K638</f>
        <v>933.08</v>
      </c>
    </row>
    <row r="642" spans="1:22" ht="81" x14ac:dyDescent="0.2">
      <c r="A642" s="275" t="s">
        <v>1546</v>
      </c>
      <c r="B642" s="276" t="s">
        <v>3752</v>
      </c>
      <c r="C642" s="276" t="s">
        <v>1500</v>
      </c>
      <c r="D642" s="277" t="s">
        <v>3240</v>
      </c>
      <c r="E642" s="278">
        <v>1</v>
      </c>
      <c r="F642" s="362">
        <v>11543.7</v>
      </c>
      <c r="G642" s="280" t="s">
        <v>195</v>
      </c>
      <c r="H642" s="278">
        <v>1</v>
      </c>
      <c r="I642" s="279">
        <v>11543.7</v>
      </c>
      <c r="J642" s="278">
        <v>4.4000000000000004</v>
      </c>
      <c r="K642" s="279">
        <v>50792.28</v>
      </c>
      <c r="Q642" s="281">
        <f>[20]Source!X592</f>
        <v>0</v>
      </c>
      <c r="R642" s="281">
        <f>[20]Source!X593</f>
        <v>0</v>
      </c>
      <c r="S642" s="281">
        <f>[20]Source!Y592</f>
        <v>0</v>
      </c>
      <c r="T642" s="281">
        <f>[20]Source!Y593</f>
        <v>0</v>
      </c>
      <c r="U642" s="281">
        <f>ROUND((175/100)*ROUND([20]Source!R592, 2), 2)</f>
        <v>0</v>
      </c>
      <c r="V642" s="281">
        <f>ROUND((157/100)*ROUND([20]Source!R593, 2), 2)</f>
        <v>0</v>
      </c>
    </row>
    <row r="643" spans="1:22" ht="15" x14ac:dyDescent="0.25">
      <c r="A643" s="282"/>
      <c r="B643" s="282"/>
      <c r="C643" s="283" t="s">
        <v>183</v>
      </c>
      <c r="D643" s="282"/>
      <c r="E643" s="282"/>
      <c r="F643" s="282"/>
      <c r="G643" s="282"/>
      <c r="H643" s="473">
        <v>11543.7</v>
      </c>
      <c r="I643" s="473"/>
      <c r="J643" s="473">
        <v>50792.28</v>
      </c>
      <c r="K643" s="473"/>
      <c r="O643" s="284">
        <f>I642</f>
        <v>11543.7</v>
      </c>
      <c r="P643" s="284">
        <f>K642</f>
        <v>50792.28</v>
      </c>
    </row>
    <row r="646" spans="1:22" ht="15" x14ac:dyDescent="0.25">
      <c r="A646" s="447" t="s">
        <v>3777</v>
      </c>
      <c r="B646" s="447"/>
      <c r="C646" s="447"/>
      <c r="D646" s="447"/>
      <c r="E646" s="447"/>
      <c r="F646" s="447"/>
      <c r="G646" s="447"/>
      <c r="H646" s="445">
        <v>11919.39</v>
      </c>
      <c r="I646" s="446"/>
      <c r="J646" s="445">
        <v>57287.040000000001</v>
      </c>
      <c r="K646" s="446"/>
    </row>
    <row r="647" spans="1:22" hidden="1" x14ac:dyDescent="0.2">
      <c r="A647" s="281" t="s">
        <v>182</v>
      </c>
      <c r="I647" s="281">
        <v>0</v>
      </c>
      <c r="J647" s="281">
        <v>0</v>
      </c>
    </row>
    <row r="648" spans="1:22" hidden="1" x14ac:dyDescent="0.2">
      <c r="A648" s="281" t="s">
        <v>181</v>
      </c>
      <c r="I648" s="281">
        <v>0</v>
      </c>
      <c r="J648" s="281">
        <v>0</v>
      </c>
    </row>
    <row r="650" spans="1:22" ht="16.5" x14ac:dyDescent="0.25">
      <c r="A650" s="448" t="s">
        <v>3778</v>
      </c>
      <c r="B650" s="448"/>
      <c r="C650" s="448"/>
      <c r="D650" s="448"/>
      <c r="E650" s="448"/>
      <c r="F650" s="448"/>
      <c r="G650" s="448"/>
      <c r="H650" s="448"/>
      <c r="I650" s="448"/>
      <c r="J650" s="448"/>
      <c r="K650" s="448"/>
    </row>
    <row r="651" spans="1:22" ht="65.25" x14ac:dyDescent="0.2">
      <c r="A651" s="301" t="s">
        <v>719</v>
      </c>
      <c r="B651" s="302" t="s">
        <v>1476</v>
      </c>
      <c r="C651" s="302" t="s">
        <v>1475</v>
      </c>
      <c r="D651" s="303" t="s">
        <v>1903</v>
      </c>
      <c r="E651" s="286">
        <v>1</v>
      </c>
      <c r="F651" s="321"/>
      <c r="G651" s="305"/>
      <c r="H651" s="286"/>
      <c r="I651" s="304"/>
      <c r="J651" s="286"/>
      <c r="K651" s="304"/>
      <c r="Q651" s="281">
        <f>[20]Source!X629</f>
        <v>78.39</v>
      </c>
      <c r="R651" s="281">
        <f>[20]Source!X630</f>
        <v>1445</v>
      </c>
      <c r="S651" s="281">
        <f>[20]Source!Y629</f>
        <v>46.07</v>
      </c>
      <c r="T651" s="281">
        <f>[20]Source!Y630</f>
        <v>658.28</v>
      </c>
      <c r="U651" s="281">
        <f>ROUND((175/100)*ROUND([20]Source!R629, 2), 2)</f>
        <v>1.42</v>
      </c>
      <c r="V651" s="281">
        <f>ROUND((157/100)*ROUND([20]Source!R630, 2), 2)</f>
        <v>29.69</v>
      </c>
    </row>
    <row r="652" spans="1:22" ht="14.25" x14ac:dyDescent="0.2">
      <c r="A652" s="301"/>
      <c r="B652" s="302"/>
      <c r="C652" s="302" t="s">
        <v>197</v>
      </c>
      <c r="D652" s="303"/>
      <c r="E652" s="286"/>
      <c r="F652" s="321">
        <v>59.79</v>
      </c>
      <c r="G652" s="305" t="s">
        <v>1548</v>
      </c>
      <c r="H652" s="286">
        <v>1</v>
      </c>
      <c r="I652" s="304">
        <v>68.760000000000005</v>
      </c>
      <c r="J652" s="286">
        <v>23.35</v>
      </c>
      <c r="K652" s="304">
        <v>1605.55</v>
      </c>
    </row>
    <row r="653" spans="1:22" ht="14.25" x14ac:dyDescent="0.2">
      <c r="A653" s="301"/>
      <c r="B653" s="302"/>
      <c r="C653" s="302" t="s">
        <v>184</v>
      </c>
      <c r="D653" s="303"/>
      <c r="E653" s="286"/>
      <c r="F653" s="321">
        <v>4.42</v>
      </c>
      <c r="G653" s="305" t="s">
        <v>1549</v>
      </c>
      <c r="H653" s="286">
        <v>1</v>
      </c>
      <c r="I653" s="304">
        <v>5.53</v>
      </c>
      <c r="J653" s="286">
        <v>8</v>
      </c>
      <c r="K653" s="304">
        <v>44.24</v>
      </c>
    </row>
    <row r="654" spans="1:22" ht="14.25" x14ac:dyDescent="0.2">
      <c r="A654" s="301"/>
      <c r="B654" s="302"/>
      <c r="C654" s="302" t="s">
        <v>189</v>
      </c>
      <c r="D654" s="303"/>
      <c r="E654" s="286"/>
      <c r="F654" s="321">
        <v>0.65</v>
      </c>
      <c r="G654" s="305" t="s">
        <v>1549</v>
      </c>
      <c r="H654" s="286">
        <v>1</v>
      </c>
      <c r="I654" s="306">
        <v>0.81</v>
      </c>
      <c r="J654" s="286">
        <v>23.35</v>
      </c>
      <c r="K654" s="306">
        <v>18.91</v>
      </c>
    </row>
    <row r="655" spans="1:22" ht="14.25" x14ac:dyDescent="0.2">
      <c r="A655" s="301"/>
      <c r="B655" s="302"/>
      <c r="C655" s="302" t="s">
        <v>205</v>
      </c>
      <c r="D655" s="303"/>
      <c r="E655" s="286"/>
      <c r="F655" s="321">
        <v>21.42</v>
      </c>
      <c r="G655" s="305" t="s">
        <v>195</v>
      </c>
      <c r="H655" s="286">
        <v>1</v>
      </c>
      <c r="I655" s="304">
        <v>21.42</v>
      </c>
      <c r="J655" s="286">
        <v>5.42</v>
      </c>
      <c r="K655" s="304">
        <v>116.1</v>
      </c>
    </row>
    <row r="656" spans="1:22" ht="14.25" x14ac:dyDescent="0.2">
      <c r="A656" s="301"/>
      <c r="B656" s="302"/>
      <c r="C656" s="302" t="s">
        <v>194</v>
      </c>
      <c r="D656" s="303" t="s">
        <v>187</v>
      </c>
      <c r="E656" s="286">
        <v>112</v>
      </c>
      <c r="F656" s="321"/>
      <c r="G656" s="305"/>
      <c r="H656" s="286"/>
      <c r="I656" s="304">
        <v>78.39</v>
      </c>
      <c r="J656" s="286">
        <v>90</v>
      </c>
      <c r="K656" s="304">
        <v>1445</v>
      </c>
    </row>
    <row r="657" spans="1:22" ht="14.25" x14ac:dyDescent="0.2">
      <c r="A657" s="301"/>
      <c r="B657" s="302"/>
      <c r="C657" s="302" t="s">
        <v>193</v>
      </c>
      <c r="D657" s="303" t="s">
        <v>187</v>
      </c>
      <c r="E657" s="286">
        <v>70</v>
      </c>
      <c r="F657" s="321"/>
      <c r="G657" s="305"/>
      <c r="H657" s="286"/>
      <c r="I657" s="304">
        <v>46.07</v>
      </c>
      <c r="J657" s="286">
        <v>41</v>
      </c>
      <c r="K657" s="304">
        <v>658.28</v>
      </c>
    </row>
    <row r="658" spans="1:22" ht="14.25" x14ac:dyDescent="0.2">
      <c r="A658" s="301"/>
      <c r="B658" s="302"/>
      <c r="C658" s="302" t="s">
        <v>188</v>
      </c>
      <c r="D658" s="303" t="s">
        <v>187</v>
      </c>
      <c r="E658" s="286">
        <v>175</v>
      </c>
      <c r="F658" s="321"/>
      <c r="G658" s="305"/>
      <c r="H658" s="286"/>
      <c r="I658" s="304">
        <v>1.42</v>
      </c>
      <c r="J658" s="286">
        <v>157</v>
      </c>
      <c r="K658" s="304">
        <v>29.69</v>
      </c>
    </row>
    <row r="659" spans="1:22" ht="14.25" x14ac:dyDescent="0.2">
      <c r="A659" s="307"/>
      <c r="B659" s="308"/>
      <c r="C659" s="308" t="s">
        <v>192</v>
      </c>
      <c r="D659" s="309" t="s">
        <v>191</v>
      </c>
      <c r="E659" s="310">
        <v>5.15</v>
      </c>
      <c r="F659" s="361"/>
      <c r="G659" s="312" t="s">
        <v>1548</v>
      </c>
      <c r="H659" s="310">
        <v>1</v>
      </c>
      <c r="I659" s="311">
        <v>5.92</v>
      </c>
      <c r="J659" s="310"/>
      <c r="K659" s="311"/>
    </row>
    <row r="660" spans="1:22" ht="15" x14ac:dyDescent="0.25">
      <c r="A660" s="313"/>
      <c r="B660" s="313"/>
      <c r="C660" s="314" t="s">
        <v>183</v>
      </c>
      <c r="D660" s="313"/>
      <c r="E660" s="313"/>
      <c r="F660" s="313"/>
      <c r="G660" s="313"/>
      <c r="H660" s="472">
        <v>221.59</v>
      </c>
      <c r="I660" s="472"/>
      <c r="J660" s="472">
        <v>3898.86</v>
      </c>
      <c r="K660" s="472"/>
      <c r="O660" s="284">
        <f>I652+I653+I655+I656+I657+I658</f>
        <v>221.59</v>
      </c>
      <c r="P660" s="284">
        <f>K652+K653+K655+K656+K657+K658</f>
        <v>3898.86</v>
      </c>
    </row>
    <row r="662" spans="1:22" ht="65.25" x14ac:dyDescent="0.2">
      <c r="A662" s="301" t="s">
        <v>1534</v>
      </c>
      <c r="B662" s="302" t="s">
        <v>1499</v>
      </c>
      <c r="C662" s="302" t="s">
        <v>965</v>
      </c>
      <c r="D662" s="303" t="s">
        <v>1903</v>
      </c>
      <c r="E662" s="286">
        <v>1</v>
      </c>
      <c r="F662" s="321"/>
      <c r="G662" s="305"/>
      <c r="H662" s="286"/>
      <c r="I662" s="304"/>
      <c r="J662" s="286"/>
      <c r="K662" s="304"/>
      <c r="Q662" s="281">
        <f>[20]Source!X631</f>
        <v>8.86</v>
      </c>
      <c r="R662" s="281">
        <f>[20]Source!X632</f>
        <v>163.29</v>
      </c>
      <c r="S662" s="281">
        <f>[20]Source!Y631</f>
        <v>5.21</v>
      </c>
      <c r="T662" s="281">
        <f>[20]Source!Y632</f>
        <v>74.39</v>
      </c>
      <c r="U662" s="281">
        <f>ROUND((175/100)*ROUND([20]Source!R631, 2), 2)</f>
        <v>0</v>
      </c>
      <c r="V662" s="281">
        <f>ROUND((157/100)*ROUND([20]Source!R632, 2), 2)</f>
        <v>0</v>
      </c>
    </row>
    <row r="663" spans="1:22" ht="14.25" x14ac:dyDescent="0.2">
      <c r="A663" s="301"/>
      <c r="B663" s="302"/>
      <c r="C663" s="302" t="s">
        <v>197</v>
      </c>
      <c r="D663" s="303"/>
      <c r="E663" s="286"/>
      <c r="F663" s="321">
        <v>6.76</v>
      </c>
      <c r="G663" s="305" t="s">
        <v>1548</v>
      </c>
      <c r="H663" s="286">
        <v>1</v>
      </c>
      <c r="I663" s="304">
        <v>7.77</v>
      </c>
      <c r="J663" s="286">
        <v>23.35</v>
      </c>
      <c r="K663" s="304">
        <v>181.43</v>
      </c>
    </row>
    <row r="664" spans="1:22" ht="14.25" x14ac:dyDescent="0.2">
      <c r="A664" s="301"/>
      <c r="B664" s="302"/>
      <c r="C664" s="302" t="s">
        <v>205</v>
      </c>
      <c r="D664" s="303"/>
      <c r="E664" s="286"/>
      <c r="F664" s="321">
        <v>0.35</v>
      </c>
      <c r="G664" s="305" t="s">
        <v>195</v>
      </c>
      <c r="H664" s="286">
        <v>1</v>
      </c>
      <c r="I664" s="304">
        <v>0.35</v>
      </c>
      <c r="J664" s="286">
        <v>5.43</v>
      </c>
      <c r="K664" s="304">
        <v>1.9</v>
      </c>
    </row>
    <row r="665" spans="1:22" ht="14.25" x14ac:dyDescent="0.2">
      <c r="A665" s="301"/>
      <c r="B665" s="302"/>
      <c r="C665" s="302" t="s">
        <v>194</v>
      </c>
      <c r="D665" s="303" t="s">
        <v>187</v>
      </c>
      <c r="E665" s="286">
        <v>112</v>
      </c>
      <c r="F665" s="321"/>
      <c r="G665" s="305"/>
      <c r="H665" s="286"/>
      <c r="I665" s="304">
        <v>8.86</v>
      </c>
      <c r="J665" s="286">
        <v>90</v>
      </c>
      <c r="K665" s="304">
        <v>163.29</v>
      </c>
    </row>
    <row r="666" spans="1:22" ht="14.25" x14ac:dyDescent="0.2">
      <c r="A666" s="301"/>
      <c r="B666" s="302"/>
      <c r="C666" s="302" t="s">
        <v>193</v>
      </c>
      <c r="D666" s="303" t="s">
        <v>187</v>
      </c>
      <c r="E666" s="286">
        <v>70</v>
      </c>
      <c r="F666" s="321"/>
      <c r="G666" s="305"/>
      <c r="H666" s="286"/>
      <c r="I666" s="304">
        <v>5.21</v>
      </c>
      <c r="J666" s="286">
        <v>41</v>
      </c>
      <c r="K666" s="304">
        <v>74.39</v>
      </c>
    </row>
    <row r="667" spans="1:22" ht="14.25" x14ac:dyDescent="0.2">
      <c r="A667" s="307"/>
      <c r="B667" s="308"/>
      <c r="C667" s="308" t="s">
        <v>192</v>
      </c>
      <c r="D667" s="309" t="s">
        <v>191</v>
      </c>
      <c r="E667" s="310">
        <v>0.52</v>
      </c>
      <c r="F667" s="361"/>
      <c r="G667" s="312" t="s">
        <v>1548</v>
      </c>
      <c r="H667" s="310">
        <v>1</v>
      </c>
      <c r="I667" s="311">
        <v>0.6</v>
      </c>
      <c r="J667" s="310"/>
      <c r="K667" s="311"/>
    </row>
    <row r="668" spans="1:22" ht="15" x14ac:dyDescent="0.25">
      <c r="A668" s="313"/>
      <c r="B668" s="313"/>
      <c r="C668" s="314" t="s">
        <v>183</v>
      </c>
      <c r="D668" s="313"/>
      <c r="E668" s="313"/>
      <c r="F668" s="313"/>
      <c r="G668" s="313"/>
      <c r="H668" s="472">
        <v>22.19</v>
      </c>
      <c r="I668" s="472"/>
      <c r="J668" s="472">
        <v>421.01</v>
      </c>
      <c r="K668" s="472"/>
      <c r="O668" s="284">
        <f>I663+I664+I665+I666</f>
        <v>22.19</v>
      </c>
      <c r="P668" s="284">
        <f>K663+K664+K665+K666</f>
        <v>421.01</v>
      </c>
    </row>
    <row r="670" spans="1:22" ht="65.25" x14ac:dyDescent="0.2">
      <c r="A670" s="301" t="s">
        <v>104</v>
      </c>
      <c r="B670" s="302" t="s">
        <v>1474</v>
      </c>
      <c r="C670" s="302" t="s">
        <v>1247</v>
      </c>
      <c r="D670" s="303" t="s">
        <v>1903</v>
      </c>
      <c r="E670" s="286">
        <v>1</v>
      </c>
      <c r="F670" s="321"/>
      <c r="G670" s="305"/>
      <c r="H670" s="286"/>
      <c r="I670" s="304"/>
      <c r="J670" s="286"/>
      <c r="K670" s="304"/>
      <c r="Q670" s="281">
        <f>[20]Source!X633</f>
        <v>35.11</v>
      </c>
      <c r="R670" s="281">
        <f>[20]Source!X634</f>
        <v>647.26</v>
      </c>
      <c r="S670" s="281">
        <f>[20]Source!Y633</f>
        <v>20.64</v>
      </c>
      <c r="T670" s="281">
        <f>[20]Source!Y634</f>
        <v>294.86</v>
      </c>
      <c r="U670" s="281">
        <f>ROUND((175/100)*ROUND([20]Source!R633, 2), 2)</f>
        <v>0</v>
      </c>
      <c r="V670" s="281">
        <f>ROUND((157/100)*ROUND([20]Source!R634, 2), 2)</f>
        <v>0</v>
      </c>
    </row>
    <row r="671" spans="1:22" ht="14.25" x14ac:dyDescent="0.2">
      <c r="A671" s="301"/>
      <c r="B671" s="302"/>
      <c r="C671" s="302" t="s">
        <v>197</v>
      </c>
      <c r="D671" s="303"/>
      <c r="E671" s="286"/>
      <c r="F671" s="321">
        <v>26.78</v>
      </c>
      <c r="G671" s="305" t="s">
        <v>1548</v>
      </c>
      <c r="H671" s="286">
        <v>1</v>
      </c>
      <c r="I671" s="304">
        <v>30.8</v>
      </c>
      <c r="J671" s="286">
        <v>23.35</v>
      </c>
      <c r="K671" s="304">
        <v>719.18</v>
      </c>
    </row>
    <row r="672" spans="1:22" ht="14.25" x14ac:dyDescent="0.2">
      <c r="A672" s="301"/>
      <c r="B672" s="302"/>
      <c r="C672" s="302" t="s">
        <v>205</v>
      </c>
      <c r="D672" s="303"/>
      <c r="E672" s="286"/>
      <c r="F672" s="321">
        <v>0.28000000000000003</v>
      </c>
      <c r="G672" s="305" t="s">
        <v>195</v>
      </c>
      <c r="H672" s="286">
        <v>1</v>
      </c>
      <c r="I672" s="304">
        <v>0.28000000000000003</v>
      </c>
      <c r="J672" s="286">
        <v>5.43</v>
      </c>
      <c r="K672" s="304">
        <v>1.52</v>
      </c>
    </row>
    <row r="673" spans="1:22" ht="14.25" x14ac:dyDescent="0.2">
      <c r="A673" s="301"/>
      <c r="B673" s="302"/>
      <c r="C673" s="302" t="s">
        <v>194</v>
      </c>
      <c r="D673" s="303" t="s">
        <v>187</v>
      </c>
      <c r="E673" s="286">
        <v>112</v>
      </c>
      <c r="F673" s="321"/>
      <c r="G673" s="305"/>
      <c r="H673" s="286"/>
      <c r="I673" s="304">
        <v>35.11</v>
      </c>
      <c r="J673" s="286">
        <v>90</v>
      </c>
      <c r="K673" s="304">
        <v>647.26</v>
      </c>
    </row>
    <row r="674" spans="1:22" ht="14.25" x14ac:dyDescent="0.2">
      <c r="A674" s="301"/>
      <c r="B674" s="302"/>
      <c r="C674" s="302" t="s">
        <v>193</v>
      </c>
      <c r="D674" s="303" t="s">
        <v>187</v>
      </c>
      <c r="E674" s="286">
        <v>70</v>
      </c>
      <c r="F674" s="321"/>
      <c r="G674" s="305"/>
      <c r="H674" s="286"/>
      <c r="I674" s="304">
        <v>20.64</v>
      </c>
      <c r="J674" s="286">
        <v>41</v>
      </c>
      <c r="K674" s="304">
        <v>294.86</v>
      </c>
    </row>
    <row r="675" spans="1:22" ht="14.25" x14ac:dyDescent="0.2">
      <c r="A675" s="307"/>
      <c r="B675" s="308"/>
      <c r="C675" s="308" t="s">
        <v>192</v>
      </c>
      <c r="D675" s="309" t="s">
        <v>191</v>
      </c>
      <c r="E675" s="310">
        <v>2.06</v>
      </c>
      <c r="F675" s="361"/>
      <c r="G675" s="312" t="s">
        <v>1548</v>
      </c>
      <c r="H675" s="310">
        <v>1</v>
      </c>
      <c r="I675" s="311">
        <v>2.37</v>
      </c>
      <c r="J675" s="310"/>
      <c r="K675" s="311"/>
    </row>
    <row r="676" spans="1:22" ht="15" x14ac:dyDescent="0.25">
      <c r="A676" s="313"/>
      <c r="B676" s="313"/>
      <c r="C676" s="314" t="s">
        <v>183</v>
      </c>
      <c r="D676" s="313"/>
      <c r="E676" s="313"/>
      <c r="F676" s="313"/>
      <c r="G676" s="313"/>
      <c r="H676" s="472">
        <v>86.83</v>
      </c>
      <c r="I676" s="472"/>
      <c r="J676" s="472">
        <v>1662.82</v>
      </c>
      <c r="K676" s="472"/>
      <c r="O676" s="284">
        <f>I671+I672+I673+I674</f>
        <v>86.83</v>
      </c>
      <c r="P676" s="284">
        <f>K671+K672+K673+K674</f>
        <v>1662.82</v>
      </c>
    </row>
    <row r="678" spans="1:22" ht="65.25" x14ac:dyDescent="0.2">
      <c r="A678" s="301" t="s">
        <v>1546</v>
      </c>
      <c r="B678" s="302" t="s">
        <v>1473</v>
      </c>
      <c r="C678" s="302" t="s">
        <v>1472</v>
      </c>
      <c r="D678" s="303" t="s">
        <v>1903</v>
      </c>
      <c r="E678" s="286">
        <v>1</v>
      </c>
      <c r="F678" s="321"/>
      <c r="G678" s="305"/>
      <c r="H678" s="286"/>
      <c r="I678" s="304"/>
      <c r="J678" s="286"/>
      <c r="K678" s="304"/>
      <c r="Q678" s="281">
        <f>[20]Source!X635</f>
        <v>7.62</v>
      </c>
      <c r="R678" s="281">
        <f>[20]Source!X636</f>
        <v>140.38</v>
      </c>
      <c r="S678" s="281">
        <f>[20]Source!Y635</f>
        <v>4.4800000000000004</v>
      </c>
      <c r="T678" s="281">
        <f>[20]Source!Y636</f>
        <v>63.95</v>
      </c>
      <c r="U678" s="281">
        <f>ROUND((175/100)*ROUND([20]Source!R635, 2), 2)</f>
        <v>12.09</v>
      </c>
      <c r="V678" s="281">
        <f>ROUND((157/100)*ROUND([20]Source!R636, 2), 2)</f>
        <v>253.32</v>
      </c>
    </row>
    <row r="679" spans="1:22" ht="14.25" x14ac:dyDescent="0.2">
      <c r="A679" s="301"/>
      <c r="B679" s="302"/>
      <c r="C679" s="302" t="s">
        <v>197</v>
      </c>
      <c r="D679" s="303"/>
      <c r="E679" s="286"/>
      <c r="F679" s="321">
        <v>5.81</v>
      </c>
      <c r="G679" s="305" t="s">
        <v>1548</v>
      </c>
      <c r="H679" s="286">
        <v>1</v>
      </c>
      <c r="I679" s="304">
        <v>6.68</v>
      </c>
      <c r="J679" s="286">
        <v>23.35</v>
      </c>
      <c r="K679" s="304">
        <v>155.97999999999999</v>
      </c>
    </row>
    <row r="680" spans="1:22" ht="14.25" x14ac:dyDescent="0.2">
      <c r="A680" s="301"/>
      <c r="B680" s="302"/>
      <c r="C680" s="302" t="s">
        <v>184</v>
      </c>
      <c r="D680" s="303"/>
      <c r="E680" s="286"/>
      <c r="F680" s="321">
        <v>27.61</v>
      </c>
      <c r="G680" s="305" t="s">
        <v>1549</v>
      </c>
      <c r="H680" s="286">
        <v>1</v>
      </c>
      <c r="I680" s="304">
        <v>34.51</v>
      </c>
      <c r="J680" s="286">
        <v>8.9600000000000009</v>
      </c>
      <c r="K680" s="304">
        <v>309.20999999999998</v>
      </c>
    </row>
    <row r="681" spans="1:22" ht="14.25" x14ac:dyDescent="0.2">
      <c r="A681" s="301"/>
      <c r="B681" s="302"/>
      <c r="C681" s="302" t="s">
        <v>189</v>
      </c>
      <c r="D681" s="303"/>
      <c r="E681" s="286"/>
      <c r="F681" s="321">
        <v>5.53</v>
      </c>
      <c r="G681" s="305" t="s">
        <v>1549</v>
      </c>
      <c r="H681" s="286">
        <v>1</v>
      </c>
      <c r="I681" s="306">
        <v>6.91</v>
      </c>
      <c r="J681" s="286">
        <v>23.35</v>
      </c>
      <c r="K681" s="306">
        <v>161.35</v>
      </c>
    </row>
    <row r="682" spans="1:22" ht="14.25" x14ac:dyDescent="0.2">
      <c r="A682" s="301"/>
      <c r="B682" s="302"/>
      <c r="C682" s="302" t="s">
        <v>205</v>
      </c>
      <c r="D682" s="303"/>
      <c r="E682" s="286"/>
      <c r="F682" s="321">
        <v>1.89</v>
      </c>
      <c r="G682" s="305" t="s">
        <v>195</v>
      </c>
      <c r="H682" s="286">
        <v>1</v>
      </c>
      <c r="I682" s="304">
        <v>1.89</v>
      </c>
      <c r="J682" s="286">
        <v>5.42</v>
      </c>
      <c r="K682" s="304">
        <v>10.24</v>
      </c>
    </row>
    <row r="683" spans="1:22" ht="14.25" x14ac:dyDescent="0.2">
      <c r="A683" s="301"/>
      <c r="B683" s="302"/>
      <c r="C683" s="302" t="s">
        <v>194</v>
      </c>
      <c r="D683" s="303" t="s">
        <v>187</v>
      </c>
      <c r="E683" s="286">
        <v>112</v>
      </c>
      <c r="F683" s="321"/>
      <c r="G683" s="305"/>
      <c r="H683" s="286"/>
      <c r="I683" s="304">
        <v>7.62</v>
      </c>
      <c r="J683" s="286">
        <v>90</v>
      </c>
      <c r="K683" s="304">
        <v>140.38</v>
      </c>
    </row>
    <row r="684" spans="1:22" ht="14.25" x14ac:dyDescent="0.2">
      <c r="A684" s="301"/>
      <c r="B684" s="302"/>
      <c r="C684" s="302" t="s">
        <v>193</v>
      </c>
      <c r="D684" s="303" t="s">
        <v>187</v>
      </c>
      <c r="E684" s="286">
        <v>70</v>
      </c>
      <c r="F684" s="321"/>
      <c r="G684" s="305"/>
      <c r="H684" s="286"/>
      <c r="I684" s="304">
        <v>4.4800000000000004</v>
      </c>
      <c r="J684" s="286">
        <v>41</v>
      </c>
      <c r="K684" s="304">
        <v>63.95</v>
      </c>
    </row>
    <row r="685" spans="1:22" ht="14.25" x14ac:dyDescent="0.2">
      <c r="A685" s="301"/>
      <c r="B685" s="302"/>
      <c r="C685" s="302" t="s">
        <v>188</v>
      </c>
      <c r="D685" s="303" t="s">
        <v>187</v>
      </c>
      <c r="E685" s="286">
        <v>175</v>
      </c>
      <c r="F685" s="321"/>
      <c r="G685" s="305"/>
      <c r="H685" s="286"/>
      <c r="I685" s="304">
        <v>12.09</v>
      </c>
      <c r="J685" s="286">
        <v>157</v>
      </c>
      <c r="K685" s="304">
        <v>253.32</v>
      </c>
    </row>
    <row r="686" spans="1:22" ht="14.25" x14ac:dyDescent="0.2">
      <c r="A686" s="307"/>
      <c r="B686" s="308"/>
      <c r="C686" s="308" t="s">
        <v>192</v>
      </c>
      <c r="D686" s="309" t="s">
        <v>191</v>
      </c>
      <c r="E686" s="310">
        <v>0.52</v>
      </c>
      <c r="F686" s="361"/>
      <c r="G686" s="312" t="s">
        <v>1548</v>
      </c>
      <c r="H686" s="310">
        <v>1</v>
      </c>
      <c r="I686" s="311">
        <v>0.6</v>
      </c>
      <c r="J686" s="310"/>
      <c r="K686" s="311"/>
    </row>
    <row r="687" spans="1:22" ht="15" x14ac:dyDescent="0.25">
      <c r="A687" s="313"/>
      <c r="B687" s="313"/>
      <c r="C687" s="314" t="s">
        <v>183</v>
      </c>
      <c r="D687" s="313"/>
      <c r="E687" s="313"/>
      <c r="F687" s="313"/>
      <c r="G687" s="313"/>
      <c r="H687" s="472">
        <v>67.27</v>
      </c>
      <c r="I687" s="472"/>
      <c r="J687" s="472">
        <v>933.08</v>
      </c>
      <c r="K687" s="472"/>
      <c r="O687" s="284">
        <f>I679+I680+I682+I683+I684+I685</f>
        <v>67.27</v>
      </c>
      <c r="P687" s="284">
        <f>K679+K680+K682+K683+K684+K685</f>
        <v>933.08</v>
      </c>
    </row>
    <row r="689" spans="1:22" ht="81" x14ac:dyDescent="0.2">
      <c r="A689" s="275" t="s">
        <v>105</v>
      </c>
      <c r="B689" s="276" t="s">
        <v>3752</v>
      </c>
      <c r="C689" s="276" t="s">
        <v>1498</v>
      </c>
      <c r="D689" s="277" t="s">
        <v>3240</v>
      </c>
      <c r="E689" s="278">
        <v>1</v>
      </c>
      <c r="F689" s="362">
        <v>11543.7</v>
      </c>
      <c r="G689" s="280" t="s">
        <v>195</v>
      </c>
      <c r="H689" s="278">
        <v>1</v>
      </c>
      <c r="I689" s="279">
        <v>11543.7</v>
      </c>
      <c r="J689" s="278">
        <v>4.4000000000000004</v>
      </c>
      <c r="K689" s="279">
        <v>50792.28</v>
      </c>
      <c r="Q689" s="281">
        <f>[20]Source!X637</f>
        <v>0</v>
      </c>
      <c r="R689" s="281">
        <f>[20]Source!X638</f>
        <v>0</v>
      </c>
      <c r="S689" s="281">
        <f>[20]Source!Y637</f>
        <v>0</v>
      </c>
      <c r="T689" s="281">
        <f>[20]Source!Y638</f>
        <v>0</v>
      </c>
      <c r="U689" s="281">
        <f>ROUND((175/100)*ROUND([20]Source!R637, 2), 2)</f>
        <v>0</v>
      </c>
      <c r="V689" s="281">
        <f>ROUND((157/100)*ROUND([20]Source!R638, 2), 2)</f>
        <v>0</v>
      </c>
    </row>
    <row r="690" spans="1:22" ht="15" x14ac:dyDescent="0.25">
      <c r="A690" s="282"/>
      <c r="B690" s="282"/>
      <c r="C690" s="283" t="s">
        <v>183</v>
      </c>
      <c r="D690" s="282"/>
      <c r="E690" s="282"/>
      <c r="F690" s="282"/>
      <c r="G690" s="282"/>
      <c r="H690" s="473">
        <v>11543.7</v>
      </c>
      <c r="I690" s="473"/>
      <c r="J690" s="473">
        <v>50792.28</v>
      </c>
      <c r="K690" s="473"/>
      <c r="O690" s="284">
        <f>I689</f>
        <v>11543.7</v>
      </c>
      <c r="P690" s="284">
        <f>K689</f>
        <v>50792.28</v>
      </c>
    </row>
    <row r="693" spans="1:22" ht="15" x14ac:dyDescent="0.25">
      <c r="A693" s="447" t="s">
        <v>3779</v>
      </c>
      <c r="B693" s="447"/>
      <c r="C693" s="447"/>
      <c r="D693" s="447"/>
      <c r="E693" s="447"/>
      <c r="F693" s="447"/>
      <c r="G693" s="447"/>
      <c r="H693" s="445">
        <v>11941.58</v>
      </c>
      <c r="I693" s="446"/>
      <c r="J693" s="445">
        <v>57708.05</v>
      </c>
      <c r="K693" s="446"/>
    </row>
    <row r="694" spans="1:22" hidden="1" x14ac:dyDescent="0.2">
      <c r="A694" s="281" t="s">
        <v>182</v>
      </c>
      <c r="I694" s="281">
        <v>0</v>
      </c>
      <c r="J694" s="281">
        <v>0</v>
      </c>
    </row>
    <row r="695" spans="1:22" hidden="1" x14ac:dyDescent="0.2">
      <c r="A695" s="281" t="s">
        <v>181</v>
      </c>
      <c r="I695" s="281">
        <v>0</v>
      </c>
      <c r="J695" s="281">
        <v>0</v>
      </c>
    </row>
    <row r="697" spans="1:22" ht="16.5" x14ac:dyDescent="0.25">
      <c r="A697" s="448" t="s">
        <v>3780</v>
      </c>
      <c r="B697" s="448"/>
      <c r="C697" s="448"/>
      <c r="D697" s="448"/>
      <c r="E697" s="448"/>
      <c r="F697" s="448"/>
      <c r="G697" s="448"/>
      <c r="H697" s="448"/>
      <c r="I697" s="448"/>
      <c r="J697" s="448"/>
      <c r="K697" s="448"/>
    </row>
    <row r="698" spans="1:22" ht="65.25" x14ac:dyDescent="0.2">
      <c r="A698" s="301" t="s">
        <v>719</v>
      </c>
      <c r="B698" s="302" t="s">
        <v>1476</v>
      </c>
      <c r="C698" s="302" t="s">
        <v>1475</v>
      </c>
      <c r="D698" s="303" t="s">
        <v>1903</v>
      </c>
      <c r="E698" s="286">
        <v>1</v>
      </c>
      <c r="F698" s="321"/>
      <c r="G698" s="305"/>
      <c r="H698" s="286"/>
      <c r="I698" s="304"/>
      <c r="J698" s="286"/>
      <c r="K698" s="304"/>
      <c r="Q698" s="281">
        <f>[20]Source!X674</f>
        <v>78.39</v>
      </c>
      <c r="R698" s="281">
        <f>[20]Source!X675</f>
        <v>1445</v>
      </c>
      <c r="S698" s="281">
        <f>[20]Source!Y674</f>
        <v>46.07</v>
      </c>
      <c r="T698" s="281">
        <f>[20]Source!Y675</f>
        <v>658.28</v>
      </c>
      <c r="U698" s="281">
        <f>ROUND((175/100)*ROUND([20]Source!R674, 2), 2)</f>
        <v>1.42</v>
      </c>
      <c r="V698" s="281">
        <f>ROUND((157/100)*ROUND([20]Source!R675, 2), 2)</f>
        <v>29.69</v>
      </c>
    </row>
    <row r="699" spans="1:22" ht="14.25" x14ac:dyDescent="0.2">
      <c r="A699" s="301"/>
      <c r="B699" s="302"/>
      <c r="C699" s="302" t="s">
        <v>197</v>
      </c>
      <c r="D699" s="303"/>
      <c r="E699" s="286"/>
      <c r="F699" s="321">
        <v>59.79</v>
      </c>
      <c r="G699" s="305" t="s">
        <v>1548</v>
      </c>
      <c r="H699" s="286">
        <v>1</v>
      </c>
      <c r="I699" s="304">
        <v>68.760000000000005</v>
      </c>
      <c r="J699" s="286">
        <v>23.35</v>
      </c>
      <c r="K699" s="304">
        <v>1605.55</v>
      </c>
    </row>
    <row r="700" spans="1:22" ht="14.25" x14ac:dyDescent="0.2">
      <c r="A700" s="301"/>
      <c r="B700" s="302"/>
      <c r="C700" s="302" t="s">
        <v>184</v>
      </c>
      <c r="D700" s="303"/>
      <c r="E700" s="286"/>
      <c r="F700" s="321">
        <v>4.42</v>
      </c>
      <c r="G700" s="305" t="s">
        <v>1549</v>
      </c>
      <c r="H700" s="286">
        <v>1</v>
      </c>
      <c r="I700" s="304">
        <v>5.53</v>
      </c>
      <c r="J700" s="286">
        <v>8</v>
      </c>
      <c r="K700" s="304">
        <v>44.24</v>
      </c>
    </row>
    <row r="701" spans="1:22" ht="14.25" x14ac:dyDescent="0.2">
      <c r="A701" s="301"/>
      <c r="B701" s="302"/>
      <c r="C701" s="302" t="s">
        <v>189</v>
      </c>
      <c r="D701" s="303"/>
      <c r="E701" s="286"/>
      <c r="F701" s="321">
        <v>0.65</v>
      </c>
      <c r="G701" s="305" t="s">
        <v>1549</v>
      </c>
      <c r="H701" s="286">
        <v>1</v>
      </c>
      <c r="I701" s="306">
        <v>0.81</v>
      </c>
      <c r="J701" s="286">
        <v>23.35</v>
      </c>
      <c r="K701" s="306">
        <v>18.91</v>
      </c>
    </row>
    <row r="702" spans="1:22" ht="14.25" x14ac:dyDescent="0.2">
      <c r="A702" s="301"/>
      <c r="B702" s="302"/>
      <c r="C702" s="302" t="s">
        <v>205</v>
      </c>
      <c r="D702" s="303"/>
      <c r="E702" s="286"/>
      <c r="F702" s="321">
        <v>21.42</v>
      </c>
      <c r="G702" s="305" t="s">
        <v>195</v>
      </c>
      <c r="H702" s="286">
        <v>1</v>
      </c>
      <c r="I702" s="304">
        <v>21.42</v>
      </c>
      <c r="J702" s="286">
        <v>5.42</v>
      </c>
      <c r="K702" s="304">
        <v>116.1</v>
      </c>
    </row>
    <row r="703" spans="1:22" ht="14.25" x14ac:dyDescent="0.2">
      <c r="A703" s="301"/>
      <c r="B703" s="302"/>
      <c r="C703" s="302" t="s">
        <v>194</v>
      </c>
      <c r="D703" s="303" t="s">
        <v>187</v>
      </c>
      <c r="E703" s="286">
        <v>112</v>
      </c>
      <c r="F703" s="321"/>
      <c r="G703" s="305"/>
      <c r="H703" s="286"/>
      <c r="I703" s="304">
        <v>78.39</v>
      </c>
      <c r="J703" s="286">
        <v>90</v>
      </c>
      <c r="K703" s="304">
        <v>1445</v>
      </c>
    </row>
    <row r="704" spans="1:22" ht="14.25" x14ac:dyDescent="0.2">
      <c r="A704" s="301"/>
      <c r="B704" s="302"/>
      <c r="C704" s="302" t="s">
        <v>193</v>
      </c>
      <c r="D704" s="303" t="s">
        <v>187</v>
      </c>
      <c r="E704" s="286">
        <v>70</v>
      </c>
      <c r="F704" s="321"/>
      <c r="G704" s="305"/>
      <c r="H704" s="286"/>
      <c r="I704" s="304">
        <v>46.07</v>
      </c>
      <c r="J704" s="286">
        <v>41</v>
      </c>
      <c r="K704" s="304">
        <v>658.28</v>
      </c>
    </row>
    <row r="705" spans="1:22" ht="14.25" x14ac:dyDescent="0.2">
      <c r="A705" s="301"/>
      <c r="B705" s="302"/>
      <c r="C705" s="302" t="s">
        <v>188</v>
      </c>
      <c r="D705" s="303" t="s">
        <v>187</v>
      </c>
      <c r="E705" s="286">
        <v>175</v>
      </c>
      <c r="F705" s="321"/>
      <c r="G705" s="305"/>
      <c r="H705" s="286"/>
      <c r="I705" s="304">
        <v>1.42</v>
      </c>
      <c r="J705" s="286">
        <v>157</v>
      </c>
      <c r="K705" s="304">
        <v>29.69</v>
      </c>
    </row>
    <row r="706" spans="1:22" ht="14.25" x14ac:dyDescent="0.2">
      <c r="A706" s="307"/>
      <c r="B706" s="308"/>
      <c r="C706" s="308" t="s">
        <v>192</v>
      </c>
      <c r="D706" s="309" t="s">
        <v>191</v>
      </c>
      <c r="E706" s="310">
        <v>5.15</v>
      </c>
      <c r="F706" s="361"/>
      <c r="G706" s="312" t="s">
        <v>1548</v>
      </c>
      <c r="H706" s="310">
        <v>1</v>
      </c>
      <c r="I706" s="311">
        <v>5.92</v>
      </c>
      <c r="J706" s="310"/>
      <c r="K706" s="311"/>
    </row>
    <row r="707" spans="1:22" ht="15" x14ac:dyDescent="0.25">
      <c r="A707" s="313"/>
      <c r="B707" s="313"/>
      <c r="C707" s="314" t="s">
        <v>183</v>
      </c>
      <c r="D707" s="313"/>
      <c r="E707" s="313"/>
      <c r="F707" s="313"/>
      <c r="G707" s="313"/>
      <c r="H707" s="472">
        <v>221.59</v>
      </c>
      <c r="I707" s="472"/>
      <c r="J707" s="472">
        <v>3898.86</v>
      </c>
      <c r="K707" s="472"/>
      <c r="O707" s="284">
        <f>I699+I700+I702+I703+I704+I705</f>
        <v>221.59</v>
      </c>
      <c r="P707" s="284">
        <f>K699+K700+K702+K703+K704+K705</f>
        <v>3898.86</v>
      </c>
    </row>
    <row r="709" spans="1:22" ht="65.25" x14ac:dyDescent="0.2">
      <c r="A709" s="301" t="s">
        <v>1534</v>
      </c>
      <c r="B709" s="302" t="s">
        <v>1474</v>
      </c>
      <c r="C709" s="302" t="s">
        <v>1247</v>
      </c>
      <c r="D709" s="303" t="s">
        <v>1903</v>
      </c>
      <c r="E709" s="286">
        <v>1</v>
      </c>
      <c r="F709" s="321"/>
      <c r="G709" s="305"/>
      <c r="H709" s="286"/>
      <c r="I709" s="304"/>
      <c r="J709" s="286"/>
      <c r="K709" s="304"/>
      <c r="Q709" s="281">
        <f>[20]Source!X676</f>
        <v>35.11</v>
      </c>
      <c r="R709" s="281">
        <f>[20]Source!X677</f>
        <v>647.26</v>
      </c>
      <c r="S709" s="281">
        <f>[20]Source!Y676</f>
        <v>20.64</v>
      </c>
      <c r="T709" s="281">
        <f>[20]Source!Y677</f>
        <v>294.86</v>
      </c>
      <c r="U709" s="281">
        <f>ROUND((175/100)*ROUND([20]Source!R676, 2), 2)</f>
        <v>0</v>
      </c>
      <c r="V709" s="281">
        <f>ROUND((157/100)*ROUND([20]Source!R677, 2), 2)</f>
        <v>0</v>
      </c>
    </row>
    <row r="710" spans="1:22" ht="14.25" x14ac:dyDescent="0.2">
      <c r="A710" s="301"/>
      <c r="B710" s="302"/>
      <c r="C710" s="302" t="s">
        <v>197</v>
      </c>
      <c r="D710" s="303"/>
      <c r="E710" s="286"/>
      <c r="F710" s="321">
        <v>26.78</v>
      </c>
      <c r="G710" s="305" t="s">
        <v>1548</v>
      </c>
      <c r="H710" s="286">
        <v>1</v>
      </c>
      <c r="I710" s="304">
        <v>30.8</v>
      </c>
      <c r="J710" s="286">
        <v>23.35</v>
      </c>
      <c r="K710" s="304">
        <v>719.18</v>
      </c>
    </row>
    <row r="711" spans="1:22" ht="14.25" x14ac:dyDescent="0.2">
      <c r="A711" s="301"/>
      <c r="B711" s="302"/>
      <c r="C711" s="302" t="s">
        <v>205</v>
      </c>
      <c r="D711" s="303"/>
      <c r="E711" s="286"/>
      <c r="F711" s="321">
        <v>0.28000000000000003</v>
      </c>
      <c r="G711" s="305" t="s">
        <v>195</v>
      </c>
      <c r="H711" s="286">
        <v>1</v>
      </c>
      <c r="I711" s="304">
        <v>0.28000000000000003</v>
      </c>
      <c r="J711" s="286">
        <v>5.43</v>
      </c>
      <c r="K711" s="304">
        <v>1.52</v>
      </c>
    </row>
    <row r="712" spans="1:22" ht="14.25" x14ac:dyDescent="0.2">
      <c r="A712" s="301"/>
      <c r="B712" s="302"/>
      <c r="C712" s="302" t="s">
        <v>194</v>
      </c>
      <c r="D712" s="303" t="s">
        <v>187</v>
      </c>
      <c r="E712" s="286">
        <v>112</v>
      </c>
      <c r="F712" s="321"/>
      <c r="G712" s="305"/>
      <c r="H712" s="286"/>
      <c r="I712" s="304">
        <v>35.11</v>
      </c>
      <c r="J712" s="286">
        <v>90</v>
      </c>
      <c r="K712" s="304">
        <v>647.26</v>
      </c>
    </row>
    <row r="713" spans="1:22" ht="14.25" x14ac:dyDescent="0.2">
      <c r="A713" s="301"/>
      <c r="B713" s="302"/>
      <c r="C713" s="302" t="s">
        <v>193</v>
      </c>
      <c r="D713" s="303" t="s">
        <v>187</v>
      </c>
      <c r="E713" s="286">
        <v>70</v>
      </c>
      <c r="F713" s="321"/>
      <c r="G713" s="305"/>
      <c r="H713" s="286"/>
      <c r="I713" s="304">
        <v>20.64</v>
      </c>
      <c r="J713" s="286">
        <v>41</v>
      </c>
      <c r="K713" s="304">
        <v>294.86</v>
      </c>
    </row>
    <row r="714" spans="1:22" ht="14.25" x14ac:dyDescent="0.2">
      <c r="A714" s="307"/>
      <c r="B714" s="308"/>
      <c r="C714" s="308" t="s">
        <v>192</v>
      </c>
      <c r="D714" s="309" t="s">
        <v>191</v>
      </c>
      <c r="E714" s="310">
        <v>2.06</v>
      </c>
      <c r="F714" s="361"/>
      <c r="G714" s="312" t="s">
        <v>1548</v>
      </c>
      <c r="H714" s="310">
        <v>1</v>
      </c>
      <c r="I714" s="311">
        <v>2.37</v>
      </c>
      <c r="J714" s="310"/>
      <c r="K714" s="311"/>
    </row>
    <row r="715" spans="1:22" ht="15" x14ac:dyDescent="0.25">
      <c r="A715" s="313"/>
      <c r="B715" s="313"/>
      <c r="C715" s="314" t="s">
        <v>183</v>
      </c>
      <c r="D715" s="313"/>
      <c r="E715" s="313"/>
      <c r="F715" s="313"/>
      <c r="G715" s="313"/>
      <c r="H715" s="472">
        <v>86.83</v>
      </c>
      <c r="I715" s="472"/>
      <c r="J715" s="472">
        <v>1662.82</v>
      </c>
      <c r="K715" s="472"/>
      <c r="O715" s="284">
        <f>I710+I711+I712+I713</f>
        <v>86.83</v>
      </c>
      <c r="P715" s="284">
        <f>K710+K711+K712+K713</f>
        <v>1662.82</v>
      </c>
    </row>
    <row r="717" spans="1:22" ht="65.25" x14ac:dyDescent="0.2">
      <c r="A717" s="301" t="s">
        <v>104</v>
      </c>
      <c r="B717" s="302" t="s">
        <v>1473</v>
      </c>
      <c r="C717" s="302" t="s">
        <v>1472</v>
      </c>
      <c r="D717" s="303" t="s">
        <v>1903</v>
      </c>
      <c r="E717" s="286">
        <v>1</v>
      </c>
      <c r="F717" s="321"/>
      <c r="G717" s="305"/>
      <c r="H717" s="286"/>
      <c r="I717" s="304"/>
      <c r="J717" s="286"/>
      <c r="K717" s="304"/>
      <c r="Q717" s="281">
        <f>[20]Source!X678</f>
        <v>7.62</v>
      </c>
      <c r="R717" s="281">
        <f>[20]Source!X679</f>
        <v>140.38</v>
      </c>
      <c r="S717" s="281">
        <f>[20]Source!Y678</f>
        <v>4.4800000000000004</v>
      </c>
      <c r="T717" s="281">
        <f>[20]Source!Y679</f>
        <v>63.95</v>
      </c>
      <c r="U717" s="281">
        <f>ROUND((175/100)*ROUND([20]Source!R678, 2), 2)</f>
        <v>12.09</v>
      </c>
      <c r="V717" s="281">
        <f>ROUND((157/100)*ROUND([20]Source!R679, 2), 2)</f>
        <v>253.32</v>
      </c>
    </row>
    <row r="718" spans="1:22" ht="14.25" x14ac:dyDescent="0.2">
      <c r="A718" s="301"/>
      <c r="B718" s="302"/>
      <c r="C718" s="302" t="s">
        <v>197</v>
      </c>
      <c r="D718" s="303"/>
      <c r="E718" s="286"/>
      <c r="F718" s="321">
        <v>5.81</v>
      </c>
      <c r="G718" s="305" t="s">
        <v>1548</v>
      </c>
      <c r="H718" s="286">
        <v>1</v>
      </c>
      <c r="I718" s="304">
        <v>6.68</v>
      </c>
      <c r="J718" s="286">
        <v>23.35</v>
      </c>
      <c r="K718" s="304">
        <v>155.97999999999999</v>
      </c>
    </row>
    <row r="719" spans="1:22" ht="14.25" x14ac:dyDescent="0.2">
      <c r="A719" s="301"/>
      <c r="B719" s="302"/>
      <c r="C719" s="302" t="s">
        <v>184</v>
      </c>
      <c r="D719" s="303"/>
      <c r="E719" s="286"/>
      <c r="F719" s="321">
        <v>27.61</v>
      </c>
      <c r="G719" s="305" t="s">
        <v>1549</v>
      </c>
      <c r="H719" s="286">
        <v>1</v>
      </c>
      <c r="I719" s="304">
        <v>34.51</v>
      </c>
      <c r="J719" s="286">
        <v>8.9600000000000009</v>
      </c>
      <c r="K719" s="304">
        <v>309.20999999999998</v>
      </c>
    </row>
    <row r="720" spans="1:22" ht="14.25" x14ac:dyDescent="0.2">
      <c r="A720" s="301"/>
      <c r="B720" s="302"/>
      <c r="C720" s="302" t="s">
        <v>189</v>
      </c>
      <c r="D720" s="303"/>
      <c r="E720" s="286"/>
      <c r="F720" s="321">
        <v>5.53</v>
      </c>
      <c r="G720" s="305" t="s">
        <v>1549</v>
      </c>
      <c r="H720" s="286">
        <v>1</v>
      </c>
      <c r="I720" s="306">
        <v>6.91</v>
      </c>
      <c r="J720" s="286">
        <v>23.35</v>
      </c>
      <c r="K720" s="306">
        <v>161.35</v>
      </c>
    </row>
    <row r="721" spans="1:22" ht="14.25" x14ac:dyDescent="0.2">
      <c r="A721" s="301"/>
      <c r="B721" s="302"/>
      <c r="C721" s="302" t="s">
        <v>205</v>
      </c>
      <c r="D721" s="303"/>
      <c r="E721" s="286"/>
      <c r="F721" s="321">
        <v>1.89</v>
      </c>
      <c r="G721" s="305" t="s">
        <v>195</v>
      </c>
      <c r="H721" s="286">
        <v>1</v>
      </c>
      <c r="I721" s="304">
        <v>1.89</v>
      </c>
      <c r="J721" s="286">
        <v>5.42</v>
      </c>
      <c r="K721" s="304">
        <v>10.24</v>
      </c>
    </row>
    <row r="722" spans="1:22" ht="14.25" x14ac:dyDescent="0.2">
      <c r="A722" s="301"/>
      <c r="B722" s="302"/>
      <c r="C722" s="302" t="s">
        <v>194</v>
      </c>
      <c r="D722" s="303" t="s">
        <v>187</v>
      </c>
      <c r="E722" s="286">
        <v>112</v>
      </c>
      <c r="F722" s="321"/>
      <c r="G722" s="305"/>
      <c r="H722" s="286"/>
      <c r="I722" s="304">
        <v>7.62</v>
      </c>
      <c r="J722" s="286">
        <v>90</v>
      </c>
      <c r="K722" s="304">
        <v>140.38</v>
      </c>
    </row>
    <row r="723" spans="1:22" ht="14.25" x14ac:dyDescent="0.2">
      <c r="A723" s="301"/>
      <c r="B723" s="302"/>
      <c r="C723" s="302" t="s">
        <v>193</v>
      </c>
      <c r="D723" s="303" t="s">
        <v>187</v>
      </c>
      <c r="E723" s="286">
        <v>70</v>
      </c>
      <c r="F723" s="321"/>
      <c r="G723" s="305"/>
      <c r="H723" s="286"/>
      <c r="I723" s="304">
        <v>4.4800000000000004</v>
      </c>
      <c r="J723" s="286">
        <v>41</v>
      </c>
      <c r="K723" s="304">
        <v>63.95</v>
      </c>
    </row>
    <row r="724" spans="1:22" ht="14.25" x14ac:dyDescent="0.2">
      <c r="A724" s="301"/>
      <c r="B724" s="302"/>
      <c r="C724" s="302" t="s">
        <v>188</v>
      </c>
      <c r="D724" s="303" t="s">
        <v>187</v>
      </c>
      <c r="E724" s="286">
        <v>175</v>
      </c>
      <c r="F724" s="321"/>
      <c r="G724" s="305"/>
      <c r="H724" s="286"/>
      <c r="I724" s="304">
        <v>12.09</v>
      </c>
      <c r="J724" s="286">
        <v>157</v>
      </c>
      <c r="K724" s="304">
        <v>253.32</v>
      </c>
    </row>
    <row r="725" spans="1:22" ht="14.25" x14ac:dyDescent="0.2">
      <c r="A725" s="307"/>
      <c r="B725" s="308"/>
      <c r="C725" s="308" t="s">
        <v>192</v>
      </c>
      <c r="D725" s="309" t="s">
        <v>191</v>
      </c>
      <c r="E725" s="310">
        <v>0.52</v>
      </c>
      <c r="F725" s="361"/>
      <c r="G725" s="312" t="s">
        <v>1548</v>
      </c>
      <c r="H725" s="310">
        <v>1</v>
      </c>
      <c r="I725" s="311">
        <v>0.6</v>
      </c>
      <c r="J725" s="310"/>
      <c r="K725" s="311"/>
    </row>
    <row r="726" spans="1:22" ht="15" x14ac:dyDescent="0.25">
      <c r="A726" s="313"/>
      <c r="B726" s="313"/>
      <c r="C726" s="314" t="s">
        <v>183</v>
      </c>
      <c r="D726" s="313"/>
      <c r="E726" s="313"/>
      <c r="F726" s="313"/>
      <c r="G726" s="313"/>
      <c r="H726" s="472">
        <v>67.27</v>
      </c>
      <c r="I726" s="472"/>
      <c r="J726" s="472">
        <v>933.08</v>
      </c>
      <c r="K726" s="472"/>
      <c r="O726" s="284">
        <f>I718+I719+I721+I722+I723+I724</f>
        <v>67.27</v>
      </c>
      <c r="P726" s="284">
        <f>K718+K719+K721+K722+K723+K724</f>
        <v>933.08</v>
      </c>
    </row>
    <row r="728" spans="1:22" ht="81" x14ac:dyDescent="0.2">
      <c r="A728" s="275" t="s">
        <v>1546</v>
      </c>
      <c r="B728" s="276" t="s">
        <v>3752</v>
      </c>
      <c r="C728" s="276" t="s">
        <v>1497</v>
      </c>
      <c r="D728" s="277" t="s">
        <v>3240</v>
      </c>
      <c r="E728" s="278">
        <v>1</v>
      </c>
      <c r="F728" s="362">
        <v>11543.7</v>
      </c>
      <c r="G728" s="280" t="s">
        <v>195</v>
      </c>
      <c r="H728" s="278">
        <v>1</v>
      </c>
      <c r="I728" s="279">
        <v>11543.7</v>
      </c>
      <c r="J728" s="278">
        <v>4.4000000000000004</v>
      </c>
      <c r="K728" s="279">
        <v>50792.28</v>
      </c>
      <c r="Q728" s="281">
        <f>[20]Source!X680</f>
        <v>0</v>
      </c>
      <c r="R728" s="281">
        <f>[20]Source!X681</f>
        <v>0</v>
      </c>
      <c r="S728" s="281">
        <f>[20]Source!Y680</f>
        <v>0</v>
      </c>
      <c r="T728" s="281">
        <f>[20]Source!Y681</f>
        <v>0</v>
      </c>
      <c r="U728" s="281">
        <f>ROUND((175/100)*ROUND([20]Source!R680, 2), 2)</f>
        <v>0</v>
      </c>
      <c r="V728" s="281">
        <f>ROUND((157/100)*ROUND([20]Source!R681, 2), 2)</f>
        <v>0</v>
      </c>
    </row>
    <row r="729" spans="1:22" ht="15" x14ac:dyDescent="0.25">
      <c r="A729" s="282"/>
      <c r="B729" s="282"/>
      <c r="C729" s="283" t="s">
        <v>183</v>
      </c>
      <c r="D729" s="282"/>
      <c r="E729" s="282"/>
      <c r="F729" s="282"/>
      <c r="G729" s="282"/>
      <c r="H729" s="473">
        <v>11543.7</v>
      </c>
      <c r="I729" s="473"/>
      <c r="J729" s="473">
        <v>50792.28</v>
      </c>
      <c r="K729" s="473"/>
      <c r="O729" s="284">
        <f>I728</f>
        <v>11543.7</v>
      </c>
      <c r="P729" s="284">
        <f>K728</f>
        <v>50792.28</v>
      </c>
    </row>
    <row r="732" spans="1:22" ht="15" x14ac:dyDescent="0.25">
      <c r="A732" s="447" t="s">
        <v>3781</v>
      </c>
      <c r="B732" s="447"/>
      <c r="C732" s="447"/>
      <c r="D732" s="447"/>
      <c r="E732" s="447"/>
      <c r="F732" s="447"/>
      <c r="G732" s="447"/>
      <c r="H732" s="445">
        <v>11919.39</v>
      </c>
      <c r="I732" s="446"/>
      <c r="J732" s="445">
        <v>57287.040000000001</v>
      </c>
      <c r="K732" s="446"/>
    </row>
    <row r="733" spans="1:22" hidden="1" x14ac:dyDescent="0.2">
      <c r="A733" s="281" t="s">
        <v>182</v>
      </c>
      <c r="I733" s="281">
        <v>0</v>
      </c>
      <c r="J733" s="281">
        <v>0</v>
      </c>
    </row>
    <row r="734" spans="1:22" hidden="1" x14ac:dyDescent="0.2">
      <c r="A734" s="281" t="s">
        <v>181</v>
      </c>
      <c r="I734" s="281">
        <v>0</v>
      </c>
      <c r="J734" s="281">
        <v>0</v>
      </c>
    </row>
    <row r="736" spans="1:22" ht="16.5" x14ac:dyDescent="0.25">
      <c r="A736" s="448" t="s">
        <v>3782</v>
      </c>
      <c r="B736" s="448"/>
      <c r="C736" s="448"/>
      <c r="D736" s="448"/>
      <c r="E736" s="448"/>
      <c r="F736" s="448"/>
      <c r="G736" s="448"/>
      <c r="H736" s="448"/>
      <c r="I736" s="448"/>
      <c r="J736" s="448"/>
      <c r="K736" s="448"/>
    </row>
    <row r="737" spans="1:22" ht="65.25" x14ac:dyDescent="0.2">
      <c r="A737" s="301" t="s">
        <v>719</v>
      </c>
      <c r="B737" s="302" t="s">
        <v>1476</v>
      </c>
      <c r="C737" s="302" t="s">
        <v>1475</v>
      </c>
      <c r="D737" s="303" t="s">
        <v>1903</v>
      </c>
      <c r="E737" s="286">
        <v>1</v>
      </c>
      <c r="F737" s="321"/>
      <c r="G737" s="305"/>
      <c r="H737" s="286"/>
      <c r="I737" s="304"/>
      <c r="J737" s="286"/>
      <c r="K737" s="304"/>
      <c r="Q737" s="281">
        <f>[20]Source!X717</f>
        <v>78.39</v>
      </c>
      <c r="R737" s="281">
        <f>[20]Source!X718</f>
        <v>1445</v>
      </c>
      <c r="S737" s="281">
        <f>[20]Source!Y717</f>
        <v>46.07</v>
      </c>
      <c r="T737" s="281">
        <f>[20]Source!Y718</f>
        <v>658.28</v>
      </c>
      <c r="U737" s="281">
        <f>ROUND((175/100)*ROUND([20]Source!R717, 2), 2)</f>
        <v>1.42</v>
      </c>
      <c r="V737" s="281">
        <f>ROUND((157/100)*ROUND([20]Source!R718, 2), 2)</f>
        <v>29.69</v>
      </c>
    </row>
    <row r="738" spans="1:22" ht="14.25" x14ac:dyDescent="0.2">
      <c r="A738" s="301"/>
      <c r="B738" s="302"/>
      <c r="C738" s="302" t="s">
        <v>197</v>
      </c>
      <c r="D738" s="303"/>
      <c r="E738" s="286"/>
      <c r="F738" s="321">
        <v>59.79</v>
      </c>
      <c r="G738" s="305" t="s">
        <v>1548</v>
      </c>
      <c r="H738" s="286">
        <v>1</v>
      </c>
      <c r="I738" s="304">
        <v>68.760000000000005</v>
      </c>
      <c r="J738" s="286">
        <v>23.35</v>
      </c>
      <c r="K738" s="304">
        <v>1605.55</v>
      </c>
    </row>
    <row r="739" spans="1:22" ht="14.25" x14ac:dyDescent="0.2">
      <c r="A739" s="301"/>
      <c r="B739" s="302"/>
      <c r="C739" s="302" t="s">
        <v>184</v>
      </c>
      <c r="D739" s="303"/>
      <c r="E739" s="286"/>
      <c r="F739" s="321">
        <v>4.42</v>
      </c>
      <c r="G739" s="305" t="s">
        <v>1549</v>
      </c>
      <c r="H739" s="286">
        <v>1</v>
      </c>
      <c r="I739" s="304">
        <v>5.53</v>
      </c>
      <c r="J739" s="286">
        <v>8</v>
      </c>
      <c r="K739" s="304">
        <v>44.24</v>
      </c>
    </row>
    <row r="740" spans="1:22" ht="14.25" x14ac:dyDescent="0.2">
      <c r="A740" s="301"/>
      <c r="B740" s="302"/>
      <c r="C740" s="302" t="s">
        <v>189</v>
      </c>
      <c r="D740" s="303"/>
      <c r="E740" s="286"/>
      <c r="F740" s="321">
        <v>0.65</v>
      </c>
      <c r="G740" s="305" t="s">
        <v>1549</v>
      </c>
      <c r="H740" s="286">
        <v>1</v>
      </c>
      <c r="I740" s="306">
        <v>0.81</v>
      </c>
      <c r="J740" s="286">
        <v>23.35</v>
      </c>
      <c r="K740" s="306">
        <v>18.91</v>
      </c>
    </row>
    <row r="741" spans="1:22" ht="14.25" x14ac:dyDescent="0.2">
      <c r="A741" s="301"/>
      <c r="B741" s="302"/>
      <c r="C741" s="302" t="s">
        <v>205</v>
      </c>
      <c r="D741" s="303"/>
      <c r="E741" s="286"/>
      <c r="F741" s="321">
        <v>21.42</v>
      </c>
      <c r="G741" s="305" t="s">
        <v>195</v>
      </c>
      <c r="H741" s="286">
        <v>1</v>
      </c>
      <c r="I741" s="304">
        <v>21.42</v>
      </c>
      <c r="J741" s="286">
        <v>5.42</v>
      </c>
      <c r="K741" s="304">
        <v>116.1</v>
      </c>
    </row>
    <row r="742" spans="1:22" ht="14.25" x14ac:dyDescent="0.2">
      <c r="A742" s="301"/>
      <c r="B742" s="302"/>
      <c r="C742" s="302" t="s">
        <v>194</v>
      </c>
      <c r="D742" s="303" t="s">
        <v>187</v>
      </c>
      <c r="E742" s="286">
        <v>112</v>
      </c>
      <c r="F742" s="321"/>
      <c r="G742" s="305"/>
      <c r="H742" s="286"/>
      <c r="I742" s="304">
        <v>78.39</v>
      </c>
      <c r="J742" s="286">
        <v>90</v>
      </c>
      <c r="K742" s="304">
        <v>1445</v>
      </c>
    </row>
    <row r="743" spans="1:22" ht="14.25" x14ac:dyDescent="0.2">
      <c r="A743" s="301"/>
      <c r="B743" s="302"/>
      <c r="C743" s="302" t="s">
        <v>193</v>
      </c>
      <c r="D743" s="303" t="s">
        <v>187</v>
      </c>
      <c r="E743" s="286">
        <v>70</v>
      </c>
      <c r="F743" s="321"/>
      <c r="G743" s="305"/>
      <c r="H743" s="286"/>
      <c r="I743" s="304">
        <v>46.07</v>
      </c>
      <c r="J743" s="286">
        <v>41</v>
      </c>
      <c r="K743" s="304">
        <v>658.28</v>
      </c>
    </row>
    <row r="744" spans="1:22" ht="14.25" x14ac:dyDescent="0.2">
      <c r="A744" s="301"/>
      <c r="B744" s="302"/>
      <c r="C744" s="302" t="s">
        <v>188</v>
      </c>
      <c r="D744" s="303" t="s">
        <v>187</v>
      </c>
      <c r="E744" s="286">
        <v>175</v>
      </c>
      <c r="F744" s="321"/>
      <c r="G744" s="305"/>
      <c r="H744" s="286"/>
      <c r="I744" s="304">
        <v>1.42</v>
      </c>
      <c r="J744" s="286">
        <v>157</v>
      </c>
      <c r="K744" s="304">
        <v>29.69</v>
      </c>
    </row>
    <row r="745" spans="1:22" ht="14.25" x14ac:dyDescent="0.2">
      <c r="A745" s="307"/>
      <c r="B745" s="308"/>
      <c r="C745" s="308" t="s">
        <v>192</v>
      </c>
      <c r="D745" s="309" t="s">
        <v>191</v>
      </c>
      <c r="E745" s="310">
        <v>5.15</v>
      </c>
      <c r="F745" s="361"/>
      <c r="G745" s="312" t="s">
        <v>1548</v>
      </c>
      <c r="H745" s="310">
        <v>1</v>
      </c>
      <c r="I745" s="311">
        <v>5.92</v>
      </c>
      <c r="J745" s="310"/>
      <c r="K745" s="311"/>
    </row>
    <row r="746" spans="1:22" ht="15" x14ac:dyDescent="0.25">
      <c r="A746" s="313"/>
      <c r="B746" s="313"/>
      <c r="C746" s="314" t="s">
        <v>183</v>
      </c>
      <c r="D746" s="313"/>
      <c r="E746" s="313"/>
      <c r="F746" s="313"/>
      <c r="G746" s="313"/>
      <c r="H746" s="472">
        <v>221.59</v>
      </c>
      <c r="I746" s="472"/>
      <c r="J746" s="472">
        <v>3898.86</v>
      </c>
      <c r="K746" s="472"/>
      <c r="O746" s="284">
        <f>I738+I739+I741+I742+I743+I744</f>
        <v>221.59</v>
      </c>
      <c r="P746" s="284">
        <f>K738+K739+K741+K742+K743+K744</f>
        <v>3898.86</v>
      </c>
    </row>
    <row r="748" spans="1:22" ht="65.25" x14ac:dyDescent="0.2">
      <c r="A748" s="301" t="s">
        <v>1534</v>
      </c>
      <c r="B748" s="302" t="s">
        <v>1474</v>
      </c>
      <c r="C748" s="302" t="s">
        <v>1247</v>
      </c>
      <c r="D748" s="303" t="s">
        <v>1903</v>
      </c>
      <c r="E748" s="286">
        <v>1</v>
      </c>
      <c r="F748" s="321"/>
      <c r="G748" s="305"/>
      <c r="H748" s="286"/>
      <c r="I748" s="304"/>
      <c r="J748" s="286"/>
      <c r="K748" s="304"/>
      <c r="Q748" s="281">
        <f>[20]Source!X719</f>
        <v>35.11</v>
      </c>
      <c r="R748" s="281">
        <f>[20]Source!X720</f>
        <v>647.26</v>
      </c>
      <c r="S748" s="281">
        <f>[20]Source!Y719</f>
        <v>20.64</v>
      </c>
      <c r="T748" s="281">
        <f>[20]Source!Y720</f>
        <v>294.86</v>
      </c>
      <c r="U748" s="281">
        <f>ROUND((175/100)*ROUND([20]Source!R719, 2), 2)</f>
        <v>0</v>
      </c>
      <c r="V748" s="281">
        <f>ROUND((157/100)*ROUND([20]Source!R720, 2), 2)</f>
        <v>0</v>
      </c>
    </row>
    <row r="749" spans="1:22" ht="14.25" x14ac:dyDescent="0.2">
      <c r="A749" s="301"/>
      <c r="B749" s="302"/>
      <c r="C749" s="302" t="s">
        <v>197</v>
      </c>
      <c r="D749" s="303"/>
      <c r="E749" s="286"/>
      <c r="F749" s="321">
        <v>26.78</v>
      </c>
      <c r="G749" s="305" t="s">
        <v>1548</v>
      </c>
      <c r="H749" s="286">
        <v>1</v>
      </c>
      <c r="I749" s="304">
        <v>30.8</v>
      </c>
      <c r="J749" s="286">
        <v>23.35</v>
      </c>
      <c r="K749" s="304">
        <v>719.18</v>
      </c>
    </row>
    <row r="750" spans="1:22" ht="14.25" x14ac:dyDescent="0.2">
      <c r="A750" s="301"/>
      <c r="B750" s="302"/>
      <c r="C750" s="302" t="s">
        <v>205</v>
      </c>
      <c r="D750" s="303"/>
      <c r="E750" s="286"/>
      <c r="F750" s="321">
        <v>0.28000000000000003</v>
      </c>
      <c r="G750" s="305" t="s">
        <v>195</v>
      </c>
      <c r="H750" s="286">
        <v>1</v>
      </c>
      <c r="I750" s="304">
        <v>0.28000000000000003</v>
      </c>
      <c r="J750" s="286">
        <v>5.43</v>
      </c>
      <c r="K750" s="304">
        <v>1.52</v>
      </c>
    </row>
    <row r="751" spans="1:22" ht="14.25" x14ac:dyDescent="0.2">
      <c r="A751" s="301"/>
      <c r="B751" s="302"/>
      <c r="C751" s="302" t="s">
        <v>194</v>
      </c>
      <c r="D751" s="303" t="s">
        <v>187</v>
      </c>
      <c r="E751" s="286">
        <v>112</v>
      </c>
      <c r="F751" s="321"/>
      <c r="G751" s="305"/>
      <c r="H751" s="286"/>
      <c r="I751" s="304">
        <v>35.11</v>
      </c>
      <c r="J751" s="286">
        <v>90</v>
      </c>
      <c r="K751" s="304">
        <v>647.26</v>
      </c>
    </row>
    <row r="752" spans="1:22" ht="14.25" x14ac:dyDescent="0.2">
      <c r="A752" s="301"/>
      <c r="B752" s="302"/>
      <c r="C752" s="302" t="s">
        <v>193</v>
      </c>
      <c r="D752" s="303" t="s">
        <v>187</v>
      </c>
      <c r="E752" s="286">
        <v>70</v>
      </c>
      <c r="F752" s="321"/>
      <c r="G752" s="305"/>
      <c r="H752" s="286"/>
      <c r="I752" s="304">
        <v>20.64</v>
      </c>
      <c r="J752" s="286">
        <v>41</v>
      </c>
      <c r="K752" s="304">
        <v>294.86</v>
      </c>
    </row>
    <row r="753" spans="1:22" ht="14.25" x14ac:dyDescent="0.2">
      <c r="A753" s="307"/>
      <c r="B753" s="308"/>
      <c r="C753" s="308" t="s">
        <v>192</v>
      </c>
      <c r="D753" s="309" t="s">
        <v>191</v>
      </c>
      <c r="E753" s="310">
        <v>2.06</v>
      </c>
      <c r="F753" s="361"/>
      <c r="G753" s="312" t="s">
        <v>1548</v>
      </c>
      <c r="H753" s="310">
        <v>1</v>
      </c>
      <c r="I753" s="311">
        <v>2.37</v>
      </c>
      <c r="J753" s="310"/>
      <c r="K753" s="311"/>
    </row>
    <row r="754" spans="1:22" ht="15" x14ac:dyDescent="0.25">
      <c r="A754" s="313"/>
      <c r="B754" s="313"/>
      <c r="C754" s="314" t="s">
        <v>183</v>
      </c>
      <c r="D754" s="313"/>
      <c r="E754" s="313"/>
      <c r="F754" s="313"/>
      <c r="G754" s="313"/>
      <c r="H754" s="472">
        <v>86.83</v>
      </c>
      <c r="I754" s="472"/>
      <c r="J754" s="472">
        <v>1662.82</v>
      </c>
      <c r="K754" s="472"/>
      <c r="O754" s="284">
        <f>I749+I750+I751+I752</f>
        <v>86.83</v>
      </c>
      <c r="P754" s="284">
        <f>K749+K750+K751+K752</f>
        <v>1662.82</v>
      </c>
    </row>
    <row r="756" spans="1:22" ht="65.25" x14ac:dyDescent="0.2">
      <c r="A756" s="301" t="s">
        <v>104</v>
      </c>
      <c r="B756" s="302" t="s">
        <v>1473</v>
      </c>
      <c r="C756" s="302" t="s">
        <v>1472</v>
      </c>
      <c r="D756" s="303" t="s">
        <v>1903</v>
      </c>
      <c r="E756" s="286">
        <v>1</v>
      </c>
      <c r="F756" s="321"/>
      <c r="G756" s="305"/>
      <c r="H756" s="286"/>
      <c r="I756" s="304"/>
      <c r="J756" s="286"/>
      <c r="K756" s="304"/>
      <c r="Q756" s="281">
        <f>[20]Source!X721</f>
        <v>7.62</v>
      </c>
      <c r="R756" s="281">
        <f>[20]Source!X722</f>
        <v>140.38</v>
      </c>
      <c r="S756" s="281">
        <f>[20]Source!Y721</f>
        <v>4.4800000000000004</v>
      </c>
      <c r="T756" s="281">
        <f>[20]Source!Y722</f>
        <v>63.95</v>
      </c>
      <c r="U756" s="281">
        <f>ROUND((175/100)*ROUND([20]Source!R721, 2), 2)</f>
        <v>12.09</v>
      </c>
      <c r="V756" s="281">
        <f>ROUND((157/100)*ROUND([20]Source!R722, 2), 2)</f>
        <v>253.32</v>
      </c>
    </row>
    <row r="757" spans="1:22" ht="14.25" x14ac:dyDescent="0.2">
      <c r="A757" s="301"/>
      <c r="B757" s="302"/>
      <c r="C757" s="302" t="s">
        <v>197</v>
      </c>
      <c r="D757" s="303"/>
      <c r="E757" s="286"/>
      <c r="F757" s="321">
        <v>5.81</v>
      </c>
      <c r="G757" s="305" t="s">
        <v>1548</v>
      </c>
      <c r="H757" s="286">
        <v>1</v>
      </c>
      <c r="I757" s="304">
        <v>6.68</v>
      </c>
      <c r="J757" s="286">
        <v>23.35</v>
      </c>
      <c r="K757" s="304">
        <v>155.97999999999999</v>
      </c>
    </row>
    <row r="758" spans="1:22" ht="14.25" x14ac:dyDescent="0.2">
      <c r="A758" s="301"/>
      <c r="B758" s="302"/>
      <c r="C758" s="302" t="s">
        <v>184</v>
      </c>
      <c r="D758" s="303"/>
      <c r="E758" s="286"/>
      <c r="F758" s="321">
        <v>27.61</v>
      </c>
      <c r="G758" s="305" t="s">
        <v>1549</v>
      </c>
      <c r="H758" s="286">
        <v>1</v>
      </c>
      <c r="I758" s="304">
        <v>34.51</v>
      </c>
      <c r="J758" s="286">
        <v>8.9600000000000009</v>
      </c>
      <c r="K758" s="304">
        <v>309.20999999999998</v>
      </c>
    </row>
    <row r="759" spans="1:22" ht="14.25" x14ac:dyDescent="0.2">
      <c r="A759" s="301"/>
      <c r="B759" s="302"/>
      <c r="C759" s="302" t="s">
        <v>189</v>
      </c>
      <c r="D759" s="303"/>
      <c r="E759" s="286"/>
      <c r="F759" s="321">
        <v>5.53</v>
      </c>
      <c r="G759" s="305" t="s">
        <v>1549</v>
      </c>
      <c r="H759" s="286">
        <v>1</v>
      </c>
      <c r="I759" s="306">
        <v>6.91</v>
      </c>
      <c r="J759" s="286">
        <v>23.35</v>
      </c>
      <c r="K759" s="306">
        <v>161.35</v>
      </c>
    </row>
    <row r="760" spans="1:22" ht="14.25" x14ac:dyDescent="0.2">
      <c r="A760" s="301"/>
      <c r="B760" s="302"/>
      <c r="C760" s="302" t="s">
        <v>205</v>
      </c>
      <c r="D760" s="303"/>
      <c r="E760" s="286"/>
      <c r="F760" s="321">
        <v>1.89</v>
      </c>
      <c r="G760" s="305" t="s">
        <v>195</v>
      </c>
      <c r="H760" s="286">
        <v>1</v>
      </c>
      <c r="I760" s="304">
        <v>1.89</v>
      </c>
      <c r="J760" s="286">
        <v>5.42</v>
      </c>
      <c r="K760" s="304">
        <v>10.24</v>
      </c>
    </row>
    <row r="761" spans="1:22" ht="14.25" x14ac:dyDescent="0.2">
      <c r="A761" s="301"/>
      <c r="B761" s="302"/>
      <c r="C761" s="302" t="s">
        <v>194</v>
      </c>
      <c r="D761" s="303" t="s">
        <v>187</v>
      </c>
      <c r="E761" s="286">
        <v>112</v>
      </c>
      <c r="F761" s="321"/>
      <c r="G761" s="305"/>
      <c r="H761" s="286"/>
      <c r="I761" s="304">
        <v>7.62</v>
      </c>
      <c r="J761" s="286">
        <v>90</v>
      </c>
      <c r="K761" s="304">
        <v>140.38</v>
      </c>
    </row>
    <row r="762" spans="1:22" ht="14.25" x14ac:dyDescent="0.2">
      <c r="A762" s="301"/>
      <c r="B762" s="302"/>
      <c r="C762" s="302" t="s">
        <v>193</v>
      </c>
      <c r="D762" s="303" t="s">
        <v>187</v>
      </c>
      <c r="E762" s="286">
        <v>70</v>
      </c>
      <c r="F762" s="321"/>
      <c r="G762" s="305"/>
      <c r="H762" s="286"/>
      <c r="I762" s="304">
        <v>4.4800000000000004</v>
      </c>
      <c r="J762" s="286">
        <v>41</v>
      </c>
      <c r="K762" s="304">
        <v>63.95</v>
      </c>
    </row>
    <row r="763" spans="1:22" ht="14.25" x14ac:dyDescent="0.2">
      <c r="A763" s="301"/>
      <c r="B763" s="302"/>
      <c r="C763" s="302" t="s">
        <v>188</v>
      </c>
      <c r="D763" s="303" t="s">
        <v>187</v>
      </c>
      <c r="E763" s="286">
        <v>175</v>
      </c>
      <c r="F763" s="321"/>
      <c r="G763" s="305"/>
      <c r="H763" s="286"/>
      <c r="I763" s="304">
        <v>12.09</v>
      </c>
      <c r="J763" s="286">
        <v>157</v>
      </c>
      <c r="K763" s="304">
        <v>253.32</v>
      </c>
    </row>
    <row r="764" spans="1:22" ht="14.25" x14ac:dyDescent="0.2">
      <c r="A764" s="307"/>
      <c r="B764" s="308"/>
      <c r="C764" s="308" t="s">
        <v>192</v>
      </c>
      <c r="D764" s="309" t="s">
        <v>191</v>
      </c>
      <c r="E764" s="310">
        <v>0.52</v>
      </c>
      <c r="F764" s="361"/>
      <c r="G764" s="312" t="s">
        <v>1548</v>
      </c>
      <c r="H764" s="310">
        <v>1</v>
      </c>
      <c r="I764" s="311">
        <v>0.6</v>
      </c>
      <c r="J764" s="310"/>
      <c r="K764" s="311"/>
    </row>
    <row r="765" spans="1:22" ht="15" x14ac:dyDescent="0.25">
      <c r="A765" s="313"/>
      <c r="B765" s="313"/>
      <c r="C765" s="314" t="s">
        <v>183</v>
      </c>
      <c r="D765" s="313"/>
      <c r="E765" s="313"/>
      <c r="F765" s="313"/>
      <c r="G765" s="313"/>
      <c r="H765" s="472">
        <v>67.27</v>
      </c>
      <c r="I765" s="472"/>
      <c r="J765" s="472">
        <v>933.08</v>
      </c>
      <c r="K765" s="472"/>
      <c r="O765" s="284">
        <f>I757+I758+I760+I761+I762+I763</f>
        <v>67.27</v>
      </c>
      <c r="P765" s="284">
        <f>K757+K758+K760+K761+K762+K763</f>
        <v>933.08</v>
      </c>
    </row>
    <row r="767" spans="1:22" ht="81" x14ac:dyDescent="0.2">
      <c r="A767" s="275" t="s">
        <v>1546</v>
      </c>
      <c r="B767" s="276" t="s">
        <v>3752</v>
      </c>
      <c r="C767" s="276" t="s">
        <v>1496</v>
      </c>
      <c r="D767" s="277" t="s">
        <v>3240</v>
      </c>
      <c r="E767" s="278">
        <v>1</v>
      </c>
      <c r="F767" s="362">
        <v>11543.7</v>
      </c>
      <c r="G767" s="280" t="s">
        <v>195</v>
      </c>
      <c r="H767" s="278">
        <v>1</v>
      </c>
      <c r="I767" s="279">
        <v>11543.7</v>
      </c>
      <c r="J767" s="278">
        <v>4.4000000000000004</v>
      </c>
      <c r="K767" s="279">
        <v>50792.28</v>
      </c>
      <c r="Q767" s="281">
        <f>[20]Source!X723</f>
        <v>0</v>
      </c>
      <c r="R767" s="281">
        <f>[20]Source!X724</f>
        <v>0</v>
      </c>
      <c r="S767" s="281">
        <f>[20]Source!Y723</f>
        <v>0</v>
      </c>
      <c r="T767" s="281">
        <f>[20]Source!Y724</f>
        <v>0</v>
      </c>
      <c r="U767" s="281">
        <f>ROUND((175/100)*ROUND([20]Source!R723, 2), 2)</f>
        <v>0</v>
      </c>
      <c r="V767" s="281">
        <f>ROUND((157/100)*ROUND([20]Source!R724, 2), 2)</f>
        <v>0</v>
      </c>
    </row>
    <row r="768" spans="1:22" ht="15" x14ac:dyDescent="0.25">
      <c r="A768" s="282"/>
      <c r="B768" s="282"/>
      <c r="C768" s="283" t="s">
        <v>183</v>
      </c>
      <c r="D768" s="282"/>
      <c r="E768" s="282"/>
      <c r="F768" s="282"/>
      <c r="G768" s="282"/>
      <c r="H768" s="473">
        <v>11543.7</v>
      </c>
      <c r="I768" s="473"/>
      <c r="J768" s="473">
        <v>50792.28</v>
      </c>
      <c r="K768" s="473"/>
      <c r="O768" s="284">
        <f>I767</f>
        <v>11543.7</v>
      </c>
      <c r="P768" s="284">
        <f>K767</f>
        <v>50792.28</v>
      </c>
    </row>
    <row r="771" spans="1:22" ht="15" x14ac:dyDescent="0.25">
      <c r="A771" s="447" t="s">
        <v>3783</v>
      </c>
      <c r="B771" s="447"/>
      <c r="C771" s="447"/>
      <c r="D771" s="447"/>
      <c r="E771" s="447"/>
      <c r="F771" s="447"/>
      <c r="G771" s="447"/>
      <c r="H771" s="445">
        <v>11919.39</v>
      </c>
      <c r="I771" s="446"/>
      <c r="J771" s="445">
        <v>57287.040000000001</v>
      </c>
      <c r="K771" s="446"/>
    </row>
    <row r="772" spans="1:22" hidden="1" x14ac:dyDescent="0.2">
      <c r="A772" s="281" t="s">
        <v>182</v>
      </c>
      <c r="I772" s="281">
        <v>0</v>
      </c>
      <c r="J772" s="281">
        <v>0</v>
      </c>
    </row>
    <row r="773" spans="1:22" hidden="1" x14ac:dyDescent="0.2">
      <c r="A773" s="281" t="s">
        <v>181</v>
      </c>
      <c r="I773" s="281">
        <v>0</v>
      </c>
      <c r="J773" s="281">
        <v>0</v>
      </c>
    </row>
    <row r="775" spans="1:22" ht="16.5" x14ac:dyDescent="0.25">
      <c r="A775" s="448" t="s">
        <v>3784</v>
      </c>
      <c r="B775" s="448"/>
      <c r="C775" s="448"/>
      <c r="D775" s="448"/>
      <c r="E775" s="448"/>
      <c r="F775" s="448"/>
      <c r="G775" s="448"/>
      <c r="H775" s="448"/>
      <c r="I775" s="448"/>
      <c r="J775" s="448"/>
      <c r="K775" s="448"/>
    </row>
    <row r="776" spans="1:22" ht="65.25" x14ac:dyDescent="0.2">
      <c r="A776" s="301" t="s">
        <v>719</v>
      </c>
      <c r="B776" s="302" t="s">
        <v>1476</v>
      </c>
      <c r="C776" s="302" t="s">
        <v>1475</v>
      </c>
      <c r="D776" s="303" t="s">
        <v>1903</v>
      </c>
      <c r="E776" s="286">
        <v>1</v>
      </c>
      <c r="F776" s="321"/>
      <c r="G776" s="305"/>
      <c r="H776" s="286"/>
      <c r="I776" s="304"/>
      <c r="J776" s="286"/>
      <c r="K776" s="304"/>
      <c r="Q776" s="281">
        <f>[20]Source!X760</f>
        <v>78.39</v>
      </c>
      <c r="R776" s="281">
        <f>[20]Source!X761</f>
        <v>1445</v>
      </c>
      <c r="S776" s="281">
        <f>[20]Source!Y760</f>
        <v>46.07</v>
      </c>
      <c r="T776" s="281">
        <f>[20]Source!Y761</f>
        <v>658.28</v>
      </c>
      <c r="U776" s="281">
        <f>ROUND((175/100)*ROUND([20]Source!R760, 2), 2)</f>
        <v>1.42</v>
      </c>
      <c r="V776" s="281">
        <f>ROUND((157/100)*ROUND([20]Source!R761, 2), 2)</f>
        <v>29.69</v>
      </c>
    </row>
    <row r="777" spans="1:22" ht="14.25" x14ac:dyDescent="0.2">
      <c r="A777" s="301"/>
      <c r="B777" s="302"/>
      <c r="C777" s="302" t="s">
        <v>197</v>
      </c>
      <c r="D777" s="303"/>
      <c r="E777" s="286"/>
      <c r="F777" s="321">
        <v>59.79</v>
      </c>
      <c r="G777" s="305" t="s">
        <v>1548</v>
      </c>
      <c r="H777" s="286">
        <v>1</v>
      </c>
      <c r="I777" s="304">
        <v>68.760000000000005</v>
      </c>
      <c r="J777" s="286">
        <v>23.35</v>
      </c>
      <c r="K777" s="304">
        <v>1605.55</v>
      </c>
    </row>
    <row r="778" spans="1:22" ht="14.25" x14ac:dyDescent="0.2">
      <c r="A778" s="301"/>
      <c r="B778" s="302"/>
      <c r="C778" s="302" t="s">
        <v>184</v>
      </c>
      <c r="D778" s="303"/>
      <c r="E778" s="286"/>
      <c r="F778" s="321">
        <v>4.42</v>
      </c>
      <c r="G778" s="305" t="s">
        <v>1549</v>
      </c>
      <c r="H778" s="286">
        <v>1</v>
      </c>
      <c r="I778" s="304">
        <v>5.53</v>
      </c>
      <c r="J778" s="286">
        <v>8</v>
      </c>
      <c r="K778" s="304">
        <v>44.24</v>
      </c>
    </row>
    <row r="779" spans="1:22" ht="14.25" x14ac:dyDescent="0.2">
      <c r="A779" s="301"/>
      <c r="B779" s="302"/>
      <c r="C779" s="302" t="s">
        <v>189</v>
      </c>
      <c r="D779" s="303"/>
      <c r="E779" s="286"/>
      <c r="F779" s="321">
        <v>0.65</v>
      </c>
      <c r="G779" s="305" t="s">
        <v>1549</v>
      </c>
      <c r="H779" s="286">
        <v>1</v>
      </c>
      <c r="I779" s="306">
        <v>0.81</v>
      </c>
      <c r="J779" s="286">
        <v>23.35</v>
      </c>
      <c r="K779" s="306">
        <v>18.91</v>
      </c>
    </row>
    <row r="780" spans="1:22" ht="14.25" x14ac:dyDescent="0.2">
      <c r="A780" s="301"/>
      <c r="B780" s="302"/>
      <c r="C780" s="302" t="s">
        <v>205</v>
      </c>
      <c r="D780" s="303"/>
      <c r="E780" s="286"/>
      <c r="F780" s="321">
        <v>21.42</v>
      </c>
      <c r="G780" s="305" t="s">
        <v>195</v>
      </c>
      <c r="H780" s="286">
        <v>1</v>
      </c>
      <c r="I780" s="304">
        <v>21.42</v>
      </c>
      <c r="J780" s="286">
        <v>5.42</v>
      </c>
      <c r="K780" s="304">
        <v>116.1</v>
      </c>
    </row>
    <row r="781" spans="1:22" ht="14.25" x14ac:dyDescent="0.2">
      <c r="A781" s="301"/>
      <c r="B781" s="302"/>
      <c r="C781" s="302" t="s">
        <v>194</v>
      </c>
      <c r="D781" s="303" t="s">
        <v>187</v>
      </c>
      <c r="E781" s="286">
        <v>112</v>
      </c>
      <c r="F781" s="321"/>
      <c r="G781" s="305"/>
      <c r="H781" s="286"/>
      <c r="I781" s="304">
        <v>78.39</v>
      </c>
      <c r="J781" s="286">
        <v>90</v>
      </c>
      <c r="K781" s="304">
        <v>1445</v>
      </c>
    </row>
    <row r="782" spans="1:22" ht="14.25" x14ac:dyDescent="0.2">
      <c r="A782" s="301"/>
      <c r="B782" s="302"/>
      <c r="C782" s="302" t="s">
        <v>193</v>
      </c>
      <c r="D782" s="303" t="s">
        <v>187</v>
      </c>
      <c r="E782" s="286">
        <v>70</v>
      </c>
      <c r="F782" s="321"/>
      <c r="G782" s="305"/>
      <c r="H782" s="286"/>
      <c r="I782" s="304">
        <v>46.07</v>
      </c>
      <c r="J782" s="286">
        <v>41</v>
      </c>
      <c r="K782" s="304">
        <v>658.28</v>
      </c>
    </row>
    <row r="783" spans="1:22" ht="14.25" x14ac:dyDescent="0.2">
      <c r="A783" s="301"/>
      <c r="B783" s="302"/>
      <c r="C783" s="302" t="s">
        <v>188</v>
      </c>
      <c r="D783" s="303" t="s">
        <v>187</v>
      </c>
      <c r="E783" s="286">
        <v>175</v>
      </c>
      <c r="F783" s="321"/>
      <c r="G783" s="305"/>
      <c r="H783" s="286"/>
      <c r="I783" s="304">
        <v>1.42</v>
      </c>
      <c r="J783" s="286">
        <v>157</v>
      </c>
      <c r="K783" s="304">
        <v>29.69</v>
      </c>
    </row>
    <row r="784" spans="1:22" ht="14.25" x14ac:dyDescent="0.2">
      <c r="A784" s="307"/>
      <c r="B784" s="308"/>
      <c r="C784" s="308" t="s">
        <v>192</v>
      </c>
      <c r="D784" s="309" t="s">
        <v>191</v>
      </c>
      <c r="E784" s="310">
        <v>5.15</v>
      </c>
      <c r="F784" s="361"/>
      <c r="G784" s="312" t="s">
        <v>1548</v>
      </c>
      <c r="H784" s="310">
        <v>1</v>
      </c>
      <c r="I784" s="311">
        <v>5.92</v>
      </c>
      <c r="J784" s="310"/>
      <c r="K784" s="311"/>
    </row>
    <row r="785" spans="1:22" ht="15" x14ac:dyDescent="0.25">
      <c r="A785" s="313"/>
      <c r="B785" s="313"/>
      <c r="C785" s="314" t="s">
        <v>183</v>
      </c>
      <c r="D785" s="313"/>
      <c r="E785" s="313"/>
      <c r="F785" s="313"/>
      <c r="G785" s="313"/>
      <c r="H785" s="472">
        <v>221.59</v>
      </c>
      <c r="I785" s="472"/>
      <c r="J785" s="472">
        <v>3898.86</v>
      </c>
      <c r="K785" s="472"/>
      <c r="O785" s="284">
        <f>I777+I778+I780+I781+I782+I783</f>
        <v>221.59</v>
      </c>
      <c r="P785" s="284">
        <f>K777+K778+K780+K781+K782+K783</f>
        <v>3898.86</v>
      </c>
    </row>
    <row r="787" spans="1:22" ht="65.25" x14ac:dyDescent="0.2">
      <c r="A787" s="301" t="s">
        <v>1534</v>
      </c>
      <c r="B787" s="302" t="s">
        <v>1474</v>
      </c>
      <c r="C787" s="302" t="s">
        <v>1247</v>
      </c>
      <c r="D787" s="303" t="s">
        <v>1903</v>
      </c>
      <c r="E787" s="286">
        <v>1</v>
      </c>
      <c r="F787" s="321"/>
      <c r="G787" s="305"/>
      <c r="H787" s="286"/>
      <c r="I787" s="304"/>
      <c r="J787" s="286"/>
      <c r="K787" s="304"/>
      <c r="Q787" s="281">
        <f>[20]Source!X762</f>
        <v>35.11</v>
      </c>
      <c r="R787" s="281">
        <f>[20]Source!X763</f>
        <v>647.26</v>
      </c>
      <c r="S787" s="281">
        <f>[20]Source!Y762</f>
        <v>20.64</v>
      </c>
      <c r="T787" s="281">
        <f>[20]Source!Y763</f>
        <v>294.86</v>
      </c>
      <c r="U787" s="281">
        <f>ROUND((175/100)*ROUND([20]Source!R762, 2), 2)</f>
        <v>0</v>
      </c>
      <c r="V787" s="281">
        <f>ROUND((157/100)*ROUND([20]Source!R763, 2), 2)</f>
        <v>0</v>
      </c>
    </row>
    <row r="788" spans="1:22" ht="14.25" x14ac:dyDescent="0.2">
      <c r="A788" s="301"/>
      <c r="B788" s="302"/>
      <c r="C788" s="302" t="s">
        <v>197</v>
      </c>
      <c r="D788" s="303"/>
      <c r="E788" s="286"/>
      <c r="F788" s="321">
        <v>26.78</v>
      </c>
      <c r="G788" s="305" t="s">
        <v>1548</v>
      </c>
      <c r="H788" s="286">
        <v>1</v>
      </c>
      <c r="I788" s="304">
        <v>30.8</v>
      </c>
      <c r="J788" s="286">
        <v>23.35</v>
      </c>
      <c r="K788" s="304">
        <v>719.18</v>
      </c>
    </row>
    <row r="789" spans="1:22" ht="14.25" x14ac:dyDescent="0.2">
      <c r="A789" s="301"/>
      <c r="B789" s="302"/>
      <c r="C789" s="302" t="s">
        <v>205</v>
      </c>
      <c r="D789" s="303"/>
      <c r="E789" s="286"/>
      <c r="F789" s="321">
        <v>0.28000000000000003</v>
      </c>
      <c r="G789" s="305" t="s">
        <v>195</v>
      </c>
      <c r="H789" s="286">
        <v>1</v>
      </c>
      <c r="I789" s="304">
        <v>0.28000000000000003</v>
      </c>
      <c r="J789" s="286">
        <v>5.43</v>
      </c>
      <c r="K789" s="304">
        <v>1.52</v>
      </c>
    </row>
    <row r="790" spans="1:22" ht="14.25" x14ac:dyDescent="0.2">
      <c r="A790" s="301"/>
      <c r="B790" s="302"/>
      <c r="C790" s="302" t="s">
        <v>194</v>
      </c>
      <c r="D790" s="303" t="s">
        <v>187</v>
      </c>
      <c r="E790" s="286">
        <v>112</v>
      </c>
      <c r="F790" s="321"/>
      <c r="G790" s="305"/>
      <c r="H790" s="286"/>
      <c r="I790" s="304">
        <v>35.11</v>
      </c>
      <c r="J790" s="286">
        <v>90</v>
      </c>
      <c r="K790" s="304">
        <v>647.26</v>
      </c>
    </row>
    <row r="791" spans="1:22" ht="14.25" x14ac:dyDescent="0.2">
      <c r="A791" s="301"/>
      <c r="B791" s="302"/>
      <c r="C791" s="302" t="s">
        <v>193</v>
      </c>
      <c r="D791" s="303" t="s">
        <v>187</v>
      </c>
      <c r="E791" s="286">
        <v>70</v>
      </c>
      <c r="F791" s="321"/>
      <c r="G791" s="305"/>
      <c r="H791" s="286"/>
      <c r="I791" s="304">
        <v>20.64</v>
      </c>
      <c r="J791" s="286">
        <v>41</v>
      </c>
      <c r="K791" s="304">
        <v>294.86</v>
      </c>
    </row>
    <row r="792" spans="1:22" ht="14.25" x14ac:dyDescent="0.2">
      <c r="A792" s="307"/>
      <c r="B792" s="308"/>
      <c r="C792" s="308" t="s">
        <v>192</v>
      </c>
      <c r="D792" s="309" t="s">
        <v>191</v>
      </c>
      <c r="E792" s="310">
        <v>2.06</v>
      </c>
      <c r="F792" s="361"/>
      <c r="G792" s="312" t="s">
        <v>1548</v>
      </c>
      <c r="H792" s="310">
        <v>1</v>
      </c>
      <c r="I792" s="311">
        <v>2.37</v>
      </c>
      <c r="J792" s="310"/>
      <c r="K792" s="311"/>
    </row>
    <row r="793" spans="1:22" ht="15" x14ac:dyDescent="0.25">
      <c r="A793" s="313"/>
      <c r="B793" s="313"/>
      <c r="C793" s="314" t="s">
        <v>183</v>
      </c>
      <c r="D793" s="313"/>
      <c r="E793" s="313"/>
      <c r="F793" s="313"/>
      <c r="G793" s="313"/>
      <c r="H793" s="472">
        <v>86.83</v>
      </c>
      <c r="I793" s="472"/>
      <c r="J793" s="472">
        <v>1662.82</v>
      </c>
      <c r="K793" s="472"/>
      <c r="O793" s="284">
        <f>I788+I789+I790+I791</f>
        <v>86.83</v>
      </c>
      <c r="P793" s="284">
        <f>K788+K789+K790+K791</f>
        <v>1662.82</v>
      </c>
    </row>
    <row r="795" spans="1:22" ht="65.25" x14ac:dyDescent="0.2">
      <c r="A795" s="301" t="s">
        <v>104</v>
      </c>
      <c r="B795" s="302" t="s">
        <v>1473</v>
      </c>
      <c r="C795" s="302" t="s">
        <v>1472</v>
      </c>
      <c r="D795" s="303" t="s">
        <v>1903</v>
      </c>
      <c r="E795" s="286">
        <v>1</v>
      </c>
      <c r="F795" s="321"/>
      <c r="G795" s="305"/>
      <c r="H795" s="286"/>
      <c r="I795" s="304"/>
      <c r="J795" s="286"/>
      <c r="K795" s="304"/>
      <c r="Q795" s="281">
        <f>[20]Source!X764</f>
        <v>7.62</v>
      </c>
      <c r="R795" s="281">
        <f>[20]Source!X765</f>
        <v>140.38</v>
      </c>
      <c r="S795" s="281">
        <f>[20]Source!Y764</f>
        <v>4.4800000000000004</v>
      </c>
      <c r="T795" s="281">
        <f>[20]Source!Y765</f>
        <v>63.95</v>
      </c>
      <c r="U795" s="281">
        <f>ROUND((175/100)*ROUND([20]Source!R764, 2), 2)</f>
        <v>12.09</v>
      </c>
      <c r="V795" s="281">
        <f>ROUND((157/100)*ROUND([20]Source!R765, 2), 2)</f>
        <v>253.32</v>
      </c>
    </row>
    <row r="796" spans="1:22" ht="14.25" x14ac:dyDescent="0.2">
      <c r="A796" s="301"/>
      <c r="B796" s="302"/>
      <c r="C796" s="302" t="s">
        <v>197</v>
      </c>
      <c r="D796" s="303"/>
      <c r="E796" s="286"/>
      <c r="F796" s="321">
        <v>5.81</v>
      </c>
      <c r="G796" s="305" t="s">
        <v>1548</v>
      </c>
      <c r="H796" s="286">
        <v>1</v>
      </c>
      <c r="I796" s="304">
        <v>6.68</v>
      </c>
      <c r="J796" s="286">
        <v>23.35</v>
      </c>
      <c r="K796" s="304">
        <v>155.97999999999999</v>
      </c>
    </row>
    <row r="797" spans="1:22" ht="14.25" x14ac:dyDescent="0.2">
      <c r="A797" s="301"/>
      <c r="B797" s="302"/>
      <c r="C797" s="302" t="s">
        <v>184</v>
      </c>
      <c r="D797" s="303"/>
      <c r="E797" s="286"/>
      <c r="F797" s="321">
        <v>27.61</v>
      </c>
      <c r="G797" s="305" t="s">
        <v>1549</v>
      </c>
      <c r="H797" s="286">
        <v>1</v>
      </c>
      <c r="I797" s="304">
        <v>34.51</v>
      </c>
      <c r="J797" s="286">
        <v>8.9600000000000009</v>
      </c>
      <c r="K797" s="304">
        <v>309.20999999999998</v>
      </c>
    </row>
    <row r="798" spans="1:22" ht="14.25" x14ac:dyDescent="0.2">
      <c r="A798" s="301"/>
      <c r="B798" s="302"/>
      <c r="C798" s="302" t="s">
        <v>189</v>
      </c>
      <c r="D798" s="303"/>
      <c r="E798" s="286"/>
      <c r="F798" s="321">
        <v>5.53</v>
      </c>
      <c r="G798" s="305" t="s">
        <v>1549</v>
      </c>
      <c r="H798" s="286">
        <v>1</v>
      </c>
      <c r="I798" s="306">
        <v>6.91</v>
      </c>
      <c r="J798" s="286">
        <v>23.35</v>
      </c>
      <c r="K798" s="306">
        <v>161.35</v>
      </c>
    </row>
    <row r="799" spans="1:22" ht="14.25" x14ac:dyDescent="0.2">
      <c r="A799" s="301"/>
      <c r="B799" s="302"/>
      <c r="C799" s="302" t="s">
        <v>205</v>
      </c>
      <c r="D799" s="303"/>
      <c r="E799" s="286"/>
      <c r="F799" s="321">
        <v>1.89</v>
      </c>
      <c r="G799" s="305" t="s">
        <v>195</v>
      </c>
      <c r="H799" s="286">
        <v>1</v>
      </c>
      <c r="I799" s="304">
        <v>1.89</v>
      </c>
      <c r="J799" s="286">
        <v>5.42</v>
      </c>
      <c r="K799" s="304">
        <v>10.24</v>
      </c>
    </row>
    <row r="800" spans="1:22" ht="14.25" x14ac:dyDescent="0.2">
      <c r="A800" s="301"/>
      <c r="B800" s="302"/>
      <c r="C800" s="302" t="s">
        <v>194</v>
      </c>
      <c r="D800" s="303" t="s">
        <v>187</v>
      </c>
      <c r="E800" s="286">
        <v>112</v>
      </c>
      <c r="F800" s="321"/>
      <c r="G800" s="305"/>
      <c r="H800" s="286"/>
      <c r="I800" s="304">
        <v>7.62</v>
      </c>
      <c r="J800" s="286">
        <v>90</v>
      </c>
      <c r="K800" s="304">
        <v>140.38</v>
      </c>
    </row>
    <row r="801" spans="1:22" ht="14.25" x14ac:dyDescent="0.2">
      <c r="A801" s="301"/>
      <c r="B801" s="302"/>
      <c r="C801" s="302" t="s">
        <v>193</v>
      </c>
      <c r="D801" s="303" t="s">
        <v>187</v>
      </c>
      <c r="E801" s="286">
        <v>70</v>
      </c>
      <c r="F801" s="321"/>
      <c r="G801" s="305"/>
      <c r="H801" s="286"/>
      <c r="I801" s="304">
        <v>4.4800000000000004</v>
      </c>
      <c r="J801" s="286">
        <v>41</v>
      </c>
      <c r="K801" s="304">
        <v>63.95</v>
      </c>
    </row>
    <row r="802" spans="1:22" ht="14.25" x14ac:dyDescent="0.2">
      <c r="A802" s="301"/>
      <c r="B802" s="302"/>
      <c r="C802" s="302" t="s">
        <v>188</v>
      </c>
      <c r="D802" s="303" t="s">
        <v>187</v>
      </c>
      <c r="E802" s="286">
        <v>175</v>
      </c>
      <c r="F802" s="321"/>
      <c r="G802" s="305"/>
      <c r="H802" s="286"/>
      <c r="I802" s="304">
        <v>12.09</v>
      </c>
      <c r="J802" s="286">
        <v>157</v>
      </c>
      <c r="K802" s="304">
        <v>253.32</v>
      </c>
    </row>
    <row r="803" spans="1:22" ht="14.25" x14ac:dyDescent="0.2">
      <c r="A803" s="307"/>
      <c r="B803" s="308"/>
      <c r="C803" s="308" t="s">
        <v>192</v>
      </c>
      <c r="D803" s="309" t="s">
        <v>191</v>
      </c>
      <c r="E803" s="310">
        <v>0.52</v>
      </c>
      <c r="F803" s="361"/>
      <c r="G803" s="312" t="s">
        <v>1548</v>
      </c>
      <c r="H803" s="310">
        <v>1</v>
      </c>
      <c r="I803" s="311">
        <v>0.6</v>
      </c>
      <c r="J803" s="310"/>
      <c r="K803" s="311"/>
    </row>
    <row r="804" spans="1:22" ht="15" x14ac:dyDescent="0.25">
      <c r="A804" s="313"/>
      <c r="B804" s="313"/>
      <c r="C804" s="314" t="s">
        <v>183</v>
      </c>
      <c r="D804" s="313"/>
      <c r="E804" s="313"/>
      <c r="F804" s="313"/>
      <c r="G804" s="313"/>
      <c r="H804" s="472">
        <v>67.27</v>
      </c>
      <c r="I804" s="472"/>
      <c r="J804" s="472">
        <v>933.08</v>
      </c>
      <c r="K804" s="472"/>
      <c r="O804" s="284">
        <f>I796+I797+I799+I800+I801+I802</f>
        <v>67.27</v>
      </c>
      <c r="P804" s="284">
        <f>K796+K797+K799+K800+K801+K802</f>
        <v>933.08</v>
      </c>
    </row>
    <row r="806" spans="1:22" ht="81" x14ac:dyDescent="0.2">
      <c r="A806" s="275" t="s">
        <v>1546</v>
      </c>
      <c r="B806" s="276" t="s">
        <v>3752</v>
      </c>
      <c r="C806" s="276" t="s">
        <v>1495</v>
      </c>
      <c r="D806" s="277" t="s">
        <v>3240</v>
      </c>
      <c r="E806" s="278">
        <v>1</v>
      </c>
      <c r="F806" s="362">
        <v>11543.7</v>
      </c>
      <c r="G806" s="280" t="s">
        <v>195</v>
      </c>
      <c r="H806" s="278">
        <v>1</v>
      </c>
      <c r="I806" s="279">
        <v>11543.7</v>
      </c>
      <c r="J806" s="278">
        <v>4.4000000000000004</v>
      </c>
      <c r="K806" s="279">
        <v>50792.28</v>
      </c>
      <c r="Q806" s="281">
        <f>[20]Source!X766</f>
        <v>0</v>
      </c>
      <c r="R806" s="281">
        <f>[20]Source!X767</f>
        <v>0</v>
      </c>
      <c r="S806" s="281">
        <f>[20]Source!Y766</f>
        <v>0</v>
      </c>
      <c r="T806" s="281">
        <f>[20]Source!Y767</f>
        <v>0</v>
      </c>
      <c r="U806" s="281">
        <f>ROUND((175/100)*ROUND([20]Source!R766, 2), 2)</f>
        <v>0</v>
      </c>
      <c r="V806" s="281">
        <f>ROUND((157/100)*ROUND([20]Source!R767, 2), 2)</f>
        <v>0</v>
      </c>
    </row>
    <row r="807" spans="1:22" ht="15" x14ac:dyDescent="0.25">
      <c r="A807" s="282"/>
      <c r="B807" s="282"/>
      <c r="C807" s="283" t="s">
        <v>183</v>
      </c>
      <c r="D807" s="282"/>
      <c r="E807" s="282"/>
      <c r="F807" s="282"/>
      <c r="G807" s="282"/>
      <c r="H807" s="473">
        <v>11543.7</v>
      </c>
      <c r="I807" s="473"/>
      <c r="J807" s="473">
        <v>50792.28</v>
      </c>
      <c r="K807" s="473"/>
      <c r="O807" s="284">
        <f>I806</f>
        <v>11543.7</v>
      </c>
      <c r="P807" s="284">
        <f>K806</f>
        <v>50792.28</v>
      </c>
    </row>
    <row r="810" spans="1:22" ht="15" x14ac:dyDescent="0.25">
      <c r="A810" s="447" t="s">
        <v>3785</v>
      </c>
      <c r="B810" s="447"/>
      <c r="C810" s="447"/>
      <c r="D810" s="447"/>
      <c r="E810" s="447"/>
      <c r="F810" s="447"/>
      <c r="G810" s="447"/>
      <c r="H810" s="445">
        <v>11919.39</v>
      </c>
      <c r="I810" s="446"/>
      <c r="J810" s="445">
        <v>57287.040000000001</v>
      </c>
      <c r="K810" s="446"/>
    </row>
    <row r="811" spans="1:22" hidden="1" x14ac:dyDescent="0.2">
      <c r="A811" s="281" t="s">
        <v>182</v>
      </c>
      <c r="I811" s="281">
        <v>0</v>
      </c>
      <c r="J811" s="281">
        <v>0</v>
      </c>
    </row>
    <row r="812" spans="1:22" hidden="1" x14ac:dyDescent="0.2">
      <c r="A812" s="281" t="s">
        <v>181</v>
      </c>
      <c r="I812" s="281">
        <v>0</v>
      </c>
      <c r="J812" s="281">
        <v>0</v>
      </c>
    </row>
    <row r="814" spans="1:22" ht="16.5" x14ac:dyDescent="0.25">
      <c r="A814" s="448" t="s">
        <v>3786</v>
      </c>
      <c r="B814" s="448"/>
      <c r="C814" s="448"/>
      <c r="D814" s="448"/>
      <c r="E814" s="448"/>
      <c r="F814" s="448"/>
      <c r="G814" s="448"/>
      <c r="H814" s="448"/>
      <c r="I814" s="448"/>
      <c r="J814" s="448"/>
      <c r="K814" s="448"/>
    </row>
    <row r="815" spans="1:22" ht="65.25" x14ac:dyDescent="0.2">
      <c r="A815" s="301" t="s">
        <v>719</v>
      </c>
      <c r="B815" s="302" t="s">
        <v>1476</v>
      </c>
      <c r="C815" s="302" t="s">
        <v>1475</v>
      </c>
      <c r="D815" s="303" t="s">
        <v>1903</v>
      </c>
      <c r="E815" s="286">
        <v>1</v>
      </c>
      <c r="F815" s="321"/>
      <c r="G815" s="305"/>
      <c r="H815" s="286"/>
      <c r="I815" s="304"/>
      <c r="J815" s="286"/>
      <c r="K815" s="304"/>
      <c r="Q815" s="281">
        <f>[20]Source!X803</f>
        <v>78.39</v>
      </c>
      <c r="R815" s="281">
        <f>[20]Source!X804</f>
        <v>1445</v>
      </c>
      <c r="S815" s="281">
        <f>[20]Source!Y803</f>
        <v>46.07</v>
      </c>
      <c r="T815" s="281">
        <f>[20]Source!Y804</f>
        <v>658.28</v>
      </c>
      <c r="U815" s="281">
        <f>ROUND((175/100)*ROUND([20]Source!R803, 2), 2)</f>
        <v>1.42</v>
      </c>
      <c r="V815" s="281">
        <f>ROUND((157/100)*ROUND([20]Source!R804, 2), 2)</f>
        <v>29.69</v>
      </c>
    </row>
    <row r="816" spans="1:22" ht="14.25" x14ac:dyDescent="0.2">
      <c r="A816" s="301"/>
      <c r="B816" s="302"/>
      <c r="C816" s="302" t="s">
        <v>197</v>
      </c>
      <c r="D816" s="303"/>
      <c r="E816" s="286"/>
      <c r="F816" s="321">
        <v>59.79</v>
      </c>
      <c r="G816" s="305" t="s">
        <v>1548</v>
      </c>
      <c r="H816" s="286">
        <v>1</v>
      </c>
      <c r="I816" s="304">
        <v>68.760000000000005</v>
      </c>
      <c r="J816" s="286">
        <v>23.35</v>
      </c>
      <c r="K816" s="304">
        <v>1605.55</v>
      </c>
    </row>
    <row r="817" spans="1:22" ht="14.25" x14ac:dyDescent="0.2">
      <c r="A817" s="301"/>
      <c r="B817" s="302"/>
      <c r="C817" s="302" t="s">
        <v>184</v>
      </c>
      <c r="D817" s="303"/>
      <c r="E817" s="286"/>
      <c r="F817" s="321">
        <v>4.42</v>
      </c>
      <c r="G817" s="305" t="s">
        <v>1549</v>
      </c>
      <c r="H817" s="286">
        <v>1</v>
      </c>
      <c r="I817" s="304">
        <v>5.53</v>
      </c>
      <c r="J817" s="286">
        <v>8</v>
      </c>
      <c r="K817" s="304">
        <v>44.24</v>
      </c>
    </row>
    <row r="818" spans="1:22" ht="14.25" x14ac:dyDescent="0.2">
      <c r="A818" s="301"/>
      <c r="B818" s="302"/>
      <c r="C818" s="302" t="s">
        <v>189</v>
      </c>
      <c r="D818" s="303"/>
      <c r="E818" s="286"/>
      <c r="F818" s="321">
        <v>0.65</v>
      </c>
      <c r="G818" s="305" t="s">
        <v>1549</v>
      </c>
      <c r="H818" s="286">
        <v>1</v>
      </c>
      <c r="I818" s="306">
        <v>0.81</v>
      </c>
      <c r="J818" s="286">
        <v>23.35</v>
      </c>
      <c r="K818" s="306">
        <v>18.91</v>
      </c>
    </row>
    <row r="819" spans="1:22" ht="14.25" x14ac:dyDescent="0.2">
      <c r="A819" s="301"/>
      <c r="B819" s="302"/>
      <c r="C819" s="302" t="s">
        <v>205</v>
      </c>
      <c r="D819" s="303"/>
      <c r="E819" s="286"/>
      <c r="F819" s="321">
        <v>21.42</v>
      </c>
      <c r="G819" s="305" t="s">
        <v>195</v>
      </c>
      <c r="H819" s="286">
        <v>1</v>
      </c>
      <c r="I819" s="304">
        <v>21.42</v>
      </c>
      <c r="J819" s="286">
        <v>5.42</v>
      </c>
      <c r="K819" s="304">
        <v>116.1</v>
      </c>
    </row>
    <row r="820" spans="1:22" ht="14.25" x14ac:dyDescent="0.2">
      <c r="A820" s="301"/>
      <c r="B820" s="302"/>
      <c r="C820" s="302" t="s">
        <v>194</v>
      </c>
      <c r="D820" s="303" t="s">
        <v>187</v>
      </c>
      <c r="E820" s="286">
        <v>112</v>
      </c>
      <c r="F820" s="321"/>
      <c r="G820" s="305"/>
      <c r="H820" s="286"/>
      <c r="I820" s="304">
        <v>78.39</v>
      </c>
      <c r="J820" s="286">
        <v>90</v>
      </c>
      <c r="K820" s="304">
        <v>1445</v>
      </c>
    </row>
    <row r="821" spans="1:22" ht="14.25" x14ac:dyDescent="0.2">
      <c r="A821" s="301"/>
      <c r="B821" s="302"/>
      <c r="C821" s="302" t="s">
        <v>193</v>
      </c>
      <c r="D821" s="303" t="s">
        <v>187</v>
      </c>
      <c r="E821" s="286">
        <v>70</v>
      </c>
      <c r="F821" s="321"/>
      <c r="G821" s="305"/>
      <c r="H821" s="286"/>
      <c r="I821" s="304">
        <v>46.07</v>
      </c>
      <c r="J821" s="286">
        <v>41</v>
      </c>
      <c r="K821" s="304">
        <v>658.28</v>
      </c>
    </row>
    <row r="822" spans="1:22" ht="14.25" x14ac:dyDescent="0.2">
      <c r="A822" s="301"/>
      <c r="B822" s="302"/>
      <c r="C822" s="302" t="s">
        <v>188</v>
      </c>
      <c r="D822" s="303" t="s">
        <v>187</v>
      </c>
      <c r="E822" s="286">
        <v>175</v>
      </c>
      <c r="F822" s="321"/>
      <c r="G822" s="305"/>
      <c r="H822" s="286"/>
      <c r="I822" s="304">
        <v>1.42</v>
      </c>
      <c r="J822" s="286">
        <v>157</v>
      </c>
      <c r="K822" s="304">
        <v>29.69</v>
      </c>
    </row>
    <row r="823" spans="1:22" ht="14.25" x14ac:dyDescent="0.2">
      <c r="A823" s="307"/>
      <c r="B823" s="308"/>
      <c r="C823" s="308" t="s">
        <v>192</v>
      </c>
      <c r="D823" s="309" t="s">
        <v>191</v>
      </c>
      <c r="E823" s="310">
        <v>5.15</v>
      </c>
      <c r="F823" s="361"/>
      <c r="G823" s="312" t="s">
        <v>1548</v>
      </c>
      <c r="H823" s="310">
        <v>1</v>
      </c>
      <c r="I823" s="311">
        <v>5.92</v>
      </c>
      <c r="J823" s="310"/>
      <c r="K823" s="311"/>
    </row>
    <row r="824" spans="1:22" ht="15" x14ac:dyDescent="0.25">
      <c r="A824" s="313"/>
      <c r="B824" s="313"/>
      <c r="C824" s="314" t="s">
        <v>183</v>
      </c>
      <c r="D824" s="313"/>
      <c r="E824" s="313"/>
      <c r="F824" s="313"/>
      <c r="G824" s="313"/>
      <c r="H824" s="472">
        <v>221.59</v>
      </c>
      <c r="I824" s="472"/>
      <c r="J824" s="472">
        <v>3898.86</v>
      </c>
      <c r="K824" s="472"/>
      <c r="O824" s="284">
        <f>I816+I817+I819+I820+I821+I822</f>
        <v>221.59</v>
      </c>
      <c r="P824" s="284">
        <f>K816+K817+K819+K820+K821+K822</f>
        <v>3898.86</v>
      </c>
    </row>
    <row r="826" spans="1:22" ht="65.25" x14ac:dyDescent="0.2">
      <c r="A826" s="301" t="s">
        <v>1534</v>
      </c>
      <c r="B826" s="302" t="s">
        <v>1474</v>
      </c>
      <c r="C826" s="302" t="s">
        <v>1247</v>
      </c>
      <c r="D826" s="303" t="s">
        <v>1903</v>
      </c>
      <c r="E826" s="286">
        <v>1</v>
      </c>
      <c r="F826" s="321"/>
      <c r="G826" s="305"/>
      <c r="H826" s="286"/>
      <c r="I826" s="304"/>
      <c r="J826" s="286"/>
      <c r="K826" s="304"/>
      <c r="Q826" s="281">
        <f>[20]Source!X805</f>
        <v>35.11</v>
      </c>
      <c r="R826" s="281">
        <f>[20]Source!X806</f>
        <v>647.26</v>
      </c>
      <c r="S826" s="281">
        <f>[20]Source!Y805</f>
        <v>20.64</v>
      </c>
      <c r="T826" s="281">
        <f>[20]Source!Y806</f>
        <v>294.86</v>
      </c>
      <c r="U826" s="281">
        <f>ROUND((175/100)*ROUND([20]Source!R805, 2), 2)</f>
        <v>0</v>
      </c>
      <c r="V826" s="281">
        <f>ROUND((157/100)*ROUND([20]Source!R806, 2), 2)</f>
        <v>0</v>
      </c>
    </row>
    <row r="827" spans="1:22" ht="14.25" x14ac:dyDescent="0.2">
      <c r="A827" s="301"/>
      <c r="B827" s="302"/>
      <c r="C827" s="302" t="s">
        <v>197</v>
      </c>
      <c r="D827" s="303"/>
      <c r="E827" s="286"/>
      <c r="F827" s="321">
        <v>26.78</v>
      </c>
      <c r="G827" s="305" t="s">
        <v>1548</v>
      </c>
      <c r="H827" s="286">
        <v>1</v>
      </c>
      <c r="I827" s="304">
        <v>30.8</v>
      </c>
      <c r="J827" s="286">
        <v>23.35</v>
      </c>
      <c r="K827" s="304">
        <v>719.18</v>
      </c>
    </row>
    <row r="828" spans="1:22" ht="14.25" x14ac:dyDescent="0.2">
      <c r="A828" s="301"/>
      <c r="B828" s="302"/>
      <c r="C828" s="302" t="s">
        <v>205</v>
      </c>
      <c r="D828" s="303"/>
      <c r="E828" s="286"/>
      <c r="F828" s="321">
        <v>0.28000000000000003</v>
      </c>
      <c r="G828" s="305" t="s">
        <v>195</v>
      </c>
      <c r="H828" s="286">
        <v>1</v>
      </c>
      <c r="I828" s="304">
        <v>0.28000000000000003</v>
      </c>
      <c r="J828" s="286">
        <v>5.43</v>
      </c>
      <c r="K828" s="304">
        <v>1.52</v>
      </c>
    </row>
    <row r="829" spans="1:22" ht="14.25" x14ac:dyDescent="0.2">
      <c r="A829" s="301"/>
      <c r="B829" s="302"/>
      <c r="C829" s="302" t="s">
        <v>194</v>
      </c>
      <c r="D829" s="303" t="s">
        <v>187</v>
      </c>
      <c r="E829" s="286">
        <v>112</v>
      </c>
      <c r="F829" s="321"/>
      <c r="G829" s="305"/>
      <c r="H829" s="286"/>
      <c r="I829" s="304">
        <v>35.11</v>
      </c>
      <c r="J829" s="286">
        <v>90</v>
      </c>
      <c r="K829" s="304">
        <v>647.26</v>
      </c>
    </row>
    <row r="830" spans="1:22" ht="14.25" x14ac:dyDescent="0.2">
      <c r="A830" s="301"/>
      <c r="B830" s="302"/>
      <c r="C830" s="302" t="s">
        <v>193</v>
      </c>
      <c r="D830" s="303" t="s">
        <v>187</v>
      </c>
      <c r="E830" s="286">
        <v>70</v>
      </c>
      <c r="F830" s="321"/>
      <c r="G830" s="305"/>
      <c r="H830" s="286"/>
      <c r="I830" s="304">
        <v>20.64</v>
      </c>
      <c r="J830" s="286">
        <v>41</v>
      </c>
      <c r="K830" s="304">
        <v>294.86</v>
      </c>
    </row>
    <row r="831" spans="1:22" ht="14.25" x14ac:dyDescent="0.2">
      <c r="A831" s="307"/>
      <c r="B831" s="308"/>
      <c r="C831" s="308" t="s">
        <v>192</v>
      </c>
      <c r="D831" s="309" t="s">
        <v>191</v>
      </c>
      <c r="E831" s="310">
        <v>2.06</v>
      </c>
      <c r="F831" s="361"/>
      <c r="G831" s="312" t="s">
        <v>1548</v>
      </c>
      <c r="H831" s="310">
        <v>1</v>
      </c>
      <c r="I831" s="311">
        <v>2.37</v>
      </c>
      <c r="J831" s="310"/>
      <c r="K831" s="311"/>
    </row>
    <row r="832" spans="1:22" ht="15" x14ac:dyDescent="0.25">
      <c r="A832" s="313"/>
      <c r="B832" s="313"/>
      <c r="C832" s="314" t="s">
        <v>183</v>
      </c>
      <c r="D832" s="313"/>
      <c r="E832" s="313"/>
      <c r="F832" s="313"/>
      <c r="G832" s="313"/>
      <c r="H832" s="472">
        <v>86.83</v>
      </c>
      <c r="I832" s="472"/>
      <c r="J832" s="472">
        <v>1662.82</v>
      </c>
      <c r="K832" s="472"/>
      <c r="O832" s="284">
        <f>I827+I828+I829+I830</f>
        <v>86.83</v>
      </c>
      <c r="P832" s="284">
        <f>K827+K828+K829+K830</f>
        <v>1662.82</v>
      </c>
    </row>
    <row r="834" spans="1:22" ht="65.25" x14ac:dyDescent="0.2">
      <c r="A834" s="301" t="s">
        <v>104</v>
      </c>
      <c r="B834" s="302" t="s">
        <v>1473</v>
      </c>
      <c r="C834" s="302" t="s">
        <v>1472</v>
      </c>
      <c r="D834" s="303" t="s">
        <v>1903</v>
      </c>
      <c r="E834" s="286">
        <v>1</v>
      </c>
      <c r="F834" s="321"/>
      <c r="G834" s="305"/>
      <c r="H834" s="286"/>
      <c r="I834" s="304"/>
      <c r="J834" s="286"/>
      <c r="K834" s="304"/>
      <c r="Q834" s="281">
        <f>[20]Source!X807</f>
        <v>7.62</v>
      </c>
      <c r="R834" s="281">
        <f>[20]Source!X808</f>
        <v>140.38</v>
      </c>
      <c r="S834" s="281">
        <f>[20]Source!Y807</f>
        <v>4.4800000000000004</v>
      </c>
      <c r="T834" s="281">
        <f>[20]Source!Y808</f>
        <v>63.95</v>
      </c>
      <c r="U834" s="281">
        <f>ROUND((175/100)*ROUND([20]Source!R807, 2), 2)</f>
        <v>12.09</v>
      </c>
      <c r="V834" s="281">
        <f>ROUND((157/100)*ROUND([20]Source!R808, 2), 2)</f>
        <v>253.32</v>
      </c>
    </row>
    <row r="835" spans="1:22" ht="14.25" x14ac:dyDescent="0.2">
      <c r="A835" s="301"/>
      <c r="B835" s="302"/>
      <c r="C835" s="302" t="s">
        <v>197</v>
      </c>
      <c r="D835" s="303"/>
      <c r="E835" s="286"/>
      <c r="F835" s="321">
        <v>5.81</v>
      </c>
      <c r="G835" s="305" t="s">
        <v>1548</v>
      </c>
      <c r="H835" s="286">
        <v>1</v>
      </c>
      <c r="I835" s="304">
        <v>6.68</v>
      </c>
      <c r="J835" s="286">
        <v>23.35</v>
      </c>
      <c r="K835" s="304">
        <v>155.97999999999999</v>
      </c>
    </row>
    <row r="836" spans="1:22" ht="14.25" x14ac:dyDescent="0.2">
      <c r="A836" s="301"/>
      <c r="B836" s="302"/>
      <c r="C836" s="302" t="s">
        <v>184</v>
      </c>
      <c r="D836" s="303"/>
      <c r="E836" s="286"/>
      <c r="F836" s="321">
        <v>27.61</v>
      </c>
      <c r="G836" s="305" t="s">
        <v>1549</v>
      </c>
      <c r="H836" s="286">
        <v>1</v>
      </c>
      <c r="I836" s="304">
        <v>34.51</v>
      </c>
      <c r="J836" s="286">
        <v>8.9600000000000009</v>
      </c>
      <c r="K836" s="304">
        <v>309.20999999999998</v>
      </c>
    </row>
    <row r="837" spans="1:22" ht="14.25" x14ac:dyDescent="0.2">
      <c r="A837" s="301"/>
      <c r="B837" s="302"/>
      <c r="C837" s="302" t="s">
        <v>189</v>
      </c>
      <c r="D837" s="303"/>
      <c r="E837" s="286"/>
      <c r="F837" s="321">
        <v>5.53</v>
      </c>
      <c r="G837" s="305" t="s">
        <v>1549</v>
      </c>
      <c r="H837" s="286">
        <v>1</v>
      </c>
      <c r="I837" s="306">
        <v>6.91</v>
      </c>
      <c r="J837" s="286">
        <v>23.35</v>
      </c>
      <c r="K837" s="306">
        <v>161.35</v>
      </c>
    </row>
    <row r="838" spans="1:22" ht="14.25" x14ac:dyDescent="0.2">
      <c r="A838" s="301"/>
      <c r="B838" s="302"/>
      <c r="C838" s="302" t="s">
        <v>205</v>
      </c>
      <c r="D838" s="303"/>
      <c r="E838" s="286"/>
      <c r="F838" s="321">
        <v>1.89</v>
      </c>
      <c r="G838" s="305" t="s">
        <v>195</v>
      </c>
      <c r="H838" s="286">
        <v>1</v>
      </c>
      <c r="I838" s="304">
        <v>1.89</v>
      </c>
      <c r="J838" s="286">
        <v>5.42</v>
      </c>
      <c r="K838" s="304">
        <v>10.24</v>
      </c>
    </row>
    <row r="839" spans="1:22" ht="14.25" x14ac:dyDescent="0.2">
      <c r="A839" s="301"/>
      <c r="B839" s="302"/>
      <c r="C839" s="302" t="s">
        <v>194</v>
      </c>
      <c r="D839" s="303" t="s">
        <v>187</v>
      </c>
      <c r="E839" s="286">
        <v>112</v>
      </c>
      <c r="F839" s="321"/>
      <c r="G839" s="305"/>
      <c r="H839" s="286"/>
      <c r="I839" s="304">
        <v>7.62</v>
      </c>
      <c r="J839" s="286">
        <v>90</v>
      </c>
      <c r="K839" s="304">
        <v>140.38</v>
      </c>
    </row>
    <row r="840" spans="1:22" ht="14.25" x14ac:dyDescent="0.2">
      <c r="A840" s="301"/>
      <c r="B840" s="302"/>
      <c r="C840" s="302" t="s">
        <v>193</v>
      </c>
      <c r="D840" s="303" t="s">
        <v>187</v>
      </c>
      <c r="E840" s="286">
        <v>70</v>
      </c>
      <c r="F840" s="321"/>
      <c r="G840" s="305"/>
      <c r="H840" s="286"/>
      <c r="I840" s="304">
        <v>4.4800000000000004</v>
      </c>
      <c r="J840" s="286">
        <v>41</v>
      </c>
      <c r="K840" s="304">
        <v>63.95</v>
      </c>
    </row>
    <row r="841" spans="1:22" ht="14.25" x14ac:dyDescent="0.2">
      <c r="A841" s="301"/>
      <c r="B841" s="302"/>
      <c r="C841" s="302" t="s">
        <v>188</v>
      </c>
      <c r="D841" s="303" t="s">
        <v>187</v>
      </c>
      <c r="E841" s="286">
        <v>175</v>
      </c>
      <c r="F841" s="321"/>
      <c r="G841" s="305"/>
      <c r="H841" s="286"/>
      <c r="I841" s="304">
        <v>12.09</v>
      </c>
      <c r="J841" s="286">
        <v>157</v>
      </c>
      <c r="K841" s="304">
        <v>253.32</v>
      </c>
    </row>
    <row r="842" spans="1:22" ht="14.25" x14ac:dyDescent="0.2">
      <c r="A842" s="307"/>
      <c r="B842" s="308"/>
      <c r="C842" s="308" t="s">
        <v>192</v>
      </c>
      <c r="D842" s="309" t="s">
        <v>191</v>
      </c>
      <c r="E842" s="310">
        <v>0.52</v>
      </c>
      <c r="F842" s="361"/>
      <c r="G842" s="312" t="s">
        <v>1548</v>
      </c>
      <c r="H842" s="310">
        <v>1</v>
      </c>
      <c r="I842" s="311">
        <v>0.6</v>
      </c>
      <c r="J842" s="310"/>
      <c r="K842" s="311"/>
    </row>
    <row r="843" spans="1:22" ht="15" x14ac:dyDescent="0.25">
      <c r="A843" s="313"/>
      <c r="B843" s="313"/>
      <c r="C843" s="314" t="s">
        <v>183</v>
      </c>
      <c r="D843" s="313"/>
      <c r="E843" s="313"/>
      <c r="F843" s="313"/>
      <c r="G843" s="313"/>
      <c r="H843" s="472">
        <v>67.27</v>
      </c>
      <c r="I843" s="472"/>
      <c r="J843" s="472">
        <v>933.08</v>
      </c>
      <c r="K843" s="472"/>
      <c r="O843" s="284">
        <f>I835+I836+I838+I839+I840+I841</f>
        <v>67.27</v>
      </c>
      <c r="P843" s="284">
        <f>K835+K836+K838+K839+K840+K841</f>
        <v>933.08</v>
      </c>
    </row>
    <row r="845" spans="1:22" ht="81" x14ac:dyDescent="0.2">
      <c r="A845" s="275" t="s">
        <v>1546</v>
      </c>
      <c r="B845" s="276" t="s">
        <v>3752</v>
      </c>
      <c r="C845" s="276" t="s">
        <v>1494</v>
      </c>
      <c r="D845" s="277" t="s">
        <v>3240</v>
      </c>
      <c r="E845" s="278">
        <v>1</v>
      </c>
      <c r="F845" s="362">
        <v>11543.7</v>
      </c>
      <c r="G845" s="280" t="s">
        <v>195</v>
      </c>
      <c r="H845" s="278">
        <v>1</v>
      </c>
      <c r="I845" s="279">
        <v>11543.7</v>
      </c>
      <c r="J845" s="278">
        <v>4.4000000000000004</v>
      </c>
      <c r="K845" s="279">
        <v>50792.28</v>
      </c>
      <c r="Q845" s="281">
        <f>[20]Source!X809</f>
        <v>0</v>
      </c>
      <c r="R845" s="281">
        <f>[20]Source!X810</f>
        <v>0</v>
      </c>
      <c r="S845" s="281">
        <f>[20]Source!Y809</f>
        <v>0</v>
      </c>
      <c r="T845" s="281">
        <f>[20]Source!Y810</f>
        <v>0</v>
      </c>
      <c r="U845" s="281">
        <f>ROUND((175/100)*ROUND([20]Source!R809, 2), 2)</f>
        <v>0</v>
      </c>
      <c r="V845" s="281">
        <f>ROUND((157/100)*ROUND([20]Source!R810, 2), 2)</f>
        <v>0</v>
      </c>
    </row>
    <row r="846" spans="1:22" ht="15" x14ac:dyDescent="0.25">
      <c r="A846" s="282"/>
      <c r="B846" s="282"/>
      <c r="C846" s="283" t="s">
        <v>183</v>
      </c>
      <c r="D846" s="282"/>
      <c r="E846" s="282"/>
      <c r="F846" s="282"/>
      <c r="G846" s="282"/>
      <c r="H846" s="473">
        <v>11543.7</v>
      </c>
      <c r="I846" s="473"/>
      <c r="J846" s="473">
        <v>50792.28</v>
      </c>
      <c r="K846" s="473"/>
      <c r="O846" s="284">
        <f>I845</f>
        <v>11543.7</v>
      </c>
      <c r="P846" s="284">
        <f>K845</f>
        <v>50792.28</v>
      </c>
    </row>
    <row r="849" spans="1:22" ht="15" x14ac:dyDescent="0.25">
      <c r="A849" s="447" t="s">
        <v>3787</v>
      </c>
      <c r="B849" s="447"/>
      <c r="C849" s="447"/>
      <c r="D849" s="447"/>
      <c r="E849" s="447"/>
      <c r="F849" s="447"/>
      <c r="G849" s="447"/>
      <c r="H849" s="445">
        <v>11919.39</v>
      </c>
      <c r="I849" s="446"/>
      <c r="J849" s="445">
        <v>57287.040000000001</v>
      </c>
      <c r="K849" s="446"/>
    </row>
    <row r="850" spans="1:22" hidden="1" x14ac:dyDescent="0.2">
      <c r="A850" s="281" t="s">
        <v>182</v>
      </c>
      <c r="I850" s="281">
        <v>0</v>
      </c>
      <c r="J850" s="281">
        <v>0</v>
      </c>
    </row>
    <row r="851" spans="1:22" hidden="1" x14ac:dyDescent="0.2">
      <c r="A851" s="281" t="s">
        <v>181</v>
      </c>
      <c r="I851" s="281">
        <v>0</v>
      </c>
      <c r="J851" s="281">
        <v>0</v>
      </c>
    </row>
    <row r="853" spans="1:22" ht="16.5" x14ac:dyDescent="0.25">
      <c r="A853" s="448" t="s">
        <v>3788</v>
      </c>
      <c r="B853" s="448"/>
      <c r="C853" s="448"/>
      <c r="D853" s="448"/>
      <c r="E853" s="448"/>
      <c r="F853" s="448"/>
      <c r="G853" s="448"/>
      <c r="H853" s="448"/>
      <c r="I853" s="448"/>
      <c r="J853" s="448"/>
      <c r="K853" s="448"/>
    </row>
    <row r="854" spans="1:22" ht="65.25" x14ac:dyDescent="0.2">
      <c r="A854" s="301" t="s">
        <v>719</v>
      </c>
      <c r="B854" s="302" t="s">
        <v>1476</v>
      </c>
      <c r="C854" s="302" t="s">
        <v>1475</v>
      </c>
      <c r="D854" s="303" t="s">
        <v>1903</v>
      </c>
      <c r="E854" s="286">
        <v>1</v>
      </c>
      <c r="F854" s="321"/>
      <c r="G854" s="305"/>
      <c r="H854" s="286"/>
      <c r="I854" s="304"/>
      <c r="J854" s="286"/>
      <c r="K854" s="304"/>
      <c r="Q854" s="281">
        <f>[20]Source!X846</f>
        <v>78.39</v>
      </c>
      <c r="R854" s="281">
        <f>[20]Source!X847</f>
        <v>1445</v>
      </c>
      <c r="S854" s="281">
        <f>[20]Source!Y846</f>
        <v>46.07</v>
      </c>
      <c r="T854" s="281">
        <f>[20]Source!Y847</f>
        <v>658.28</v>
      </c>
      <c r="U854" s="281">
        <f>ROUND((175/100)*ROUND([20]Source!R846, 2), 2)</f>
        <v>1.42</v>
      </c>
      <c r="V854" s="281">
        <f>ROUND((157/100)*ROUND([20]Source!R847, 2), 2)</f>
        <v>29.69</v>
      </c>
    </row>
    <row r="855" spans="1:22" ht="14.25" x14ac:dyDescent="0.2">
      <c r="A855" s="301"/>
      <c r="B855" s="302"/>
      <c r="C855" s="302" t="s">
        <v>197</v>
      </c>
      <c r="D855" s="303"/>
      <c r="E855" s="286"/>
      <c r="F855" s="321">
        <v>59.79</v>
      </c>
      <c r="G855" s="305" t="s">
        <v>1548</v>
      </c>
      <c r="H855" s="286">
        <v>1</v>
      </c>
      <c r="I855" s="304">
        <v>68.760000000000005</v>
      </c>
      <c r="J855" s="286">
        <v>23.35</v>
      </c>
      <c r="K855" s="304">
        <v>1605.55</v>
      </c>
    </row>
    <row r="856" spans="1:22" ht="14.25" x14ac:dyDescent="0.2">
      <c r="A856" s="301"/>
      <c r="B856" s="302"/>
      <c r="C856" s="302" t="s">
        <v>184</v>
      </c>
      <c r="D856" s="303"/>
      <c r="E856" s="286"/>
      <c r="F856" s="321">
        <v>4.42</v>
      </c>
      <c r="G856" s="305" t="s">
        <v>1549</v>
      </c>
      <c r="H856" s="286">
        <v>1</v>
      </c>
      <c r="I856" s="304">
        <v>5.53</v>
      </c>
      <c r="J856" s="286">
        <v>8</v>
      </c>
      <c r="K856" s="304">
        <v>44.24</v>
      </c>
    </row>
    <row r="857" spans="1:22" ht="14.25" x14ac:dyDescent="0.2">
      <c r="A857" s="301"/>
      <c r="B857" s="302"/>
      <c r="C857" s="302" t="s">
        <v>189</v>
      </c>
      <c r="D857" s="303"/>
      <c r="E857" s="286"/>
      <c r="F857" s="321">
        <v>0.65</v>
      </c>
      <c r="G857" s="305" t="s">
        <v>1549</v>
      </c>
      <c r="H857" s="286">
        <v>1</v>
      </c>
      <c r="I857" s="306">
        <v>0.81</v>
      </c>
      <c r="J857" s="286">
        <v>23.35</v>
      </c>
      <c r="K857" s="306">
        <v>18.91</v>
      </c>
    </row>
    <row r="858" spans="1:22" ht="14.25" x14ac:dyDescent="0.2">
      <c r="A858" s="301"/>
      <c r="B858" s="302"/>
      <c r="C858" s="302" t="s">
        <v>205</v>
      </c>
      <c r="D858" s="303"/>
      <c r="E858" s="286"/>
      <c r="F858" s="321">
        <v>21.42</v>
      </c>
      <c r="G858" s="305" t="s">
        <v>195</v>
      </c>
      <c r="H858" s="286">
        <v>1</v>
      </c>
      <c r="I858" s="304">
        <v>21.42</v>
      </c>
      <c r="J858" s="286">
        <v>5.42</v>
      </c>
      <c r="K858" s="304">
        <v>116.1</v>
      </c>
    </row>
    <row r="859" spans="1:22" ht="14.25" x14ac:dyDescent="0.2">
      <c r="A859" s="301"/>
      <c r="B859" s="302"/>
      <c r="C859" s="302" t="s">
        <v>194</v>
      </c>
      <c r="D859" s="303" t="s">
        <v>187</v>
      </c>
      <c r="E859" s="286">
        <v>112</v>
      </c>
      <c r="F859" s="321"/>
      <c r="G859" s="305"/>
      <c r="H859" s="286"/>
      <c r="I859" s="304">
        <v>78.39</v>
      </c>
      <c r="J859" s="286">
        <v>90</v>
      </c>
      <c r="K859" s="304">
        <v>1445</v>
      </c>
    </row>
    <row r="860" spans="1:22" ht="14.25" x14ac:dyDescent="0.2">
      <c r="A860" s="301"/>
      <c r="B860" s="302"/>
      <c r="C860" s="302" t="s">
        <v>193</v>
      </c>
      <c r="D860" s="303" t="s">
        <v>187</v>
      </c>
      <c r="E860" s="286">
        <v>70</v>
      </c>
      <c r="F860" s="321"/>
      <c r="G860" s="305"/>
      <c r="H860" s="286"/>
      <c r="I860" s="304">
        <v>46.07</v>
      </c>
      <c r="J860" s="286">
        <v>41</v>
      </c>
      <c r="K860" s="304">
        <v>658.28</v>
      </c>
    </row>
    <row r="861" spans="1:22" ht="14.25" x14ac:dyDescent="0.2">
      <c r="A861" s="301"/>
      <c r="B861" s="302"/>
      <c r="C861" s="302" t="s">
        <v>188</v>
      </c>
      <c r="D861" s="303" t="s">
        <v>187</v>
      </c>
      <c r="E861" s="286">
        <v>175</v>
      </c>
      <c r="F861" s="321"/>
      <c r="G861" s="305"/>
      <c r="H861" s="286"/>
      <c r="I861" s="304">
        <v>1.42</v>
      </c>
      <c r="J861" s="286">
        <v>157</v>
      </c>
      <c r="K861" s="304">
        <v>29.69</v>
      </c>
    </row>
    <row r="862" spans="1:22" ht="14.25" x14ac:dyDescent="0.2">
      <c r="A862" s="307"/>
      <c r="B862" s="308"/>
      <c r="C862" s="308" t="s">
        <v>192</v>
      </c>
      <c r="D862" s="309" t="s">
        <v>191</v>
      </c>
      <c r="E862" s="310">
        <v>5.15</v>
      </c>
      <c r="F862" s="361"/>
      <c r="G862" s="312" t="s">
        <v>1548</v>
      </c>
      <c r="H862" s="310">
        <v>1</v>
      </c>
      <c r="I862" s="311">
        <v>5.92</v>
      </c>
      <c r="J862" s="310"/>
      <c r="K862" s="311"/>
    </row>
    <row r="863" spans="1:22" ht="15" x14ac:dyDescent="0.25">
      <c r="A863" s="313"/>
      <c r="B863" s="313"/>
      <c r="C863" s="314" t="s">
        <v>183</v>
      </c>
      <c r="D863" s="313"/>
      <c r="E863" s="313"/>
      <c r="F863" s="313"/>
      <c r="G863" s="313"/>
      <c r="H863" s="472">
        <v>221.59</v>
      </c>
      <c r="I863" s="472"/>
      <c r="J863" s="472">
        <v>3898.86</v>
      </c>
      <c r="K863" s="472"/>
      <c r="O863" s="284">
        <f>I855+I856+I858+I859+I860+I861</f>
        <v>221.59</v>
      </c>
      <c r="P863" s="284">
        <f>K855+K856+K858+K859+K860+K861</f>
        <v>3898.86</v>
      </c>
    </row>
    <row r="865" spans="1:22" ht="65.25" x14ac:dyDescent="0.2">
      <c r="A865" s="301" t="s">
        <v>1534</v>
      </c>
      <c r="B865" s="302" t="s">
        <v>1474</v>
      </c>
      <c r="C865" s="302" t="s">
        <v>1247</v>
      </c>
      <c r="D865" s="303" t="s">
        <v>1903</v>
      </c>
      <c r="E865" s="286">
        <v>2</v>
      </c>
      <c r="F865" s="321"/>
      <c r="G865" s="305"/>
      <c r="H865" s="286"/>
      <c r="I865" s="304"/>
      <c r="J865" s="286"/>
      <c r="K865" s="304"/>
      <c r="Q865" s="281">
        <f>[20]Source!X848</f>
        <v>70.209999999999994</v>
      </c>
      <c r="R865" s="281">
        <f>[20]Source!X849</f>
        <v>1294.32</v>
      </c>
      <c r="S865" s="281">
        <f>[20]Source!Y848</f>
        <v>41.27</v>
      </c>
      <c r="T865" s="281">
        <f>[20]Source!Y849</f>
        <v>589.63</v>
      </c>
      <c r="U865" s="281">
        <f>ROUND((175/100)*ROUND([20]Source!R848, 2), 2)</f>
        <v>0</v>
      </c>
      <c r="V865" s="281">
        <f>ROUND((157/100)*ROUND([20]Source!R849, 2), 2)</f>
        <v>0</v>
      </c>
    </row>
    <row r="866" spans="1:22" ht="14.25" x14ac:dyDescent="0.2">
      <c r="A866" s="301"/>
      <c r="B866" s="302"/>
      <c r="C866" s="302" t="s">
        <v>197</v>
      </c>
      <c r="D866" s="303"/>
      <c r="E866" s="286"/>
      <c r="F866" s="321">
        <v>26.78</v>
      </c>
      <c r="G866" s="305" t="s">
        <v>1548</v>
      </c>
      <c r="H866" s="286">
        <v>1</v>
      </c>
      <c r="I866" s="304">
        <v>61.59</v>
      </c>
      <c r="J866" s="286">
        <v>23.35</v>
      </c>
      <c r="K866" s="304">
        <v>1438.13</v>
      </c>
    </row>
    <row r="867" spans="1:22" ht="14.25" x14ac:dyDescent="0.2">
      <c r="A867" s="301"/>
      <c r="B867" s="302"/>
      <c r="C867" s="302" t="s">
        <v>205</v>
      </c>
      <c r="D867" s="303"/>
      <c r="E867" s="286"/>
      <c r="F867" s="321">
        <v>0.28000000000000003</v>
      </c>
      <c r="G867" s="305" t="s">
        <v>195</v>
      </c>
      <c r="H867" s="286">
        <v>1</v>
      </c>
      <c r="I867" s="304">
        <v>0.56000000000000005</v>
      </c>
      <c r="J867" s="286">
        <v>5.43</v>
      </c>
      <c r="K867" s="304">
        <v>3.04</v>
      </c>
    </row>
    <row r="868" spans="1:22" ht="14.25" x14ac:dyDescent="0.2">
      <c r="A868" s="301"/>
      <c r="B868" s="302"/>
      <c r="C868" s="302" t="s">
        <v>194</v>
      </c>
      <c r="D868" s="303" t="s">
        <v>187</v>
      </c>
      <c r="E868" s="286">
        <v>112</v>
      </c>
      <c r="F868" s="321"/>
      <c r="G868" s="305"/>
      <c r="H868" s="286"/>
      <c r="I868" s="304">
        <v>70.209999999999994</v>
      </c>
      <c r="J868" s="286">
        <v>90</v>
      </c>
      <c r="K868" s="304">
        <v>1294.32</v>
      </c>
    </row>
    <row r="869" spans="1:22" ht="14.25" x14ac:dyDescent="0.2">
      <c r="A869" s="301"/>
      <c r="B869" s="302"/>
      <c r="C869" s="302" t="s">
        <v>193</v>
      </c>
      <c r="D869" s="303" t="s">
        <v>187</v>
      </c>
      <c r="E869" s="286">
        <v>70</v>
      </c>
      <c r="F869" s="321"/>
      <c r="G869" s="305"/>
      <c r="H869" s="286"/>
      <c r="I869" s="304">
        <v>41.27</v>
      </c>
      <c r="J869" s="286">
        <v>41</v>
      </c>
      <c r="K869" s="304">
        <v>589.63</v>
      </c>
    </row>
    <row r="870" spans="1:22" ht="14.25" x14ac:dyDescent="0.2">
      <c r="A870" s="307"/>
      <c r="B870" s="308"/>
      <c r="C870" s="308" t="s">
        <v>192</v>
      </c>
      <c r="D870" s="309" t="s">
        <v>191</v>
      </c>
      <c r="E870" s="310">
        <v>2.06</v>
      </c>
      <c r="F870" s="361"/>
      <c r="G870" s="312" t="s">
        <v>1548</v>
      </c>
      <c r="H870" s="310">
        <v>1</v>
      </c>
      <c r="I870" s="311">
        <v>4.74</v>
      </c>
      <c r="J870" s="310"/>
      <c r="K870" s="311"/>
    </row>
    <row r="871" spans="1:22" ht="15" x14ac:dyDescent="0.25">
      <c r="A871" s="313"/>
      <c r="B871" s="313"/>
      <c r="C871" s="314" t="s">
        <v>183</v>
      </c>
      <c r="D871" s="313"/>
      <c r="E871" s="313"/>
      <c r="F871" s="313"/>
      <c r="G871" s="313"/>
      <c r="H871" s="472">
        <v>173.63</v>
      </c>
      <c r="I871" s="472"/>
      <c r="J871" s="472">
        <v>3325.12</v>
      </c>
      <c r="K871" s="472"/>
      <c r="O871" s="284">
        <f>I866+I867+I868+I869</f>
        <v>173.63</v>
      </c>
      <c r="P871" s="284">
        <f>K866+K867+K868+K869</f>
        <v>3325.12</v>
      </c>
    </row>
    <row r="873" spans="1:22" ht="65.25" x14ac:dyDescent="0.2">
      <c r="A873" s="301" t="s">
        <v>104</v>
      </c>
      <c r="B873" s="302" t="s">
        <v>1473</v>
      </c>
      <c r="C873" s="302" t="s">
        <v>1472</v>
      </c>
      <c r="D873" s="303" t="s">
        <v>1903</v>
      </c>
      <c r="E873" s="286">
        <v>1</v>
      </c>
      <c r="F873" s="321"/>
      <c r="G873" s="305"/>
      <c r="H873" s="286"/>
      <c r="I873" s="304"/>
      <c r="J873" s="286"/>
      <c r="K873" s="304"/>
      <c r="Q873" s="281">
        <f>[20]Source!X850</f>
        <v>7.62</v>
      </c>
      <c r="R873" s="281">
        <f>[20]Source!X851</f>
        <v>140.38</v>
      </c>
      <c r="S873" s="281">
        <f>[20]Source!Y850</f>
        <v>4.4800000000000004</v>
      </c>
      <c r="T873" s="281">
        <f>[20]Source!Y851</f>
        <v>63.95</v>
      </c>
      <c r="U873" s="281">
        <f>ROUND((175/100)*ROUND([20]Source!R850, 2), 2)</f>
        <v>12.09</v>
      </c>
      <c r="V873" s="281">
        <f>ROUND((157/100)*ROUND([20]Source!R851, 2), 2)</f>
        <v>253.32</v>
      </c>
    </row>
    <row r="874" spans="1:22" ht="14.25" x14ac:dyDescent="0.2">
      <c r="A874" s="301"/>
      <c r="B874" s="302"/>
      <c r="C874" s="302" t="s">
        <v>197</v>
      </c>
      <c r="D874" s="303"/>
      <c r="E874" s="286"/>
      <c r="F874" s="321">
        <v>5.81</v>
      </c>
      <c r="G874" s="305" t="s">
        <v>1548</v>
      </c>
      <c r="H874" s="286">
        <v>1</v>
      </c>
      <c r="I874" s="304">
        <v>6.68</v>
      </c>
      <c r="J874" s="286">
        <v>23.35</v>
      </c>
      <c r="K874" s="304">
        <v>155.97999999999999</v>
      </c>
    </row>
    <row r="875" spans="1:22" ht="14.25" x14ac:dyDescent="0.2">
      <c r="A875" s="301"/>
      <c r="B875" s="302"/>
      <c r="C875" s="302" t="s">
        <v>184</v>
      </c>
      <c r="D875" s="303"/>
      <c r="E875" s="286"/>
      <c r="F875" s="321">
        <v>27.61</v>
      </c>
      <c r="G875" s="305" t="s">
        <v>1549</v>
      </c>
      <c r="H875" s="286">
        <v>1</v>
      </c>
      <c r="I875" s="304">
        <v>34.51</v>
      </c>
      <c r="J875" s="286">
        <v>8.9600000000000009</v>
      </c>
      <c r="K875" s="304">
        <v>309.20999999999998</v>
      </c>
    </row>
    <row r="876" spans="1:22" ht="14.25" x14ac:dyDescent="0.2">
      <c r="A876" s="301"/>
      <c r="B876" s="302"/>
      <c r="C876" s="302" t="s">
        <v>189</v>
      </c>
      <c r="D876" s="303"/>
      <c r="E876" s="286"/>
      <c r="F876" s="321">
        <v>5.53</v>
      </c>
      <c r="G876" s="305" t="s">
        <v>1549</v>
      </c>
      <c r="H876" s="286">
        <v>1</v>
      </c>
      <c r="I876" s="306">
        <v>6.91</v>
      </c>
      <c r="J876" s="286">
        <v>23.35</v>
      </c>
      <c r="K876" s="306">
        <v>161.35</v>
      </c>
    </row>
    <row r="877" spans="1:22" ht="14.25" x14ac:dyDescent="0.2">
      <c r="A877" s="301"/>
      <c r="B877" s="302"/>
      <c r="C877" s="302" t="s">
        <v>205</v>
      </c>
      <c r="D877" s="303"/>
      <c r="E877" s="286"/>
      <c r="F877" s="321">
        <v>1.89</v>
      </c>
      <c r="G877" s="305" t="s">
        <v>195</v>
      </c>
      <c r="H877" s="286">
        <v>1</v>
      </c>
      <c r="I877" s="304">
        <v>1.89</v>
      </c>
      <c r="J877" s="286">
        <v>5.42</v>
      </c>
      <c r="K877" s="304">
        <v>10.24</v>
      </c>
    </row>
    <row r="878" spans="1:22" ht="14.25" x14ac:dyDescent="0.2">
      <c r="A878" s="301"/>
      <c r="B878" s="302"/>
      <c r="C878" s="302" t="s">
        <v>194</v>
      </c>
      <c r="D878" s="303" t="s">
        <v>187</v>
      </c>
      <c r="E878" s="286">
        <v>112</v>
      </c>
      <c r="F878" s="321"/>
      <c r="G878" s="305"/>
      <c r="H878" s="286"/>
      <c r="I878" s="304">
        <v>7.62</v>
      </c>
      <c r="J878" s="286">
        <v>90</v>
      </c>
      <c r="K878" s="304">
        <v>140.38</v>
      </c>
    </row>
    <row r="879" spans="1:22" ht="14.25" x14ac:dyDescent="0.2">
      <c r="A879" s="301"/>
      <c r="B879" s="302"/>
      <c r="C879" s="302" t="s">
        <v>193</v>
      </c>
      <c r="D879" s="303" t="s">
        <v>187</v>
      </c>
      <c r="E879" s="286">
        <v>70</v>
      </c>
      <c r="F879" s="321"/>
      <c r="G879" s="305"/>
      <c r="H879" s="286"/>
      <c r="I879" s="304">
        <v>4.4800000000000004</v>
      </c>
      <c r="J879" s="286">
        <v>41</v>
      </c>
      <c r="K879" s="304">
        <v>63.95</v>
      </c>
    </row>
    <row r="880" spans="1:22" ht="14.25" x14ac:dyDescent="0.2">
      <c r="A880" s="301"/>
      <c r="B880" s="302"/>
      <c r="C880" s="302" t="s">
        <v>188</v>
      </c>
      <c r="D880" s="303" t="s">
        <v>187</v>
      </c>
      <c r="E880" s="286">
        <v>175</v>
      </c>
      <c r="F880" s="321"/>
      <c r="G880" s="305"/>
      <c r="H880" s="286"/>
      <c r="I880" s="304">
        <v>12.09</v>
      </c>
      <c r="J880" s="286">
        <v>157</v>
      </c>
      <c r="K880" s="304">
        <v>253.32</v>
      </c>
    </row>
    <row r="881" spans="1:22" ht="14.25" x14ac:dyDescent="0.2">
      <c r="A881" s="307"/>
      <c r="B881" s="308"/>
      <c r="C881" s="308" t="s">
        <v>192</v>
      </c>
      <c r="D881" s="309" t="s">
        <v>191</v>
      </c>
      <c r="E881" s="310">
        <v>0.52</v>
      </c>
      <c r="F881" s="361"/>
      <c r="G881" s="312" t="s">
        <v>1548</v>
      </c>
      <c r="H881" s="310">
        <v>1</v>
      </c>
      <c r="I881" s="311">
        <v>0.6</v>
      </c>
      <c r="J881" s="310"/>
      <c r="K881" s="311"/>
    </row>
    <row r="882" spans="1:22" ht="15" x14ac:dyDescent="0.25">
      <c r="A882" s="313"/>
      <c r="B882" s="313"/>
      <c r="C882" s="314" t="s">
        <v>183</v>
      </c>
      <c r="D882" s="313"/>
      <c r="E882" s="313"/>
      <c r="F882" s="313"/>
      <c r="G882" s="313"/>
      <c r="H882" s="472">
        <v>67.27</v>
      </c>
      <c r="I882" s="472"/>
      <c r="J882" s="472">
        <v>933.08</v>
      </c>
      <c r="K882" s="472"/>
      <c r="O882" s="284">
        <f>I874+I875+I877+I878+I879+I880</f>
        <v>67.27</v>
      </c>
      <c r="P882" s="284">
        <f>K874+K875+K877+K878+K879+K880</f>
        <v>933.08</v>
      </c>
    </row>
    <row r="884" spans="1:22" ht="81" x14ac:dyDescent="0.2">
      <c r="A884" s="275" t="s">
        <v>1546</v>
      </c>
      <c r="B884" s="276" t="s">
        <v>3752</v>
      </c>
      <c r="C884" s="276" t="s">
        <v>1493</v>
      </c>
      <c r="D884" s="277" t="s">
        <v>3240</v>
      </c>
      <c r="E884" s="278">
        <v>1</v>
      </c>
      <c r="F884" s="362">
        <v>26827.63</v>
      </c>
      <c r="G884" s="280" t="s">
        <v>195</v>
      </c>
      <c r="H884" s="278">
        <v>1</v>
      </c>
      <c r="I884" s="279">
        <v>26827.63</v>
      </c>
      <c r="J884" s="278">
        <v>4.4000000000000004</v>
      </c>
      <c r="K884" s="279">
        <v>118041.57</v>
      </c>
      <c r="Q884" s="281">
        <f>[20]Source!X852</f>
        <v>0</v>
      </c>
      <c r="R884" s="281">
        <f>[20]Source!X853</f>
        <v>0</v>
      </c>
      <c r="S884" s="281">
        <f>[20]Source!Y852</f>
        <v>0</v>
      </c>
      <c r="T884" s="281">
        <f>[20]Source!Y853</f>
        <v>0</v>
      </c>
      <c r="U884" s="281">
        <f>ROUND((175/100)*ROUND([20]Source!R852, 2), 2)</f>
        <v>0</v>
      </c>
      <c r="V884" s="281">
        <f>ROUND((157/100)*ROUND([20]Source!R853, 2), 2)</f>
        <v>0</v>
      </c>
    </row>
    <row r="885" spans="1:22" ht="15" x14ac:dyDescent="0.25">
      <c r="A885" s="282"/>
      <c r="B885" s="282"/>
      <c r="C885" s="283" t="s">
        <v>183</v>
      </c>
      <c r="D885" s="282"/>
      <c r="E885" s="282"/>
      <c r="F885" s="282"/>
      <c r="G885" s="282"/>
      <c r="H885" s="473">
        <v>26827.63</v>
      </c>
      <c r="I885" s="473"/>
      <c r="J885" s="473">
        <v>118041.57</v>
      </c>
      <c r="K885" s="473"/>
      <c r="O885" s="284">
        <f>I884</f>
        <v>26827.63</v>
      </c>
      <c r="P885" s="284">
        <f>K884</f>
        <v>118041.57</v>
      </c>
    </row>
    <row r="888" spans="1:22" ht="15" x14ac:dyDescent="0.25">
      <c r="A888" s="447" t="s">
        <v>3789</v>
      </c>
      <c r="B888" s="447"/>
      <c r="C888" s="447"/>
      <c r="D888" s="447"/>
      <c r="E888" s="447"/>
      <c r="F888" s="447"/>
      <c r="G888" s="447"/>
      <c r="H888" s="445">
        <v>27290.12</v>
      </c>
      <c r="I888" s="446"/>
      <c r="J888" s="445">
        <v>126198.63</v>
      </c>
      <c r="K888" s="446"/>
    </row>
    <row r="889" spans="1:22" hidden="1" x14ac:dyDescent="0.2">
      <c r="A889" s="281" t="s">
        <v>182</v>
      </c>
      <c r="I889" s="281">
        <v>0</v>
      </c>
      <c r="J889" s="281">
        <v>0</v>
      </c>
    </row>
    <row r="890" spans="1:22" hidden="1" x14ac:dyDescent="0.2">
      <c r="A890" s="281" t="s">
        <v>181</v>
      </c>
      <c r="I890" s="281">
        <v>0</v>
      </c>
      <c r="J890" s="281">
        <v>0</v>
      </c>
    </row>
    <row r="892" spans="1:22" ht="16.5" x14ac:dyDescent="0.25">
      <c r="A892" s="448" t="s">
        <v>3790</v>
      </c>
      <c r="B892" s="448"/>
      <c r="C892" s="448"/>
      <c r="D892" s="448"/>
      <c r="E892" s="448"/>
      <c r="F892" s="448"/>
      <c r="G892" s="448"/>
      <c r="H892" s="448"/>
      <c r="I892" s="448"/>
      <c r="J892" s="448"/>
      <c r="K892" s="448"/>
    </row>
    <row r="893" spans="1:22" ht="65.25" x14ac:dyDescent="0.2">
      <c r="A893" s="301" t="s">
        <v>719</v>
      </c>
      <c r="B893" s="302" t="s">
        <v>1476</v>
      </c>
      <c r="C893" s="302" t="s">
        <v>1475</v>
      </c>
      <c r="D893" s="303" t="s">
        <v>1903</v>
      </c>
      <c r="E893" s="286">
        <v>1</v>
      </c>
      <c r="F893" s="321"/>
      <c r="G893" s="305"/>
      <c r="H893" s="286"/>
      <c r="I893" s="304"/>
      <c r="J893" s="286"/>
      <c r="K893" s="304"/>
      <c r="Q893" s="281">
        <f>[20]Source!X889</f>
        <v>78.39</v>
      </c>
      <c r="R893" s="281">
        <f>[20]Source!X890</f>
        <v>1445</v>
      </c>
      <c r="S893" s="281">
        <f>[20]Source!Y889</f>
        <v>46.07</v>
      </c>
      <c r="T893" s="281">
        <f>[20]Source!Y890</f>
        <v>658.28</v>
      </c>
      <c r="U893" s="281">
        <f>ROUND((175/100)*ROUND([20]Source!R889, 2), 2)</f>
        <v>1.42</v>
      </c>
      <c r="V893" s="281">
        <f>ROUND((157/100)*ROUND([20]Source!R890, 2), 2)</f>
        <v>29.69</v>
      </c>
    </row>
    <row r="894" spans="1:22" ht="14.25" x14ac:dyDescent="0.2">
      <c r="A894" s="301"/>
      <c r="B894" s="302"/>
      <c r="C894" s="302" t="s">
        <v>197</v>
      </c>
      <c r="D894" s="303"/>
      <c r="E894" s="286"/>
      <c r="F894" s="321">
        <v>59.79</v>
      </c>
      <c r="G894" s="305" t="s">
        <v>1548</v>
      </c>
      <c r="H894" s="286">
        <v>1</v>
      </c>
      <c r="I894" s="304">
        <v>68.760000000000005</v>
      </c>
      <c r="J894" s="286">
        <v>23.35</v>
      </c>
      <c r="K894" s="304">
        <v>1605.55</v>
      </c>
    </row>
    <row r="895" spans="1:22" ht="14.25" x14ac:dyDescent="0.2">
      <c r="A895" s="301"/>
      <c r="B895" s="302"/>
      <c r="C895" s="302" t="s">
        <v>184</v>
      </c>
      <c r="D895" s="303"/>
      <c r="E895" s="286"/>
      <c r="F895" s="321">
        <v>4.42</v>
      </c>
      <c r="G895" s="305" t="s">
        <v>1549</v>
      </c>
      <c r="H895" s="286">
        <v>1</v>
      </c>
      <c r="I895" s="304">
        <v>5.53</v>
      </c>
      <c r="J895" s="286">
        <v>8</v>
      </c>
      <c r="K895" s="304">
        <v>44.24</v>
      </c>
    </row>
    <row r="896" spans="1:22" ht="14.25" x14ac:dyDescent="0.2">
      <c r="A896" s="301"/>
      <c r="B896" s="302"/>
      <c r="C896" s="302" t="s">
        <v>189</v>
      </c>
      <c r="D896" s="303"/>
      <c r="E896" s="286"/>
      <c r="F896" s="321">
        <v>0.65</v>
      </c>
      <c r="G896" s="305" t="s">
        <v>1549</v>
      </c>
      <c r="H896" s="286">
        <v>1</v>
      </c>
      <c r="I896" s="306">
        <v>0.81</v>
      </c>
      <c r="J896" s="286">
        <v>23.35</v>
      </c>
      <c r="K896" s="306">
        <v>18.91</v>
      </c>
    </row>
    <row r="897" spans="1:22" ht="14.25" x14ac:dyDescent="0.2">
      <c r="A897" s="301"/>
      <c r="B897" s="302"/>
      <c r="C897" s="302" t="s">
        <v>205</v>
      </c>
      <c r="D897" s="303"/>
      <c r="E897" s="286"/>
      <c r="F897" s="321">
        <v>21.42</v>
      </c>
      <c r="G897" s="305" t="s">
        <v>195</v>
      </c>
      <c r="H897" s="286">
        <v>1</v>
      </c>
      <c r="I897" s="304">
        <v>21.42</v>
      </c>
      <c r="J897" s="286">
        <v>5.42</v>
      </c>
      <c r="K897" s="304">
        <v>116.1</v>
      </c>
    </row>
    <row r="898" spans="1:22" ht="14.25" x14ac:dyDescent="0.2">
      <c r="A898" s="301"/>
      <c r="B898" s="302"/>
      <c r="C898" s="302" t="s">
        <v>194</v>
      </c>
      <c r="D898" s="303" t="s">
        <v>187</v>
      </c>
      <c r="E898" s="286">
        <v>112</v>
      </c>
      <c r="F898" s="321"/>
      <c r="G898" s="305"/>
      <c r="H898" s="286"/>
      <c r="I898" s="304">
        <v>78.39</v>
      </c>
      <c r="J898" s="286">
        <v>90</v>
      </c>
      <c r="K898" s="304">
        <v>1445</v>
      </c>
    </row>
    <row r="899" spans="1:22" ht="14.25" x14ac:dyDescent="0.2">
      <c r="A899" s="301"/>
      <c r="B899" s="302"/>
      <c r="C899" s="302" t="s">
        <v>193</v>
      </c>
      <c r="D899" s="303" t="s">
        <v>187</v>
      </c>
      <c r="E899" s="286">
        <v>70</v>
      </c>
      <c r="F899" s="321"/>
      <c r="G899" s="305"/>
      <c r="H899" s="286"/>
      <c r="I899" s="304">
        <v>46.07</v>
      </c>
      <c r="J899" s="286">
        <v>41</v>
      </c>
      <c r="K899" s="304">
        <v>658.28</v>
      </c>
    </row>
    <row r="900" spans="1:22" ht="14.25" x14ac:dyDescent="0.2">
      <c r="A900" s="301"/>
      <c r="B900" s="302"/>
      <c r="C900" s="302" t="s">
        <v>188</v>
      </c>
      <c r="D900" s="303" t="s">
        <v>187</v>
      </c>
      <c r="E900" s="286">
        <v>175</v>
      </c>
      <c r="F900" s="321"/>
      <c r="G900" s="305"/>
      <c r="H900" s="286"/>
      <c r="I900" s="304">
        <v>1.42</v>
      </c>
      <c r="J900" s="286">
        <v>157</v>
      </c>
      <c r="K900" s="304">
        <v>29.69</v>
      </c>
    </row>
    <row r="901" spans="1:22" ht="14.25" x14ac:dyDescent="0.2">
      <c r="A901" s="307"/>
      <c r="B901" s="308"/>
      <c r="C901" s="308" t="s">
        <v>192</v>
      </c>
      <c r="D901" s="309" t="s">
        <v>191</v>
      </c>
      <c r="E901" s="310">
        <v>5.15</v>
      </c>
      <c r="F901" s="361"/>
      <c r="G901" s="312" t="s">
        <v>1548</v>
      </c>
      <c r="H901" s="310">
        <v>1</v>
      </c>
      <c r="I901" s="311">
        <v>5.92</v>
      </c>
      <c r="J901" s="310"/>
      <c r="K901" s="311"/>
    </row>
    <row r="902" spans="1:22" ht="15" x14ac:dyDescent="0.25">
      <c r="A902" s="313"/>
      <c r="B902" s="313"/>
      <c r="C902" s="314" t="s">
        <v>183</v>
      </c>
      <c r="D902" s="313"/>
      <c r="E902" s="313"/>
      <c r="F902" s="313"/>
      <c r="G902" s="313"/>
      <c r="H902" s="472">
        <v>221.59</v>
      </c>
      <c r="I902" s="472"/>
      <c r="J902" s="472">
        <v>3898.86</v>
      </c>
      <c r="K902" s="472"/>
      <c r="O902" s="284">
        <f>I894+I895+I897+I898+I899+I900</f>
        <v>221.59</v>
      </c>
      <c r="P902" s="284">
        <f>K894+K895+K897+K898+K899+K900</f>
        <v>3898.86</v>
      </c>
    </row>
    <row r="904" spans="1:22" ht="65.25" x14ac:dyDescent="0.2">
      <c r="A904" s="301" t="s">
        <v>1534</v>
      </c>
      <c r="B904" s="302" t="s">
        <v>1474</v>
      </c>
      <c r="C904" s="302" t="s">
        <v>1247</v>
      </c>
      <c r="D904" s="303" t="s">
        <v>1903</v>
      </c>
      <c r="E904" s="286">
        <v>1</v>
      </c>
      <c r="F904" s="321"/>
      <c r="G904" s="305"/>
      <c r="H904" s="286"/>
      <c r="I904" s="304"/>
      <c r="J904" s="286"/>
      <c r="K904" s="304"/>
      <c r="Q904" s="281">
        <f>[20]Source!X891</f>
        <v>35.11</v>
      </c>
      <c r="R904" s="281">
        <f>[20]Source!X892</f>
        <v>647.26</v>
      </c>
      <c r="S904" s="281">
        <f>[20]Source!Y891</f>
        <v>20.64</v>
      </c>
      <c r="T904" s="281">
        <f>[20]Source!Y892</f>
        <v>294.86</v>
      </c>
      <c r="U904" s="281">
        <f>ROUND((175/100)*ROUND([20]Source!R891, 2), 2)</f>
        <v>0</v>
      </c>
      <c r="V904" s="281">
        <f>ROUND((157/100)*ROUND([20]Source!R892, 2), 2)</f>
        <v>0</v>
      </c>
    </row>
    <row r="905" spans="1:22" ht="14.25" x14ac:dyDescent="0.2">
      <c r="A905" s="301"/>
      <c r="B905" s="302"/>
      <c r="C905" s="302" t="s">
        <v>197</v>
      </c>
      <c r="D905" s="303"/>
      <c r="E905" s="286"/>
      <c r="F905" s="321">
        <v>26.78</v>
      </c>
      <c r="G905" s="305" t="s">
        <v>1548</v>
      </c>
      <c r="H905" s="286">
        <v>1</v>
      </c>
      <c r="I905" s="304">
        <v>30.8</v>
      </c>
      <c r="J905" s="286">
        <v>23.35</v>
      </c>
      <c r="K905" s="304">
        <v>719.18</v>
      </c>
    </row>
    <row r="906" spans="1:22" ht="14.25" x14ac:dyDescent="0.2">
      <c r="A906" s="301"/>
      <c r="B906" s="302"/>
      <c r="C906" s="302" t="s">
        <v>205</v>
      </c>
      <c r="D906" s="303"/>
      <c r="E906" s="286"/>
      <c r="F906" s="321">
        <v>0.28000000000000003</v>
      </c>
      <c r="G906" s="305" t="s">
        <v>195</v>
      </c>
      <c r="H906" s="286">
        <v>1</v>
      </c>
      <c r="I906" s="304">
        <v>0.28000000000000003</v>
      </c>
      <c r="J906" s="286">
        <v>5.43</v>
      </c>
      <c r="K906" s="304">
        <v>1.52</v>
      </c>
    </row>
    <row r="907" spans="1:22" ht="14.25" x14ac:dyDescent="0.2">
      <c r="A907" s="301"/>
      <c r="B907" s="302"/>
      <c r="C907" s="302" t="s">
        <v>194</v>
      </c>
      <c r="D907" s="303" t="s">
        <v>187</v>
      </c>
      <c r="E907" s="286">
        <v>112</v>
      </c>
      <c r="F907" s="321"/>
      <c r="G907" s="305"/>
      <c r="H907" s="286"/>
      <c r="I907" s="304">
        <v>35.11</v>
      </c>
      <c r="J907" s="286">
        <v>90</v>
      </c>
      <c r="K907" s="304">
        <v>647.26</v>
      </c>
    </row>
    <row r="908" spans="1:22" ht="14.25" x14ac:dyDescent="0.2">
      <c r="A908" s="301"/>
      <c r="B908" s="302"/>
      <c r="C908" s="302" t="s">
        <v>193</v>
      </c>
      <c r="D908" s="303" t="s">
        <v>187</v>
      </c>
      <c r="E908" s="286">
        <v>70</v>
      </c>
      <c r="F908" s="321"/>
      <c r="G908" s="305"/>
      <c r="H908" s="286"/>
      <c r="I908" s="304">
        <v>20.64</v>
      </c>
      <c r="J908" s="286">
        <v>41</v>
      </c>
      <c r="K908" s="304">
        <v>294.86</v>
      </c>
    </row>
    <row r="909" spans="1:22" ht="14.25" x14ac:dyDescent="0.2">
      <c r="A909" s="307"/>
      <c r="B909" s="308"/>
      <c r="C909" s="308" t="s">
        <v>192</v>
      </c>
      <c r="D909" s="309" t="s">
        <v>191</v>
      </c>
      <c r="E909" s="310">
        <v>2.06</v>
      </c>
      <c r="F909" s="361"/>
      <c r="G909" s="312" t="s">
        <v>1548</v>
      </c>
      <c r="H909" s="310">
        <v>1</v>
      </c>
      <c r="I909" s="311">
        <v>2.37</v>
      </c>
      <c r="J909" s="310"/>
      <c r="K909" s="311"/>
    </row>
    <row r="910" spans="1:22" ht="15" x14ac:dyDescent="0.25">
      <c r="A910" s="313"/>
      <c r="B910" s="313"/>
      <c r="C910" s="314" t="s">
        <v>183</v>
      </c>
      <c r="D910" s="313"/>
      <c r="E910" s="313"/>
      <c r="F910" s="313"/>
      <c r="G910" s="313"/>
      <c r="H910" s="472">
        <v>86.83</v>
      </c>
      <c r="I910" s="472"/>
      <c r="J910" s="472">
        <v>1662.82</v>
      </c>
      <c r="K910" s="472"/>
      <c r="O910" s="284">
        <f>I905+I906+I907+I908</f>
        <v>86.83</v>
      </c>
      <c r="P910" s="284">
        <f>K905+K906+K907+K908</f>
        <v>1662.82</v>
      </c>
    </row>
    <row r="912" spans="1:22" ht="65.25" x14ac:dyDescent="0.2">
      <c r="A912" s="301" t="s">
        <v>104</v>
      </c>
      <c r="B912" s="302" t="s">
        <v>1473</v>
      </c>
      <c r="C912" s="302" t="s">
        <v>1472</v>
      </c>
      <c r="D912" s="303" t="s">
        <v>1903</v>
      </c>
      <c r="E912" s="286">
        <v>1</v>
      </c>
      <c r="F912" s="321"/>
      <c r="G912" s="305"/>
      <c r="H912" s="286"/>
      <c r="I912" s="304"/>
      <c r="J912" s="286"/>
      <c r="K912" s="304"/>
      <c r="Q912" s="281">
        <f>[20]Source!X893</f>
        <v>7.62</v>
      </c>
      <c r="R912" s="281">
        <f>[20]Source!X894</f>
        <v>140.38</v>
      </c>
      <c r="S912" s="281">
        <f>[20]Source!Y893</f>
        <v>4.4800000000000004</v>
      </c>
      <c r="T912" s="281">
        <f>[20]Source!Y894</f>
        <v>63.95</v>
      </c>
      <c r="U912" s="281">
        <f>ROUND((175/100)*ROUND([20]Source!R893, 2), 2)</f>
        <v>12.09</v>
      </c>
      <c r="V912" s="281">
        <f>ROUND((157/100)*ROUND([20]Source!R894, 2), 2)</f>
        <v>253.32</v>
      </c>
    </row>
    <row r="913" spans="1:22" ht="14.25" x14ac:dyDescent="0.2">
      <c r="A913" s="301"/>
      <c r="B913" s="302"/>
      <c r="C913" s="302" t="s">
        <v>197</v>
      </c>
      <c r="D913" s="303"/>
      <c r="E913" s="286"/>
      <c r="F913" s="321">
        <v>5.81</v>
      </c>
      <c r="G913" s="305" t="s">
        <v>1548</v>
      </c>
      <c r="H913" s="286">
        <v>1</v>
      </c>
      <c r="I913" s="304">
        <v>6.68</v>
      </c>
      <c r="J913" s="286">
        <v>23.35</v>
      </c>
      <c r="K913" s="304">
        <v>155.97999999999999</v>
      </c>
    </row>
    <row r="914" spans="1:22" ht="14.25" x14ac:dyDescent="0.2">
      <c r="A914" s="301"/>
      <c r="B914" s="302"/>
      <c r="C914" s="302" t="s">
        <v>184</v>
      </c>
      <c r="D914" s="303"/>
      <c r="E914" s="286"/>
      <c r="F914" s="321">
        <v>27.61</v>
      </c>
      <c r="G914" s="305" t="s">
        <v>1549</v>
      </c>
      <c r="H914" s="286">
        <v>1</v>
      </c>
      <c r="I914" s="304">
        <v>34.51</v>
      </c>
      <c r="J914" s="286">
        <v>8.9600000000000009</v>
      </c>
      <c r="K914" s="304">
        <v>309.20999999999998</v>
      </c>
    </row>
    <row r="915" spans="1:22" ht="14.25" x14ac:dyDescent="0.2">
      <c r="A915" s="301"/>
      <c r="B915" s="302"/>
      <c r="C915" s="302" t="s">
        <v>189</v>
      </c>
      <c r="D915" s="303"/>
      <c r="E915" s="286"/>
      <c r="F915" s="321">
        <v>5.53</v>
      </c>
      <c r="G915" s="305" t="s">
        <v>1549</v>
      </c>
      <c r="H915" s="286">
        <v>1</v>
      </c>
      <c r="I915" s="306">
        <v>6.91</v>
      </c>
      <c r="J915" s="286">
        <v>23.35</v>
      </c>
      <c r="K915" s="306">
        <v>161.35</v>
      </c>
    </row>
    <row r="916" spans="1:22" ht="14.25" x14ac:dyDescent="0.2">
      <c r="A916" s="301"/>
      <c r="B916" s="302"/>
      <c r="C916" s="302" t="s">
        <v>205</v>
      </c>
      <c r="D916" s="303"/>
      <c r="E916" s="286"/>
      <c r="F916" s="321">
        <v>1.89</v>
      </c>
      <c r="G916" s="305" t="s">
        <v>195</v>
      </c>
      <c r="H916" s="286">
        <v>1</v>
      </c>
      <c r="I916" s="304">
        <v>1.89</v>
      </c>
      <c r="J916" s="286">
        <v>5.42</v>
      </c>
      <c r="K916" s="304">
        <v>10.24</v>
      </c>
    </row>
    <row r="917" spans="1:22" ht="14.25" x14ac:dyDescent="0.2">
      <c r="A917" s="301"/>
      <c r="B917" s="302"/>
      <c r="C917" s="302" t="s">
        <v>194</v>
      </c>
      <c r="D917" s="303" t="s">
        <v>187</v>
      </c>
      <c r="E917" s="286">
        <v>112</v>
      </c>
      <c r="F917" s="321"/>
      <c r="G917" s="305"/>
      <c r="H917" s="286"/>
      <c r="I917" s="304">
        <v>7.62</v>
      </c>
      <c r="J917" s="286">
        <v>90</v>
      </c>
      <c r="K917" s="304">
        <v>140.38</v>
      </c>
    </row>
    <row r="918" spans="1:22" ht="14.25" x14ac:dyDescent="0.2">
      <c r="A918" s="301"/>
      <c r="B918" s="302"/>
      <c r="C918" s="302" t="s">
        <v>193</v>
      </c>
      <c r="D918" s="303" t="s">
        <v>187</v>
      </c>
      <c r="E918" s="286">
        <v>70</v>
      </c>
      <c r="F918" s="321"/>
      <c r="G918" s="305"/>
      <c r="H918" s="286"/>
      <c r="I918" s="304">
        <v>4.4800000000000004</v>
      </c>
      <c r="J918" s="286">
        <v>41</v>
      </c>
      <c r="K918" s="304">
        <v>63.95</v>
      </c>
    </row>
    <row r="919" spans="1:22" ht="14.25" x14ac:dyDescent="0.2">
      <c r="A919" s="301"/>
      <c r="B919" s="302"/>
      <c r="C919" s="302" t="s">
        <v>188</v>
      </c>
      <c r="D919" s="303" t="s">
        <v>187</v>
      </c>
      <c r="E919" s="286">
        <v>175</v>
      </c>
      <c r="F919" s="321"/>
      <c r="G919" s="305"/>
      <c r="H919" s="286"/>
      <c r="I919" s="304">
        <v>12.09</v>
      </c>
      <c r="J919" s="286">
        <v>157</v>
      </c>
      <c r="K919" s="304">
        <v>253.32</v>
      </c>
    </row>
    <row r="920" spans="1:22" ht="14.25" x14ac:dyDescent="0.2">
      <c r="A920" s="307"/>
      <c r="B920" s="308"/>
      <c r="C920" s="308" t="s">
        <v>192</v>
      </c>
      <c r="D920" s="309" t="s">
        <v>191</v>
      </c>
      <c r="E920" s="310">
        <v>0.52</v>
      </c>
      <c r="F920" s="361"/>
      <c r="G920" s="312" t="s">
        <v>1548</v>
      </c>
      <c r="H920" s="310">
        <v>1</v>
      </c>
      <c r="I920" s="311">
        <v>0.6</v>
      </c>
      <c r="J920" s="310"/>
      <c r="K920" s="311"/>
    </row>
    <row r="921" spans="1:22" ht="15" x14ac:dyDescent="0.25">
      <c r="A921" s="313"/>
      <c r="B921" s="313"/>
      <c r="C921" s="314" t="s">
        <v>183</v>
      </c>
      <c r="D921" s="313"/>
      <c r="E921" s="313"/>
      <c r="F921" s="313"/>
      <c r="G921" s="313"/>
      <c r="H921" s="472">
        <v>67.27</v>
      </c>
      <c r="I921" s="472"/>
      <c r="J921" s="472">
        <v>933.08</v>
      </c>
      <c r="K921" s="472"/>
      <c r="O921" s="284">
        <f>I913+I914+I916+I917+I918+I919</f>
        <v>67.27</v>
      </c>
      <c r="P921" s="284">
        <f>K913+K914+K916+K917+K918+K919</f>
        <v>933.08</v>
      </c>
    </row>
    <row r="923" spans="1:22" ht="81" x14ac:dyDescent="0.2">
      <c r="A923" s="275" t="s">
        <v>1546</v>
      </c>
      <c r="B923" s="276" t="s">
        <v>3752</v>
      </c>
      <c r="C923" s="276" t="s">
        <v>1492</v>
      </c>
      <c r="D923" s="277" t="s">
        <v>3240</v>
      </c>
      <c r="E923" s="278">
        <v>1</v>
      </c>
      <c r="F923" s="362">
        <v>15861.55</v>
      </c>
      <c r="G923" s="280" t="s">
        <v>195</v>
      </c>
      <c r="H923" s="278">
        <v>1</v>
      </c>
      <c r="I923" s="279">
        <v>15861.55</v>
      </c>
      <c r="J923" s="278">
        <v>4.4000000000000004</v>
      </c>
      <c r="K923" s="279">
        <v>69790.820000000007</v>
      </c>
      <c r="Q923" s="281">
        <f>[20]Source!X895</f>
        <v>0</v>
      </c>
      <c r="R923" s="281">
        <f>[20]Source!X896</f>
        <v>0</v>
      </c>
      <c r="S923" s="281">
        <f>[20]Source!Y895</f>
        <v>0</v>
      </c>
      <c r="T923" s="281">
        <f>[20]Source!Y896</f>
        <v>0</v>
      </c>
      <c r="U923" s="281">
        <f>ROUND((175/100)*ROUND([20]Source!R895, 2), 2)</f>
        <v>0</v>
      </c>
      <c r="V923" s="281">
        <f>ROUND((157/100)*ROUND([20]Source!R896, 2), 2)</f>
        <v>0</v>
      </c>
    </row>
    <row r="924" spans="1:22" ht="15" x14ac:dyDescent="0.25">
      <c r="A924" s="282"/>
      <c r="B924" s="282"/>
      <c r="C924" s="283" t="s">
        <v>183</v>
      </c>
      <c r="D924" s="282"/>
      <c r="E924" s="282"/>
      <c r="F924" s="282"/>
      <c r="G924" s="282"/>
      <c r="H924" s="473">
        <v>15861.55</v>
      </c>
      <c r="I924" s="473"/>
      <c r="J924" s="473">
        <v>69790.820000000007</v>
      </c>
      <c r="K924" s="473"/>
      <c r="O924" s="284">
        <f>I923</f>
        <v>15861.55</v>
      </c>
      <c r="P924" s="284">
        <f>K923</f>
        <v>69790.820000000007</v>
      </c>
    </row>
    <row r="927" spans="1:22" ht="15" x14ac:dyDescent="0.25">
      <c r="A927" s="447" t="s">
        <v>3791</v>
      </c>
      <c r="B927" s="447"/>
      <c r="C927" s="447"/>
      <c r="D927" s="447"/>
      <c r="E927" s="447"/>
      <c r="F927" s="447"/>
      <c r="G927" s="447"/>
      <c r="H927" s="445">
        <v>16237.24</v>
      </c>
      <c r="I927" s="446"/>
      <c r="J927" s="445">
        <v>76285.58</v>
      </c>
      <c r="K927" s="446"/>
    </row>
    <row r="928" spans="1:22" hidden="1" x14ac:dyDescent="0.2">
      <c r="A928" s="281" t="s">
        <v>182</v>
      </c>
      <c r="I928" s="281">
        <v>0</v>
      </c>
      <c r="J928" s="281">
        <v>0</v>
      </c>
    </row>
    <row r="929" spans="1:22" hidden="1" x14ac:dyDescent="0.2">
      <c r="A929" s="281" t="s">
        <v>181</v>
      </c>
      <c r="I929" s="281">
        <v>0</v>
      </c>
      <c r="J929" s="281">
        <v>0</v>
      </c>
    </row>
    <row r="931" spans="1:22" ht="16.5" x14ac:dyDescent="0.25">
      <c r="A931" s="448" t="s">
        <v>3792</v>
      </c>
      <c r="B931" s="448"/>
      <c r="C931" s="448"/>
      <c r="D931" s="448"/>
      <c r="E931" s="448"/>
      <c r="F931" s="448"/>
      <c r="G931" s="448"/>
      <c r="H931" s="448"/>
      <c r="I931" s="448"/>
      <c r="J931" s="448"/>
      <c r="K931" s="448"/>
    </row>
    <row r="932" spans="1:22" ht="65.25" x14ac:dyDescent="0.2">
      <c r="A932" s="301" t="s">
        <v>719</v>
      </c>
      <c r="B932" s="302" t="s">
        <v>1476</v>
      </c>
      <c r="C932" s="302" t="s">
        <v>1475</v>
      </c>
      <c r="D932" s="303" t="s">
        <v>1903</v>
      </c>
      <c r="E932" s="286">
        <v>1</v>
      </c>
      <c r="F932" s="321"/>
      <c r="G932" s="305"/>
      <c r="H932" s="286"/>
      <c r="I932" s="304"/>
      <c r="J932" s="286"/>
      <c r="K932" s="304"/>
      <c r="Q932" s="281">
        <f>[20]Source!X932</f>
        <v>78.39</v>
      </c>
      <c r="R932" s="281">
        <f>[20]Source!X933</f>
        <v>1445</v>
      </c>
      <c r="S932" s="281">
        <f>[20]Source!Y932</f>
        <v>46.07</v>
      </c>
      <c r="T932" s="281">
        <f>[20]Source!Y933</f>
        <v>658.28</v>
      </c>
      <c r="U932" s="281">
        <f>ROUND((175/100)*ROUND([20]Source!R932, 2), 2)</f>
        <v>1.42</v>
      </c>
      <c r="V932" s="281">
        <f>ROUND((157/100)*ROUND([20]Source!R933, 2), 2)</f>
        <v>29.69</v>
      </c>
    </row>
    <row r="933" spans="1:22" ht="14.25" x14ac:dyDescent="0.2">
      <c r="A933" s="301"/>
      <c r="B933" s="302"/>
      <c r="C933" s="302" t="s">
        <v>197</v>
      </c>
      <c r="D933" s="303"/>
      <c r="E933" s="286"/>
      <c r="F933" s="321">
        <v>59.79</v>
      </c>
      <c r="G933" s="305" t="s">
        <v>1548</v>
      </c>
      <c r="H933" s="286">
        <v>1</v>
      </c>
      <c r="I933" s="304">
        <v>68.760000000000005</v>
      </c>
      <c r="J933" s="286">
        <v>23.35</v>
      </c>
      <c r="K933" s="304">
        <v>1605.55</v>
      </c>
    </row>
    <row r="934" spans="1:22" ht="14.25" x14ac:dyDescent="0.2">
      <c r="A934" s="301"/>
      <c r="B934" s="302"/>
      <c r="C934" s="302" t="s">
        <v>184</v>
      </c>
      <c r="D934" s="303"/>
      <c r="E934" s="286"/>
      <c r="F934" s="321">
        <v>4.42</v>
      </c>
      <c r="G934" s="305" t="s">
        <v>1549</v>
      </c>
      <c r="H934" s="286">
        <v>1</v>
      </c>
      <c r="I934" s="304">
        <v>5.53</v>
      </c>
      <c r="J934" s="286">
        <v>8</v>
      </c>
      <c r="K934" s="304">
        <v>44.24</v>
      </c>
    </row>
    <row r="935" spans="1:22" ht="14.25" x14ac:dyDescent="0.2">
      <c r="A935" s="301"/>
      <c r="B935" s="302"/>
      <c r="C935" s="302" t="s">
        <v>189</v>
      </c>
      <c r="D935" s="303"/>
      <c r="E935" s="286"/>
      <c r="F935" s="321">
        <v>0.65</v>
      </c>
      <c r="G935" s="305" t="s">
        <v>1549</v>
      </c>
      <c r="H935" s="286">
        <v>1</v>
      </c>
      <c r="I935" s="306">
        <v>0.81</v>
      </c>
      <c r="J935" s="286">
        <v>23.35</v>
      </c>
      <c r="K935" s="306">
        <v>18.91</v>
      </c>
    </row>
    <row r="936" spans="1:22" ht="14.25" x14ac:dyDescent="0.2">
      <c r="A936" s="301"/>
      <c r="B936" s="302"/>
      <c r="C936" s="302" t="s">
        <v>205</v>
      </c>
      <c r="D936" s="303"/>
      <c r="E936" s="286"/>
      <c r="F936" s="321">
        <v>21.42</v>
      </c>
      <c r="G936" s="305" t="s">
        <v>195</v>
      </c>
      <c r="H936" s="286">
        <v>1</v>
      </c>
      <c r="I936" s="304">
        <v>21.42</v>
      </c>
      <c r="J936" s="286">
        <v>5.42</v>
      </c>
      <c r="K936" s="304">
        <v>116.1</v>
      </c>
    </row>
    <row r="937" spans="1:22" ht="14.25" x14ac:dyDescent="0.2">
      <c r="A937" s="301"/>
      <c r="B937" s="302"/>
      <c r="C937" s="302" t="s">
        <v>194</v>
      </c>
      <c r="D937" s="303" t="s">
        <v>187</v>
      </c>
      <c r="E937" s="286">
        <v>112</v>
      </c>
      <c r="F937" s="321"/>
      <c r="G937" s="305"/>
      <c r="H937" s="286"/>
      <c r="I937" s="304">
        <v>78.39</v>
      </c>
      <c r="J937" s="286">
        <v>90</v>
      </c>
      <c r="K937" s="304">
        <v>1445</v>
      </c>
    </row>
    <row r="938" spans="1:22" ht="14.25" x14ac:dyDescent="0.2">
      <c r="A938" s="301"/>
      <c r="B938" s="302"/>
      <c r="C938" s="302" t="s">
        <v>193</v>
      </c>
      <c r="D938" s="303" t="s">
        <v>187</v>
      </c>
      <c r="E938" s="286">
        <v>70</v>
      </c>
      <c r="F938" s="321"/>
      <c r="G938" s="305"/>
      <c r="H938" s="286"/>
      <c r="I938" s="304">
        <v>46.07</v>
      </c>
      <c r="J938" s="286">
        <v>41</v>
      </c>
      <c r="K938" s="304">
        <v>658.28</v>
      </c>
    </row>
    <row r="939" spans="1:22" ht="14.25" x14ac:dyDescent="0.2">
      <c r="A939" s="301"/>
      <c r="B939" s="302"/>
      <c r="C939" s="302" t="s">
        <v>188</v>
      </c>
      <c r="D939" s="303" t="s">
        <v>187</v>
      </c>
      <c r="E939" s="286">
        <v>175</v>
      </c>
      <c r="F939" s="321"/>
      <c r="G939" s="305"/>
      <c r="H939" s="286"/>
      <c r="I939" s="304">
        <v>1.42</v>
      </c>
      <c r="J939" s="286">
        <v>157</v>
      </c>
      <c r="K939" s="304">
        <v>29.69</v>
      </c>
    </row>
    <row r="940" spans="1:22" ht="14.25" x14ac:dyDescent="0.2">
      <c r="A940" s="307"/>
      <c r="B940" s="308"/>
      <c r="C940" s="308" t="s">
        <v>192</v>
      </c>
      <c r="D940" s="309" t="s">
        <v>191</v>
      </c>
      <c r="E940" s="310">
        <v>5.15</v>
      </c>
      <c r="F940" s="361"/>
      <c r="G940" s="312" t="s">
        <v>1548</v>
      </c>
      <c r="H940" s="310">
        <v>1</v>
      </c>
      <c r="I940" s="311">
        <v>5.92</v>
      </c>
      <c r="J940" s="310"/>
      <c r="K940" s="311"/>
    </row>
    <row r="941" spans="1:22" ht="15" x14ac:dyDescent="0.25">
      <c r="A941" s="313"/>
      <c r="B941" s="313"/>
      <c r="C941" s="314" t="s">
        <v>183</v>
      </c>
      <c r="D941" s="313"/>
      <c r="E941" s="313"/>
      <c r="F941" s="313"/>
      <c r="G941" s="313"/>
      <c r="H941" s="472">
        <v>221.59</v>
      </c>
      <c r="I941" s="472"/>
      <c r="J941" s="472">
        <v>3898.86</v>
      </c>
      <c r="K941" s="472"/>
      <c r="O941" s="284">
        <f>I933+I934+I936+I937+I938+I939</f>
        <v>221.59</v>
      </c>
      <c r="P941" s="284">
        <f>K933+K934+K936+K937+K938+K939</f>
        <v>3898.86</v>
      </c>
    </row>
    <row r="943" spans="1:22" ht="65.25" x14ac:dyDescent="0.2">
      <c r="A943" s="301" t="s">
        <v>1534</v>
      </c>
      <c r="B943" s="302" t="s">
        <v>1474</v>
      </c>
      <c r="C943" s="302" t="s">
        <v>1247</v>
      </c>
      <c r="D943" s="303" t="s">
        <v>1903</v>
      </c>
      <c r="E943" s="286">
        <v>1</v>
      </c>
      <c r="F943" s="321"/>
      <c r="G943" s="305"/>
      <c r="H943" s="286"/>
      <c r="I943" s="304"/>
      <c r="J943" s="286"/>
      <c r="K943" s="304"/>
      <c r="Q943" s="281">
        <f>[20]Source!X934</f>
        <v>35.11</v>
      </c>
      <c r="R943" s="281">
        <f>[20]Source!X935</f>
        <v>647.26</v>
      </c>
      <c r="S943" s="281">
        <f>[20]Source!Y934</f>
        <v>20.64</v>
      </c>
      <c r="T943" s="281">
        <f>[20]Source!Y935</f>
        <v>294.86</v>
      </c>
      <c r="U943" s="281">
        <f>ROUND((175/100)*ROUND([20]Source!R934, 2), 2)</f>
        <v>0</v>
      </c>
      <c r="V943" s="281">
        <f>ROUND((157/100)*ROUND([20]Source!R935, 2), 2)</f>
        <v>0</v>
      </c>
    </row>
    <row r="944" spans="1:22" ht="14.25" x14ac:dyDescent="0.2">
      <c r="A944" s="301"/>
      <c r="B944" s="302"/>
      <c r="C944" s="302" t="s">
        <v>197</v>
      </c>
      <c r="D944" s="303"/>
      <c r="E944" s="286"/>
      <c r="F944" s="321">
        <v>26.78</v>
      </c>
      <c r="G944" s="305" t="s">
        <v>1548</v>
      </c>
      <c r="H944" s="286">
        <v>1</v>
      </c>
      <c r="I944" s="304">
        <v>30.8</v>
      </c>
      <c r="J944" s="286">
        <v>23.35</v>
      </c>
      <c r="K944" s="304">
        <v>719.18</v>
      </c>
    </row>
    <row r="945" spans="1:22" ht="14.25" x14ac:dyDescent="0.2">
      <c r="A945" s="301"/>
      <c r="B945" s="302"/>
      <c r="C945" s="302" t="s">
        <v>205</v>
      </c>
      <c r="D945" s="303"/>
      <c r="E945" s="286"/>
      <c r="F945" s="321">
        <v>0.28000000000000003</v>
      </c>
      <c r="G945" s="305" t="s">
        <v>195</v>
      </c>
      <c r="H945" s="286">
        <v>1</v>
      </c>
      <c r="I945" s="304">
        <v>0.28000000000000003</v>
      </c>
      <c r="J945" s="286">
        <v>5.43</v>
      </c>
      <c r="K945" s="304">
        <v>1.52</v>
      </c>
    </row>
    <row r="946" spans="1:22" ht="14.25" x14ac:dyDescent="0.2">
      <c r="A946" s="301"/>
      <c r="B946" s="302"/>
      <c r="C946" s="302" t="s">
        <v>194</v>
      </c>
      <c r="D946" s="303" t="s">
        <v>187</v>
      </c>
      <c r="E946" s="286">
        <v>112</v>
      </c>
      <c r="F946" s="321"/>
      <c r="G946" s="305"/>
      <c r="H946" s="286"/>
      <c r="I946" s="304">
        <v>35.11</v>
      </c>
      <c r="J946" s="286">
        <v>90</v>
      </c>
      <c r="K946" s="304">
        <v>647.26</v>
      </c>
    </row>
    <row r="947" spans="1:22" ht="14.25" x14ac:dyDescent="0.2">
      <c r="A947" s="301"/>
      <c r="B947" s="302"/>
      <c r="C947" s="302" t="s">
        <v>193</v>
      </c>
      <c r="D947" s="303" t="s">
        <v>187</v>
      </c>
      <c r="E947" s="286">
        <v>70</v>
      </c>
      <c r="F947" s="321"/>
      <c r="G947" s="305"/>
      <c r="H947" s="286"/>
      <c r="I947" s="304">
        <v>20.64</v>
      </c>
      <c r="J947" s="286">
        <v>41</v>
      </c>
      <c r="K947" s="304">
        <v>294.86</v>
      </c>
    </row>
    <row r="948" spans="1:22" ht="14.25" x14ac:dyDescent="0.2">
      <c r="A948" s="307"/>
      <c r="B948" s="308"/>
      <c r="C948" s="308" t="s">
        <v>192</v>
      </c>
      <c r="D948" s="309" t="s">
        <v>191</v>
      </c>
      <c r="E948" s="310">
        <v>2.06</v>
      </c>
      <c r="F948" s="361"/>
      <c r="G948" s="312" t="s">
        <v>1548</v>
      </c>
      <c r="H948" s="310">
        <v>1</v>
      </c>
      <c r="I948" s="311">
        <v>2.37</v>
      </c>
      <c r="J948" s="310"/>
      <c r="K948" s="311"/>
    </row>
    <row r="949" spans="1:22" ht="15" x14ac:dyDescent="0.25">
      <c r="A949" s="313"/>
      <c r="B949" s="313"/>
      <c r="C949" s="314" t="s">
        <v>183</v>
      </c>
      <c r="D949" s="313"/>
      <c r="E949" s="313"/>
      <c r="F949" s="313"/>
      <c r="G949" s="313"/>
      <c r="H949" s="472">
        <v>86.83</v>
      </c>
      <c r="I949" s="472"/>
      <c r="J949" s="472">
        <v>1662.82</v>
      </c>
      <c r="K949" s="472"/>
      <c r="O949" s="284">
        <f>I944+I945+I946+I947</f>
        <v>86.83</v>
      </c>
      <c r="P949" s="284">
        <f>K944+K945+K946+K947</f>
        <v>1662.82</v>
      </c>
    </row>
    <row r="951" spans="1:22" ht="65.25" x14ac:dyDescent="0.2">
      <c r="A951" s="301" t="s">
        <v>104</v>
      </c>
      <c r="B951" s="302" t="s">
        <v>1473</v>
      </c>
      <c r="C951" s="302" t="s">
        <v>1472</v>
      </c>
      <c r="D951" s="303" t="s">
        <v>1903</v>
      </c>
      <c r="E951" s="286">
        <v>1</v>
      </c>
      <c r="F951" s="321"/>
      <c r="G951" s="305"/>
      <c r="H951" s="286"/>
      <c r="I951" s="304"/>
      <c r="J951" s="286"/>
      <c r="K951" s="304"/>
      <c r="Q951" s="281">
        <f>[20]Source!X936</f>
        <v>7.62</v>
      </c>
      <c r="R951" s="281">
        <f>[20]Source!X937</f>
        <v>140.38</v>
      </c>
      <c r="S951" s="281">
        <f>[20]Source!Y936</f>
        <v>4.4800000000000004</v>
      </c>
      <c r="T951" s="281">
        <f>[20]Source!Y937</f>
        <v>63.95</v>
      </c>
      <c r="U951" s="281">
        <f>ROUND((175/100)*ROUND([20]Source!R936, 2), 2)</f>
        <v>12.09</v>
      </c>
      <c r="V951" s="281">
        <f>ROUND((157/100)*ROUND([20]Source!R937, 2), 2)</f>
        <v>253.32</v>
      </c>
    </row>
    <row r="952" spans="1:22" ht="14.25" x14ac:dyDescent="0.2">
      <c r="A952" s="301"/>
      <c r="B952" s="302"/>
      <c r="C952" s="302" t="s">
        <v>197</v>
      </c>
      <c r="D952" s="303"/>
      <c r="E952" s="286"/>
      <c r="F952" s="321">
        <v>5.81</v>
      </c>
      <c r="G952" s="305" t="s">
        <v>1548</v>
      </c>
      <c r="H952" s="286">
        <v>1</v>
      </c>
      <c r="I952" s="304">
        <v>6.68</v>
      </c>
      <c r="J952" s="286">
        <v>23.35</v>
      </c>
      <c r="K952" s="304">
        <v>155.97999999999999</v>
      </c>
    </row>
    <row r="953" spans="1:22" ht="14.25" x14ac:dyDescent="0.2">
      <c r="A953" s="301"/>
      <c r="B953" s="302"/>
      <c r="C953" s="302" t="s">
        <v>184</v>
      </c>
      <c r="D953" s="303"/>
      <c r="E953" s="286"/>
      <c r="F953" s="321">
        <v>27.61</v>
      </c>
      <c r="G953" s="305" t="s">
        <v>1549</v>
      </c>
      <c r="H953" s="286">
        <v>1</v>
      </c>
      <c r="I953" s="304">
        <v>34.51</v>
      </c>
      <c r="J953" s="286">
        <v>8.9600000000000009</v>
      </c>
      <c r="K953" s="304">
        <v>309.20999999999998</v>
      </c>
    </row>
    <row r="954" spans="1:22" ht="14.25" x14ac:dyDescent="0.2">
      <c r="A954" s="301"/>
      <c r="B954" s="302"/>
      <c r="C954" s="302" t="s">
        <v>189</v>
      </c>
      <c r="D954" s="303"/>
      <c r="E954" s="286"/>
      <c r="F954" s="321">
        <v>5.53</v>
      </c>
      <c r="G954" s="305" t="s">
        <v>1549</v>
      </c>
      <c r="H954" s="286">
        <v>1</v>
      </c>
      <c r="I954" s="306">
        <v>6.91</v>
      </c>
      <c r="J954" s="286">
        <v>23.35</v>
      </c>
      <c r="K954" s="306">
        <v>161.35</v>
      </c>
    </row>
    <row r="955" spans="1:22" ht="14.25" x14ac:dyDescent="0.2">
      <c r="A955" s="301"/>
      <c r="B955" s="302"/>
      <c r="C955" s="302" t="s">
        <v>205</v>
      </c>
      <c r="D955" s="303"/>
      <c r="E955" s="286"/>
      <c r="F955" s="321">
        <v>1.89</v>
      </c>
      <c r="G955" s="305" t="s">
        <v>195</v>
      </c>
      <c r="H955" s="286">
        <v>1</v>
      </c>
      <c r="I955" s="304">
        <v>1.89</v>
      </c>
      <c r="J955" s="286">
        <v>5.42</v>
      </c>
      <c r="K955" s="304">
        <v>10.24</v>
      </c>
    </row>
    <row r="956" spans="1:22" ht="14.25" x14ac:dyDescent="0.2">
      <c r="A956" s="301"/>
      <c r="B956" s="302"/>
      <c r="C956" s="302" t="s">
        <v>194</v>
      </c>
      <c r="D956" s="303" t="s">
        <v>187</v>
      </c>
      <c r="E956" s="286">
        <v>112</v>
      </c>
      <c r="F956" s="321"/>
      <c r="G956" s="305"/>
      <c r="H956" s="286"/>
      <c r="I956" s="304">
        <v>7.62</v>
      </c>
      <c r="J956" s="286">
        <v>90</v>
      </c>
      <c r="K956" s="304">
        <v>140.38</v>
      </c>
    </row>
    <row r="957" spans="1:22" ht="14.25" x14ac:dyDescent="0.2">
      <c r="A957" s="301"/>
      <c r="B957" s="302"/>
      <c r="C957" s="302" t="s">
        <v>193</v>
      </c>
      <c r="D957" s="303" t="s">
        <v>187</v>
      </c>
      <c r="E957" s="286">
        <v>70</v>
      </c>
      <c r="F957" s="321"/>
      <c r="G957" s="305"/>
      <c r="H957" s="286"/>
      <c r="I957" s="304">
        <v>4.4800000000000004</v>
      </c>
      <c r="J957" s="286">
        <v>41</v>
      </c>
      <c r="K957" s="304">
        <v>63.95</v>
      </c>
    </row>
    <row r="958" spans="1:22" ht="14.25" x14ac:dyDescent="0.2">
      <c r="A958" s="301"/>
      <c r="B958" s="302"/>
      <c r="C958" s="302" t="s">
        <v>188</v>
      </c>
      <c r="D958" s="303" t="s">
        <v>187</v>
      </c>
      <c r="E958" s="286">
        <v>175</v>
      </c>
      <c r="F958" s="321"/>
      <c r="G958" s="305"/>
      <c r="H958" s="286"/>
      <c r="I958" s="304">
        <v>12.09</v>
      </c>
      <c r="J958" s="286">
        <v>157</v>
      </c>
      <c r="K958" s="304">
        <v>253.32</v>
      </c>
    </row>
    <row r="959" spans="1:22" ht="14.25" x14ac:dyDescent="0.2">
      <c r="A959" s="307"/>
      <c r="B959" s="308"/>
      <c r="C959" s="308" t="s">
        <v>192</v>
      </c>
      <c r="D959" s="309" t="s">
        <v>191</v>
      </c>
      <c r="E959" s="310">
        <v>0.52</v>
      </c>
      <c r="F959" s="361"/>
      <c r="G959" s="312" t="s">
        <v>1548</v>
      </c>
      <c r="H959" s="310">
        <v>1</v>
      </c>
      <c r="I959" s="311">
        <v>0.6</v>
      </c>
      <c r="J959" s="310"/>
      <c r="K959" s="311"/>
    </row>
    <row r="960" spans="1:22" ht="15" x14ac:dyDescent="0.25">
      <c r="A960" s="313"/>
      <c r="B960" s="313"/>
      <c r="C960" s="314" t="s">
        <v>183</v>
      </c>
      <c r="D960" s="313"/>
      <c r="E960" s="313"/>
      <c r="F960" s="313"/>
      <c r="G960" s="313"/>
      <c r="H960" s="472">
        <v>67.27</v>
      </c>
      <c r="I960" s="472"/>
      <c r="J960" s="472">
        <v>933.08</v>
      </c>
      <c r="K960" s="472"/>
      <c r="O960" s="284">
        <f>I952+I953+I955+I956+I957+I958</f>
        <v>67.27</v>
      </c>
      <c r="P960" s="284">
        <f>K952+K953+K955+K956+K957+K958</f>
        <v>933.08</v>
      </c>
    </row>
    <row r="962" spans="1:22" ht="81" x14ac:dyDescent="0.2">
      <c r="A962" s="275" t="s">
        <v>1546</v>
      </c>
      <c r="B962" s="276" t="s">
        <v>3752</v>
      </c>
      <c r="C962" s="276" t="s">
        <v>1491</v>
      </c>
      <c r="D962" s="277" t="s">
        <v>3240</v>
      </c>
      <c r="E962" s="278">
        <v>1</v>
      </c>
      <c r="F962" s="362">
        <v>11543.7</v>
      </c>
      <c r="G962" s="280" t="s">
        <v>195</v>
      </c>
      <c r="H962" s="278">
        <v>1</v>
      </c>
      <c r="I962" s="279">
        <v>11543.7</v>
      </c>
      <c r="J962" s="278">
        <v>4.4000000000000004</v>
      </c>
      <c r="K962" s="279">
        <v>50792.28</v>
      </c>
      <c r="Q962" s="281">
        <f>[20]Source!X938</f>
        <v>0</v>
      </c>
      <c r="R962" s="281">
        <f>[20]Source!X939</f>
        <v>0</v>
      </c>
      <c r="S962" s="281">
        <f>[20]Source!Y938</f>
        <v>0</v>
      </c>
      <c r="T962" s="281">
        <f>[20]Source!Y939</f>
        <v>0</v>
      </c>
      <c r="U962" s="281">
        <f>ROUND((175/100)*ROUND([20]Source!R938, 2), 2)</f>
        <v>0</v>
      </c>
      <c r="V962" s="281">
        <f>ROUND((157/100)*ROUND([20]Source!R939, 2), 2)</f>
        <v>0</v>
      </c>
    </row>
    <row r="963" spans="1:22" ht="15" x14ac:dyDescent="0.25">
      <c r="A963" s="282"/>
      <c r="B963" s="282"/>
      <c r="C963" s="283" t="s">
        <v>183</v>
      </c>
      <c r="D963" s="282"/>
      <c r="E963" s="282"/>
      <c r="F963" s="282"/>
      <c r="G963" s="282"/>
      <c r="H963" s="473">
        <v>11543.7</v>
      </c>
      <c r="I963" s="473"/>
      <c r="J963" s="473">
        <v>50792.28</v>
      </c>
      <c r="K963" s="473"/>
      <c r="O963" s="284">
        <f>I962</f>
        <v>11543.7</v>
      </c>
      <c r="P963" s="284">
        <f>K962</f>
        <v>50792.28</v>
      </c>
    </row>
    <row r="966" spans="1:22" ht="15" x14ac:dyDescent="0.25">
      <c r="A966" s="447" t="s">
        <v>3793</v>
      </c>
      <c r="B966" s="447"/>
      <c r="C966" s="447"/>
      <c r="D966" s="447"/>
      <c r="E966" s="447"/>
      <c r="F966" s="447"/>
      <c r="G966" s="447"/>
      <c r="H966" s="445">
        <v>11919.39</v>
      </c>
      <c r="I966" s="446"/>
      <c r="J966" s="445">
        <v>57287.040000000001</v>
      </c>
      <c r="K966" s="446"/>
    </row>
    <row r="967" spans="1:22" hidden="1" x14ac:dyDescent="0.2">
      <c r="A967" s="281" t="s">
        <v>182</v>
      </c>
      <c r="I967" s="281">
        <v>0</v>
      </c>
      <c r="J967" s="281">
        <v>0</v>
      </c>
    </row>
    <row r="968" spans="1:22" hidden="1" x14ac:dyDescent="0.2">
      <c r="A968" s="281" t="s">
        <v>181</v>
      </c>
      <c r="I968" s="281">
        <v>0</v>
      </c>
      <c r="J968" s="281">
        <v>0</v>
      </c>
    </row>
    <row r="970" spans="1:22" ht="16.5" x14ac:dyDescent="0.25">
      <c r="A970" s="448" t="s">
        <v>3794</v>
      </c>
      <c r="B970" s="448"/>
      <c r="C970" s="448"/>
      <c r="D970" s="448"/>
      <c r="E970" s="448"/>
      <c r="F970" s="448"/>
      <c r="G970" s="448"/>
      <c r="H970" s="448"/>
      <c r="I970" s="448"/>
      <c r="J970" s="448"/>
      <c r="K970" s="448"/>
    </row>
    <row r="971" spans="1:22" ht="65.25" x14ac:dyDescent="0.2">
      <c r="A971" s="301" t="s">
        <v>719</v>
      </c>
      <c r="B971" s="302" t="s">
        <v>1476</v>
      </c>
      <c r="C971" s="302" t="s">
        <v>1475</v>
      </c>
      <c r="D971" s="303" t="s">
        <v>1903</v>
      </c>
      <c r="E971" s="286">
        <v>1</v>
      </c>
      <c r="F971" s="321"/>
      <c r="G971" s="305"/>
      <c r="H971" s="286"/>
      <c r="I971" s="304"/>
      <c r="J971" s="286"/>
      <c r="K971" s="304"/>
      <c r="Q971" s="281">
        <f>[20]Source!X975</f>
        <v>78.39</v>
      </c>
      <c r="R971" s="281">
        <f>[20]Source!X976</f>
        <v>1445</v>
      </c>
      <c r="S971" s="281">
        <f>[20]Source!Y975</f>
        <v>46.07</v>
      </c>
      <c r="T971" s="281">
        <f>[20]Source!Y976</f>
        <v>658.28</v>
      </c>
      <c r="U971" s="281">
        <f>ROUND((175/100)*ROUND([20]Source!R975, 2), 2)</f>
        <v>1.42</v>
      </c>
      <c r="V971" s="281">
        <f>ROUND((157/100)*ROUND([20]Source!R976, 2), 2)</f>
        <v>29.69</v>
      </c>
    </row>
    <row r="972" spans="1:22" ht="14.25" x14ac:dyDescent="0.2">
      <c r="A972" s="301"/>
      <c r="B972" s="302"/>
      <c r="C972" s="302" t="s">
        <v>197</v>
      </c>
      <c r="D972" s="303"/>
      <c r="E972" s="286"/>
      <c r="F972" s="321">
        <v>59.79</v>
      </c>
      <c r="G972" s="305" t="s">
        <v>1548</v>
      </c>
      <c r="H972" s="286">
        <v>1</v>
      </c>
      <c r="I972" s="304">
        <v>68.760000000000005</v>
      </c>
      <c r="J972" s="286">
        <v>23.35</v>
      </c>
      <c r="K972" s="304">
        <v>1605.55</v>
      </c>
    </row>
    <row r="973" spans="1:22" ht="14.25" x14ac:dyDescent="0.2">
      <c r="A973" s="301"/>
      <c r="B973" s="302"/>
      <c r="C973" s="302" t="s">
        <v>184</v>
      </c>
      <c r="D973" s="303"/>
      <c r="E973" s="286"/>
      <c r="F973" s="321">
        <v>4.42</v>
      </c>
      <c r="G973" s="305" t="s">
        <v>1549</v>
      </c>
      <c r="H973" s="286">
        <v>1</v>
      </c>
      <c r="I973" s="304">
        <v>5.53</v>
      </c>
      <c r="J973" s="286">
        <v>8</v>
      </c>
      <c r="K973" s="304">
        <v>44.24</v>
      </c>
    </row>
    <row r="974" spans="1:22" ht="14.25" x14ac:dyDescent="0.2">
      <c r="A974" s="301"/>
      <c r="B974" s="302"/>
      <c r="C974" s="302" t="s">
        <v>189</v>
      </c>
      <c r="D974" s="303"/>
      <c r="E974" s="286"/>
      <c r="F974" s="321">
        <v>0.65</v>
      </c>
      <c r="G974" s="305" t="s">
        <v>1549</v>
      </c>
      <c r="H974" s="286">
        <v>1</v>
      </c>
      <c r="I974" s="306">
        <v>0.81</v>
      </c>
      <c r="J974" s="286">
        <v>23.35</v>
      </c>
      <c r="K974" s="306">
        <v>18.91</v>
      </c>
    </row>
    <row r="975" spans="1:22" ht="14.25" x14ac:dyDescent="0.2">
      <c r="A975" s="301"/>
      <c r="B975" s="302"/>
      <c r="C975" s="302" t="s">
        <v>205</v>
      </c>
      <c r="D975" s="303"/>
      <c r="E975" s="286"/>
      <c r="F975" s="321">
        <v>21.42</v>
      </c>
      <c r="G975" s="305" t="s">
        <v>195</v>
      </c>
      <c r="H975" s="286">
        <v>1</v>
      </c>
      <c r="I975" s="304">
        <v>21.42</v>
      </c>
      <c r="J975" s="286">
        <v>5.42</v>
      </c>
      <c r="K975" s="304">
        <v>116.1</v>
      </c>
    </row>
    <row r="976" spans="1:22" ht="14.25" x14ac:dyDescent="0.2">
      <c r="A976" s="301"/>
      <c r="B976" s="302"/>
      <c r="C976" s="302" t="s">
        <v>194</v>
      </c>
      <c r="D976" s="303" t="s">
        <v>187</v>
      </c>
      <c r="E976" s="286">
        <v>112</v>
      </c>
      <c r="F976" s="321"/>
      <c r="G976" s="305"/>
      <c r="H976" s="286"/>
      <c r="I976" s="304">
        <v>78.39</v>
      </c>
      <c r="J976" s="286">
        <v>90</v>
      </c>
      <c r="K976" s="304">
        <v>1445</v>
      </c>
    </row>
    <row r="977" spans="1:22" ht="14.25" x14ac:dyDescent="0.2">
      <c r="A977" s="301"/>
      <c r="B977" s="302"/>
      <c r="C977" s="302" t="s">
        <v>193</v>
      </c>
      <c r="D977" s="303" t="s">
        <v>187</v>
      </c>
      <c r="E977" s="286">
        <v>70</v>
      </c>
      <c r="F977" s="321"/>
      <c r="G977" s="305"/>
      <c r="H977" s="286"/>
      <c r="I977" s="304">
        <v>46.07</v>
      </c>
      <c r="J977" s="286">
        <v>41</v>
      </c>
      <c r="K977" s="304">
        <v>658.28</v>
      </c>
    </row>
    <row r="978" spans="1:22" ht="14.25" x14ac:dyDescent="0.2">
      <c r="A978" s="301"/>
      <c r="B978" s="302"/>
      <c r="C978" s="302" t="s">
        <v>188</v>
      </c>
      <c r="D978" s="303" t="s">
        <v>187</v>
      </c>
      <c r="E978" s="286">
        <v>175</v>
      </c>
      <c r="F978" s="321"/>
      <c r="G978" s="305"/>
      <c r="H978" s="286"/>
      <c r="I978" s="304">
        <v>1.42</v>
      </c>
      <c r="J978" s="286">
        <v>157</v>
      </c>
      <c r="K978" s="304">
        <v>29.69</v>
      </c>
    </row>
    <row r="979" spans="1:22" ht="14.25" x14ac:dyDescent="0.2">
      <c r="A979" s="307"/>
      <c r="B979" s="308"/>
      <c r="C979" s="308" t="s">
        <v>192</v>
      </c>
      <c r="D979" s="309" t="s">
        <v>191</v>
      </c>
      <c r="E979" s="310">
        <v>5.15</v>
      </c>
      <c r="F979" s="361"/>
      <c r="G979" s="312" t="s">
        <v>1548</v>
      </c>
      <c r="H979" s="310">
        <v>1</v>
      </c>
      <c r="I979" s="311">
        <v>5.92</v>
      </c>
      <c r="J979" s="310"/>
      <c r="K979" s="311"/>
    </row>
    <row r="980" spans="1:22" ht="15" x14ac:dyDescent="0.25">
      <c r="A980" s="313"/>
      <c r="B980" s="313"/>
      <c r="C980" s="314" t="s">
        <v>183</v>
      </c>
      <c r="D980" s="313"/>
      <c r="E980" s="313"/>
      <c r="F980" s="313"/>
      <c r="G980" s="313"/>
      <c r="H980" s="472">
        <v>221.59</v>
      </c>
      <c r="I980" s="472"/>
      <c r="J980" s="472">
        <v>3898.86</v>
      </c>
      <c r="K980" s="472"/>
      <c r="O980" s="284">
        <f>I972+I973+I975+I976+I977+I978</f>
        <v>221.59</v>
      </c>
      <c r="P980" s="284">
        <f>K972+K973+K975+K976+K977+K978</f>
        <v>3898.86</v>
      </c>
    </row>
    <row r="982" spans="1:22" ht="65.25" x14ac:dyDescent="0.2">
      <c r="A982" s="301" t="s">
        <v>1534</v>
      </c>
      <c r="B982" s="302" t="s">
        <v>1474</v>
      </c>
      <c r="C982" s="302" t="s">
        <v>1247</v>
      </c>
      <c r="D982" s="303" t="s">
        <v>1903</v>
      </c>
      <c r="E982" s="286">
        <v>1</v>
      </c>
      <c r="F982" s="321"/>
      <c r="G982" s="305"/>
      <c r="H982" s="286"/>
      <c r="I982" s="304"/>
      <c r="J982" s="286"/>
      <c r="K982" s="304"/>
      <c r="Q982" s="281">
        <f>[20]Source!X977</f>
        <v>35.11</v>
      </c>
      <c r="R982" s="281">
        <f>[20]Source!X978</f>
        <v>647.26</v>
      </c>
      <c r="S982" s="281">
        <f>[20]Source!Y977</f>
        <v>20.64</v>
      </c>
      <c r="T982" s="281">
        <f>[20]Source!Y978</f>
        <v>294.86</v>
      </c>
      <c r="U982" s="281">
        <f>ROUND((175/100)*ROUND([20]Source!R977, 2), 2)</f>
        <v>0</v>
      </c>
      <c r="V982" s="281">
        <f>ROUND((157/100)*ROUND([20]Source!R978, 2), 2)</f>
        <v>0</v>
      </c>
    </row>
    <row r="983" spans="1:22" ht="14.25" x14ac:dyDescent="0.2">
      <c r="A983" s="301"/>
      <c r="B983" s="302"/>
      <c r="C983" s="302" t="s">
        <v>197</v>
      </c>
      <c r="D983" s="303"/>
      <c r="E983" s="286"/>
      <c r="F983" s="321">
        <v>26.78</v>
      </c>
      <c r="G983" s="305" t="s">
        <v>1548</v>
      </c>
      <c r="H983" s="286">
        <v>1</v>
      </c>
      <c r="I983" s="304">
        <v>30.8</v>
      </c>
      <c r="J983" s="286">
        <v>23.35</v>
      </c>
      <c r="K983" s="304">
        <v>719.18</v>
      </c>
    </row>
    <row r="984" spans="1:22" ht="14.25" x14ac:dyDescent="0.2">
      <c r="A984" s="301"/>
      <c r="B984" s="302"/>
      <c r="C984" s="302" t="s">
        <v>205</v>
      </c>
      <c r="D984" s="303"/>
      <c r="E984" s="286"/>
      <c r="F984" s="321">
        <v>0.28000000000000003</v>
      </c>
      <c r="G984" s="305" t="s">
        <v>195</v>
      </c>
      <c r="H984" s="286">
        <v>1</v>
      </c>
      <c r="I984" s="304">
        <v>0.28000000000000003</v>
      </c>
      <c r="J984" s="286">
        <v>5.43</v>
      </c>
      <c r="K984" s="304">
        <v>1.52</v>
      </c>
    </row>
    <row r="985" spans="1:22" ht="14.25" x14ac:dyDescent="0.2">
      <c r="A985" s="301"/>
      <c r="B985" s="302"/>
      <c r="C985" s="302" t="s">
        <v>194</v>
      </c>
      <c r="D985" s="303" t="s">
        <v>187</v>
      </c>
      <c r="E985" s="286">
        <v>112</v>
      </c>
      <c r="F985" s="321"/>
      <c r="G985" s="305"/>
      <c r="H985" s="286"/>
      <c r="I985" s="304">
        <v>35.11</v>
      </c>
      <c r="J985" s="286">
        <v>90</v>
      </c>
      <c r="K985" s="304">
        <v>647.26</v>
      </c>
    </row>
    <row r="986" spans="1:22" ht="14.25" x14ac:dyDescent="0.2">
      <c r="A986" s="301"/>
      <c r="B986" s="302"/>
      <c r="C986" s="302" t="s">
        <v>193</v>
      </c>
      <c r="D986" s="303" t="s">
        <v>187</v>
      </c>
      <c r="E986" s="286">
        <v>70</v>
      </c>
      <c r="F986" s="321"/>
      <c r="G986" s="305"/>
      <c r="H986" s="286"/>
      <c r="I986" s="304">
        <v>20.64</v>
      </c>
      <c r="J986" s="286">
        <v>41</v>
      </c>
      <c r="K986" s="304">
        <v>294.86</v>
      </c>
    </row>
    <row r="987" spans="1:22" ht="14.25" x14ac:dyDescent="0.2">
      <c r="A987" s="307"/>
      <c r="B987" s="308"/>
      <c r="C987" s="308" t="s">
        <v>192</v>
      </c>
      <c r="D987" s="309" t="s">
        <v>191</v>
      </c>
      <c r="E987" s="310">
        <v>2.06</v>
      </c>
      <c r="F987" s="361"/>
      <c r="G987" s="312" t="s">
        <v>1548</v>
      </c>
      <c r="H987" s="310">
        <v>1</v>
      </c>
      <c r="I987" s="311">
        <v>2.37</v>
      </c>
      <c r="J987" s="310"/>
      <c r="K987" s="311"/>
    </row>
    <row r="988" spans="1:22" ht="15" x14ac:dyDescent="0.25">
      <c r="A988" s="313"/>
      <c r="B988" s="313"/>
      <c r="C988" s="314" t="s">
        <v>183</v>
      </c>
      <c r="D988" s="313"/>
      <c r="E988" s="313"/>
      <c r="F988" s="313"/>
      <c r="G988" s="313"/>
      <c r="H988" s="472">
        <v>86.83</v>
      </c>
      <c r="I988" s="472"/>
      <c r="J988" s="472">
        <v>1662.82</v>
      </c>
      <c r="K988" s="472"/>
      <c r="O988" s="284">
        <f>I983+I984+I985+I986</f>
        <v>86.83</v>
      </c>
      <c r="P988" s="284">
        <f>K983+K984+K985+K986</f>
        <v>1662.82</v>
      </c>
    </row>
    <row r="990" spans="1:22" ht="65.25" x14ac:dyDescent="0.2">
      <c r="A990" s="301" t="s">
        <v>104</v>
      </c>
      <c r="B990" s="302" t="s">
        <v>1473</v>
      </c>
      <c r="C990" s="302" t="s">
        <v>1472</v>
      </c>
      <c r="D990" s="303" t="s">
        <v>1903</v>
      </c>
      <c r="E990" s="286">
        <v>1</v>
      </c>
      <c r="F990" s="321"/>
      <c r="G990" s="305"/>
      <c r="H990" s="286"/>
      <c r="I990" s="304"/>
      <c r="J990" s="286"/>
      <c r="K990" s="304"/>
      <c r="Q990" s="281">
        <f>[20]Source!X979</f>
        <v>7.62</v>
      </c>
      <c r="R990" s="281">
        <f>[20]Source!X980</f>
        <v>140.38</v>
      </c>
      <c r="S990" s="281">
        <f>[20]Source!Y979</f>
        <v>4.4800000000000004</v>
      </c>
      <c r="T990" s="281">
        <f>[20]Source!Y980</f>
        <v>63.95</v>
      </c>
      <c r="U990" s="281">
        <f>ROUND((175/100)*ROUND([20]Source!R979, 2), 2)</f>
        <v>12.09</v>
      </c>
      <c r="V990" s="281">
        <f>ROUND((157/100)*ROUND([20]Source!R980, 2), 2)</f>
        <v>253.32</v>
      </c>
    </row>
    <row r="991" spans="1:22" ht="14.25" x14ac:dyDescent="0.2">
      <c r="A991" s="301"/>
      <c r="B991" s="302"/>
      <c r="C991" s="302" t="s">
        <v>197</v>
      </c>
      <c r="D991" s="303"/>
      <c r="E991" s="286"/>
      <c r="F991" s="321">
        <v>5.81</v>
      </c>
      <c r="G991" s="305" t="s">
        <v>1548</v>
      </c>
      <c r="H991" s="286">
        <v>1</v>
      </c>
      <c r="I991" s="304">
        <v>6.68</v>
      </c>
      <c r="J991" s="286">
        <v>23.35</v>
      </c>
      <c r="K991" s="304">
        <v>155.97999999999999</v>
      </c>
    </row>
    <row r="992" spans="1:22" ht="14.25" x14ac:dyDescent="0.2">
      <c r="A992" s="301"/>
      <c r="B992" s="302"/>
      <c r="C992" s="302" t="s">
        <v>184</v>
      </c>
      <c r="D992" s="303"/>
      <c r="E992" s="286"/>
      <c r="F992" s="321">
        <v>27.61</v>
      </c>
      <c r="G992" s="305" t="s">
        <v>1549</v>
      </c>
      <c r="H992" s="286">
        <v>1</v>
      </c>
      <c r="I992" s="304">
        <v>34.51</v>
      </c>
      <c r="J992" s="286">
        <v>8.9600000000000009</v>
      </c>
      <c r="K992" s="304">
        <v>309.20999999999998</v>
      </c>
    </row>
    <row r="993" spans="1:22" ht="14.25" x14ac:dyDescent="0.2">
      <c r="A993" s="301"/>
      <c r="B993" s="302"/>
      <c r="C993" s="302" t="s">
        <v>189</v>
      </c>
      <c r="D993" s="303"/>
      <c r="E993" s="286"/>
      <c r="F993" s="321">
        <v>5.53</v>
      </c>
      <c r="G993" s="305" t="s">
        <v>1549</v>
      </c>
      <c r="H993" s="286">
        <v>1</v>
      </c>
      <c r="I993" s="306">
        <v>6.91</v>
      </c>
      <c r="J993" s="286">
        <v>23.35</v>
      </c>
      <c r="K993" s="306">
        <v>161.35</v>
      </c>
    </row>
    <row r="994" spans="1:22" ht="14.25" x14ac:dyDescent="0.2">
      <c r="A994" s="301"/>
      <c r="B994" s="302"/>
      <c r="C994" s="302" t="s">
        <v>205</v>
      </c>
      <c r="D994" s="303"/>
      <c r="E994" s="286"/>
      <c r="F994" s="321">
        <v>1.89</v>
      </c>
      <c r="G994" s="305" t="s">
        <v>195</v>
      </c>
      <c r="H994" s="286">
        <v>1</v>
      </c>
      <c r="I994" s="304">
        <v>1.89</v>
      </c>
      <c r="J994" s="286">
        <v>5.42</v>
      </c>
      <c r="K994" s="304">
        <v>10.24</v>
      </c>
    </row>
    <row r="995" spans="1:22" ht="14.25" x14ac:dyDescent="0.2">
      <c r="A995" s="301"/>
      <c r="B995" s="302"/>
      <c r="C995" s="302" t="s">
        <v>194</v>
      </c>
      <c r="D995" s="303" t="s">
        <v>187</v>
      </c>
      <c r="E995" s="286">
        <v>112</v>
      </c>
      <c r="F995" s="321"/>
      <c r="G995" s="305"/>
      <c r="H995" s="286"/>
      <c r="I995" s="304">
        <v>7.62</v>
      </c>
      <c r="J995" s="286">
        <v>90</v>
      </c>
      <c r="K995" s="304">
        <v>140.38</v>
      </c>
    </row>
    <row r="996" spans="1:22" ht="14.25" x14ac:dyDescent="0.2">
      <c r="A996" s="301"/>
      <c r="B996" s="302"/>
      <c r="C996" s="302" t="s">
        <v>193</v>
      </c>
      <c r="D996" s="303" t="s">
        <v>187</v>
      </c>
      <c r="E996" s="286">
        <v>70</v>
      </c>
      <c r="F996" s="321"/>
      <c r="G996" s="305"/>
      <c r="H996" s="286"/>
      <c r="I996" s="304">
        <v>4.4800000000000004</v>
      </c>
      <c r="J996" s="286">
        <v>41</v>
      </c>
      <c r="K996" s="304">
        <v>63.95</v>
      </c>
    </row>
    <row r="997" spans="1:22" ht="14.25" x14ac:dyDescent="0.2">
      <c r="A997" s="301"/>
      <c r="B997" s="302"/>
      <c r="C997" s="302" t="s">
        <v>188</v>
      </c>
      <c r="D997" s="303" t="s">
        <v>187</v>
      </c>
      <c r="E997" s="286">
        <v>175</v>
      </c>
      <c r="F997" s="321"/>
      <c r="G997" s="305"/>
      <c r="H997" s="286"/>
      <c r="I997" s="304">
        <v>12.09</v>
      </c>
      <c r="J997" s="286">
        <v>157</v>
      </c>
      <c r="K997" s="304">
        <v>253.32</v>
      </c>
    </row>
    <row r="998" spans="1:22" ht="14.25" x14ac:dyDescent="0.2">
      <c r="A998" s="307"/>
      <c r="B998" s="308"/>
      <c r="C998" s="308" t="s">
        <v>192</v>
      </c>
      <c r="D998" s="309" t="s">
        <v>191</v>
      </c>
      <c r="E998" s="310">
        <v>0.52</v>
      </c>
      <c r="F998" s="361"/>
      <c r="G998" s="312" t="s">
        <v>1548</v>
      </c>
      <c r="H998" s="310">
        <v>1</v>
      </c>
      <c r="I998" s="311">
        <v>0.6</v>
      </c>
      <c r="J998" s="310"/>
      <c r="K998" s="311"/>
    </row>
    <row r="999" spans="1:22" ht="15" x14ac:dyDescent="0.25">
      <c r="A999" s="313"/>
      <c r="B999" s="313"/>
      <c r="C999" s="314" t="s">
        <v>183</v>
      </c>
      <c r="D999" s="313"/>
      <c r="E999" s="313"/>
      <c r="F999" s="313"/>
      <c r="G999" s="313"/>
      <c r="H999" s="472">
        <v>67.27</v>
      </c>
      <c r="I999" s="472"/>
      <c r="J999" s="472">
        <v>933.08</v>
      </c>
      <c r="K999" s="472"/>
      <c r="O999" s="284">
        <f>I991+I992+I994+I995+I996+I997</f>
        <v>67.27</v>
      </c>
      <c r="P999" s="284">
        <f>K991+K992+K994+K995+K996+K997</f>
        <v>933.08</v>
      </c>
    </row>
    <row r="1001" spans="1:22" ht="81" x14ac:dyDescent="0.2">
      <c r="A1001" s="275" t="s">
        <v>1546</v>
      </c>
      <c r="B1001" s="276" t="s">
        <v>3752</v>
      </c>
      <c r="C1001" s="276" t="s">
        <v>1490</v>
      </c>
      <c r="D1001" s="277" t="s">
        <v>3240</v>
      </c>
      <c r="E1001" s="278">
        <v>1</v>
      </c>
      <c r="F1001" s="362">
        <v>11543.7</v>
      </c>
      <c r="G1001" s="280" t="s">
        <v>195</v>
      </c>
      <c r="H1001" s="278">
        <v>1</v>
      </c>
      <c r="I1001" s="279">
        <v>11543.7</v>
      </c>
      <c r="J1001" s="278">
        <v>4.4000000000000004</v>
      </c>
      <c r="K1001" s="279">
        <v>50792.28</v>
      </c>
      <c r="Q1001" s="281">
        <f>[20]Source!X981</f>
        <v>0</v>
      </c>
      <c r="R1001" s="281">
        <f>[20]Source!X982</f>
        <v>0</v>
      </c>
      <c r="S1001" s="281">
        <f>[20]Source!Y981</f>
        <v>0</v>
      </c>
      <c r="T1001" s="281">
        <f>[20]Source!Y982</f>
        <v>0</v>
      </c>
      <c r="U1001" s="281">
        <f>ROUND((175/100)*ROUND([20]Source!R981, 2), 2)</f>
        <v>0</v>
      </c>
      <c r="V1001" s="281">
        <f>ROUND((157/100)*ROUND([20]Source!R982, 2), 2)</f>
        <v>0</v>
      </c>
    </row>
    <row r="1002" spans="1:22" ht="15" x14ac:dyDescent="0.25">
      <c r="A1002" s="282"/>
      <c r="B1002" s="282"/>
      <c r="C1002" s="283" t="s">
        <v>183</v>
      </c>
      <c r="D1002" s="282"/>
      <c r="E1002" s="282"/>
      <c r="F1002" s="282"/>
      <c r="G1002" s="282"/>
      <c r="H1002" s="473">
        <v>11543.7</v>
      </c>
      <c r="I1002" s="473"/>
      <c r="J1002" s="473">
        <v>50792.28</v>
      </c>
      <c r="K1002" s="473"/>
      <c r="O1002" s="284">
        <f>I1001</f>
        <v>11543.7</v>
      </c>
      <c r="P1002" s="284">
        <f>K1001</f>
        <v>50792.28</v>
      </c>
    </row>
    <row r="1005" spans="1:22" ht="15" x14ac:dyDescent="0.25">
      <c r="A1005" s="447" t="s">
        <v>3795</v>
      </c>
      <c r="B1005" s="447"/>
      <c r="C1005" s="447"/>
      <c r="D1005" s="447"/>
      <c r="E1005" s="447"/>
      <c r="F1005" s="447"/>
      <c r="G1005" s="447"/>
      <c r="H1005" s="445">
        <v>11919.39</v>
      </c>
      <c r="I1005" s="446"/>
      <c r="J1005" s="445">
        <v>57287.040000000001</v>
      </c>
      <c r="K1005" s="446"/>
    </row>
    <row r="1006" spans="1:22" hidden="1" x14ac:dyDescent="0.2">
      <c r="A1006" s="281" t="s">
        <v>182</v>
      </c>
      <c r="I1006" s="281">
        <v>0</v>
      </c>
      <c r="J1006" s="281">
        <v>0</v>
      </c>
    </row>
    <row r="1007" spans="1:22" hidden="1" x14ac:dyDescent="0.2">
      <c r="A1007" s="281" t="s">
        <v>181</v>
      </c>
      <c r="I1007" s="281">
        <v>0</v>
      </c>
      <c r="J1007" s="281">
        <v>0</v>
      </c>
    </row>
    <row r="1009" spans="1:22" ht="16.5" x14ac:dyDescent="0.25">
      <c r="A1009" s="448" t="s">
        <v>3796</v>
      </c>
      <c r="B1009" s="448"/>
      <c r="C1009" s="448"/>
      <c r="D1009" s="448"/>
      <c r="E1009" s="448"/>
      <c r="F1009" s="448"/>
      <c r="G1009" s="448"/>
      <c r="H1009" s="448"/>
      <c r="I1009" s="448"/>
      <c r="J1009" s="448"/>
      <c r="K1009" s="448"/>
    </row>
    <row r="1010" spans="1:22" ht="65.25" x14ac:dyDescent="0.2">
      <c r="A1010" s="301" t="s">
        <v>719</v>
      </c>
      <c r="B1010" s="302" t="s">
        <v>1476</v>
      </c>
      <c r="C1010" s="302" t="s">
        <v>1475</v>
      </c>
      <c r="D1010" s="303" t="s">
        <v>1903</v>
      </c>
      <c r="E1010" s="286">
        <v>1</v>
      </c>
      <c r="F1010" s="321"/>
      <c r="G1010" s="305"/>
      <c r="H1010" s="286"/>
      <c r="I1010" s="304"/>
      <c r="J1010" s="286"/>
      <c r="K1010" s="304"/>
      <c r="Q1010" s="281">
        <f>[20]Source!X1018</f>
        <v>78.39</v>
      </c>
      <c r="R1010" s="281">
        <f>[20]Source!X1019</f>
        <v>1445</v>
      </c>
      <c r="S1010" s="281">
        <f>[20]Source!Y1018</f>
        <v>46.07</v>
      </c>
      <c r="T1010" s="281">
        <f>[20]Source!Y1019</f>
        <v>658.28</v>
      </c>
      <c r="U1010" s="281">
        <f>ROUND((175/100)*ROUND([20]Source!R1018, 2), 2)</f>
        <v>1.42</v>
      </c>
      <c r="V1010" s="281">
        <f>ROUND((157/100)*ROUND([20]Source!R1019, 2), 2)</f>
        <v>29.69</v>
      </c>
    </row>
    <row r="1011" spans="1:22" ht="14.25" x14ac:dyDescent="0.2">
      <c r="A1011" s="301"/>
      <c r="B1011" s="302"/>
      <c r="C1011" s="302" t="s">
        <v>197</v>
      </c>
      <c r="D1011" s="303"/>
      <c r="E1011" s="286"/>
      <c r="F1011" s="321">
        <v>59.79</v>
      </c>
      <c r="G1011" s="305" t="s">
        <v>1548</v>
      </c>
      <c r="H1011" s="286">
        <v>1</v>
      </c>
      <c r="I1011" s="304">
        <v>68.760000000000005</v>
      </c>
      <c r="J1011" s="286">
        <v>23.35</v>
      </c>
      <c r="K1011" s="304">
        <v>1605.55</v>
      </c>
    </row>
    <row r="1012" spans="1:22" ht="14.25" x14ac:dyDescent="0.2">
      <c r="A1012" s="301"/>
      <c r="B1012" s="302"/>
      <c r="C1012" s="302" t="s">
        <v>184</v>
      </c>
      <c r="D1012" s="303"/>
      <c r="E1012" s="286"/>
      <c r="F1012" s="321">
        <v>4.42</v>
      </c>
      <c r="G1012" s="305" t="s">
        <v>1549</v>
      </c>
      <c r="H1012" s="286">
        <v>1</v>
      </c>
      <c r="I1012" s="304">
        <v>5.53</v>
      </c>
      <c r="J1012" s="286">
        <v>8</v>
      </c>
      <c r="K1012" s="304">
        <v>44.24</v>
      </c>
    </row>
    <row r="1013" spans="1:22" ht="14.25" x14ac:dyDescent="0.2">
      <c r="A1013" s="301"/>
      <c r="B1013" s="302"/>
      <c r="C1013" s="302" t="s">
        <v>189</v>
      </c>
      <c r="D1013" s="303"/>
      <c r="E1013" s="286"/>
      <c r="F1013" s="321">
        <v>0.65</v>
      </c>
      <c r="G1013" s="305" t="s">
        <v>1549</v>
      </c>
      <c r="H1013" s="286">
        <v>1</v>
      </c>
      <c r="I1013" s="306">
        <v>0.81</v>
      </c>
      <c r="J1013" s="286">
        <v>23.35</v>
      </c>
      <c r="K1013" s="306">
        <v>18.91</v>
      </c>
    </row>
    <row r="1014" spans="1:22" ht="14.25" x14ac:dyDescent="0.2">
      <c r="A1014" s="301"/>
      <c r="B1014" s="302"/>
      <c r="C1014" s="302" t="s">
        <v>205</v>
      </c>
      <c r="D1014" s="303"/>
      <c r="E1014" s="286"/>
      <c r="F1014" s="321">
        <v>21.42</v>
      </c>
      <c r="G1014" s="305" t="s">
        <v>195</v>
      </c>
      <c r="H1014" s="286">
        <v>1</v>
      </c>
      <c r="I1014" s="304">
        <v>21.42</v>
      </c>
      <c r="J1014" s="286">
        <v>5.42</v>
      </c>
      <c r="K1014" s="304">
        <v>116.1</v>
      </c>
    </row>
    <row r="1015" spans="1:22" ht="14.25" x14ac:dyDescent="0.2">
      <c r="A1015" s="301"/>
      <c r="B1015" s="302"/>
      <c r="C1015" s="302" t="s">
        <v>194</v>
      </c>
      <c r="D1015" s="303" t="s">
        <v>187</v>
      </c>
      <c r="E1015" s="286">
        <v>112</v>
      </c>
      <c r="F1015" s="321"/>
      <c r="G1015" s="305"/>
      <c r="H1015" s="286"/>
      <c r="I1015" s="304">
        <v>78.39</v>
      </c>
      <c r="J1015" s="286">
        <v>90</v>
      </c>
      <c r="K1015" s="304">
        <v>1445</v>
      </c>
    </row>
    <row r="1016" spans="1:22" ht="14.25" x14ac:dyDescent="0.2">
      <c r="A1016" s="301"/>
      <c r="B1016" s="302"/>
      <c r="C1016" s="302" t="s">
        <v>193</v>
      </c>
      <c r="D1016" s="303" t="s">
        <v>187</v>
      </c>
      <c r="E1016" s="286">
        <v>70</v>
      </c>
      <c r="F1016" s="321"/>
      <c r="G1016" s="305"/>
      <c r="H1016" s="286"/>
      <c r="I1016" s="304">
        <v>46.07</v>
      </c>
      <c r="J1016" s="286">
        <v>41</v>
      </c>
      <c r="K1016" s="304">
        <v>658.28</v>
      </c>
    </row>
    <row r="1017" spans="1:22" ht="14.25" x14ac:dyDescent="0.2">
      <c r="A1017" s="301"/>
      <c r="B1017" s="302"/>
      <c r="C1017" s="302" t="s">
        <v>188</v>
      </c>
      <c r="D1017" s="303" t="s">
        <v>187</v>
      </c>
      <c r="E1017" s="286">
        <v>175</v>
      </c>
      <c r="F1017" s="321"/>
      <c r="G1017" s="305"/>
      <c r="H1017" s="286"/>
      <c r="I1017" s="304">
        <v>1.42</v>
      </c>
      <c r="J1017" s="286">
        <v>157</v>
      </c>
      <c r="K1017" s="304">
        <v>29.69</v>
      </c>
    </row>
    <row r="1018" spans="1:22" ht="14.25" x14ac:dyDescent="0.2">
      <c r="A1018" s="307"/>
      <c r="B1018" s="308"/>
      <c r="C1018" s="308" t="s">
        <v>192</v>
      </c>
      <c r="D1018" s="309" t="s">
        <v>191</v>
      </c>
      <c r="E1018" s="310">
        <v>5.15</v>
      </c>
      <c r="F1018" s="361"/>
      <c r="G1018" s="312" t="s">
        <v>1548</v>
      </c>
      <c r="H1018" s="310">
        <v>1</v>
      </c>
      <c r="I1018" s="311">
        <v>5.92</v>
      </c>
      <c r="J1018" s="310"/>
      <c r="K1018" s="311"/>
    </row>
    <row r="1019" spans="1:22" ht="15" x14ac:dyDescent="0.25">
      <c r="A1019" s="313"/>
      <c r="B1019" s="313"/>
      <c r="C1019" s="314" t="s">
        <v>183</v>
      </c>
      <c r="D1019" s="313"/>
      <c r="E1019" s="313"/>
      <c r="F1019" s="313"/>
      <c r="G1019" s="313"/>
      <c r="H1019" s="472">
        <v>221.59</v>
      </c>
      <c r="I1019" s="472"/>
      <c r="J1019" s="472">
        <v>3898.86</v>
      </c>
      <c r="K1019" s="472"/>
      <c r="O1019" s="284">
        <f>I1011+I1012+I1014+I1015+I1016+I1017</f>
        <v>221.59</v>
      </c>
      <c r="P1019" s="284">
        <f>K1011+K1012+K1014+K1015+K1016+K1017</f>
        <v>3898.86</v>
      </c>
    </row>
    <row r="1021" spans="1:22" ht="65.25" x14ac:dyDescent="0.2">
      <c r="A1021" s="301" t="s">
        <v>1534</v>
      </c>
      <c r="B1021" s="302" t="s">
        <v>1474</v>
      </c>
      <c r="C1021" s="302" t="s">
        <v>1247</v>
      </c>
      <c r="D1021" s="303" t="s">
        <v>1903</v>
      </c>
      <c r="E1021" s="286">
        <v>1</v>
      </c>
      <c r="F1021" s="321"/>
      <c r="G1021" s="305"/>
      <c r="H1021" s="286"/>
      <c r="I1021" s="304"/>
      <c r="J1021" s="286"/>
      <c r="K1021" s="304"/>
      <c r="Q1021" s="281">
        <f>[20]Source!X1020</f>
        <v>35.11</v>
      </c>
      <c r="R1021" s="281">
        <f>[20]Source!X1021</f>
        <v>647.26</v>
      </c>
      <c r="S1021" s="281">
        <f>[20]Source!Y1020</f>
        <v>20.64</v>
      </c>
      <c r="T1021" s="281">
        <f>[20]Source!Y1021</f>
        <v>294.86</v>
      </c>
      <c r="U1021" s="281">
        <f>ROUND((175/100)*ROUND([20]Source!R1020, 2), 2)</f>
        <v>0</v>
      </c>
      <c r="V1021" s="281">
        <f>ROUND((157/100)*ROUND([20]Source!R1021, 2), 2)</f>
        <v>0</v>
      </c>
    </row>
    <row r="1022" spans="1:22" ht="14.25" x14ac:dyDescent="0.2">
      <c r="A1022" s="301"/>
      <c r="B1022" s="302"/>
      <c r="C1022" s="302" t="s">
        <v>197</v>
      </c>
      <c r="D1022" s="303"/>
      <c r="E1022" s="286"/>
      <c r="F1022" s="321">
        <v>26.78</v>
      </c>
      <c r="G1022" s="305" t="s">
        <v>1548</v>
      </c>
      <c r="H1022" s="286">
        <v>1</v>
      </c>
      <c r="I1022" s="304">
        <v>30.8</v>
      </c>
      <c r="J1022" s="286">
        <v>23.35</v>
      </c>
      <c r="K1022" s="304">
        <v>719.18</v>
      </c>
    </row>
    <row r="1023" spans="1:22" ht="14.25" x14ac:dyDescent="0.2">
      <c r="A1023" s="301"/>
      <c r="B1023" s="302"/>
      <c r="C1023" s="302" t="s">
        <v>205</v>
      </c>
      <c r="D1023" s="303"/>
      <c r="E1023" s="286"/>
      <c r="F1023" s="321">
        <v>0.28000000000000003</v>
      </c>
      <c r="G1023" s="305" t="s">
        <v>195</v>
      </c>
      <c r="H1023" s="286">
        <v>1</v>
      </c>
      <c r="I1023" s="304">
        <v>0.28000000000000003</v>
      </c>
      <c r="J1023" s="286">
        <v>5.43</v>
      </c>
      <c r="K1023" s="304">
        <v>1.52</v>
      </c>
    </row>
    <row r="1024" spans="1:22" ht="14.25" x14ac:dyDescent="0.2">
      <c r="A1024" s="301"/>
      <c r="B1024" s="302"/>
      <c r="C1024" s="302" t="s">
        <v>194</v>
      </c>
      <c r="D1024" s="303" t="s">
        <v>187</v>
      </c>
      <c r="E1024" s="286">
        <v>112</v>
      </c>
      <c r="F1024" s="321"/>
      <c r="G1024" s="305"/>
      <c r="H1024" s="286"/>
      <c r="I1024" s="304">
        <v>35.11</v>
      </c>
      <c r="J1024" s="286">
        <v>90</v>
      </c>
      <c r="K1024" s="304">
        <v>647.26</v>
      </c>
    </row>
    <row r="1025" spans="1:22" ht="14.25" x14ac:dyDescent="0.2">
      <c r="A1025" s="301"/>
      <c r="B1025" s="302"/>
      <c r="C1025" s="302" t="s">
        <v>193</v>
      </c>
      <c r="D1025" s="303" t="s">
        <v>187</v>
      </c>
      <c r="E1025" s="286">
        <v>70</v>
      </c>
      <c r="F1025" s="321"/>
      <c r="G1025" s="305"/>
      <c r="H1025" s="286"/>
      <c r="I1025" s="304">
        <v>20.64</v>
      </c>
      <c r="J1025" s="286">
        <v>41</v>
      </c>
      <c r="K1025" s="304">
        <v>294.86</v>
      </c>
    </row>
    <row r="1026" spans="1:22" ht="14.25" x14ac:dyDescent="0.2">
      <c r="A1026" s="307"/>
      <c r="B1026" s="308"/>
      <c r="C1026" s="308" t="s">
        <v>192</v>
      </c>
      <c r="D1026" s="309" t="s">
        <v>191</v>
      </c>
      <c r="E1026" s="310">
        <v>2.06</v>
      </c>
      <c r="F1026" s="361"/>
      <c r="G1026" s="312" t="s">
        <v>1548</v>
      </c>
      <c r="H1026" s="310">
        <v>1</v>
      </c>
      <c r="I1026" s="311">
        <v>2.37</v>
      </c>
      <c r="J1026" s="310"/>
      <c r="K1026" s="311"/>
    </row>
    <row r="1027" spans="1:22" ht="15" x14ac:dyDescent="0.25">
      <c r="A1027" s="313"/>
      <c r="B1027" s="313"/>
      <c r="C1027" s="314" t="s">
        <v>183</v>
      </c>
      <c r="D1027" s="313"/>
      <c r="E1027" s="313"/>
      <c r="F1027" s="313"/>
      <c r="G1027" s="313"/>
      <c r="H1027" s="472">
        <v>86.83</v>
      </c>
      <c r="I1027" s="472"/>
      <c r="J1027" s="472">
        <v>1662.82</v>
      </c>
      <c r="K1027" s="472"/>
      <c r="O1027" s="284">
        <f>I1022+I1023+I1024+I1025</f>
        <v>86.83</v>
      </c>
      <c r="P1027" s="284">
        <f>K1022+K1023+K1024+K1025</f>
        <v>1662.82</v>
      </c>
    </row>
    <row r="1029" spans="1:22" ht="65.25" x14ac:dyDescent="0.2">
      <c r="A1029" s="301" t="s">
        <v>104</v>
      </c>
      <c r="B1029" s="302" t="s">
        <v>1473</v>
      </c>
      <c r="C1029" s="302" t="s">
        <v>1472</v>
      </c>
      <c r="D1029" s="303" t="s">
        <v>1903</v>
      </c>
      <c r="E1029" s="286">
        <v>1</v>
      </c>
      <c r="F1029" s="321"/>
      <c r="G1029" s="305"/>
      <c r="H1029" s="286"/>
      <c r="I1029" s="304"/>
      <c r="J1029" s="286"/>
      <c r="K1029" s="304"/>
      <c r="Q1029" s="281">
        <f>[20]Source!X1022</f>
        <v>7.62</v>
      </c>
      <c r="R1029" s="281">
        <f>[20]Source!X1023</f>
        <v>140.38</v>
      </c>
      <c r="S1029" s="281">
        <f>[20]Source!Y1022</f>
        <v>4.4800000000000004</v>
      </c>
      <c r="T1029" s="281">
        <f>[20]Source!Y1023</f>
        <v>63.95</v>
      </c>
      <c r="U1029" s="281">
        <f>ROUND((175/100)*ROUND([20]Source!R1022, 2), 2)</f>
        <v>12.09</v>
      </c>
      <c r="V1029" s="281">
        <f>ROUND((157/100)*ROUND([20]Source!R1023, 2), 2)</f>
        <v>253.32</v>
      </c>
    </row>
    <row r="1030" spans="1:22" ht="14.25" x14ac:dyDescent="0.2">
      <c r="A1030" s="301"/>
      <c r="B1030" s="302"/>
      <c r="C1030" s="302" t="s">
        <v>197</v>
      </c>
      <c r="D1030" s="303"/>
      <c r="E1030" s="286"/>
      <c r="F1030" s="321">
        <v>5.81</v>
      </c>
      <c r="G1030" s="305" t="s">
        <v>1548</v>
      </c>
      <c r="H1030" s="286">
        <v>1</v>
      </c>
      <c r="I1030" s="304">
        <v>6.68</v>
      </c>
      <c r="J1030" s="286">
        <v>23.35</v>
      </c>
      <c r="K1030" s="304">
        <v>155.97999999999999</v>
      </c>
    </row>
    <row r="1031" spans="1:22" ht="14.25" x14ac:dyDescent="0.2">
      <c r="A1031" s="301"/>
      <c r="B1031" s="302"/>
      <c r="C1031" s="302" t="s">
        <v>184</v>
      </c>
      <c r="D1031" s="303"/>
      <c r="E1031" s="286"/>
      <c r="F1031" s="321">
        <v>27.61</v>
      </c>
      <c r="G1031" s="305" t="s">
        <v>1549</v>
      </c>
      <c r="H1031" s="286">
        <v>1</v>
      </c>
      <c r="I1031" s="304">
        <v>34.51</v>
      </c>
      <c r="J1031" s="286">
        <v>8.9600000000000009</v>
      </c>
      <c r="K1031" s="304">
        <v>309.20999999999998</v>
      </c>
    </row>
    <row r="1032" spans="1:22" ht="14.25" x14ac:dyDescent="0.2">
      <c r="A1032" s="301"/>
      <c r="B1032" s="302"/>
      <c r="C1032" s="302" t="s">
        <v>189</v>
      </c>
      <c r="D1032" s="303"/>
      <c r="E1032" s="286"/>
      <c r="F1032" s="321">
        <v>5.53</v>
      </c>
      <c r="G1032" s="305" t="s">
        <v>1549</v>
      </c>
      <c r="H1032" s="286">
        <v>1</v>
      </c>
      <c r="I1032" s="306">
        <v>6.91</v>
      </c>
      <c r="J1032" s="286">
        <v>23.35</v>
      </c>
      <c r="K1032" s="306">
        <v>161.35</v>
      </c>
    </row>
    <row r="1033" spans="1:22" ht="14.25" x14ac:dyDescent="0.2">
      <c r="A1033" s="301"/>
      <c r="B1033" s="302"/>
      <c r="C1033" s="302" t="s">
        <v>205</v>
      </c>
      <c r="D1033" s="303"/>
      <c r="E1033" s="286"/>
      <c r="F1033" s="321">
        <v>1.89</v>
      </c>
      <c r="G1033" s="305" t="s">
        <v>195</v>
      </c>
      <c r="H1033" s="286">
        <v>1</v>
      </c>
      <c r="I1033" s="304">
        <v>1.89</v>
      </c>
      <c r="J1033" s="286">
        <v>5.42</v>
      </c>
      <c r="K1033" s="304">
        <v>10.24</v>
      </c>
    </row>
    <row r="1034" spans="1:22" ht="14.25" x14ac:dyDescent="0.2">
      <c r="A1034" s="301"/>
      <c r="B1034" s="302"/>
      <c r="C1034" s="302" t="s">
        <v>194</v>
      </c>
      <c r="D1034" s="303" t="s">
        <v>187</v>
      </c>
      <c r="E1034" s="286">
        <v>112</v>
      </c>
      <c r="F1034" s="321"/>
      <c r="G1034" s="305"/>
      <c r="H1034" s="286"/>
      <c r="I1034" s="304">
        <v>7.62</v>
      </c>
      <c r="J1034" s="286">
        <v>90</v>
      </c>
      <c r="K1034" s="304">
        <v>140.38</v>
      </c>
    </row>
    <row r="1035" spans="1:22" ht="14.25" x14ac:dyDescent="0.2">
      <c r="A1035" s="301"/>
      <c r="B1035" s="302"/>
      <c r="C1035" s="302" t="s">
        <v>193</v>
      </c>
      <c r="D1035" s="303" t="s">
        <v>187</v>
      </c>
      <c r="E1035" s="286">
        <v>70</v>
      </c>
      <c r="F1035" s="321"/>
      <c r="G1035" s="305"/>
      <c r="H1035" s="286"/>
      <c r="I1035" s="304">
        <v>4.4800000000000004</v>
      </c>
      <c r="J1035" s="286">
        <v>41</v>
      </c>
      <c r="K1035" s="304">
        <v>63.95</v>
      </c>
    </row>
    <row r="1036" spans="1:22" ht="14.25" x14ac:dyDescent="0.2">
      <c r="A1036" s="301"/>
      <c r="B1036" s="302"/>
      <c r="C1036" s="302" t="s">
        <v>188</v>
      </c>
      <c r="D1036" s="303" t="s">
        <v>187</v>
      </c>
      <c r="E1036" s="286">
        <v>175</v>
      </c>
      <c r="F1036" s="321"/>
      <c r="G1036" s="305"/>
      <c r="H1036" s="286"/>
      <c r="I1036" s="304">
        <v>12.09</v>
      </c>
      <c r="J1036" s="286">
        <v>157</v>
      </c>
      <c r="K1036" s="304">
        <v>253.32</v>
      </c>
    </row>
    <row r="1037" spans="1:22" ht="14.25" x14ac:dyDescent="0.2">
      <c r="A1037" s="307"/>
      <c r="B1037" s="308"/>
      <c r="C1037" s="308" t="s">
        <v>192</v>
      </c>
      <c r="D1037" s="309" t="s">
        <v>191</v>
      </c>
      <c r="E1037" s="310">
        <v>0.52</v>
      </c>
      <c r="F1037" s="361"/>
      <c r="G1037" s="312" t="s">
        <v>1548</v>
      </c>
      <c r="H1037" s="310">
        <v>1</v>
      </c>
      <c r="I1037" s="311">
        <v>0.6</v>
      </c>
      <c r="J1037" s="310"/>
      <c r="K1037" s="311"/>
    </row>
    <row r="1038" spans="1:22" ht="15" x14ac:dyDescent="0.25">
      <c r="A1038" s="313"/>
      <c r="B1038" s="313"/>
      <c r="C1038" s="314" t="s">
        <v>183</v>
      </c>
      <c r="D1038" s="313"/>
      <c r="E1038" s="313"/>
      <c r="F1038" s="313"/>
      <c r="G1038" s="313"/>
      <c r="H1038" s="472">
        <v>67.27</v>
      </c>
      <c r="I1038" s="472"/>
      <c r="J1038" s="472">
        <v>933.08</v>
      </c>
      <c r="K1038" s="472"/>
      <c r="O1038" s="284">
        <f>I1030+I1031+I1033+I1034+I1035+I1036</f>
        <v>67.27</v>
      </c>
      <c r="P1038" s="284">
        <f>K1030+K1031+K1033+K1034+K1035+K1036</f>
        <v>933.08</v>
      </c>
    </row>
    <row r="1040" spans="1:22" ht="81" x14ac:dyDescent="0.2">
      <c r="A1040" s="275" t="s">
        <v>1546</v>
      </c>
      <c r="B1040" s="276" t="s">
        <v>3752</v>
      </c>
      <c r="C1040" s="276" t="s">
        <v>1489</v>
      </c>
      <c r="D1040" s="277" t="s">
        <v>3240</v>
      </c>
      <c r="E1040" s="278">
        <v>1</v>
      </c>
      <c r="F1040" s="362">
        <v>11543.7</v>
      </c>
      <c r="G1040" s="280" t="s">
        <v>195</v>
      </c>
      <c r="H1040" s="278">
        <v>1</v>
      </c>
      <c r="I1040" s="279">
        <v>11543.7</v>
      </c>
      <c r="J1040" s="278">
        <v>4.4000000000000004</v>
      </c>
      <c r="K1040" s="279">
        <v>50792.28</v>
      </c>
      <c r="Q1040" s="281">
        <f>[20]Source!X1024</f>
        <v>0</v>
      </c>
      <c r="R1040" s="281">
        <f>[20]Source!X1025</f>
        <v>0</v>
      </c>
      <c r="S1040" s="281">
        <f>[20]Source!Y1024</f>
        <v>0</v>
      </c>
      <c r="T1040" s="281">
        <f>[20]Source!Y1025</f>
        <v>0</v>
      </c>
      <c r="U1040" s="281">
        <f>ROUND((175/100)*ROUND([20]Source!R1024, 2), 2)</f>
        <v>0</v>
      </c>
      <c r="V1040" s="281">
        <f>ROUND((157/100)*ROUND([20]Source!R1025, 2), 2)</f>
        <v>0</v>
      </c>
    </row>
    <row r="1041" spans="1:22" ht="15" x14ac:dyDescent="0.25">
      <c r="A1041" s="282"/>
      <c r="B1041" s="282"/>
      <c r="C1041" s="283" t="s">
        <v>183</v>
      </c>
      <c r="D1041" s="282"/>
      <c r="E1041" s="282"/>
      <c r="F1041" s="282"/>
      <c r="G1041" s="282"/>
      <c r="H1041" s="473">
        <v>11543.7</v>
      </c>
      <c r="I1041" s="473"/>
      <c r="J1041" s="473">
        <v>50792.28</v>
      </c>
      <c r="K1041" s="473"/>
      <c r="O1041" s="284">
        <f>I1040</f>
        <v>11543.7</v>
      </c>
      <c r="P1041" s="284">
        <f>K1040</f>
        <v>50792.28</v>
      </c>
    </row>
    <row r="1044" spans="1:22" ht="15" x14ac:dyDescent="0.25">
      <c r="A1044" s="447" t="s">
        <v>3797</v>
      </c>
      <c r="B1044" s="447"/>
      <c r="C1044" s="447"/>
      <c r="D1044" s="447"/>
      <c r="E1044" s="447"/>
      <c r="F1044" s="447"/>
      <c r="G1044" s="447"/>
      <c r="H1044" s="445">
        <v>11919.39</v>
      </c>
      <c r="I1044" s="446"/>
      <c r="J1044" s="445">
        <v>57287.040000000001</v>
      </c>
      <c r="K1044" s="446"/>
    </row>
    <row r="1045" spans="1:22" hidden="1" x14ac:dyDescent="0.2">
      <c r="A1045" s="281" t="s">
        <v>182</v>
      </c>
      <c r="I1045" s="281">
        <v>0</v>
      </c>
      <c r="J1045" s="281">
        <v>0</v>
      </c>
    </row>
    <row r="1046" spans="1:22" hidden="1" x14ac:dyDescent="0.2">
      <c r="A1046" s="281" t="s">
        <v>181</v>
      </c>
      <c r="I1046" s="281">
        <v>0</v>
      </c>
      <c r="J1046" s="281">
        <v>0</v>
      </c>
    </row>
    <row r="1048" spans="1:22" ht="16.5" x14ac:dyDescent="0.25">
      <c r="A1048" s="448" t="s">
        <v>3798</v>
      </c>
      <c r="B1048" s="448"/>
      <c r="C1048" s="448"/>
      <c r="D1048" s="448"/>
      <c r="E1048" s="448"/>
      <c r="F1048" s="448"/>
      <c r="G1048" s="448"/>
      <c r="H1048" s="448"/>
      <c r="I1048" s="448"/>
      <c r="J1048" s="448"/>
      <c r="K1048" s="448"/>
    </row>
    <row r="1049" spans="1:22" ht="65.25" x14ac:dyDescent="0.2">
      <c r="A1049" s="301" t="s">
        <v>719</v>
      </c>
      <c r="B1049" s="302" t="s">
        <v>1476</v>
      </c>
      <c r="C1049" s="302" t="s">
        <v>1475</v>
      </c>
      <c r="D1049" s="303" t="s">
        <v>1903</v>
      </c>
      <c r="E1049" s="286">
        <v>1</v>
      </c>
      <c r="F1049" s="321"/>
      <c r="G1049" s="305"/>
      <c r="H1049" s="286"/>
      <c r="I1049" s="304"/>
      <c r="J1049" s="286"/>
      <c r="K1049" s="304"/>
      <c r="Q1049" s="281">
        <f>[20]Source!X1061</f>
        <v>78.39</v>
      </c>
      <c r="R1049" s="281">
        <f>[20]Source!X1062</f>
        <v>1445</v>
      </c>
      <c r="S1049" s="281">
        <f>[20]Source!Y1061</f>
        <v>46.07</v>
      </c>
      <c r="T1049" s="281">
        <f>[20]Source!Y1062</f>
        <v>658.28</v>
      </c>
      <c r="U1049" s="281">
        <f>ROUND((175/100)*ROUND([20]Source!R1061, 2), 2)</f>
        <v>1.42</v>
      </c>
      <c r="V1049" s="281">
        <f>ROUND((157/100)*ROUND([20]Source!R1062, 2), 2)</f>
        <v>29.69</v>
      </c>
    </row>
    <row r="1050" spans="1:22" ht="14.25" x14ac:dyDescent="0.2">
      <c r="A1050" s="301"/>
      <c r="B1050" s="302"/>
      <c r="C1050" s="302" t="s">
        <v>197</v>
      </c>
      <c r="D1050" s="303"/>
      <c r="E1050" s="286"/>
      <c r="F1050" s="321">
        <v>59.79</v>
      </c>
      <c r="G1050" s="305" t="s">
        <v>1548</v>
      </c>
      <c r="H1050" s="286">
        <v>1</v>
      </c>
      <c r="I1050" s="304">
        <v>68.760000000000005</v>
      </c>
      <c r="J1050" s="286">
        <v>23.35</v>
      </c>
      <c r="K1050" s="304">
        <v>1605.55</v>
      </c>
    </row>
    <row r="1051" spans="1:22" ht="14.25" x14ac:dyDescent="0.2">
      <c r="A1051" s="301"/>
      <c r="B1051" s="302"/>
      <c r="C1051" s="302" t="s">
        <v>184</v>
      </c>
      <c r="D1051" s="303"/>
      <c r="E1051" s="286"/>
      <c r="F1051" s="321">
        <v>4.42</v>
      </c>
      <c r="G1051" s="305" t="s">
        <v>1549</v>
      </c>
      <c r="H1051" s="286">
        <v>1</v>
      </c>
      <c r="I1051" s="304">
        <v>5.53</v>
      </c>
      <c r="J1051" s="286">
        <v>8</v>
      </c>
      <c r="K1051" s="304">
        <v>44.24</v>
      </c>
    </row>
    <row r="1052" spans="1:22" ht="14.25" x14ac:dyDescent="0.2">
      <c r="A1052" s="301"/>
      <c r="B1052" s="302"/>
      <c r="C1052" s="302" t="s">
        <v>189</v>
      </c>
      <c r="D1052" s="303"/>
      <c r="E1052" s="286"/>
      <c r="F1052" s="321">
        <v>0.65</v>
      </c>
      <c r="G1052" s="305" t="s">
        <v>1549</v>
      </c>
      <c r="H1052" s="286">
        <v>1</v>
      </c>
      <c r="I1052" s="306">
        <v>0.81</v>
      </c>
      <c r="J1052" s="286">
        <v>23.35</v>
      </c>
      <c r="K1052" s="306">
        <v>18.91</v>
      </c>
    </row>
    <row r="1053" spans="1:22" ht="14.25" x14ac:dyDescent="0.2">
      <c r="A1053" s="301"/>
      <c r="B1053" s="302"/>
      <c r="C1053" s="302" t="s">
        <v>205</v>
      </c>
      <c r="D1053" s="303"/>
      <c r="E1053" s="286"/>
      <c r="F1053" s="321">
        <v>21.42</v>
      </c>
      <c r="G1053" s="305" t="s">
        <v>195</v>
      </c>
      <c r="H1053" s="286">
        <v>1</v>
      </c>
      <c r="I1053" s="304">
        <v>21.42</v>
      </c>
      <c r="J1053" s="286">
        <v>5.42</v>
      </c>
      <c r="K1053" s="304">
        <v>116.1</v>
      </c>
    </row>
    <row r="1054" spans="1:22" ht="14.25" x14ac:dyDescent="0.2">
      <c r="A1054" s="301"/>
      <c r="B1054" s="302"/>
      <c r="C1054" s="302" t="s">
        <v>194</v>
      </c>
      <c r="D1054" s="303" t="s">
        <v>187</v>
      </c>
      <c r="E1054" s="286">
        <v>112</v>
      </c>
      <c r="F1054" s="321"/>
      <c r="G1054" s="305"/>
      <c r="H1054" s="286"/>
      <c r="I1054" s="304">
        <v>78.39</v>
      </c>
      <c r="J1054" s="286">
        <v>90</v>
      </c>
      <c r="K1054" s="304">
        <v>1445</v>
      </c>
    </row>
    <row r="1055" spans="1:22" ht="14.25" x14ac:dyDescent="0.2">
      <c r="A1055" s="301"/>
      <c r="B1055" s="302"/>
      <c r="C1055" s="302" t="s">
        <v>193</v>
      </c>
      <c r="D1055" s="303" t="s">
        <v>187</v>
      </c>
      <c r="E1055" s="286">
        <v>70</v>
      </c>
      <c r="F1055" s="321"/>
      <c r="G1055" s="305"/>
      <c r="H1055" s="286"/>
      <c r="I1055" s="304">
        <v>46.07</v>
      </c>
      <c r="J1055" s="286">
        <v>41</v>
      </c>
      <c r="K1055" s="304">
        <v>658.28</v>
      </c>
    </row>
    <row r="1056" spans="1:22" ht="14.25" x14ac:dyDescent="0.2">
      <c r="A1056" s="301"/>
      <c r="B1056" s="302"/>
      <c r="C1056" s="302" t="s">
        <v>188</v>
      </c>
      <c r="D1056" s="303" t="s">
        <v>187</v>
      </c>
      <c r="E1056" s="286">
        <v>175</v>
      </c>
      <c r="F1056" s="321"/>
      <c r="G1056" s="305"/>
      <c r="H1056" s="286"/>
      <c r="I1056" s="304">
        <v>1.42</v>
      </c>
      <c r="J1056" s="286">
        <v>157</v>
      </c>
      <c r="K1056" s="304">
        <v>29.69</v>
      </c>
    </row>
    <row r="1057" spans="1:22" ht="14.25" x14ac:dyDescent="0.2">
      <c r="A1057" s="307"/>
      <c r="B1057" s="308"/>
      <c r="C1057" s="308" t="s">
        <v>192</v>
      </c>
      <c r="D1057" s="309" t="s">
        <v>191</v>
      </c>
      <c r="E1057" s="310">
        <v>5.15</v>
      </c>
      <c r="F1057" s="361"/>
      <c r="G1057" s="312" t="s">
        <v>1548</v>
      </c>
      <c r="H1057" s="310">
        <v>1</v>
      </c>
      <c r="I1057" s="311">
        <v>5.92</v>
      </c>
      <c r="J1057" s="310"/>
      <c r="K1057" s="311"/>
    </row>
    <row r="1058" spans="1:22" ht="15" x14ac:dyDescent="0.25">
      <c r="A1058" s="313"/>
      <c r="B1058" s="313"/>
      <c r="C1058" s="314" t="s">
        <v>183</v>
      </c>
      <c r="D1058" s="313"/>
      <c r="E1058" s="313"/>
      <c r="F1058" s="313"/>
      <c r="G1058" s="313"/>
      <c r="H1058" s="472">
        <v>221.59</v>
      </c>
      <c r="I1058" s="472"/>
      <c r="J1058" s="472">
        <v>3898.86</v>
      </c>
      <c r="K1058" s="472"/>
      <c r="O1058" s="284">
        <f>I1050+I1051+I1053+I1054+I1055+I1056</f>
        <v>221.59</v>
      </c>
      <c r="P1058" s="284">
        <f>K1050+K1051+K1053+K1054+K1055+K1056</f>
        <v>3898.86</v>
      </c>
    </row>
    <row r="1060" spans="1:22" ht="65.25" x14ac:dyDescent="0.2">
      <c r="A1060" s="301" t="s">
        <v>1534</v>
      </c>
      <c r="B1060" s="302" t="s">
        <v>1474</v>
      </c>
      <c r="C1060" s="302" t="s">
        <v>1247</v>
      </c>
      <c r="D1060" s="303" t="s">
        <v>1903</v>
      </c>
      <c r="E1060" s="286">
        <v>1</v>
      </c>
      <c r="F1060" s="321"/>
      <c r="G1060" s="305"/>
      <c r="H1060" s="286"/>
      <c r="I1060" s="304"/>
      <c r="J1060" s="286"/>
      <c r="K1060" s="304"/>
      <c r="Q1060" s="281">
        <f>[20]Source!X1063</f>
        <v>35.11</v>
      </c>
      <c r="R1060" s="281">
        <f>[20]Source!X1064</f>
        <v>647.26</v>
      </c>
      <c r="S1060" s="281">
        <f>[20]Source!Y1063</f>
        <v>20.64</v>
      </c>
      <c r="T1060" s="281">
        <f>[20]Source!Y1064</f>
        <v>294.86</v>
      </c>
      <c r="U1060" s="281">
        <f>ROUND((175/100)*ROUND([20]Source!R1063, 2), 2)</f>
        <v>0</v>
      </c>
      <c r="V1060" s="281">
        <f>ROUND((157/100)*ROUND([20]Source!R1064, 2), 2)</f>
        <v>0</v>
      </c>
    </row>
    <row r="1061" spans="1:22" ht="14.25" x14ac:dyDescent="0.2">
      <c r="A1061" s="301"/>
      <c r="B1061" s="302"/>
      <c r="C1061" s="302" t="s">
        <v>197</v>
      </c>
      <c r="D1061" s="303"/>
      <c r="E1061" s="286"/>
      <c r="F1061" s="321">
        <v>26.78</v>
      </c>
      <c r="G1061" s="305" t="s">
        <v>1548</v>
      </c>
      <c r="H1061" s="286">
        <v>1</v>
      </c>
      <c r="I1061" s="304">
        <v>30.8</v>
      </c>
      <c r="J1061" s="286">
        <v>23.35</v>
      </c>
      <c r="K1061" s="304">
        <v>719.18</v>
      </c>
    </row>
    <row r="1062" spans="1:22" ht="14.25" x14ac:dyDescent="0.2">
      <c r="A1062" s="301"/>
      <c r="B1062" s="302"/>
      <c r="C1062" s="302" t="s">
        <v>205</v>
      </c>
      <c r="D1062" s="303"/>
      <c r="E1062" s="286"/>
      <c r="F1062" s="321">
        <v>0.28000000000000003</v>
      </c>
      <c r="G1062" s="305" t="s">
        <v>195</v>
      </c>
      <c r="H1062" s="286">
        <v>1</v>
      </c>
      <c r="I1062" s="304">
        <v>0.28000000000000003</v>
      </c>
      <c r="J1062" s="286">
        <v>5.43</v>
      </c>
      <c r="K1062" s="304">
        <v>1.52</v>
      </c>
    </row>
    <row r="1063" spans="1:22" ht="14.25" x14ac:dyDescent="0.2">
      <c r="A1063" s="301"/>
      <c r="B1063" s="302"/>
      <c r="C1063" s="302" t="s">
        <v>194</v>
      </c>
      <c r="D1063" s="303" t="s">
        <v>187</v>
      </c>
      <c r="E1063" s="286">
        <v>112</v>
      </c>
      <c r="F1063" s="321"/>
      <c r="G1063" s="305"/>
      <c r="H1063" s="286"/>
      <c r="I1063" s="304">
        <v>35.11</v>
      </c>
      <c r="J1063" s="286">
        <v>90</v>
      </c>
      <c r="K1063" s="304">
        <v>647.26</v>
      </c>
    </row>
    <row r="1064" spans="1:22" ht="14.25" x14ac:dyDescent="0.2">
      <c r="A1064" s="301"/>
      <c r="B1064" s="302"/>
      <c r="C1064" s="302" t="s">
        <v>193</v>
      </c>
      <c r="D1064" s="303" t="s">
        <v>187</v>
      </c>
      <c r="E1064" s="286">
        <v>70</v>
      </c>
      <c r="F1064" s="321"/>
      <c r="G1064" s="305"/>
      <c r="H1064" s="286"/>
      <c r="I1064" s="304">
        <v>20.64</v>
      </c>
      <c r="J1064" s="286">
        <v>41</v>
      </c>
      <c r="K1064" s="304">
        <v>294.86</v>
      </c>
    </row>
    <row r="1065" spans="1:22" ht="14.25" x14ac:dyDescent="0.2">
      <c r="A1065" s="307"/>
      <c r="B1065" s="308"/>
      <c r="C1065" s="308" t="s">
        <v>192</v>
      </c>
      <c r="D1065" s="309" t="s">
        <v>191</v>
      </c>
      <c r="E1065" s="310">
        <v>2.06</v>
      </c>
      <c r="F1065" s="361"/>
      <c r="G1065" s="312" t="s">
        <v>1548</v>
      </c>
      <c r="H1065" s="310">
        <v>1</v>
      </c>
      <c r="I1065" s="311">
        <v>2.37</v>
      </c>
      <c r="J1065" s="310"/>
      <c r="K1065" s="311"/>
    </row>
    <row r="1066" spans="1:22" ht="15" x14ac:dyDescent="0.25">
      <c r="A1066" s="313"/>
      <c r="B1066" s="313"/>
      <c r="C1066" s="314" t="s">
        <v>183</v>
      </c>
      <c r="D1066" s="313"/>
      <c r="E1066" s="313"/>
      <c r="F1066" s="313"/>
      <c r="G1066" s="313"/>
      <c r="H1066" s="472">
        <v>86.83</v>
      </c>
      <c r="I1066" s="472"/>
      <c r="J1066" s="472">
        <v>1662.82</v>
      </c>
      <c r="K1066" s="472"/>
      <c r="O1066" s="284">
        <f>I1061+I1062+I1063+I1064</f>
        <v>86.83</v>
      </c>
      <c r="P1066" s="284">
        <f>K1061+K1062+K1063+K1064</f>
        <v>1662.82</v>
      </c>
    </row>
    <row r="1068" spans="1:22" ht="65.25" x14ac:dyDescent="0.2">
      <c r="A1068" s="301" t="s">
        <v>104</v>
      </c>
      <c r="B1068" s="302" t="s">
        <v>1473</v>
      </c>
      <c r="C1068" s="302" t="s">
        <v>1472</v>
      </c>
      <c r="D1068" s="303" t="s">
        <v>1903</v>
      </c>
      <c r="E1068" s="286">
        <v>1</v>
      </c>
      <c r="F1068" s="321"/>
      <c r="G1068" s="305"/>
      <c r="H1068" s="286"/>
      <c r="I1068" s="304"/>
      <c r="J1068" s="286"/>
      <c r="K1068" s="304"/>
      <c r="Q1068" s="281">
        <f>[20]Source!X1065</f>
        <v>7.62</v>
      </c>
      <c r="R1068" s="281">
        <f>[20]Source!X1066</f>
        <v>140.38</v>
      </c>
      <c r="S1068" s="281">
        <f>[20]Source!Y1065</f>
        <v>4.4800000000000004</v>
      </c>
      <c r="T1068" s="281">
        <f>[20]Source!Y1066</f>
        <v>63.95</v>
      </c>
      <c r="U1068" s="281">
        <f>ROUND((175/100)*ROUND([20]Source!R1065, 2), 2)</f>
        <v>12.09</v>
      </c>
      <c r="V1068" s="281">
        <f>ROUND((157/100)*ROUND([20]Source!R1066, 2), 2)</f>
        <v>253.32</v>
      </c>
    </row>
    <row r="1069" spans="1:22" ht="14.25" x14ac:dyDescent="0.2">
      <c r="A1069" s="301"/>
      <c r="B1069" s="302"/>
      <c r="C1069" s="302" t="s">
        <v>197</v>
      </c>
      <c r="D1069" s="303"/>
      <c r="E1069" s="286"/>
      <c r="F1069" s="321">
        <v>5.81</v>
      </c>
      <c r="G1069" s="305" t="s">
        <v>1548</v>
      </c>
      <c r="H1069" s="286">
        <v>1</v>
      </c>
      <c r="I1069" s="304">
        <v>6.68</v>
      </c>
      <c r="J1069" s="286">
        <v>23.35</v>
      </c>
      <c r="K1069" s="304">
        <v>155.97999999999999</v>
      </c>
    </row>
    <row r="1070" spans="1:22" ht="14.25" x14ac:dyDescent="0.2">
      <c r="A1070" s="301"/>
      <c r="B1070" s="302"/>
      <c r="C1070" s="302" t="s">
        <v>184</v>
      </c>
      <c r="D1070" s="303"/>
      <c r="E1070" s="286"/>
      <c r="F1070" s="321">
        <v>27.61</v>
      </c>
      <c r="G1070" s="305" t="s">
        <v>1549</v>
      </c>
      <c r="H1070" s="286">
        <v>1</v>
      </c>
      <c r="I1070" s="304">
        <v>34.51</v>
      </c>
      <c r="J1070" s="286">
        <v>8.9600000000000009</v>
      </c>
      <c r="K1070" s="304">
        <v>309.20999999999998</v>
      </c>
    </row>
    <row r="1071" spans="1:22" ht="14.25" x14ac:dyDescent="0.2">
      <c r="A1071" s="301"/>
      <c r="B1071" s="302"/>
      <c r="C1071" s="302" t="s">
        <v>189</v>
      </c>
      <c r="D1071" s="303"/>
      <c r="E1071" s="286"/>
      <c r="F1071" s="321">
        <v>5.53</v>
      </c>
      <c r="G1071" s="305" t="s">
        <v>1549</v>
      </c>
      <c r="H1071" s="286">
        <v>1</v>
      </c>
      <c r="I1071" s="306">
        <v>6.91</v>
      </c>
      <c r="J1071" s="286">
        <v>23.35</v>
      </c>
      <c r="K1071" s="306">
        <v>161.35</v>
      </c>
    </row>
    <row r="1072" spans="1:22" ht="14.25" x14ac:dyDescent="0.2">
      <c r="A1072" s="301"/>
      <c r="B1072" s="302"/>
      <c r="C1072" s="302" t="s">
        <v>205</v>
      </c>
      <c r="D1072" s="303"/>
      <c r="E1072" s="286"/>
      <c r="F1072" s="321">
        <v>1.89</v>
      </c>
      <c r="G1072" s="305" t="s">
        <v>195</v>
      </c>
      <c r="H1072" s="286">
        <v>1</v>
      </c>
      <c r="I1072" s="304">
        <v>1.89</v>
      </c>
      <c r="J1072" s="286">
        <v>5.42</v>
      </c>
      <c r="K1072" s="304">
        <v>10.24</v>
      </c>
    </row>
    <row r="1073" spans="1:22" ht="14.25" x14ac:dyDescent="0.2">
      <c r="A1073" s="301"/>
      <c r="B1073" s="302"/>
      <c r="C1073" s="302" t="s">
        <v>194</v>
      </c>
      <c r="D1073" s="303" t="s">
        <v>187</v>
      </c>
      <c r="E1073" s="286">
        <v>112</v>
      </c>
      <c r="F1073" s="321"/>
      <c r="G1073" s="305"/>
      <c r="H1073" s="286"/>
      <c r="I1073" s="304">
        <v>7.62</v>
      </c>
      <c r="J1073" s="286">
        <v>90</v>
      </c>
      <c r="K1073" s="304">
        <v>140.38</v>
      </c>
    </row>
    <row r="1074" spans="1:22" ht="14.25" x14ac:dyDescent="0.2">
      <c r="A1074" s="301"/>
      <c r="B1074" s="302"/>
      <c r="C1074" s="302" t="s">
        <v>193</v>
      </c>
      <c r="D1074" s="303" t="s">
        <v>187</v>
      </c>
      <c r="E1074" s="286">
        <v>70</v>
      </c>
      <c r="F1074" s="321"/>
      <c r="G1074" s="305"/>
      <c r="H1074" s="286"/>
      <c r="I1074" s="304">
        <v>4.4800000000000004</v>
      </c>
      <c r="J1074" s="286">
        <v>41</v>
      </c>
      <c r="K1074" s="304">
        <v>63.95</v>
      </c>
    </row>
    <row r="1075" spans="1:22" ht="14.25" x14ac:dyDescent="0.2">
      <c r="A1075" s="301"/>
      <c r="B1075" s="302"/>
      <c r="C1075" s="302" t="s">
        <v>188</v>
      </c>
      <c r="D1075" s="303" t="s">
        <v>187</v>
      </c>
      <c r="E1075" s="286">
        <v>175</v>
      </c>
      <c r="F1075" s="321"/>
      <c r="G1075" s="305"/>
      <c r="H1075" s="286"/>
      <c r="I1075" s="304">
        <v>12.09</v>
      </c>
      <c r="J1075" s="286">
        <v>157</v>
      </c>
      <c r="K1075" s="304">
        <v>253.32</v>
      </c>
    </row>
    <row r="1076" spans="1:22" ht="14.25" x14ac:dyDescent="0.2">
      <c r="A1076" s="307"/>
      <c r="B1076" s="308"/>
      <c r="C1076" s="308" t="s">
        <v>192</v>
      </c>
      <c r="D1076" s="309" t="s">
        <v>191</v>
      </c>
      <c r="E1076" s="310">
        <v>0.52</v>
      </c>
      <c r="F1076" s="361"/>
      <c r="G1076" s="312" t="s">
        <v>1548</v>
      </c>
      <c r="H1076" s="310">
        <v>1</v>
      </c>
      <c r="I1076" s="311">
        <v>0.6</v>
      </c>
      <c r="J1076" s="310"/>
      <c r="K1076" s="311"/>
    </row>
    <row r="1077" spans="1:22" ht="15" x14ac:dyDescent="0.25">
      <c r="A1077" s="313"/>
      <c r="B1077" s="313"/>
      <c r="C1077" s="314" t="s">
        <v>183</v>
      </c>
      <c r="D1077" s="313"/>
      <c r="E1077" s="313"/>
      <c r="F1077" s="313"/>
      <c r="G1077" s="313"/>
      <c r="H1077" s="472">
        <v>67.27</v>
      </c>
      <c r="I1077" s="472"/>
      <c r="J1077" s="472">
        <v>933.08</v>
      </c>
      <c r="K1077" s="472"/>
      <c r="O1077" s="284">
        <f>I1069+I1070+I1072+I1073+I1074+I1075</f>
        <v>67.27</v>
      </c>
      <c r="P1077" s="284">
        <f>K1069+K1070+K1072+K1073+K1074+K1075</f>
        <v>933.08</v>
      </c>
    </row>
    <row r="1079" spans="1:22" ht="81" x14ac:dyDescent="0.2">
      <c r="A1079" s="275" t="s">
        <v>1546</v>
      </c>
      <c r="B1079" s="276" t="s">
        <v>3752</v>
      </c>
      <c r="C1079" s="276" t="s">
        <v>1488</v>
      </c>
      <c r="D1079" s="277" t="s">
        <v>3240</v>
      </c>
      <c r="E1079" s="278">
        <v>1</v>
      </c>
      <c r="F1079" s="362">
        <v>11543.7</v>
      </c>
      <c r="G1079" s="280" t="s">
        <v>195</v>
      </c>
      <c r="H1079" s="278">
        <v>1</v>
      </c>
      <c r="I1079" s="279">
        <v>11543.7</v>
      </c>
      <c r="J1079" s="278">
        <v>4.4000000000000004</v>
      </c>
      <c r="K1079" s="279">
        <v>50792.28</v>
      </c>
      <c r="Q1079" s="281">
        <f>[20]Source!X1067</f>
        <v>0</v>
      </c>
      <c r="R1079" s="281">
        <f>[20]Source!X1068</f>
        <v>0</v>
      </c>
      <c r="S1079" s="281">
        <f>[20]Source!Y1067</f>
        <v>0</v>
      </c>
      <c r="T1079" s="281">
        <f>[20]Source!Y1068</f>
        <v>0</v>
      </c>
      <c r="U1079" s="281">
        <f>ROUND((175/100)*ROUND([20]Source!R1067, 2), 2)</f>
        <v>0</v>
      </c>
      <c r="V1079" s="281">
        <f>ROUND((157/100)*ROUND([20]Source!R1068, 2), 2)</f>
        <v>0</v>
      </c>
    </row>
    <row r="1080" spans="1:22" ht="15" x14ac:dyDescent="0.25">
      <c r="A1080" s="282"/>
      <c r="B1080" s="282"/>
      <c r="C1080" s="283" t="s">
        <v>183</v>
      </c>
      <c r="D1080" s="282"/>
      <c r="E1080" s="282"/>
      <c r="F1080" s="282"/>
      <c r="G1080" s="282"/>
      <c r="H1080" s="473">
        <v>11543.7</v>
      </c>
      <c r="I1080" s="473"/>
      <c r="J1080" s="473">
        <v>50792.28</v>
      </c>
      <c r="K1080" s="473"/>
      <c r="O1080" s="284">
        <f>I1079</f>
        <v>11543.7</v>
      </c>
      <c r="P1080" s="284">
        <f>K1079</f>
        <v>50792.28</v>
      </c>
    </row>
    <row r="1083" spans="1:22" ht="15" x14ac:dyDescent="0.25">
      <c r="A1083" s="447" t="s">
        <v>3799</v>
      </c>
      <c r="B1083" s="447"/>
      <c r="C1083" s="447"/>
      <c r="D1083" s="447"/>
      <c r="E1083" s="447"/>
      <c r="F1083" s="447"/>
      <c r="G1083" s="447"/>
      <c r="H1083" s="445">
        <v>11919.39</v>
      </c>
      <c r="I1083" s="446"/>
      <c r="J1083" s="445">
        <v>57287.040000000001</v>
      </c>
      <c r="K1083" s="446"/>
    </row>
    <row r="1084" spans="1:22" hidden="1" x14ac:dyDescent="0.2">
      <c r="A1084" s="281" t="s">
        <v>182</v>
      </c>
      <c r="I1084" s="281">
        <v>0</v>
      </c>
      <c r="J1084" s="281">
        <v>0</v>
      </c>
    </row>
    <row r="1085" spans="1:22" hidden="1" x14ac:dyDescent="0.2">
      <c r="A1085" s="281" t="s">
        <v>181</v>
      </c>
      <c r="I1085" s="281">
        <v>0</v>
      </c>
      <c r="J1085" s="281">
        <v>0</v>
      </c>
    </row>
    <row r="1087" spans="1:22" ht="16.5" x14ac:dyDescent="0.25">
      <c r="A1087" s="448" t="s">
        <v>3800</v>
      </c>
      <c r="B1087" s="448"/>
      <c r="C1087" s="448"/>
      <c r="D1087" s="448"/>
      <c r="E1087" s="448"/>
      <c r="F1087" s="448"/>
      <c r="G1087" s="448"/>
      <c r="H1087" s="448"/>
      <c r="I1087" s="448"/>
      <c r="J1087" s="448"/>
      <c r="K1087" s="448"/>
    </row>
    <row r="1088" spans="1:22" ht="65.25" x14ac:dyDescent="0.2">
      <c r="A1088" s="301" t="s">
        <v>719</v>
      </c>
      <c r="B1088" s="302" t="s">
        <v>1476</v>
      </c>
      <c r="C1088" s="302" t="s">
        <v>1475</v>
      </c>
      <c r="D1088" s="303" t="s">
        <v>1903</v>
      </c>
      <c r="E1088" s="286">
        <v>1</v>
      </c>
      <c r="F1088" s="321"/>
      <c r="G1088" s="305"/>
      <c r="H1088" s="286"/>
      <c r="I1088" s="304"/>
      <c r="J1088" s="286"/>
      <c r="K1088" s="304"/>
      <c r="Q1088" s="281">
        <f>[20]Source!X1104</f>
        <v>78.39</v>
      </c>
      <c r="R1088" s="281">
        <f>[20]Source!X1105</f>
        <v>1445</v>
      </c>
      <c r="S1088" s="281">
        <f>[20]Source!Y1104</f>
        <v>46.07</v>
      </c>
      <c r="T1088" s="281">
        <f>[20]Source!Y1105</f>
        <v>658.28</v>
      </c>
      <c r="U1088" s="281">
        <f>ROUND((175/100)*ROUND([20]Source!R1104, 2), 2)</f>
        <v>1.42</v>
      </c>
      <c r="V1088" s="281">
        <f>ROUND((157/100)*ROUND([20]Source!R1105, 2), 2)</f>
        <v>29.69</v>
      </c>
    </row>
    <row r="1089" spans="1:22" ht="14.25" x14ac:dyDescent="0.2">
      <c r="A1089" s="301"/>
      <c r="B1089" s="302"/>
      <c r="C1089" s="302" t="s">
        <v>197</v>
      </c>
      <c r="D1089" s="303"/>
      <c r="E1089" s="286"/>
      <c r="F1089" s="321">
        <v>59.79</v>
      </c>
      <c r="G1089" s="305" t="s">
        <v>1548</v>
      </c>
      <c r="H1089" s="286">
        <v>1</v>
      </c>
      <c r="I1089" s="304">
        <v>68.760000000000005</v>
      </c>
      <c r="J1089" s="286">
        <v>23.35</v>
      </c>
      <c r="K1089" s="304">
        <v>1605.55</v>
      </c>
    </row>
    <row r="1090" spans="1:22" ht="14.25" x14ac:dyDescent="0.2">
      <c r="A1090" s="301"/>
      <c r="B1090" s="302"/>
      <c r="C1090" s="302" t="s">
        <v>184</v>
      </c>
      <c r="D1090" s="303"/>
      <c r="E1090" s="286"/>
      <c r="F1090" s="321">
        <v>4.42</v>
      </c>
      <c r="G1090" s="305" t="s">
        <v>1549</v>
      </c>
      <c r="H1090" s="286">
        <v>1</v>
      </c>
      <c r="I1090" s="304">
        <v>5.53</v>
      </c>
      <c r="J1090" s="286">
        <v>8</v>
      </c>
      <c r="K1090" s="304">
        <v>44.24</v>
      </c>
    </row>
    <row r="1091" spans="1:22" ht="14.25" x14ac:dyDescent="0.2">
      <c r="A1091" s="301"/>
      <c r="B1091" s="302"/>
      <c r="C1091" s="302" t="s">
        <v>189</v>
      </c>
      <c r="D1091" s="303"/>
      <c r="E1091" s="286"/>
      <c r="F1091" s="321">
        <v>0.65</v>
      </c>
      <c r="G1091" s="305" t="s">
        <v>1549</v>
      </c>
      <c r="H1091" s="286">
        <v>1</v>
      </c>
      <c r="I1091" s="306">
        <v>0.81</v>
      </c>
      <c r="J1091" s="286">
        <v>23.35</v>
      </c>
      <c r="K1091" s="306">
        <v>18.91</v>
      </c>
    </row>
    <row r="1092" spans="1:22" ht="14.25" x14ac:dyDescent="0.2">
      <c r="A1092" s="301"/>
      <c r="B1092" s="302"/>
      <c r="C1092" s="302" t="s">
        <v>205</v>
      </c>
      <c r="D1092" s="303"/>
      <c r="E1092" s="286"/>
      <c r="F1092" s="321">
        <v>21.42</v>
      </c>
      <c r="G1092" s="305" t="s">
        <v>195</v>
      </c>
      <c r="H1092" s="286">
        <v>1</v>
      </c>
      <c r="I1092" s="304">
        <v>21.42</v>
      </c>
      <c r="J1092" s="286">
        <v>5.42</v>
      </c>
      <c r="K1092" s="304">
        <v>116.1</v>
      </c>
    </row>
    <row r="1093" spans="1:22" ht="14.25" x14ac:dyDescent="0.2">
      <c r="A1093" s="301"/>
      <c r="B1093" s="302"/>
      <c r="C1093" s="302" t="s">
        <v>194</v>
      </c>
      <c r="D1093" s="303" t="s">
        <v>187</v>
      </c>
      <c r="E1093" s="286">
        <v>112</v>
      </c>
      <c r="F1093" s="321"/>
      <c r="G1093" s="305"/>
      <c r="H1093" s="286"/>
      <c r="I1093" s="304">
        <v>78.39</v>
      </c>
      <c r="J1093" s="286">
        <v>90</v>
      </c>
      <c r="K1093" s="304">
        <v>1445</v>
      </c>
    </row>
    <row r="1094" spans="1:22" ht="14.25" x14ac:dyDescent="0.2">
      <c r="A1094" s="301"/>
      <c r="B1094" s="302"/>
      <c r="C1094" s="302" t="s">
        <v>193</v>
      </c>
      <c r="D1094" s="303" t="s">
        <v>187</v>
      </c>
      <c r="E1094" s="286">
        <v>70</v>
      </c>
      <c r="F1094" s="321"/>
      <c r="G1094" s="305"/>
      <c r="H1094" s="286"/>
      <c r="I1094" s="304">
        <v>46.07</v>
      </c>
      <c r="J1094" s="286">
        <v>41</v>
      </c>
      <c r="K1094" s="304">
        <v>658.28</v>
      </c>
    </row>
    <row r="1095" spans="1:22" ht="14.25" x14ac:dyDescent="0.2">
      <c r="A1095" s="301"/>
      <c r="B1095" s="302"/>
      <c r="C1095" s="302" t="s">
        <v>188</v>
      </c>
      <c r="D1095" s="303" t="s">
        <v>187</v>
      </c>
      <c r="E1095" s="286">
        <v>175</v>
      </c>
      <c r="F1095" s="321"/>
      <c r="G1095" s="305"/>
      <c r="H1095" s="286"/>
      <c r="I1095" s="304">
        <v>1.42</v>
      </c>
      <c r="J1095" s="286">
        <v>157</v>
      </c>
      <c r="K1095" s="304">
        <v>29.69</v>
      </c>
    </row>
    <row r="1096" spans="1:22" ht="14.25" x14ac:dyDescent="0.2">
      <c r="A1096" s="307"/>
      <c r="B1096" s="308"/>
      <c r="C1096" s="308" t="s">
        <v>192</v>
      </c>
      <c r="D1096" s="309" t="s">
        <v>191</v>
      </c>
      <c r="E1096" s="310">
        <v>5.15</v>
      </c>
      <c r="F1096" s="361"/>
      <c r="G1096" s="312" t="s">
        <v>1548</v>
      </c>
      <c r="H1096" s="310">
        <v>1</v>
      </c>
      <c r="I1096" s="311">
        <v>5.92</v>
      </c>
      <c r="J1096" s="310"/>
      <c r="K1096" s="311"/>
    </row>
    <row r="1097" spans="1:22" ht="15" x14ac:dyDescent="0.25">
      <c r="A1097" s="313"/>
      <c r="B1097" s="313"/>
      <c r="C1097" s="314" t="s">
        <v>183</v>
      </c>
      <c r="D1097" s="313"/>
      <c r="E1097" s="313"/>
      <c r="F1097" s="313"/>
      <c r="G1097" s="313"/>
      <c r="H1097" s="472">
        <v>221.59</v>
      </c>
      <c r="I1097" s="472"/>
      <c r="J1097" s="472">
        <v>3898.86</v>
      </c>
      <c r="K1097" s="472"/>
      <c r="O1097" s="284">
        <f>I1089+I1090+I1092+I1093+I1094+I1095</f>
        <v>221.59</v>
      </c>
      <c r="P1097" s="284">
        <f>K1089+K1090+K1092+K1093+K1094+K1095</f>
        <v>3898.86</v>
      </c>
    </row>
    <row r="1099" spans="1:22" ht="65.25" x14ac:dyDescent="0.2">
      <c r="A1099" s="301" t="s">
        <v>1534</v>
      </c>
      <c r="B1099" s="302" t="s">
        <v>1474</v>
      </c>
      <c r="C1099" s="302" t="s">
        <v>1247</v>
      </c>
      <c r="D1099" s="303" t="s">
        <v>1903</v>
      </c>
      <c r="E1099" s="286">
        <v>1</v>
      </c>
      <c r="F1099" s="321"/>
      <c r="G1099" s="305"/>
      <c r="H1099" s="286"/>
      <c r="I1099" s="304"/>
      <c r="J1099" s="286"/>
      <c r="K1099" s="304"/>
      <c r="Q1099" s="281">
        <f>[20]Source!X1106</f>
        <v>35.11</v>
      </c>
      <c r="R1099" s="281">
        <f>[20]Source!X1107</f>
        <v>647.26</v>
      </c>
      <c r="S1099" s="281">
        <f>[20]Source!Y1106</f>
        <v>20.64</v>
      </c>
      <c r="T1099" s="281">
        <f>[20]Source!Y1107</f>
        <v>294.86</v>
      </c>
      <c r="U1099" s="281">
        <f>ROUND((175/100)*ROUND([20]Source!R1106, 2), 2)</f>
        <v>0</v>
      </c>
      <c r="V1099" s="281">
        <f>ROUND((157/100)*ROUND([20]Source!R1107, 2), 2)</f>
        <v>0</v>
      </c>
    </row>
    <row r="1100" spans="1:22" ht="14.25" x14ac:dyDescent="0.2">
      <c r="A1100" s="301"/>
      <c r="B1100" s="302"/>
      <c r="C1100" s="302" t="s">
        <v>197</v>
      </c>
      <c r="D1100" s="303"/>
      <c r="E1100" s="286"/>
      <c r="F1100" s="321">
        <v>26.78</v>
      </c>
      <c r="G1100" s="305" t="s">
        <v>1548</v>
      </c>
      <c r="H1100" s="286">
        <v>1</v>
      </c>
      <c r="I1100" s="304">
        <v>30.8</v>
      </c>
      <c r="J1100" s="286">
        <v>23.35</v>
      </c>
      <c r="K1100" s="304">
        <v>719.18</v>
      </c>
    </row>
    <row r="1101" spans="1:22" ht="14.25" x14ac:dyDescent="0.2">
      <c r="A1101" s="301"/>
      <c r="B1101" s="302"/>
      <c r="C1101" s="302" t="s">
        <v>205</v>
      </c>
      <c r="D1101" s="303"/>
      <c r="E1101" s="286"/>
      <c r="F1101" s="321">
        <v>0.28000000000000003</v>
      </c>
      <c r="G1101" s="305" t="s">
        <v>195</v>
      </c>
      <c r="H1101" s="286">
        <v>1</v>
      </c>
      <c r="I1101" s="304">
        <v>0.28000000000000003</v>
      </c>
      <c r="J1101" s="286">
        <v>5.43</v>
      </c>
      <c r="K1101" s="304">
        <v>1.52</v>
      </c>
    </row>
    <row r="1102" spans="1:22" ht="14.25" x14ac:dyDescent="0.2">
      <c r="A1102" s="301"/>
      <c r="B1102" s="302"/>
      <c r="C1102" s="302" t="s">
        <v>194</v>
      </c>
      <c r="D1102" s="303" t="s">
        <v>187</v>
      </c>
      <c r="E1102" s="286">
        <v>112</v>
      </c>
      <c r="F1102" s="321"/>
      <c r="G1102" s="305"/>
      <c r="H1102" s="286"/>
      <c r="I1102" s="304">
        <v>35.11</v>
      </c>
      <c r="J1102" s="286">
        <v>90</v>
      </c>
      <c r="K1102" s="304">
        <v>647.26</v>
      </c>
    </row>
    <row r="1103" spans="1:22" ht="14.25" x14ac:dyDescent="0.2">
      <c r="A1103" s="301"/>
      <c r="B1103" s="302"/>
      <c r="C1103" s="302" t="s">
        <v>193</v>
      </c>
      <c r="D1103" s="303" t="s">
        <v>187</v>
      </c>
      <c r="E1103" s="286">
        <v>70</v>
      </c>
      <c r="F1103" s="321"/>
      <c r="G1103" s="305"/>
      <c r="H1103" s="286"/>
      <c r="I1103" s="304">
        <v>20.64</v>
      </c>
      <c r="J1103" s="286">
        <v>41</v>
      </c>
      <c r="K1103" s="304">
        <v>294.86</v>
      </c>
    </row>
    <row r="1104" spans="1:22" ht="14.25" x14ac:dyDescent="0.2">
      <c r="A1104" s="307"/>
      <c r="B1104" s="308"/>
      <c r="C1104" s="308" t="s">
        <v>192</v>
      </c>
      <c r="D1104" s="309" t="s">
        <v>191</v>
      </c>
      <c r="E1104" s="310">
        <v>2.06</v>
      </c>
      <c r="F1104" s="361"/>
      <c r="G1104" s="312" t="s">
        <v>1548</v>
      </c>
      <c r="H1104" s="310">
        <v>1</v>
      </c>
      <c r="I1104" s="311">
        <v>2.37</v>
      </c>
      <c r="J1104" s="310"/>
      <c r="K1104" s="311"/>
    </row>
    <row r="1105" spans="1:22" ht="15" x14ac:dyDescent="0.25">
      <c r="A1105" s="313"/>
      <c r="B1105" s="313"/>
      <c r="C1105" s="314" t="s">
        <v>183</v>
      </c>
      <c r="D1105" s="313"/>
      <c r="E1105" s="313"/>
      <c r="F1105" s="313"/>
      <c r="G1105" s="313"/>
      <c r="H1105" s="472">
        <v>86.83</v>
      </c>
      <c r="I1105" s="472"/>
      <c r="J1105" s="472">
        <v>1662.82</v>
      </c>
      <c r="K1105" s="472"/>
      <c r="O1105" s="284">
        <f>I1100+I1101+I1102+I1103</f>
        <v>86.83</v>
      </c>
      <c r="P1105" s="284">
        <f>K1100+K1101+K1102+K1103</f>
        <v>1662.82</v>
      </c>
    </row>
    <row r="1107" spans="1:22" ht="65.25" x14ac:dyDescent="0.2">
      <c r="A1107" s="301" t="s">
        <v>104</v>
      </c>
      <c r="B1107" s="302" t="s">
        <v>1473</v>
      </c>
      <c r="C1107" s="302" t="s">
        <v>1472</v>
      </c>
      <c r="D1107" s="303" t="s">
        <v>1903</v>
      </c>
      <c r="E1107" s="286">
        <v>1</v>
      </c>
      <c r="F1107" s="321"/>
      <c r="G1107" s="305"/>
      <c r="H1107" s="286"/>
      <c r="I1107" s="304"/>
      <c r="J1107" s="286"/>
      <c r="K1107" s="304"/>
      <c r="Q1107" s="281">
        <f>[20]Source!X1108</f>
        <v>7.62</v>
      </c>
      <c r="R1107" s="281">
        <f>[20]Source!X1109</f>
        <v>140.38</v>
      </c>
      <c r="S1107" s="281">
        <f>[20]Source!Y1108</f>
        <v>4.4800000000000004</v>
      </c>
      <c r="T1107" s="281">
        <f>[20]Source!Y1109</f>
        <v>63.95</v>
      </c>
      <c r="U1107" s="281">
        <f>ROUND((175/100)*ROUND([20]Source!R1108, 2), 2)</f>
        <v>12.09</v>
      </c>
      <c r="V1107" s="281">
        <f>ROUND((157/100)*ROUND([20]Source!R1109, 2), 2)</f>
        <v>253.32</v>
      </c>
    </row>
    <row r="1108" spans="1:22" ht="14.25" x14ac:dyDescent="0.2">
      <c r="A1108" s="301"/>
      <c r="B1108" s="302"/>
      <c r="C1108" s="302" t="s">
        <v>197</v>
      </c>
      <c r="D1108" s="303"/>
      <c r="E1108" s="286"/>
      <c r="F1108" s="321">
        <v>5.81</v>
      </c>
      <c r="G1108" s="305" t="s">
        <v>1548</v>
      </c>
      <c r="H1108" s="286">
        <v>1</v>
      </c>
      <c r="I1108" s="304">
        <v>6.68</v>
      </c>
      <c r="J1108" s="286">
        <v>23.35</v>
      </c>
      <c r="K1108" s="304">
        <v>155.97999999999999</v>
      </c>
    </row>
    <row r="1109" spans="1:22" ht="14.25" x14ac:dyDescent="0.2">
      <c r="A1109" s="301"/>
      <c r="B1109" s="302"/>
      <c r="C1109" s="302" t="s">
        <v>184</v>
      </c>
      <c r="D1109" s="303"/>
      <c r="E1109" s="286"/>
      <c r="F1109" s="321">
        <v>27.61</v>
      </c>
      <c r="G1109" s="305" t="s">
        <v>1549</v>
      </c>
      <c r="H1109" s="286">
        <v>1</v>
      </c>
      <c r="I1109" s="304">
        <v>34.51</v>
      </c>
      <c r="J1109" s="286">
        <v>8.9600000000000009</v>
      </c>
      <c r="K1109" s="304">
        <v>309.20999999999998</v>
      </c>
    </row>
    <row r="1110" spans="1:22" ht="14.25" x14ac:dyDescent="0.2">
      <c r="A1110" s="301"/>
      <c r="B1110" s="302"/>
      <c r="C1110" s="302" t="s">
        <v>189</v>
      </c>
      <c r="D1110" s="303"/>
      <c r="E1110" s="286"/>
      <c r="F1110" s="321">
        <v>5.53</v>
      </c>
      <c r="G1110" s="305" t="s">
        <v>1549</v>
      </c>
      <c r="H1110" s="286">
        <v>1</v>
      </c>
      <c r="I1110" s="306">
        <v>6.91</v>
      </c>
      <c r="J1110" s="286">
        <v>23.35</v>
      </c>
      <c r="K1110" s="306">
        <v>161.35</v>
      </c>
    </row>
    <row r="1111" spans="1:22" ht="14.25" x14ac:dyDescent="0.2">
      <c r="A1111" s="301"/>
      <c r="B1111" s="302"/>
      <c r="C1111" s="302" t="s">
        <v>205</v>
      </c>
      <c r="D1111" s="303"/>
      <c r="E1111" s="286"/>
      <c r="F1111" s="321">
        <v>1.89</v>
      </c>
      <c r="G1111" s="305" t="s">
        <v>195</v>
      </c>
      <c r="H1111" s="286">
        <v>1</v>
      </c>
      <c r="I1111" s="304">
        <v>1.89</v>
      </c>
      <c r="J1111" s="286">
        <v>5.42</v>
      </c>
      <c r="K1111" s="304">
        <v>10.24</v>
      </c>
    </row>
    <row r="1112" spans="1:22" ht="14.25" x14ac:dyDescent="0.2">
      <c r="A1112" s="301"/>
      <c r="B1112" s="302"/>
      <c r="C1112" s="302" t="s">
        <v>194</v>
      </c>
      <c r="D1112" s="303" t="s">
        <v>187</v>
      </c>
      <c r="E1112" s="286">
        <v>112</v>
      </c>
      <c r="F1112" s="321"/>
      <c r="G1112" s="305"/>
      <c r="H1112" s="286"/>
      <c r="I1112" s="304">
        <v>7.62</v>
      </c>
      <c r="J1112" s="286">
        <v>90</v>
      </c>
      <c r="K1112" s="304">
        <v>140.38</v>
      </c>
    </row>
    <row r="1113" spans="1:22" ht="14.25" x14ac:dyDescent="0.2">
      <c r="A1113" s="301"/>
      <c r="B1113" s="302"/>
      <c r="C1113" s="302" t="s">
        <v>193</v>
      </c>
      <c r="D1113" s="303" t="s">
        <v>187</v>
      </c>
      <c r="E1113" s="286">
        <v>70</v>
      </c>
      <c r="F1113" s="321"/>
      <c r="G1113" s="305"/>
      <c r="H1113" s="286"/>
      <c r="I1113" s="304">
        <v>4.4800000000000004</v>
      </c>
      <c r="J1113" s="286">
        <v>41</v>
      </c>
      <c r="K1113" s="304">
        <v>63.95</v>
      </c>
    </row>
    <row r="1114" spans="1:22" ht="14.25" x14ac:dyDescent="0.2">
      <c r="A1114" s="301"/>
      <c r="B1114" s="302"/>
      <c r="C1114" s="302" t="s">
        <v>188</v>
      </c>
      <c r="D1114" s="303" t="s">
        <v>187</v>
      </c>
      <c r="E1114" s="286">
        <v>175</v>
      </c>
      <c r="F1114" s="321"/>
      <c r="G1114" s="305"/>
      <c r="H1114" s="286"/>
      <c r="I1114" s="304">
        <v>12.09</v>
      </c>
      <c r="J1114" s="286">
        <v>157</v>
      </c>
      <c r="K1114" s="304">
        <v>253.32</v>
      </c>
    </row>
    <row r="1115" spans="1:22" ht="14.25" x14ac:dyDescent="0.2">
      <c r="A1115" s="307"/>
      <c r="B1115" s="308"/>
      <c r="C1115" s="308" t="s">
        <v>192</v>
      </c>
      <c r="D1115" s="309" t="s">
        <v>191</v>
      </c>
      <c r="E1115" s="310">
        <v>0.52</v>
      </c>
      <c r="F1115" s="361"/>
      <c r="G1115" s="312" t="s">
        <v>1548</v>
      </c>
      <c r="H1115" s="310">
        <v>1</v>
      </c>
      <c r="I1115" s="311">
        <v>0.6</v>
      </c>
      <c r="J1115" s="310"/>
      <c r="K1115" s="311"/>
    </row>
    <row r="1116" spans="1:22" ht="15" x14ac:dyDescent="0.25">
      <c r="A1116" s="313"/>
      <c r="B1116" s="313"/>
      <c r="C1116" s="314" t="s">
        <v>183</v>
      </c>
      <c r="D1116" s="313"/>
      <c r="E1116" s="313"/>
      <c r="F1116" s="313"/>
      <c r="G1116" s="313"/>
      <c r="H1116" s="472">
        <v>67.27</v>
      </c>
      <c r="I1116" s="472"/>
      <c r="J1116" s="472">
        <v>933.08</v>
      </c>
      <c r="K1116" s="472"/>
      <c r="O1116" s="284">
        <f>I1108+I1109+I1111+I1112+I1113+I1114</f>
        <v>67.27</v>
      </c>
      <c r="P1116" s="284">
        <f>K1108+K1109+K1111+K1112+K1113+K1114</f>
        <v>933.08</v>
      </c>
    </row>
    <row r="1118" spans="1:22" ht="81" x14ac:dyDescent="0.2">
      <c r="A1118" s="275" t="s">
        <v>1546</v>
      </c>
      <c r="B1118" s="276" t="s">
        <v>3752</v>
      </c>
      <c r="C1118" s="276" t="s">
        <v>1487</v>
      </c>
      <c r="D1118" s="277" t="s">
        <v>3240</v>
      </c>
      <c r="E1118" s="278">
        <v>1</v>
      </c>
      <c r="F1118" s="362">
        <v>11543.7</v>
      </c>
      <c r="G1118" s="280" t="s">
        <v>195</v>
      </c>
      <c r="H1118" s="278">
        <v>1</v>
      </c>
      <c r="I1118" s="279">
        <v>11543.7</v>
      </c>
      <c r="J1118" s="278">
        <v>4.4000000000000004</v>
      </c>
      <c r="K1118" s="279">
        <v>50792.28</v>
      </c>
      <c r="Q1118" s="281">
        <f>[20]Source!X1110</f>
        <v>0</v>
      </c>
      <c r="R1118" s="281">
        <f>[20]Source!X1111</f>
        <v>0</v>
      </c>
      <c r="S1118" s="281">
        <f>[20]Source!Y1110</f>
        <v>0</v>
      </c>
      <c r="T1118" s="281">
        <f>[20]Source!Y1111</f>
        <v>0</v>
      </c>
      <c r="U1118" s="281">
        <f>ROUND((175/100)*ROUND([20]Source!R1110, 2), 2)</f>
        <v>0</v>
      </c>
      <c r="V1118" s="281">
        <f>ROUND((157/100)*ROUND([20]Source!R1111, 2), 2)</f>
        <v>0</v>
      </c>
    </row>
    <row r="1119" spans="1:22" ht="15" x14ac:dyDescent="0.25">
      <c r="A1119" s="282"/>
      <c r="B1119" s="282"/>
      <c r="C1119" s="283" t="s">
        <v>183</v>
      </c>
      <c r="D1119" s="282"/>
      <c r="E1119" s="282"/>
      <c r="F1119" s="282"/>
      <c r="G1119" s="282"/>
      <c r="H1119" s="473">
        <v>11543.7</v>
      </c>
      <c r="I1119" s="473"/>
      <c r="J1119" s="473">
        <v>50792.28</v>
      </c>
      <c r="K1119" s="473"/>
      <c r="O1119" s="284">
        <f>I1118</f>
        <v>11543.7</v>
      </c>
      <c r="P1119" s="284">
        <f>K1118</f>
        <v>50792.28</v>
      </c>
    </row>
    <row r="1122" spans="1:22" ht="15" x14ac:dyDescent="0.25">
      <c r="A1122" s="447" t="s">
        <v>3801</v>
      </c>
      <c r="B1122" s="447"/>
      <c r="C1122" s="447"/>
      <c r="D1122" s="447"/>
      <c r="E1122" s="447"/>
      <c r="F1122" s="447"/>
      <c r="G1122" s="447"/>
      <c r="H1122" s="445">
        <v>11919.39</v>
      </c>
      <c r="I1122" s="446"/>
      <c r="J1122" s="445">
        <v>57287.040000000001</v>
      </c>
      <c r="K1122" s="446"/>
    </row>
    <row r="1123" spans="1:22" hidden="1" x14ac:dyDescent="0.2">
      <c r="A1123" s="281" t="s">
        <v>182</v>
      </c>
      <c r="I1123" s="281">
        <v>0</v>
      </c>
      <c r="J1123" s="281">
        <v>0</v>
      </c>
    </row>
    <row r="1124" spans="1:22" hidden="1" x14ac:dyDescent="0.2">
      <c r="A1124" s="281" t="s">
        <v>181</v>
      </c>
      <c r="I1124" s="281">
        <v>0</v>
      </c>
      <c r="J1124" s="281">
        <v>0</v>
      </c>
    </row>
    <row r="1126" spans="1:22" ht="16.5" x14ac:dyDescent="0.25">
      <c r="A1126" s="448" t="s">
        <v>3802</v>
      </c>
      <c r="B1126" s="448"/>
      <c r="C1126" s="448"/>
      <c r="D1126" s="448"/>
      <c r="E1126" s="448"/>
      <c r="F1126" s="448"/>
      <c r="G1126" s="448"/>
      <c r="H1126" s="448"/>
      <c r="I1126" s="448"/>
      <c r="J1126" s="448"/>
      <c r="K1126" s="448"/>
    </row>
    <row r="1127" spans="1:22" ht="65.25" x14ac:dyDescent="0.2">
      <c r="A1127" s="301" t="s">
        <v>719</v>
      </c>
      <c r="B1127" s="302" t="s">
        <v>1476</v>
      </c>
      <c r="C1127" s="302" t="s">
        <v>1475</v>
      </c>
      <c r="D1127" s="303" t="s">
        <v>1903</v>
      </c>
      <c r="E1127" s="286">
        <v>1</v>
      </c>
      <c r="F1127" s="321"/>
      <c r="G1127" s="305"/>
      <c r="H1127" s="286"/>
      <c r="I1127" s="304"/>
      <c r="J1127" s="286"/>
      <c r="K1127" s="304"/>
      <c r="Q1127" s="281">
        <f>[20]Source!X1147</f>
        <v>78.39</v>
      </c>
      <c r="R1127" s="281">
        <f>[20]Source!X1148</f>
        <v>1445</v>
      </c>
      <c r="S1127" s="281">
        <f>[20]Source!Y1147</f>
        <v>46.07</v>
      </c>
      <c r="T1127" s="281">
        <f>[20]Source!Y1148</f>
        <v>658.28</v>
      </c>
      <c r="U1127" s="281">
        <f>ROUND((175/100)*ROUND([20]Source!R1147, 2), 2)</f>
        <v>1.42</v>
      </c>
      <c r="V1127" s="281">
        <f>ROUND((157/100)*ROUND([20]Source!R1148, 2), 2)</f>
        <v>29.69</v>
      </c>
    </row>
    <row r="1128" spans="1:22" ht="14.25" x14ac:dyDescent="0.2">
      <c r="A1128" s="301"/>
      <c r="B1128" s="302"/>
      <c r="C1128" s="302" t="s">
        <v>197</v>
      </c>
      <c r="D1128" s="303"/>
      <c r="E1128" s="286"/>
      <c r="F1128" s="321">
        <v>59.79</v>
      </c>
      <c r="G1128" s="305" t="s">
        <v>1548</v>
      </c>
      <c r="H1128" s="286">
        <v>1</v>
      </c>
      <c r="I1128" s="304">
        <v>68.760000000000005</v>
      </c>
      <c r="J1128" s="286">
        <v>23.35</v>
      </c>
      <c r="K1128" s="304">
        <v>1605.55</v>
      </c>
    </row>
    <row r="1129" spans="1:22" ht="14.25" x14ac:dyDescent="0.2">
      <c r="A1129" s="301"/>
      <c r="B1129" s="302"/>
      <c r="C1129" s="302" t="s">
        <v>184</v>
      </c>
      <c r="D1129" s="303"/>
      <c r="E1129" s="286"/>
      <c r="F1129" s="321">
        <v>4.42</v>
      </c>
      <c r="G1129" s="305" t="s">
        <v>1549</v>
      </c>
      <c r="H1129" s="286">
        <v>1</v>
      </c>
      <c r="I1129" s="304">
        <v>5.53</v>
      </c>
      <c r="J1129" s="286">
        <v>8</v>
      </c>
      <c r="K1129" s="304">
        <v>44.24</v>
      </c>
    </row>
    <row r="1130" spans="1:22" ht="14.25" x14ac:dyDescent="0.2">
      <c r="A1130" s="301"/>
      <c r="B1130" s="302"/>
      <c r="C1130" s="302" t="s">
        <v>189</v>
      </c>
      <c r="D1130" s="303"/>
      <c r="E1130" s="286"/>
      <c r="F1130" s="321">
        <v>0.65</v>
      </c>
      <c r="G1130" s="305" t="s">
        <v>1549</v>
      </c>
      <c r="H1130" s="286">
        <v>1</v>
      </c>
      <c r="I1130" s="306">
        <v>0.81</v>
      </c>
      <c r="J1130" s="286">
        <v>23.35</v>
      </c>
      <c r="K1130" s="306">
        <v>18.91</v>
      </c>
    </row>
    <row r="1131" spans="1:22" ht="14.25" x14ac:dyDescent="0.2">
      <c r="A1131" s="301"/>
      <c r="B1131" s="302"/>
      <c r="C1131" s="302" t="s">
        <v>205</v>
      </c>
      <c r="D1131" s="303"/>
      <c r="E1131" s="286"/>
      <c r="F1131" s="321">
        <v>21.42</v>
      </c>
      <c r="G1131" s="305" t="s">
        <v>195</v>
      </c>
      <c r="H1131" s="286">
        <v>1</v>
      </c>
      <c r="I1131" s="304">
        <v>21.42</v>
      </c>
      <c r="J1131" s="286">
        <v>5.42</v>
      </c>
      <c r="K1131" s="304">
        <v>116.1</v>
      </c>
    </row>
    <row r="1132" spans="1:22" ht="14.25" x14ac:dyDescent="0.2">
      <c r="A1132" s="301"/>
      <c r="B1132" s="302"/>
      <c r="C1132" s="302" t="s">
        <v>194</v>
      </c>
      <c r="D1132" s="303" t="s">
        <v>187</v>
      </c>
      <c r="E1132" s="286">
        <v>112</v>
      </c>
      <c r="F1132" s="321"/>
      <c r="G1132" s="305"/>
      <c r="H1132" s="286"/>
      <c r="I1132" s="304">
        <v>78.39</v>
      </c>
      <c r="J1132" s="286">
        <v>90</v>
      </c>
      <c r="K1132" s="304">
        <v>1445</v>
      </c>
    </row>
    <row r="1133" spans="1:22" ht="14.25" x14ac:dyDescent="0.2">
      <c r="A1133" s="301"/>
      <c r="B1133" s="302"/>
      <c r="C1133" s="302" t="s">
        <v>193</v>
      </c>
      <c r="D1133" s="303" t="s">
        <v>187</v>
      </c>
      <c r="E1133" s="286">
        <v>70</v>
      </c>
      <c r="F1133" s="321"/>
      <c r="G1133" s="305"/>
      <c r="H1133" s="286"/>
      <c r="I1133" s="304">
        <v>46.07</v>
      </c>
      <c r="J1133" s="286">
        <v>41</v>
      </c>
      <c r="K1133" s="304">
        <v>658.28</v>
      </c>
    </row>
    <row r="1134" spans="1:22" ht="14.25" x14ac:dyDescent="0.2">
      <c r="A1134" s="301"/>
      <c r="B1134" s="302"/>
      <c r="C1134" s="302" t="s">
        <v>188</v>
      </c>
      <c r="D1134" s="303" t="s">
        <v>187</v>
      </c>
      <c r="E1134" s="286">
        <v>175</v>
      </c>
      <c r="F1134" s="321"/>
      <c r="G1134" s="305"/>
      <c r="H1134" s="286"/>
      <c r="I1134" s="304">
        <v>1.42</v>
      </c>
      <c r="J1134" s="286">
        <v>157</v>
      </c>
      <c r="K1134" s="304">
        <v>29.69</v>
      </c>
    </row>
    <row r="1135" spans="1:22" ht="14.25" x14ac:dyDescent="0.2">
      <c r="A1135" s="307"/>
      <c r="B1135" s="308"/>
      <c r="C1135" s="308" t="s">
        <v>192</v>
      </c>
      <c r="D1135" s="309" t="s">
        <v>191</v>
      </c>
      <c r="E1135" s="310">
        <v>5.15</v>
      </c>
      <c r="F1135" s="361"/>
      <c r="G1135" s="312" t="s">
        <v>1548</v>
      </c>
      <c r="H1135" s="310">
        <v>1</v>
      </c>
      <c r="I1135" s="311">
        <v>5.92</v>
      </c>
      <c r="J1135" s="310"/>
      <c r="K1135" s="311"/>
    </row>
    <row r="1136" spans="1:22" ht="15" x14ac:dyDescent="0.25">
      <c r="A1136" s="313"/>
      <c r="B1136" s="313"/>
      <c r="C1136" s="314" t="s">
        <v>183</v>
      </c>
      <c r="D1136" s="313"/>
      <c r="E1136" s="313"/>
      <c r="F1136" s="313"/>
      <c r="G1136" s="313"/>
      <c r="H1136" s="472">
        <v>221.59</v>
      </c>
      <c r="I1136" s="472"/>
      <c r="J1136" s="472">
        <v>3898.86</v>
      </c>
      <c r="K1136" s="472"/>
      <c r="O1136" s="284">
        <f>I1128+I1129+I1131+I1132+I1133+I1134</f>
        <v>221.59</v>
      </c>
      <c r="P1136" s="284">
        <f>K1128+K1129+K1131+K1132+K1133+K1134</f>
        <v>3898.86</v>
      </c>
    </row>
    <row r="1138" spans="1:22" ht="65.25" x14ac:dyDescent="0.2">
      <c r="A1138" s="301" t="s">
        <v>1534</v>
      </c>
      <c r="B1138" s="302" t="s">
        <v>1474</v>
      </c>
      <c r="C1138" s="302" t="s">
        <v>1247</v>
      </c>
      <c r="D1138" s="303" t="s">
        <v>1903</v>
      </c>
      <c r="E1138" s="286">
        <v>1</v>
      </c>
      <c r="F1138" s="321"/>
      <c r="G1138" s="305"/>
      <c r="H1138" s="286"/>
      <c r="I1138" s="304"/>
      <c r="J1138" s="286"/>
      <c r="K1138" s="304"/>
      <c r="Q1138" s="281">
        <f>[20]Source!X1149</f>
        <v>35.11</v>
      </c>
      <c r="R1138" s="281">
        <f>[20]Source!X1150</f>
        <v>647.26</v>
      </c>
      <c r="S1138" s="281">
        <f>[20]Source!Y1149</f>
        <v>20.64</v>
      </c>
      <c r="T1138" s="281">
        <f>[20]Source!Y1150</f>
        <v>294.86</v>
      </c>
      <c r="U1138" s="281">
        <f>ROUND((175/100)*ROUND([20]Source!R1149, 2), 2)</f>
        <v>0</v>
      </c>
      <c r="V1138" s="281">
        <f>ROUND((157/100)*ROUND([20]Source!R1150, 2), 2)</f>
        <v>0</v>
      </c>
    </row>
    <row r="1139" spans="1:22" ht="14.25" x14ac:dyDescent="0.2">
      <c r="A1139" s="301"/>
      <c r="B1139" s="302"/>
      <c r="C1139" s="302" t="s">
        <v>197</v>
      </c>
      <c r="D1139" s="303"/>
      <c r="E1139" s="286"/>
      <c r="F1139" s="321">
        <v>26.78</v>
      </c>
      <c r="G1139" s="305" t="s">
        <v>1548</v>
      </c>
      <c r="H1139" s="286">
        <v>1</v>
      </c>
      <c r="I1139" s="304">
        <v>30.8</v>
      </c>
      <c r="J1139" s="286">
        <v>23.35</v>
      </c>
      <c r="K1139" s="304">
        <v>719.18</v>
      </c>
    </row>
    <row r="1140" spans="1:22" ht="14.25" x14ac:dyDescent="0.2">
      <c r="A1140" s="301"/>
      <c r="B1140" s="302"/>
      <c r="C1140" s="302" t="s">
        <v>205</v>
      </c>
      <c r="D1140" s="303"/>
      <c r="E1140" s="286"/>
      <c r="F1140" s="321">
        <v>0.28000000000000003</v>
      </c>
      <c r="G1140" s="305" t="s">
        <v>195</v>
      </c>
      <c r="H1140" s="286">
        <v>1</v>
      </c>
      <c r="I1140" s="304">
        <v>0.28000000000000003</v>
      </c>
      <c r="J1140" s="286">
        <v>5.43</v>
      </c>
      <c r="K1140" s="304">
        <v>1.52</v>
      </c>
    </row>
    <row r="1141" spans="1:22" ht="14.25" x14ac:dyDescent="0.2">
      <c r="A1141" s="301"/>
      <c r="B1141" s="302"/>
      <c r="C1141" s="302" t="s">
        <v>194</v>
      </c>
      <c r="D1141" s="303" t="s">
        <v>187</v>
      </c>
      <c r="E1141" s="286">
        <v>112</v>
      </c>
      <c r="F1141" s="321"/>
      <c r="G1141" s="305"/>
      <c r="H1141" s="286"/>
      <c r="I1141" s="304">
        <v>35.11</v>
      </c>
      <c r="J1141" s="286">
        <v>90</v>
      </c>
      <c r="K1141" s="304">
        <v>647.26</v>
      </c>
    </row>
    <row r="1142" spans="1:22" ht="14.25" x14ac:dyDescent="0.2">
      <c r="A1142" s="301"/>
      <c r="B1142" s="302"/>
      <c r="C1142" s="302" t="s">
        <v>193</v>
      </c>
      <c r="D1142" s="303" t="s">
        <v>187</v>
      </c>
      <c r="E1142" s="286">
        <v>70</v>
      </c>
      <c r="F1142" s="321"/>
      <c r="G1142" s="305"/>
      <c r="H1142" s="286"/>
      <c r="I1142" s="304">
        <v>20.64</v>
      </c>
      <c r="J1142" s="286">
        <v>41</v>
      </c>
      <c r="K1142" s="304">
        <v>294.86</v>
      </c>
    </row>
    <row r="1143" spans="1:22" ht="14.25" x14ac:dyDescent="0.2">
      <c r="A1143" s="307"/>
      <c r="B1143" s="308"/>
      <c r="C1143" s="308" t="s">
        <v>192</v>
      </c>
      <c r="D1143" s="309" t="s">
        <v>191</v>
      </c>
      <c r="E1143" s="310">
        <v>2.06</v>
      </c>
      <c r="F1143" s="361"/>
      <c r="G1143" s="312" t="s">
        <v>1548</v>
      </c>
      <c r="H1143" s="310">
        <v>1</v>
      </c>
      <c r="I1143" s="311">
        <v>2.37</v>
      </c>
      <c r="J1143" s="310"/>
      <c r="K1143" s="311"/>
    </row>
    <row r="1144" spans="1:22" ht="15" x14ac:dyDescent="0.25">
      <c r="A1144" s="313"/>
      <c r="B1144" s="313"/>
      <c r="C1144" s="314" t="s">
        <v>183</v>
      </c>
      <c r="D1144" s="313"/>
      <c r="E1144" s="313"/>
      <c r="F1144" s="313"/>
      <c r="G1144" s="313"/>
      <c r="H1144" s="472">
        <v>86.83</v>
      </c>
      <c r="I1144" s="472"/>
      <c r="J1144" s="472">
        <v>1662.82</v>
      </c>
      <c r="K1144" s="472"/>
      <c r="O1144" s="284">
        <f>I1139+I1140+I1141+I1142</f>
        <v>86.83</v>
      </c>
      <c r="P1144" s="284">
        <f>K1139+K1140+K1141+K1142</f>
        <v>1662.82</v>
      </c>
    </row>
    <row r="1146" spans="1:22" ht="65.25" x14ac:dyDescent="0.2">
      <c r="A1146" s="301" t="s">
        <v>104</v>
      </c>
      <c r="B1146" s="302" t="s">
        <v>1473</v>
      </c>
      <c r="C1146" s="302" t="s">
        <v>1472</v>
      </c>
      <c r="D1146" s="303" t="s">
        <v>1903</v>
      </c>
      <c r="E1146" s="286">
        <v>1</v>
      </c>
      <c r="F1146" s="321"/>
      <c r="G1146" s="305"/>
      <c r="H1146" s="286"/>
      <c r="I1146" s="304"/>
      <c r="J1146" s="286"/>
      <c r="K1146" s="304"/>
      <c r="Q1146" s="281">
        <f>[20]Source!X1151</f>
        <v>7.62</v>
      </c>
      <c r="R1146" s="281">
        <f>[20]Source!X1152</f>
        <v>140.38</v>
      </c>
      <c r="S1146" s="281">
        <f>[20]Source!Y1151</f>
        <v>4.4800000000000004</v>
      </c>
      <c r="T1146" s="281">
        <f>[20]Source!Y1152</f>
        <v>63.95</v>
      </c>
      <c r="U1146" s="281">
        <f>ROUND((175/100)*ROUND([20]Source!R1151, 2), 2)</f>
        <v>12.09</v>
      </c>
      <c r="V1146" s="281">
        <f>ROUND((157/100)*ROUND([20]Source!R1152, 2), 2)</f>
        <v>253.32</v>
      </c>
    </row>
    <row r="1147" spans="1:22" ht="14.25" x14ac:dyDescent="0.2">
      <c r="A1147" s="301"/>
      <c r="B1147" s="302"/>
      <c r="C1147" s="302" t="s">
        <v>197</v>
      </c>
      <c r="D1147" s="303"/>
      <c r="E1147" s="286"/>
      <c r="F1147" s="321">
        <v>5.81</v>
      </c>
      <c r="G1147" s="305" t="s">
        <v>1548</v>
      </c>
      <c r="H1147" s="286">
        <v>1</v>
      </c>
      <c r="I1147" s="304">
        <v>6.68</v>
      </c>
      <c r="J1147" s="286">
        <v>23.35</v>
      </c>
      <c r="K1147" s="304">
        <v>155.97999999999999</v>
      </c>
    </row>
    <row r="1148" spans="1:22" ht="14.25" x14ac:dyDescent="0.2">
      <c r="A1148" s="301"/>
      <c r="B1148" s="302"/>
      <c r="C1148" s="302" t="s">
        <v>184</v>
      </c>
      <c r="D1148" s="303"/>
      <c r="E1148" s="286"/>
      <c r="F1148" s="321">
        <v>27.61</v>
      </c>
      <c r="G1148" s="305" t="s">
        <v>1549</v>
      </c>
      <c r="H1148" s="286">
        <v>1</v>
      </c>
      <c r="I1148" s="304">
        <v>34.51</v>
      </c>
      <c r="J1148" s="286">
        <v>8.9600000000000009</v>
      </c>
      <c r="K1148" s="304">
        <v>309.20999999999998</v>
      </c>
    </row>
    <row r="1149" spans="1:22" ht="14.25" x14ac:dyDescent="0.2">
      <c r="A1149" s="301"/>
      <c r="B1149" s="302"/>
      <c r="C1149" s="302" t="s">
        <v>189</v>
      </c>
      <c r="D1149" s="303"/>
      <c r="E1149" s="286"/>
      <c r="F1149" s="321">
        <v>5.53</v>
      </c>
      <c r="G1149" s="305" t="s">
        <v>1549</v>
      </c>
      <c r="H1149" s="286">
        <v>1</v>
      </c>
      <c r="I1149" s="306">
        <v>6.91</v>
      </c>
      <c r="J1149" s="286">
        <v>23.35</v>
      </c>
      <c r="K1149" s="306">
        <v>161.35</v>
      </c>
    </row>
    <row r="1150" spans="1:22" ht="14.25" x14ac:dyDescent="0.2">
      <c r="A1150" s="301"/>
      <c r="B1150" s="302"/>
      <c r="C1150" s="302" t="s">
        <v>205</v>
      </c>
      <c r="D1150" s="303"/>
      <c r="E1150" s="286"/>
      <c r="F1150" s="321">
        <v>1.89</v>
      </c>
      <c r="G1150" s="305" t="s">
        <v>195</v>
      </c>
      <c r="H1150" s="286">
        <v>1</v>
      </c>
      <c r="I1150" s="304">
        <v>1.89</v>
      </c>
      <c r="J1150" s="286">
        <v>5.42</v>
      </c>
      <c r="K1150" s="304">
        <v>10.24</v>
      </c>
    </row>
    <row r="1151" spans="1:22" ht="14.25" x14ac:dyDescent="0.2">
      <c r="A1151" s="301"/>
      <c r="B1151" s="302"/>
      <c r="C1151" s="302" t="s">
        <v>194</v>
      </c>
      <c r="D1151" s="303" t="s">
        <v>187</v>
      </c>
      <c r="E1151" s="286">
        <v>112</v>
      </c>
      <c r="F1151" s="321"/>
      <c r="G1151" s="305"/>
      <c r="H1151" s="286"/>
      <c r="I1151" s="304">
        <v>7.62</v>
      </c>
      <c r="J1151" s="286">
        <v>90</v>
      </c>
      <c r="K1151" s="304">
        <v>140.38</v>
      </c>
    </row>
    <row r="1152" spans="1:22" ht="14.25" x14ac:dyDescent="0.2">
      <c r="A1152" s="301"/>
      <c r="B1152" s="302"/>
      <c r="C1152" s="302" t="s">
        <v>193</v>
      </c>
      <c r="D1152" s="303" t="s">
        <v>187</v>
      </c>
      <c r="E1152" s="286">
        <v>70</v>
      </c>
      <c r="F1152" s="321"/>
      <c r="G1152" s="305"/>
      <c r="H1152" s="286"/>
      <c r="I1152" s="304">
        <v>4.4800000000000004</v>
      </c>
      <c r="J1152" s="286">
        <v>41</v>
      </c>
      <c r="K1152" s="304">
        <v>63.95</v>
      </c>
    </row>
    <row r="1153" spans="1:22" ht="14.25" x14ac:dyDescent="0.2">
      <c r="A1153" s="301"/>
      <c r="B1153" s="302"/>
      <c r="C1153" s="302" t="s">
        <v>188</v>
      </c>
      <c r="D1153" s="303" t="s">
        <v>187</v>
      </c>
      <c r="E1153" s="286">
        <v>175</v>
      </c>
      <c r="F1153" s="321"/>
      <c r="G1153" s="305"/>
      <c r="H1153" s="286"/>
      <c r="I1153" s="304">
        <v>12.09</v>
      </c>
      <c r="J1153" s="286">
        <v>157</v>
      </c>
      <c r="K1153" s="304">
        <v>253.32</v>
      </c>
    </row>
    <row r="1154" spans="1:22" ht="14.25" x14ac:dyDescent="0.2">
      <c r="A1154" s="307"/>
      <c r="B1154" s="308"/>
      <c r="C1154" s="308" t="s">
        <v>192</v>
      </c>
      <c r="D1154" s="309" t="s">
        <v>191</v>
      </c>
      <c r="E1154" s="310">
        <v>0.52</v>
      </c>
      <c r="F1154" s="361"/>
      <c r="G1154" s="312" t="s">
        <v>1548</v>
      </c>
      <c r="H1154" s="310">
        <v>1</v>
      </c>
      <c r="I1154" s="311">
        <v>0.6</v>
      </c>
      <c r="J1154" s="310"/>
      <c r="K1154" s="311"/>
    </row>
    <row r="1155" spans="1:22" ht="15" x14ac:dyDescent="0.25">
      <c r="A1155" s="313"/>
      <c r="B1155" s="313"/>
      <c r="C1155" s="314" t="s">
        <v>183</v>
      </c>
      <c r="D1155" s="313"/>
      <c r="E1155" s="313"/>
      <c r="F1155" s="313"/>
      <c r="G1155" s="313"/>
      <c r="H1155" s="472">
        <v>67.27</v>
      </c>
      <c r="I1155" s="472"/>
      <c r="J1155" s="472">
        <v>933.08</v>
      </c>
      <c r="K1155" s="472"/>
      <c r="O1155" s="284">
        <f>I1147+I1148+I1150+I1151+I1152+I1153</f>
        <v>67.27</v>
      </c>
      <c r="P1155" s="284">
        <f>K1147+K1148+K1150+K1151+K1152+K1153</f>
        <v>933.08</v>
      </c>
    </row>
    <row r="1157" spans="1:22" ht="81" x14ac:dyDescent="0.2">
      <c r="A1157" s="275" t="s">
        <v>1546</v>
      </c>
      <c r="B1157" s="276" t="s">
        <v>3752</v>
      </c>
      <c r="C1157" s="276" t="s">
        <v>1486</v>
      </c>
      <c r="D1157" s="277" t="s">
        <v>3240</v>
      </c>
      <c r="E1157" s="278">
        <v>1</v>
      </c>
      <c r="F1157" s="362">
        <v>11543.7</v>
      </c>
      <c r="G1157" s="280" t="s">
        <v>195</v>
      </c>
      <c r="H1157" s="278">
        <v>1</v>
      </c>
      <c r="I1157" s="279">
        <v>11543.7</v>
      </c>
      <c r="J1157" s="278">
        <v>4.4000000000000004</v>
      </c>
      <c r="K1157" s="279">
        <v>50792.28</v>
      </c>
      <c r="Q1157" s="281">
        <f>[20]Source!X1153</f>
        <v>0</v>
      </c>
      <c r="R1157" s="281">
        <f>[20]Source!X1154</f>
        <v>0</v>
      </c>
      <c r="S1157" s="281">
        <f>[20]Source!Y1153</f>
        <v>0</v>
      </c>
      <c r="T1157" s="281">
        <f>[20]Source!Y1154</f>
        <v>0</v>
      </c>
      <c r="U1157" s="281">
        <f>ROUND((175/100)*ROUND([20]Source!R1153, 2), 2)</f>
        <v>0</v>
      </c>
      <c r="V1157" s="281">
        <f>ROUND((157/100)*ROUND([20]Source!R1154, 2), 2)</f>
        <v>0</v>
      </c>
    </row>
    <row r="1158" spans="1:22" ht="15" x14ac:dyDescent="0.25">
      <c r="A1158" s="282"/>
      <c r="B1158" s="282"/>
      <c r="C1158" s="283" t="s">
        <v>183</v>
      </c>
      <c r="D1158" s="282"/>
      <c r="E1158" s="282"/>
      <c r="F1158" s="282"/>
      <c r="G1158" s="282"/>
      <c r="H1158" s="473">
        <v>11543.7</v>
      </c>
      <c r="I1158" s="473"/>
      <c r="J1158" s="473">
        <v>50792.28</v>
      </c>
      <c r="K1158" s="473"/>
      <c r="O1158" s="284">
        <f>I1157</f>
        <v>11543.7</v>
      </c>
      <c r="P1158" s="284">
        <f>K1157</f>
        <v>50792.28</v>
      </c>
    </row>
    <row r="1161" spans="1:22" ht="15" x14ac:dyDescent="0.25">
      <c r="A1161" s="447" t="s">
        <v>3803</v>
      </c>
      <c r="B1161" s="447"/>
      <c r="C1161" s="447"/>
      <c r="D1161" s="447"/>
      <c r="E1161" s="447"/>
      <c r="F1161" s="447"/>
      <c r="G1161" s="447"/>
      <c r="H1161" s="445">
        <v>11919.39</v>
      </c>
      <c r="I1161" s="446"/>
      <c r="J1161" s="445">
        <v>57287.040000000001</v>
      </c>
      <c r="K1161" s="446"/>
    </row>
    <row r="1162" spans="1:22" hidden="1" x14ac:dyDescent="0.2">
      <c r="A1162" s="281" t="s">
        <v>182</v>
      </c>
      <c r="I1162" s="281">
        <v>0</v>
      </c>
      <c r="J1162" s="281">
        <v>0</v>
      </c>
    </row>
    <row r="1163" spans="1:22" hidden="1" x14ac:dyDescent="0.2">
      <c r="A1163" s="281" t="s">
        <v>181</v>
      </c>
      <c r="I1163" s="281">
        <v>0</v>
      </c>
      <c r="J1163" s="281">
        <v>0</v>
      </c>
    </row>
    <row r="1165" spans="1:22" ht="16.5" x14ac:dyDescent="0.25">
      <c r="A1165" s="448" t="s">
        <v>3804</v>
      </c>
      <c r="B1165" s="448"/>
      <c r="C1165" s="448"/>
      <c r="D1165" s="448"/>
      <c r="E1165" s="448"/>
      <c r="F1165" s="448"/>
      <c r="G1165" s="448"/>
      <c r="H1165" s="448"/>
      <c r="I1165" s="448"/>
      <c r="J1165" s="448"/>
      <c r="K1165" s="448"/>
    </row>
    <row r="1166" spans="1:22" ht="65.25" x14ac:dyDescent="0.2">
      <c r="A1166" s="301" t="s">
        <v>719</v>
      </c>
      <c r="B1166" s="302" t="s">
        <v>1476</v>
      </c>
      <c r="C1166" s="302" t="s">
        <v>1475</v>
      </c>
      <c r="D1166" s="303" t="s">
        <v>1903</v>
      </c>
      <c r="E1166" s="286">
        <v>1</v>
      </c>
      <c r="F1166" s="321"/>
      <c r="G1166" s="305"/>
      <c r="H1166" s="286"/>
      <c r="I1166" s="304"/>
      <c r="J1166" s="286"/>
      <c r="K1166" s="304"/>
      <c r="Q1166" s="281">
        <f>[20]Source!X1190</f>
        <v>78.39</v>
      </c>
      <c r="R1166" s="281">
        <f>[20]Source!X1191</f>
        <v>1445</v>
      </c>
      <c r="S1166" s="281">
        <f>[20]Source!Y1190</f>
        <v>46.07</v>
      </c>
      <c r="T1166" s="281">
        <f>[20]Source!Y1191</f>
        <v>658.28</v>
      </c>
      <c r="U1166" s="281">
        <f>ROUND((175/100)*ROUND([20]Source!R1190, 2), 2)</f>
        <v>1.42</v>
      </c>
      <c r="V1166" s="281">
        <f>ROUND((157/100)*ROUND([20]Source!R1191, 2), 2)</f>
        <v>29.69</v>
      </c>
    </row>
    <row r="1167" spans="1:22" ht="14.25" x14ac:dyDescent="0.2">
      <c r="A1167" s="301"/>
      <c r="B1167" s="302"/>
      <c r="C1167" s="302" t="s">
        <v>197</v>
      </c>
      <c r="D1167" s="303"/>
      <c r="E1167" s="286"/>
      <c r="F1167" s="321">
        <v>59.79</v>
      </c>
      <c r="G1167" s="305" t="s">
        <v>1548</v>
      </c>
      <c r="H1167" s="286">
        <v>1</v>
      </c>
      <c r="I1167" s="304">
        <v>68.760000000000005</v>
      </c>
      <c r="J1167" s="286">
        <v>23.35</v>
      </c>
      <c r="K1167" s="304">
        <v>1605.55</v>
      </c>
    </row>
    <row r="1168" spans="1:22" ht="14.25" x14ac:dyDescent="0.2">
      <c r="A1168" s="301"/>
      <c r="B1168" s="302"/>
      <c r="C1168" s="302" t="s">
        <v>184</v>
      </c>
      <c r="D1168" s="303"/>
      <c r="E1168" s="286"/>
      <c r="F1168" s="321">
        <v>4.42</v>
      </c>
      <c r="G1168" s="305" t="s">
        <v>1549</v>
      </c>
      <c r="H1168" s="286">
        <v>1</v>
      </c>
      <c r="I1168" s="304">
        <v>5.53</v>
      </c>
      <c r="J1168" s="286">
        <v>8</v>
      </c>
      <c r="K1168" s="304">
        <v>44.24</v>
      </c>
    </row>
    <row r="1169" spans="1:22" ht="14.25" x14ac:dyDescent="0.2">
      <c r="A1169" s="301"/>
      <c r="B1169" s="302"/>
      <c r="C1169" s="302" t="s">
        <v>189</v>
      </c>
      <c r="D1169" s="303"/>
      <c r="E1169" s="286"/>
      <c r="F1169" s="321">
        <v>0.65</v>
      </c>
      <c r="G1169" s="305" t="s">
        <v>1549</v>
      </c>
      <c r="H1169" s="286">
        <v>1</v>
      </c>
      <c r="I1169" s="306">
        <v>0.81</v>
      </c>
      <c r="J1169" s="286">
        <v>23.35</v>
      </c>
      <c r="K1169" s="306">
        <v>18.91</v>
      </c>
    </row>
    <row r="1170" spans="1:22" ht="14.25" x14ac:dyDescent="0.2">
      <c r="A1170" s="301"/>
      <c r="B1170" s="302"/>
      <c r="C1170" s="302" t="s">
        <v>205</v>
      </c>
      <c r="D1170" s="303"/>
      <c r="E1170" s="286"/>
      <c r="F1170" s="321">
        <v>21.42</v>
      </c>
      <c r="G1170" s="305" t="s">
        <v>195</v>
      </c>
      <c r="H1170" s="286">
        <v>1</v>
      </c>
      <c r="I1170" s="304">
        <v>21.42</v>
      </c>
      <c r="J1170" s="286">
        <v>5.42</v>
      </c>
      <c r="K1170" s="304">
        <v>116.1</v>
      </c>
    </row>
    <row r="1171" spans="1:22" ht="14.25" x14ac:dyDescent="0.2">
      <c r="A1171" s="301"/>
      <c r="B1171" s="302"/>
      <c r="C1171" s="302" t="s">
        <v>194</v>
      </c>
      <c r="D1171" s="303" t="s">
        <v>187</v>
      </c>
      <c r="E1171" s="286">
        <v>112</v>
      </c>
      <c r="F1171" s="321"/>
      <c r="G1171" s="305"/>
      <c r="H1171" s="286"/>
      <c r="I1171" s="304">
        <v>78.39</v>
      </c>
      <c r="J1171" s="286">
        <v>90</v>
      </c>
      <c r="K1171" s="304">
        <v>1445</v>
      </c>
    </row>
    <row r="1172" spans="1:22" ht="14.25" x14ac:dyDescent="0.2">
      <c r="A1172" s="301"/>
      <c r="B1172" s="302"/>
      <c r="C1172" s="302" t="s">
        <v>193</v>
      </c>
      <c r="D1172" s="303" t="s">
        <v>187</v>
      </c>
      <c r="E1172" s="286">
        <v>70</v>
      </c>
      <c r="F1172" s="321"/>
      <c r="G1172" s="305"/>
      <c r="H1172" s="286"/>
      <c r="I1172" s="304">
        <v>46.07</v>
      </c>
      <c r="J1172" s="286">
        <v>41</v>
      </c>
      <c r="K1172" s="304">
        <v>658.28</v>
      </c>
    </row>
    <row r="1173" spans="1:22" ht="14.25" x14ac:dyDescent="0.2">
      <c r="A1173" s="301"/>
      <c r="B1173" s="302"/>
      <c r="C1173" s="302" t="s">
        <v>188</v>
      </c>
      <c r="D1173" s="303" t="s">
        <v>187</v>
      </c>
      <c r="E1173" s="286">
        <v>175</v>
      </c>
      <c r="F1173" s="321"/>
      <c r="G1173" s="305"/>
      <c r="H1173" s="286"/>
      <c r="I1173" s="304">
        <v>1.42</v>
      </c>
      <c r="J1173" s="286">
        <v>157</v>
      </c>
      <c r="K1173" s="304">
        <v>29.69</v>
      </c>
    </row>
    <row r="1174" spans="1:22" ht="14.25" x14ac:dyDescent="0.2">
      <c r="A1174" s="307"/>
      <c r="B1174" s="308"/>
      <c r="C1174" s="308" t="s">
        <v>192</v>
      </c>
      <c r="D1174" s="309" t="s">
        <v>191</v>
      </c>
      <c r="E1174" s="310">
        <v>5.15</v>
      </c>
      <c r="F1174" s="361"/>
      <c r="G1174" s="312" t="s">
        <v>1548</v>
      </c>
      <c r="H1174" s="310">
        <v>1</v>
      </c>
      <c r="I1174" s="311">
        <v>5.92</v>
      </c>
      <c r="J1174" s="310"/>
      <c r="K1174" s="311"/>
    </row>
    <row r="1175" spans="1:22" ht="15" x14ac:dyDescent="0.25">
      <c r="A1175" s="313"/>
      <c r="B1175" s="313"/>
      <c r="C1175" s="314" t="s">
        <v>183</v>
      </c>
      <c r="D1175" s="313"/>
      <c r="E1175" s="313"/>
      <c r="F1175" s="313"/>
      <c r="G1175" s="313"/>
      <c r="H1175" s="472">
        <v>221.59</v>
      </c>
      <c r="I1175" s="472"/>
      <c r="J1175" s="472">
        <v>3898.86</v>
      </c>
      <c r="K1175" s="472"/>
      <c r="O1175" s="284">
        <f>I1167+I1168+I1170+I1171+I1172+I1173</f>
        <v>221.59</v>
      </c>
      <c r="P1175" s="284">
        <f>K1167+K1168+K1170+K1171+K1172+K1173</f>
        <v>3898.86</v>
      </c>
    </row>
    <row r="1177" spans="1:22" ht="65.25" x14ac:dyDescent="0.2">
      <c r="A1177" s="301" t="s">
        <v>1534</v>
      </c>
      <c r="B1177" s="302" t="s">
        <v>1474</v>
      </c>
      <c r="C1177" s="302" t="s">
        <v>1247</v>
      </c>
      <c r="D1177" s="303" t="s">
        <v>1903</v>
      </c>
      <c r="E1177" s="286">
        <v>1</v>
      </c>
      <c r="F1177" s="321"/>
      <c r="G1177" s="305"/>
      <c r="H1177" s="286"/>
      <c r="I1177" s="304"/>
      <c r="J1177" s="286"/>
      <c r="K1177" s="304"/>
      <c r="Q1177" s="281">
        <f>[20]Source!X1192</f>
        <v>35.11</v>
      </c>
      <c r="R1177" s="281">
        <f>[20]Source!X1193</f>
        <v>647.26</v>
      </c>
      <c r="S1177" s="281">
        <f>[20]Source!Y1192</f>
        <v>20.64</v>
      </c>
      <c r="T1177" s="281">
        <f>[20]Source!Y1193</f>
        <v>294.86</v>
      </c>
      <c r="U1177" s="281">
        <f>ROUND((175/100)*ROUND([20]Source!R1192, 2), 2)</f>
        <v>0</v>
      </c>
      <c r="V1177" s="281">
        <f>ROUND((157/100)*ROUND([20]Source!R1193, 2), 2)</f>
        <v>0</v>
      </c>
    </row>
    <row r="1178" spans="1:22" ht="14.25" x14ac:dyDescent="0.2">
      <c r="A1178" s="301"/>
      <c r="B1178" s="302"/>
      <c r="C1178" s="302" t="s">
        <v>197</v>
      </c>
      <c r="D1178" s="303"/>
      <c r="E1178" s="286"/>
      <c r="F1178" s="321">
        <v>26.78</v>
      </c>
      <c r="G1178" s="305" t="s">
        <v>1548</v>
      </c>
      <c r="H1178" s="286">
        <v>1</v>
      </c>
      <c r="I1178" s="304">
        <v>30.8</v>
      </c>
      <c r="J1178" s="286">
        <v>23.35</v>
      </c>
      <c r="K1178" s="304">
        <v>719.18</v>
      </c>
    </row>
    <row r="1179" spans="1:22" ht="14.25" x14ac:dyDescent="0.2">
      <c r="A1179" s="301"/>
      <c r="B1179" s="302"/>
      <c r="C1179" s="302" t="s">
        <v>205</v>
      </c>
      <c r="D1179" s="303"/>
      <c r="E1179" s="286"/>
      <c r="F1179" s="321">
        <v>0.28000000000000003</v>
      </c>
      <c r="G1179" s="305" t="s">
        <v>195</v>
      </c>
      <c r="H1179" s="286">
        <v>1</v>
      </c>
      <c r="I1179" s="304">
        <v>0.28000000000000003</v>
      </c>
      <c r="J1179" s="286">
        <v>5.43</v>
      </c>
      <c r="K1179" s="304">
        <v>1.52</v>
      </c>
    </row>
    <row r="1180" spans="1:22" ht="14.25" x14ac:dyDescent="0.2">
      <c r="A1180" s="301"/>
      <c r="B1180" s="302"/>
      <c r="C1180" s="302" t="s">
        <v>194</v>
      </c>
      <c r="D1180" s="303" t="s">
        <v>187</v>
      </c>
      <c r="E1180" s="286">
        <v>112</v>
      </c>
      <c r="F1180" s="321"/>
      <c r="G1180" s="305"/>
      <c r="H1180" s="286"/>
      <c r="I1180" s="304">
        <v>35.11</v>
      </c>
      <c r="J1180" s="286">
        <v>90</v>
      </c>
      <c r="K1180" s="304">
        <v>647.26</v>
      </c>
    </row>
    <row r="1181" spans="1:22" ht="14.25" x14ac:dyDescent="0.2">
      <c r="A1181" s="301"/>
      <c r="B1181" s="302"/>
      <c r="C1181" s="302" t="s">
        <v>193</v>
      </c>
      <c r="D1181" s="303" t="s">
        <v>187</v>
      </c>
      <c r="E1181" s="286">
        <v>70</v>
      </c>
      <c r="F1181" s="321"/>
      <c r="G1181" s="305"/>
      <c r="H1181" s="286"/>
      <c r="I1181" s="304">
        <v>20.64</v>
      </c>
      <c r="J1181" s="286">
        <v>41</v>
      </c>
      <c r="K1181" s="304">
        <v>294.86</v>
      </c>
    </row>
    <row r="1182" spans="1:22" ht="14.25" x14ac:dyDescent="0.2">
      <c r="A1182" s="307"/>
      <c r="B1182" s="308"/>
      <c r="C1182" s="308" t="s">
        <v>192</v>
      </c>
      <c r="D1182" s="309" t="s">
        <v>191</v>
      </c>
      <c r="E1182" s="310">
        <v>2.06</v>
      </c>
      <c r="F1182" s="361"/>
      <c r="G1182" s="312" t="s">
        <v>1548</v>
      </c>
      <c r="H1182" s="310">
        <v>1</v>
      </c>
      <c r="I1182" s="311">
        <v>2.37</v>
      </c>
      <c r="J1182" s="310"/>
      <c r="K1182" s="311"/>
    </row>
    <row r="1183" spans="1:22" ht="15" x14ac:dyDescent="0.25">
      <c r="A1183" s="313"/>
      <c r="B1183" s="313"/>
      <c r="C1183" s="314" t="s">
        <v>183</v>
      </c>
      <c r="D1183" s="313"/>
      <c r="E1183" s="313"/>
      <c r="F1183" s="313"/>
      <c r="G1183" s="313"/>
      <c r="H1183" s="472">
        <v>86.83</v>
      </c>
      <c r="I1183" s="472"/>
      <c r="J1183" s="472">
        <v>1662.82</v>
      </c>
      <c r="K1183" s="472"/>
      <c r="O1183" s="284">
        <f>I1178+I1179+I1180+I1181</f>
        <v>86.83</v>
      </c>
      <c r="P1183" s="284">
        <f>K1178+K1179+K1180+K1181</f>
        <v>1662.82</v>
      </c>
    </row>
    <row r="1185" spans="1:22" ht="65.25" x14ac:dyDescent="0.2">
      <c r="A1185" s="301" t="s">
        <v>104</v>
      </c>
      <c r="B1185" s="302" t="s">
        <v>1473</v>
      </c>
      <c r="C1185" s="302" t="s">
        <v>1472</v>
      </c>
      <c r="D1185" s="303" t="s">
        <v>1903</v>
      </c>
      <c r="E1185" s="286">
        <v>1</v>
      </c>
      <c r="F1185" s="321"/>
      <c r="G1185" s="305"/>
      <c r="H1185" s="286"/>
      <c r="I1185" s="304"/>
      <c r="J1185" s="286"/>
      <c r="K1185" s="304"/>
      <c r="Q1185" s="281">
        <f>[20]Source!X1194</f>
        <v>7.62</v>
      </c>
      <c r="R1185" s="281">
        <f>[20]Source!X1195</f>
        <v>140.38</v>
      </c>
      <c r="S1185" s="281">
        <f>[20]Source!Y1194</f>
        <v>4.4800000000000004</v>
      </c>
      <c r="T1185" s="281">
        <f>[20]Source!Y1195</f>
        <v>63.95</v>
      </c>
      <c r="U1185" s="281">
        <f>ROUND((175/100)*ROUND([20]Source!R1194, 2), 2)</f>
        <v>12.09</v>
      </c>
      <c r="V1185" s="281">
        <f>ROUND((157/100)*ROUND([20]Source!R1195, 2), 2)</f>
        <v>253.32</v>
      </c>
    </row>
    <row r="1186" spans="1:22" ht="14.25" x14ac:dyDescent="0.2">
      <c r="A1186" s="301"/>
      <c r="B1186" s="302"/>
      <c r="C1186" s="302" t="s">
        <v>197</v>
      </c>
      <c r="D1186" s="303"/>
      <c r="E1186" s="286"/>
      <c r="F1186" s="321">
        <v>5.81</v>
      </c>
      <c r="G1186" s="305" t="s">
        <v>1548</v>
      </c>
      <c r="H1186" s="286">
        <v>1</v>
      </c>
      <c r="I1186" s="304">
        <v>6.68</v>
      </c>
      <c r="J1186" s="286">
        <v>23.35</v>
      </c>
      <c r="K1186" s="304">
        <v>155.97999999999999</v>
      </c>
    </row>
    <row r="1187" spans="1:22" ht="14.25" x14ac:dyDescent="0.2">
      <c r="A1187" s="301"/>
      <c r="B1187" s="302"/>
      <c r="C1187" s="302" t="s">
        <v>184</v>
      </c>
      <c r="D1187" s="303"/>
      <c r="E1187" s="286"/>
      <c r="F1187" s="321">
        <v>27.61</v>
      </c>
      <c r="G1187" s="305" t="s">
        <v>1549</v>
      </c>
      <c r="H1187" s="286">
        <v>1</v>
      </c>
      <c r="I1187" s="304">
        <v>34.51</v>
      </c>
      <c r="J1187" s="286">
        <v>8.9600000000000009</v>
      </c>
      <c r="K1187" s="304">
        <v>309.20999999999998</v>
      </c>
    </row>
    <row r="1188" spans="1:22" ht="14.25" x14ac:dyDescent="0.2">
      <c r="A1188" s="301"/>
      <c r="B1188" s="302"/>
      <c r="C1188" s="302" t="s">
        <v>189</v>
      </c>
      <c r="D1188" s="303"/>
      <c r="E1188" s="286"/>
      <c r="F1188" s="321">
        <v>5.53</v>
      </c>
      <c r="G1188" s="305" t="s">
        <v>1549</v>
      </c>
      <c r="H1188" s="286">
        <v>1</v>
      </c>
      <c r="I1188" s="306">
        <v>6.91</v>
      </c>
      <c r="J1188" s="286">
        <v>23.35</v>
      </c>
      <c r="K1188" s="306">
        <v>161.35</v>
      </c>
    </row>
    <row r="1189" spans="1:22" ht="14.25" x14ac:dyDescent="0.2">
      <c r="A1189" s="301"/>
      <c r="B1189" s="302"/>
      <c r="C1189" s="302" t="s">
        <v>205</v>
      </c>
      <c r="D1189" s="303"/>
      <c r="E1189" s="286"/>
      <c r="F1189" s="321">
        <v>1.89</v>
      </c>
      <c r="G1189" s="305" t="s">
        <v>195</v>
      </c>
      <c r="H1189" s="286">
        <v>1</v>
      </c>
      <c r="I1189" s="304">
        <v>1.89</v>
      </c>
      <c r="J1189" s="286">
        <v>5.42</v>
      </c>
      <c r="K1189" s="304">
        <v>10.24</v>
      </c>
    </row>
    <row r="1190" spans="1:22" ht="14.25" x14ac:dyDescent="0.2">
      <c r="A1190" s="301"/>
      <c r="B1190" s="302"/>
      <c r="C1190" s="302" t="s">
        <v>194</v>
      </c>
      <c r="D1190" s="303" t="s">
        <v>187</v>
      </c>
      <c r="E1190" s="286">
        <v>112</v>
      </c>
      <c r="F1190" s="321"/>
      <c r="G1190" s="305"/>
      <c r="H1190" s="286"/>
      <c r="I1190" s="304">
        <v>7.62</v>
      </c>
      <c r="J1190" s="286">
        <v>90</v>
      </c>
      <c r="K1190" s="304">
        <v>140.38</v>
      </c>
    </row>
    <row r="1191" spans="1:22" ht="14.25" x14ac:dyDescent="0.2">
      <c r="A1191" s="301"/>
      <c r="B1191" s="302"/>
      <c r="C1191" s="302" t="s">
        <v>193</v>
      </c>
      <c r="D1191" s="303" t="s">
        <v>187</v>
      </c>
      <c r="E1191" s="286">
        <v>70</v>
      </c>
      <c r="F1191" s="321"/>
      <c r="G1191" s="305"/>
      <c r="H1191" s="286"/>
      <c r="I1191" s="304">
        <v>4.4800000000000004</v>
      </c>
      <c r="J1191" s="286">
        <v>41</v>
      </c>
      <c r="K1191" s="304">
        <v>63.95</v>
      </c>
    </row>
    <row r="1192" spans="1:22" ht="14.25" x14ac:dyDescent="0.2">
      <c r="A1192" s="301"/>
      <c r="B1192" s="302"/>
      <c r="C1192" s="302" t="s">
        <v>188</v>
      </c>
      <c r="D1192" s="303" t="s">
        <v>187</v>
      </c>
      <c r="E1192" s="286">
        <v>175</v>
      </c>
      <c r="F1192" s="321"/>
      <c r="G1192" s="305"/>
      <c r="H1192" s="286"/>
      <c r="I1192" s="304">
        <v>12.09</v>
      </c>
      <c r="J1192" s="286">
        <v>157</v>
      </c>
      <c r="K1192" s="304">
        <v>253.32</v>
      </c>
    </row>
    <row r="1193" spans="1:22" ht="14.25" x14ac:dyDescent="0.2">
      <c r="A1193" s="307"/>
      <c r="B1193" s="308"/>
      <c r="C1193" s="308" t="s">
        <v>192</v>
      </c>
      <c r="D1193" s="309" t="s">
        <v>191</v>
      </c>
      <c r="E1193" s="310">
        <v>0.52</v>
      </c>
      <c r="F1193" s="361"/>
      <c r="G1193" s="312" t="s">
        <v>1548</v>
      </c>
      <c r="H1193" s="310">
        <v>1</v>
      </c>
      <c r="I1193" s="311">
        <v>0.6</v>
      </c>
      <c r="J1193" s="310"/>
      <c r="K1193" s="311"/>
    </row>
    <row r="1194" spans="1:22" ht="15" x14ac:dyDescent="0.25">
      <c r="A1194" s="313"/>
      <c r="B1194" s="313"/>
      <c r="C1194" s="314" t="s">
        <v>183</v>
      </c>
      <c r="D1194" s="313"/>
      <c r="E1194" s="313"/>
      <c r="F1194" s="313"/>
      <c r="G1194" s="313"/>
      <c r="H1194" s="472">
        <v>67.27</v>
      </c>
      <c r="I1194" s="472"/>
      <c r="J1194" s="472">
        <v>933.08</v>
      </c>
      <c r="K1194" s="472"/>
      <c r="O1194" s="284">
        <f>I1186+I1187+I1189+I1190+I1191+I1192</f>
        <v>67.27</v>
      </c>
      <c r="P1194" s="284">
        <f>K1186+K1187+K1189+K1190+K1191+K1192</f>
        <v>933.08</v>
      </c>
    </row>
    <row r="1196" spans="1:22" ht="81" x14ac:dyDescent="0.2">
      <c r="A1196" s="275" t="s">
        <v>1546</v>
      </c>
      <c r="B1196" s="276" t="s">
        <v>3752</v>
      </c>
      <c r="C1196" s="276" t="s">
        <v>1485</v>
      </c>
      <c r="D1196" s="277" t="s">
        <v>3240</v>
      </c>
      <c r="E1196" s="278">
        <v>1</v>
      </c>
      <c r="F1196" s="362">
        <v>11543.7</v>
      </c>
      <c r="G1196" s="280" t="s">
        <v>195</v>
      </c>
      <c r="H1196" s="278">
        <v>1</v>
      </c>
      <c r="I1196" s="279">
        <v>11543.7</v>
      </c>
      <c r="J1196" s="278">
        <v>4.4000000000000004</v>
      </c>
      <c r="K1196" s="279">
        <v>50792.28</v>
      </c>
      <c r="Q1196" s="281">
        <f>[20]Source!X1196</f>
        <v>0</v>
      </c>
      <c r="R1196" s="281">
        <f>[20]Source!X1197</f>
        <v>0</v>
      </c>
      <c r="S1196" s="281">
        <f>[20]Source!Y1196</f>
        <v>0</v>
      </c>
      <c r="T1196" s="281">
        <f>[20]Source!Y1197</f>
        <v>0</v>
      </c>
      <c r="U1196" s="281">
        <f>ROUND((175/100)*ROUND([20]Source!R1196, 2), 2)</f>
        <v>0</v>
      </c>
      <c r="V1196" s="281">
        <f>ROUND((157/100)*ROUND([20]Source!R1197, 2), 2)</f>
        <v>0</v>
      </c>
    </row>
    <row r="1197" spans="1:22" ht="15" x14ac:dyDescent="0.25">
      <c r="A1197" s="282"/>
      <c r="B1197" s="282"/>
      <c r="C1197" s="283" t="s">
        <v>183</v>
      </c>
      <c r="D1197" s="282"/>
      <c r="E1197" s="282"/>
      <c r="F1197" s="282"/>
      <c r="G1197" s="282"/>
      <c r="H1197" s="473">
        <v>11543.7</v>
      </c>
      <c r="I1197" s="473"/>
      <c r="J1197" s="473">
        <v>50792.28</v>
      </c>
      <c r="K1197" s="473"/>
      <c r="O1197" s="284">
        <f>I1196</f>
        <v>11543.7</v>
      </c>
      <c r="P1197" s="284">
        <f>K1196</f>
        <v>50792.28</v>
      </c>
    </row>
    <row r="1200" spans="1:22" ht="15" x14ac:dyDescent="0.25">
      <c r="A1200" s="447" t="s">
        <v>3805</v>
      </c>
      <c r="B1200" s="447"/>
      <c r="C1200" s="447"/>
      <c r="D1200" s="447"/>
      <c r="E1200" s="447"/>
      <c r="F1200" s="447"/>
      <c r="G1200" s="447"/>
      <c r="H1200" s="445">
        <v>11919.39</v>
      </c>
      <c r="I1200" s="446"/>
      <c r="J1200" s="445">
        <v>57287.040000000001</v>
      </c>
      <c r="K1200" s="446"/>
    </row>
    <row r="1201" spans="1:22" hidden="1" x14ac:dyDescent="0.2">
      <c r="A1201" s="281" t="s">
        <v>182</v>
      </c>
      <c r="I1201" s="281">
        <v>0</v>
      </c>
      <c r="J1201" s="281">
        <v>0</v>
      </c>
    </row>
    <row r="1202" spans="1:22" hidden="1" x14ac:dyDescent="0.2">
      <c r="A1202" s="281" t="s">
        <v>181</v>
      </c>
      <c r="I1202" s="281">
        <v>0</v>
      </c>
      <c r="J1202" s="281">
        <v>0</v>
      </c>
    </row>
    <row r="1204" spans="1:22" ht="16.5" x14ac:dyDescent="0.25">
      <c r="A1204" s="448" t="s">
        <v>3806</v>
      </c>
      <c r="B1204" s="448"/>
      <c r="C1204" s="448"/>
      <c r="D1204" s="448"/>
      <c r="E1204" s="448"/>
      <c r="F1204" s="448"/>
      <c r="G1204" s="448"/>
      <c r="H1204" s="448"/>
      <c r="I1204" s="448"/>
      <c r="J1204" s="448"/>
      <c r="K1204" s="448"/>
    </row>
    <row r="1205" spans="1:22" ht="65.25" x14ac:dyDescent="0.2">
      <c r="A1205" s="301" t="s">
        <v>719</v>
      </c>
      <c r="B1205" s="302" t="s">
        <v>1476</v>
      </c>
      <c r="C1205" s="302" t="s">
        <v>1475</v>
      </c>
      <c r="D1205" s="303" t="s">
        <v>1903</v>
      </c>
      <c r="E1205" s="286">
        <v>1</v>
      </c>
      <c r="F1205" s="321"/>
      <c r="G1205" s="305"/>
      <c r="H1205" s="286"/>
      <c r="I1205" s="304"/>
      <c r="J1205" s="286"/>
      <c r="K1205" s="304"/>
      <c r="Q1205" s="281">
        <f>[20]Source!X1233</f>
        <v>78.39</v>
      </c>
      <c r="R1205" s="281">
        <f>[20]Source!X1234</f>
        <v>1445</v>
      </c>
      <c r="S1205" s="281">
        <f>[20]Source!Y1233</f>
        <v>46.07</v>
      </c>
      <c r="T1205" s="281">
        <f>[20]Source!Y1234</f>
        <v>658.28</v>
      </c>
      <c r="U1205" s="281">
        <f>ROUND((175/100)*ROUND([20]Source!R1233, 2), 2)</f>
        <v>1.42</v>
      </c>
      <c r="V1205" s="281">
        <f>ROUND((157/100)*ROUND([20]Source!R1234, 2), 2)</f>
        <v>29.69</v>
      </c>
    </row>
    <row r="1206" spans="1:22" ht="14.25" x14ac:dyDescent="0.2">
      <c r="A1206" s="301"/>
      <c r="B1206" s="302"/>
      <c r="C1206" s="302" t="s">
        <v>197</v>
      </c>
      <c r="D1206" s="303"/>
      <c r="E1206" s="286"/>
      <c r="F1206" s="321">
        <v>59.79</v>
      </c>
      <c r="G1206" s="305" t="s">
        <v>1548</v>
      </c>
      <c r="H1206" s="286">
        <v>1</v>
      </c>
      <c r="I1206" s="304">
        <v>68.760000000000005</v>
      </c>
      <c r="J1206" s="286">
        <v>23.35</v>
      </c>
      <c r="K1206" s="304">
        <v>1605.55</v>
      </c>
    </row>
    <row r="1207" spans="1:22" ht="14.25" x14ac:dyDescent="0.2">
      <c r="A1207" s="301"/>
      <c r="B1207" s="302"/>
      <c r="C1207" s="302" t="s">
        <v>184</v>
      </c>
      <c r="D1207" s="303"/>
      <c r="E1207" s="286"/>
      <c r="F1207" s="321">
        <v>4.42</v>
      </c>
      <c r="G1207" s="305" t="s">
        <v>1549</v>
      </c>
      <c r="H1207" s="286">
        <v>1</v>
      </c>
      <c r="I1207" s="304">
        <v>5.53</v>
      </c>
      <c r="J1207" s="286">
        <v>8</v>
      </c>
      <c r="K1207" s="304">
        <v>44.24</v>
      </c>
    </row>
    <row r="1208" spans="1:22" ht="14.25" x14ac:dyDescent="0.2">
      <c r="A1208" s="301"/>
      <c r="B1208" s="302"/>
      <c r="C1208" s="302" t="s">
        <v>189</v>
      </c>
      <c r="D1208" s="303"/>
      <c r="E1208" s="286"/>
      <c r="F1208" s="321">
        <v>0.65</v>
      </c>
      <c r="G1208" s="305" t="s">
        <v>1549</v>
      </c>
      <c r="H1208" s="286">
        <v>1</v>
      </c>
      <c r="I1208" s="306">
        <v>0.81</v>
      </c>
      <c r="J1208" s="286">
        <v>23.35</v>
      </c>
      <c r="K1208" s="306">
        <v>18.91</v>
      </c>
    </row>
    <row r="1209" spans="1:22" ht="14.25" x14ac:dyDescent="0.2">
      <c r="A1209" s="301"/>
      <c r="B1209" s="302"/>
      <c r="C1209" s="302" t="s">
        <v>205</v>
      </c>
      <c r="D1209" s="303"/>
      <c r="E1209" s="286"/>
      <c r="F1209" s="321">
        <v>21.42</v>
      </c>
      <c r="G1209" s="305" t="s">
        <v>195</v>
      </c>
      <c r="H1209" s="286">
        <v>1</v>
      </c>
      <c r="I1209" s="304">
        <v>21.42</v>
      </c>
      <c r="J1209" s="286">
        <v>5.42</v>
      </c>
      <c r="K1209" s="304">
        <v>116.1</v>
      </c>
    </row>
    <row r="1210" spans="1:22" ht="14.25" x14ac:dyDescent="0.2">
      <c r="A1210" s="301"/>
      <c r="B1210" s="302"/>
      <c r="C1210" s="302" t="s">
        <v>194</v>
      </c>
      <c r="D1210" s="303" t="s">
        <v>187</v>
      </c>
      <c r="E1210" s="286">
        <v>112</v>
      </c>
      <c r="F1210" s="321"/>
      <c r="G1210" s="305"/>
      <c r="H1210" s="286"/>
      <c r="I1210" s="304">
        <v>78.39</v>
      </c>
      <c r="J1210" s="286">
        <v>90</v>
      </c>
      <c r="K1210" s="304">
        <v>1445</v>
      </c>
    </row>
    <row r="1211" spans="1:22" ht="14.25" x14ac:dyDescent="0.2">
      <c r="A1211" s="301"/>
      <c r="B1211" s="302"/>
      <c r="C1211" s="302" t="s">
        <v>193</v>
      </c>
      <c r="D1211" s="303" t="s">
        <v>187</v>
      </c>
      <c r="E1211" s="286">
        <v>70</v>
      </c>
      <c r="F1211" s="321"/>
      <c r="G1211" s="305"/>
      <c r="H1211" s="286"/>
      <c r="I1211" s="304">
        <v>46.07</v>
      </c>
      <c r="J1211" s="286">
        <v>41</v>
      </c>
      <c r="K1211" s="304">
        <v>658.28</v>
      </c>
    </row>
    <row r="1212" spans="1:22" ht="14.25" x14ac:dyDescent="0.2">
      <c r="A1212" s="301"/>
      <c r="B1212" s="302"/>
      <c r="C1212" s="302" t="s">
        <v>188</v>
      </c>
      <c r="D1212" s="303" t="s">
        <v>187</v>
      </c>
      <c r="E1212" s="286">
        <v>175</v>
      </c>
      <c r="F1212" s="321"/>
      <c r="G1212" s="305"/>
      <c r="H1212" s="286"/>
      <c r="I1212" s="304">
        <v>1.42</v>
      </c>
      <c r="J1212" s="286">
        <v>157</v>
      </c>
      <c r="K1212" s="304">
        <v>29.69</v>
      </c>
    </row>
    <row r="1213" spans="1:22" ht="14.25" x14ac:dyDescent="0.2">
      <c r="A1213" s="307"/>
      <c r="B1213" s="308"/>
      <c r="C1213" s="308" t="s">
        <v>192</v>
      </c>
      <c r="D1213" s="309" t="s">
        <v>191</v>
      </c>
      <c r="E1213" s="310">
        <v>5.15</v>
      </c>
      <c r="F1213" s="361"/>
      <c r="G1213" s="312" t="s">
        <v>1548</v>
      </c>
      <c r="H1213" s="310">
        <v>1</v>
      </c>
      <c r="I1213" s="311">
        <v>5.92</v>
      </c>
      <c r="J1213" s="310"/>
      <c r="K1213" s="311"/>
    </row>
    <row r="1214" spans="1:22" ht="15" x14ac:dyDescent="0.25">
      <c r="A1214" s="313"/>
      <c r="B1214" s="313"/>
      <c r="C1214" s="314" t="s">
        <v>183</v>
      </c>
      <c r="D1214" s="313"/>
      <c r="E1214" s="313"/>
      <c r="F1214" s="313"/>
      <c r="G1214" s="313"/>
      <c r="H1214" s="472">
        <v>221.59</v>
      </c>
      <c r="I1214" s="472"/>
      <c r="J1214" s="472">
        <v>3898.86</v>
      </c>
      <c r="K1214" s="472"/>
      <c r="O1214" s="284">
        <f>I1206+I1207+I1209+I1210+I1211+I1212</f>
        <v>221.59</v>
      </c>
      <c r="P1214" s="284">
        <f>K1206+K1207+K1209+K1210+K1211+K1212</f>
        <v>3898.86</v>
      </c>
    </row>
    <row r="1216" spans="1:22" ht="65.25" x14ac:dyDescent="0.2">
      <c r="A1216" s="301" t="s">
        <v>1534</v>
      </c>
      <c r="B1216" s="302" t="s">
        <v>1474</v>
      </c>
      <c r="C1216" s="302" t="s">
        <v>1247</v>
      </c>
      <c r="D1216" s="303" t="s">
        <v>1903</v>
      </c>
      <c r="E1216" s="286">
        <v>1</v>
      </c>
      <c r="F1216" s="321"/>
      <c r="G1216" s="305"/>
      <c r="H1216" s="286"/>
      <c r="I1216" s="304"/>
      <c r="J1216" s="286"/>
      <c r="K1216" s="304"/>
      <c r="Q1216" s="281">
        <f>[20]Source!X1235</f>
        <v>35.11</v>
      </c>
      <c r="R1216" s="281">
        <f>[20]Source!X1236</f>
        <v>647.26</v>
      </c>
      <c r="S1216" s="281">
        <f>[20]Source!Y1235</f>
        <v>20.64</v>
      </c>
      <c r="T1216" s="281">
        <f>[20]Source!Y1236</f>
        <v>294.86</v>
      </c>
      <c r="U1216" s="281">
        <f>ROUND((175/100)*ROUND([20]Source!R1235, 2), 2)</f>
        <v>0</v>
      </c>
      <c r="V1216" s="281">
        <f>ROUND((157/100)*ROUND([20]Source!R1236, 2), 2)</f>
        <v>0</v>
      </c>
    </row>
    <row r="1217" spans="1:22" ht="14.25" x14ac:dyDescent="0.2">
      <c r="A1217" s="301"/>
      <c r="B1217" s="302"/>
      <c r="C1217" s="302" t="s">
        <v>197</v>
      </c>
      <c r="D1217" s="303"/>
      <c r="E1217" s="286"/>
      <c r="F1217" s="321">
        <v>26.78</v>
      </c>
      <c r="G1217" s="305" t="s">
        <v>1548</v>
      </c>
      <c r="H1217" s="286">
        <v>1</v>
      </c>
      <c r="I1217" s="304">
        <v>30.8</v>
      </c>
      <c r="J1217" s="286">
        <v>23.35</v>
      </c>
      <c r="K1217" s="304">
        <v>719.18</v>
      </c>
    </row>
    <row r="1218" spans="1:22" ht="14.25" x14ac:dyDescent="0.2">
      <c r="A1218" s="301"/>
      <c r="B1218" s="302"/>
      <c r="C1218" s="302" t="s">
        <v>205</v>
      </c>
      <c r="D1218" s="303"/>
      <c r="E1218" s="286"/>
      <c r="F1218" s="321">
        <v>0.28000000000000003</v>
      </c>
      <c r="G1218" s="305" t="s">
        <v>195</v>
      </c>
      <c r="H1218" s="286">
        <v>1</v>
      </c>
      <c r="I1218" s="304">
        <v>0.28000000000000003</v>
      </c>
      <c r="J1218" s="286">
        <v>5.43</v>
      </c>
      <c r="K1218" s="304">
        <v>1.52</v>
      </c>
    </row>
    <row r="1219" spans="1:22" ht="14.25" x14ac:dyDescent="0.2">
      <c r="A1219" s="301"/>
      <c r="B1219" s="302"/>
      <c r="C1219" s="302" t="s">
        <v>194</v>
      </c>
      <c r="D1219" s="303" t="s">
        <v>187</v>
      </c>
      <c r="E1219" s="286">
        <v>112</v>
      </c>
      <c r="F1219" s="321"/>
      <c r="G1219" s="305"/>
      <c r="H1219" s="286"/>
      <c r="I1219" s="304">
        <v>35.11</v>
      </c>
      <c r="J1219" s="286">
        <v>90</v>
      </c>
      <c r="K1219" s="304">
        <v>647.26</v>
      </c>
    </row>
    <row r="1220" spans="1:22" ht="14.25" x14ac:dyDescent="0.2">
      <c r="A1220" s="301"/>
      <c r="B1220" s="302"/>
      <c r="C1220" s="302" t="s">
        <v>193</v>
      </c>
      <c r="D1220" s="303" t="s">
        <v>187</v>
      </c>
      <c r="E1220" s="286">
        <v>70</v>
      </c>
      <c r="F1220" s="321"/>
      <c r="G1220" s="305"/>
      <c r="H1220" s="286"/>
      <c r="I1220" s="304">
        <v>20.64</v>
      </c>
      <c r="J1220" s="286">
        <v>41</v>
      </c>
      <c r="K1220" s="304">
        <v>294.86</v>
      </c>
    </row>
    <row r="1221" spans="1:22" ht="14.25" x14ac:dyDescent="0.2">
      <c r="A1221" s="307"/>
      <c r="B1221" s="308"/>
      <c r="C1221" s="308" t="s">
        <v>192</v>
      </c>
      <c r="D1221" s="309" t="s">
        <v>191</v>
      </c>
      <c r="E1221" s="310">
        <v>2.06</v>
      </c>
      <c r="F1221" s="361"/>
      <c r="G1221" s="312" t="s">
        <v>1548</v>
      </c>
      <c r="H1221" s="310">
        <v>1</v>
      </c>
      <c r="I1221" s="311">
        <v>2.37</v>
      </c>
      <c r="J1221" s="310"/>
      <c r="K1221" s="311"/>
    </row>
    <row r="1222" spans="1:22" ht="15" x14ac:dyDescent="0.25">
      <c r="A1222" s="313"/>
      <c r="B1222" s="313"/>
      <c r="C1222" s="314" t="s">
        <v>183</v>
      </c>
      <c r="D1222" s="313"/>
      <c r="E1222" s="313"/>
      <c r="F1222" s="313"/>
      <c r="G1222" s="313"/>
      <c r="H1222" s="472">
        <v>86.83</v>
      </c>
      <c r="I1222" s="472"/>
      <c r="J1222" s="472">
        <v>1662.82</v>
      </c>
      <c r="K1222" s="472"/>
      <c r="O1222" s="284">
        <f>I1217+I1218+I1219+I1220</f>
        <v>86.83</v>
      </c>
      <c r="P1222" s="284">
        <f>K1217+K1218+K1219+K1220</f>
        <v>1662.82</v>
      </c>
    </row>
    <row r="1224" spans="1:22" ht="65.25" x14ac:dyDescent="0.2">
      <c r="A1224" s="301" t="s">
        <v>104</v>
      </c>
      <c r="B1224" s="302" t="s">
        <v>1473</v>
      </c>
      <c r="C1224" s="302" t="s">
        <v>1472</v>
      </c>
      <c r="D1224" s="303" t="s">
        <v>1903</v>
      </c>
      <c r="E1224" s="286">
        <v>1</v>
      </c>
      <c r="F1224" s="321"/>
      <c r="G1224" s="305"/>
      <c r="H1224" s="286"/>
      <c r="I1224" s="304"/>
      <c r="J1224" s="286"/>
      <c r="K1224" s="304"/>
      <c r="Q1224" s="281">
        <f>[20]Source!X1237</f>
        <v>7.62</v>
      </c>
      <c r="R1224" s="281">
        <f>[20]Source!X1238</f>
        <v>140.38</v>
      </c>
      <c r="S1224" s="281">
        <f>[20]Source!Y1237</f>
        <v>4.4800000000000004</v>
      </c>
      <c r="T1224" s="281">
        <f>[20]Source!Y1238</f>
        <v>63.95</v>
      </c>
      <c r="U1224" s="281">
        <f>ROUND((175/100)*ROUND([20]Source!R1237, 2), 2)</f>
        <v>12.09</v>
      </c>
      <c r="V1224" s="281">
        <f>ROUND((157/100)*ROUND([20]Source!R1238, 2), 2)</f>
        <v>253.32</v>
      </c>
    </row>
    <row r="1225" spans="1:22" ht="14.25" x14ac:dyDescent="0.2">
      <c r="A1225" s="301"/>
      <c r="B1225" s="302"/>
      <c r="C1225" s="302" t="s">
        <v>197</v>
      </c>
      <c r="D1225" s="303"/>
      <c r="E1225" s="286"/>
      <c r="F1225" s="321">
        <v>5.81</v>
      </c>
      <c r="G1225" s="305" t="s">
        <v>1548</v>
      </c>
      <c r="H1225" s="286">
        <v>1</v>
      </c>
      <c r="I1225" s="304">
        <v>6.68</v>
      </c>
      <c r="J1225" s="286">
        <v>23.35</v>
      </c>
      <c r="K1225" s="304">
        <v>155.97999999999999</v>
      </c>
    </row>
    <row r="1226" spans="1:22" ht="14.25" x14ac:dyDescent="0.2">
      <c r="A1226" s="301"/>
      <c r="B1226" s="302"/>
      <c r="C1226" s="302" t="s">
        <v>184</v>
      </c>
      <c r="D1226" s="303"/>
      <c r="E1226" s="286"/>
      <c r="F1226" s="321">
        <v>27.61</v>
      </c>
      <c r="G1226" s="305" t="s">
        <v>1549</v>
      </c>
      <c r="H1226" s="286">
        <v>1</v>
      </c>
      <c r="I1226" s="304">
        <v>34.51</v>
      </c>
      <c r="J1226" s="286">
        <v>8.9600000000000009</v>
      </c>
      <c r="K1226" s="304">
        <v>309.20999999999998</v>
      </c>
    </row>
    <row r="1227" spans="1:22" ht="14.25" x14ac:dyDescent="0.2">
      <c r="A1227" s="301"/>
      <c r="B1227" s="302"/>
      <c r="C1227" s="302" t="s">
        <v>189</v>
      </c>
      <c r="D1227" s="303"/>
      <c r="E1227" s="286"/>
      <c r="F1227" s="321">
        <v>5.53</v>
      </c>
      <c r="G1227" s="305" t="s">
        <v>1549</v>
      </c>
      <c r="H1227" s="286">
        <v>1</v>
      </c>
      <c r="I1227" s="306">
        <v>6.91</v>
      </c>
      <c r="J1227" s="286">
        <v>23.35</v>
      </c>
      <c r="K1227" s="306">
        <v>161.35</v>
      </c>
    </row>
    <row r="1228" spans="1:22" ht="14.25" x14ac:dyDescent="0.2">
      <c r="A1228" s="301"/>
      <c r="B1228" s="302"/>
      <c r="C1228" s="302" t="s">
        <v>205</v>
      </c>
      <c r="D1228" s="303"/>
      <c r="E1228" s="286"/>
      <c r="F1228" s="321">
        <v>1.89</v>
      </c>
      <c r="G1228" s="305" t="s">
        <v>195</v>
      </c>
      <c r="H1228" s="286">
        <v>1</v>
      </c>
      <c r="I1228" s="304">
        <v>1.89</v>
      </c>
      <c r="J1228" s="286">
        <v>5.42</v>
      </c>
      <c r="K1228" s="304">
        <v>10.24</v>
      </c>
    </row>
    <row r="1229" spans="1:22" ht="14.25" x14ac:dyDescent="0.2">
      <c r="A1229" s="301"/>
      <c r="B1229" s="302"/>
      <c r="C1229" s="302" t="s">
        <v>194</v>
      </c>
      <c r="D1229" s="303" t="s">
        <v>187</v>
      </c>
      <c r="E1229" s="286">
        <v>112</v>
      </c>
      <c r="F1229" s="321"/>
      <c r="G1229" s="305"/>
      <c r="H1229" s="286"/>
      <c r="I1229" s="304">
        <v>7.62</v>
      </c>
      <c r="J1229" s="286">
        <v>90</v>
      </c>
      <c r="K1229" s="304">
        <v>140.38</v>
      </c>
    </row>
    <row r="1230" spans="1:22" ht="14.25" x14ac:dyDescent="0.2">
      <c r="A1230" s="301"/>
      <c r="B1230" s="302"/>
      <c r="C1230" s="302" t="s">
        <v>193</v>
      </c>
      <c r="D1230" s="303" t="s">
        <v>187</v>
      </c>
      <c r="E1230" s="286">
        <v>70</v>
      </c>
      <c r="F1230" s="321"/>
      <c r="G1230" s="305"/>
      <c r="H1230" s="286"/>
      <c r="I1230" s="304">
        <v>4.4800000000000004</v>
      </c>
      <c r="J1230" s="286">
        <v>41</v>
      </c>
      <c r="K1230" s="304">
        <v>63.95</v>
      </c>
    </row>
    <row r="1231" spans="1:22" ht="14.25" x14ac:dyDescent="0.2">
      <c r="A1231" s="301"/>
      <c r="B1231" s="302"/>
      <c r="C1231" s="302" t="s">
        <v>188</v>
      </c>
      <c r="D1231" s="303" t="s">
        <v>187</v>
      </c>
      <c r="E1231" s="286">
        <v>175</v>
      </c>
      <c r="F1231" s="321"/>
      <c r="G1231" s="305"/>
      <c r="H1231" s="286"/>
      <c r="I1231" s="304">
        <v>12.09</v>
      </c>
      <c r="J1231" s="286">
        <v>157</v>
      </c>
      <c r="K1231" s="304">
        <v>253.32</v>
      </c>
    </row>
    <row r="1232" spans="1:22" ht="14.25" x14ac:dyDescent="0.2">
      <c r="A1232" s="307"/>
      <c r="B1232" s="308"/>
      <c r="C1232" s="308" t="s">
        <v>192</v>
      </c>
      <c r="D1232" s="309" t="s">
        <v>191</v>
      </c>
      <c r="E1232" s="310">
        <v>0.52</v>
      </c>
      <c r="F1232" s="361"/>
      <c r="G1232" s="312" t="s">
        <v>1548</v>
      </c>
      <c r="H1232" s="310">
        <v>1</v>
      </c>
      <c r="I1232" s="311">
        <v>0.6</v>
      </c>
      <c r="J1232" s="310"/>
      <c r="K1232" s="311"/>
    </row>
    <row r="1233" spans="1:22" ht="15" x14ac:dyDescent="0.25">
      <c r="A1233" s="313"/>
      <c r="B1233" s="313"/>
      <c r="C1233" s="314" t="s">
        <v>183</v>
      </c>
      <c r="D1233" s="313"/>
      <c r="E1233" s="313"/>
      <c r="F1233" s="313"/>
      <c r="G1233" s="313"/>
      <c r="H1233" s="472">
        <v>67.27</v>
      </c>
      <c r="I1233" s="472"/>
      <c r="J1233" s="472">
        <v>933.08</v>
      </c>
      <c r="K1233" s="472"/>
      <c r="O1233" s="284">
        <f>I1225+I1226+I1228+I1229+I1230+I1231</f>
        <v>67.27</v>
      </c>
      <c r="P1233" s="284">
        <f>K1225+K1226+K1228+K1229+K1230+K1231</f>
        <v>933.08</v>
      </c>
    </row>
    <row r="1235" spans="1:22" ht="81" x14ac:dyDescent="0.2">
      <c r="A1235" s="275" t="s">
        <v>1546</v>
      </c>
      <c r="B1235" s="276" t="s">
        <v>3752</v>
      </c>
      <c r="C1235" s="276" t="s">
        <v>1484</v>
      </c>
      <c r="D1235" s="277" t="s">
        <v>3240</v>
      </c>
      <c r="E1235" s="278">
        <v>1</v>
      </c>
      <c r="F1235" s="362">
        <v>11543.7</v>
      </c>
      <c r="G1235" s="280" t="s">
        <v>195</v>
      </c>
      <c r="H1235" s="278">
        <v>1</v>
      </c>
      <c r="I1235" s="279">
        <v>11543.7</v>
      </c>
      <c r="J1235" s="278">
        <v>4.4000000000000004</v>
      </c>
      <c r="K1235" s="279">
        <v>50792.28</v>
      </c>
      <c r="Q1235" s="281">
        <f>[20]Source!X1239</f>
        <v>0</v>
      </c>
      <c r="R1235" s="281">
        <f>[20]Source!X1240</f>
        <v>0</v>
      </c>
      <c r="S1235" s="281">
        <f>[20]Source!Y1239</f>
        <v>0</v>
      </c>
      <c r="T1235" s="281">
        <f>[20]Source!Y1240</f>
        <v>0</v>
      </c>
      <c r="U1235" s="281">
        <f>ROUND((175/100)*ROUND([20]Source!R1239, 2), 2)</f>
        <v>0</v>
      </c>
      <c r="V1235" s="281">
        <f>ROUND((157/100)*ROUND([20]Source!R1240, 2), 2)</f>
        <v>0</v>
      </c>
    </row>
    <row r="1236" spans="1:22" ht="15" x14ac:dyDescent="0.25">
      <c r="A1236" s="282"/>
      <c r="B1236" s="282"/>
      <c r="C1236" s="283" t="s">
        <v>183</v>
      </c>
      <c r="D1236" s="282"/>
      <c r="E1236" s="282"/>
      <c r="F1236" s="282"/>
      <c r="G1236" s="282"/>
      <c r="H1236" s="473">
        <v>11543.7</v>
      </c>
      <c r="I1236" s="473"/>
      <c r="J1236" s="473">
        <v>50792.28</v>
      </c>
      <c r="K1236" s="473"/>
      <c r="O1236" s="284">
        <f>I1235</f>
        <v>11543.7</v>
      </c>
      <c r="P1236" s="284">
        <f>K1235</f>
        <v>50792.28</v>
      </c>
    </row>
    <row r="1239" spans="1:22" ht="15" x14ac:dyDescent="0.25">
      <c r="A1239" s="447" t="s">
        <v>3807</v>
      </c>
      <c r="B1239" s="447"/>
      <c r="C1239" s="447"/>
      <c r="D1239" s="447"/>
      <c r="E1239" s="447"/>
      <c r="F1239" s="447"/>
      <c r="G1239" s="447"/>
      <c r="H1239" s="445">
        <v>11919.39</v>
      </c>
      <c r="I1239" s="446"/>
      <c r="J1239" s="445">
        <v>57287.040000000001</v>
      </c>
      <c r="K1239" s="446"/>
    </row>
    <row r="1240" spans="1:22" hidden="1" x14ac:dyDescent="0.2">
      <c r="A1240" s="281" t="s">
        <v>182</v>
      </c>
      <c r="I1240" s="281">
        <v>0</v>
      </c>
      <c r="J1240" s="281">
        <v>0</v>
      </c>
    </row>
    <row r="1241" spans="1:22" hidden="1" x14ac:dyDescent="0.2">
      <c r="A1241" s="281" t="s">
        <v>181</v>
      </c>
      <c r="I1241" s="281">
        <v>0</v>
      </c>
      <c r="J1241" s="281">
        <v>0</v>
      </c>
    </row>
    <row r="1243" spans="1:22" ht="16.5" x14ac:dyDescent="0.25">
      <c r="A1243" s="448" t="s">
        <v>3808</v>
      </c>
      <c r="B1243" s="448"/>
      <c r="C1243" s="448"/>
      <c r="D1243" s="448"/>
      <c r="E1243" s="448"/>
      <c r="F1243" s="448"/>
      <c r="G1243" s="448"/>
      <c r="H1243" s="448"/>
      <c r="I1243" s="448"/>
      <c r="J1243" s="448"/>
      <c r="K1243" s="448"/>
    </row>
    <row r="1244" spans="1:22" ht="65.25" x14ac:dyDescent="0.2">
      <c r="A1244" s="301" t="s">
        <v>719</v>
      </c>
      <c r="B1244" s="302" t="s">
        <v>1476</v>
      </c>
      <c r="C1244" s="302" t="s">
        <v>1475</v>
      </c>
      <c r="D1244" s="303" t="s">
        <v>1903</v>
      </c>
      <c r="E1244" s="286">
        <v>1</v>
      </c>
      <c r="F1244" s="321"/>
      <c r="G1244" s="305"/>
      <c r="H1244" s="286"/>
      <c r="I1244" s="304"/>
      <c r="J1244" s="286"/>
      <c r="K1244" s="304"/>
      <c r="Q1244" s="281">
        <f>[20]Source!X1276</f>
        <v>78.39</v>
      </c>
      <c r="R1244" s="281">
        <f>[20]Source!X1277</f>
        <v>1445</v>
      </c>
      <c r="S1244" s="281">
        <f>[20]Source!Y1276</f>
        <v>46.07</v>
      </c>
      <c r="T1244" s="281">
        <f>[20]Source!Y1277</f>
        <v>658.28</v>
      </c>
      <c r="U1244" s="281">
        <f>ROUND((175/100)*ROUND([20]Source!R1276, 2), 2)</f>
        <v>1.42</v>
      </c>
      <c r="V1244" s="281">
        <f>ROUND((157/100)*ROUND([20]Source!R1277, 2), 2)</f>
        <v>29.69</v>
      </c>
    </row>
    <row r="1245" spans="1:22" ht="14.25" x14ac:dyDescent="0.2">
      <c r="A1245" s="301"/>
      <c r="B1245" s="302"/>
      <c r="C1245" s="302" t="s">
        <v>197</v>
      </c>
      <c r="D1245" s="303"/>
      <c r="E1245" s="286"/>
      <c r="F1245" s="321">
        <v>59.79</v>
      </c>
      <c r="G1245" s="305" t="s">
        <v>1548</v>
      </c>
      <c r="H1245" s="286">
        <v>1</v>
      </c>
      <c r="I1245" s="304">
        <v>68.760000000000005</v>
      </c>
      <c r="J1245" s="286">
        <v>23.35</v>
      </c>
      <c r="K1245" s="304">
        <v>1605.55</v>
      </c>
    </row>
    <row r="1246" spans="1:22" ht="14.25" x14ac:dyDescent="0.2">
      <c r="A1246" s="301"/>
      <c r="B1246" s="302"/>
      <c r="C1246" s="302" t="s">
        <v>184</v>
      </c>
      <c r="D1246" s="303"/>
      <c r="E1246" s="286"/>
      <c r="F1246" s="321">
        <v>4.42</v>
      </c>
      <c r="G1246" s="305" t="s">
        <v>1549</v>
      </c>
      <c r="H1246" s="286">
        <v>1</v>
      </c>
      <c r="I1246" s="304">
        <v>5.53</v>
      </c>
      <c r="J1246" s="286">
        <v>8</v>
      </c>
      <c r="K1246" s="304">
        <v>44.24</v>
      </c>
    </row>
    <row r="1247" spans="1:22" ht="14.25" x14ac:dyDescent="0.2">
      <c r="A1247" s="301"/>
      <c r="B1247" s="302"/>
      <c r="C1247" s="302" t="s">
        <v>189</v>
      </c>
      <c r="D1247" s="303"/>
      <c r="E1247" s="286"/>
      <c r="F1247" s="321">
        <v>0.65</v>
      </c>
      <c r="G1247" s="305" t="s">
        <v>1549</v>
      </c>
      <c r="H1247" s="286">
        <v>1</v>
      </c>
      <c r="I1247" s="306">
        <v>0.81</v>
      </c>
      <c r="J1247" s="286">
        <v>23.35</v>
      </c>
      <c r="K1247" s="306">
        <v>18.91</v>
      </c>
    </row>
    <row r="1248" spans="1:22" ht="14.25" x14ac:dyDescent="0.2">
      <c r="A1248" s="301"/>
      <c r="B1248" s="302"/>
      <c r="C1248" s="302" t="s">
        <v>205</v>
      </c>
      <c r="D1248" s="303"/>
      <c r="E1248" s="286"/>
      <c r="F1248" s="321">
        <v>21.42</v>
      </c>
      <c r="G1248" s="305" t="s">
        <v>195</v>
      </c>
      <c r="H1248" s="286">
        <v>1</v>
      </c>
      <c r="I1248" s="304">
        <v>21.42</v>
      </c>
      <c r="J1248" s="286">
        <v>5.42</v>
      </c>
      <c r="K1248" s="304">
        <v>116.1</v>
      </c>
    </row>
    <row r="1249" spans="1:22" ht="14.25" x14ac:dyDescent="0.2">
      <c r="A1249" s="301"/>
      <c r="B1249" s="302"/>
      <c r="C1249" s="302" t="s">
        <v>194</v>
      </c>
      <c r="D1249" s="303" t="s">
        <v>187</v>
      </c>
      <c r="E1249" s="286">
        <v>112</v>
      </c>
      <c r="F1249" s="321"/>
      <c r="G1249" s="305"/>
      <c r="H1249" s="286"/>
      <c r="I1249" s="304">
        <v>78.39</v>
      </c>
      <c r="J1249" s="286">
        <v>90</v>
      </c>
      <c r="K1249" s="304">
        <v>1445</v>
      </c>
    </row>
    <row r="1250" spans="1:22" ht="14.25" x14ac:dyDescent="0.2">
      <c r="A1250" s="301"/>
      <c r="B1250" s="302"/>
      <c r="C1250" s="302" t="s">
        <v>193</v>
      </c>
      <c r="D1250" s="303" t="s">
        <v>187</v>
      </c>
      <c r="E1250" s="286">
        <v>70</v>
      </c>
      <c r="F1250" s="321"/>
      <c r="G1250" s="305"/>
      <c r="H1250" s="286"/>
      <c r="I1250" s="304">
        <v>46.07</v>
      </c>
      <c r="J1250" s="286">
        <v>41</v>
      </c>
      <c r="K1250" s="304">
        <v>658.28</v>
      </c>
    </row>
    <row r="1251" spans="1:22" ht="14.25" x14ac:dyDescent="0.2">
      <c r="A1251" s="301"/>
      <c r="B1251" s="302"/>
      <c r="C1251" s="302" t="s">
        <v>188</v>
      </c>
      <c r="D1251" s="303" t="s">
        <v>187</v>
      </c>
      <c r="E1251" s="286">
        <v>175</v>
      </c>
      <c r="F1251" s="321"/>
      <c r="G1251" s="305"/>
      <c r="H1251" s="286"/>
      <c r="I1251" s="304">
        <v>1.42</v>
      </c>
      <c r="J1251" s="286">
        <v>157</v>
      </c>
      <c r="K1251" s="304">
        <v>29.69</v>
      </c>
    </row>
    <row r="1252" spans="1:22" ht="14.25" x14ac:dyDescent="0.2">
      <c r="A1252" s="307"/>
      <c r="B1252" s="308"/>
      <c r="C1252" s="308" t="s">
        <v>192</v>
      </c>
      <c r="D1252" s="309" t="s">
        <v>191</v>
      </c>
      <c r="E1252" s="310">
        <v>5.15</v>
      </c>
      <c r="F1252" s="361"/>
      <c r="G1252" s="312" t="s">
        <v>1548</v>
      </c>
      <c r="H1252" s="310">
        <v>1</v>
      </c>
      <c r="I1252" s="311">
        <v>5.92</v>
      </c>
      <c r="J1252" s="310"/>
      <c r="K1252" s="311"/>
    </row>
    <row r="1253" spans="1:22" ht="15" x14ac:dyDescent="0.25">
      <c r="A1253" s="313"/>
      <c r="B1253" s="313"/>
      <c r="C1253" s="314" t="s">
        <v>183</v>
      </c>
      <c r="D1253" s="313"/>
      <c r="E1253" s="313"/>
      <c r="F1253" s="313"/>
      <c r="G1253" s="313"/>
      <c r="H1253" s="472">
        <v>221.59</v>
      </c>
      <c r="I1253" s="472"/>
      <c r="J1253" s="472">
        <v>3898.86</v>
      </c>
      <c r="K1253" s="472"/>
      <c r="O1253" s="284">
        <f>I1245+I1246+I1248+I1249+I1250+I1251</f>
        <v>221.59</v>
      </c>
      <c r="P1253" s="284">
        <f>K1245+K1246+K1248+K1249+K1250+K1251</f>
        <v>3898.86</v>
      </c>
    </row>
    <row r="1255" spans="1:22" ht="65.25" x14ac:dyDescent="0.2">
      <c r="A1255" s="301" t="s">
        <v>1534</v>
      </c>
      <c r="B1255" s="302" t="s">
        <v>1474</v>
      </c>
      <c r="C1255" s="302" t="s">
        <v>1247</v>
      </c>
      <c r="D1255" s="303" t="s">
        <v>1903</v>
      </c>
      <c r="E1255" s="286">
        <v>1</v>
      </c>
      <c r="F1255" s="321"/>
      <c r="G1255" s="305"/>
      <c r="H1255" s="286"/>
      <c r="I1255" s="304"/>
      <c r="J1255" s="286"/>
      <c r="K1255" s="304"/>
      <c r="Q1255" s="281">
        <f>[20]Source!X1278</f>
        <v>35.11</v>
      </c>
      <c r="R1255" s="281">
        <f>[20]Source!X1279</f>
        <v>647.26</v>
      </c>
      <c r="S1255" s="281">
        <f>[20]Source!Y1278</f>
        <v>20.64</v>
      </c>
      <c r="T1255" s="281">
        <f>[20]Source!Y1279</f>
        <v>294.86</v>
      </c>
      <c r="U1255" s="281">
        <f>ROUND((175/100)*ROUND([20]Source!R1278, 2), 2)</f>
        <v>0</v>
      </c>
      <c r="V1255" s="281">
        <f>ROUND((157/100)*ROUND([20]Source!R1279, 2), 2)</f>
        <v>0</v>
      </c>
    </row>
    <row r="1256" spans="1:22" ht="14.25" x14ac:dyDescent="0.2">
      <c r="A1256" s="301"/>
      <c r="B1256" s="302"/>
      <c r="C1256" s="302" t="s">
        <v>197</v>
      </c>
      <c r="D1256" s="303"/>
      <c r="E1256" s="286"/>
      <c r="F1256" s="321">
        <v>26.78</v>
      </c>
      <c r="G1256" s="305" t="s">
        <v>1548</v>
      </c>
      <c r="H1256" s="286">
        <v>1</v>
      </c>
      <c r="I1256" s="304">
        <v>30.8</v>
      </c>
      <c r="J1256" s="286">
        <v>23.35</v>
      </c>
      <c r="K1256" s="304">
        <v>719.18</v>
      </c>
    </row>
    <row r="1257" spans="1:22" ht="14.25" x14ac:dyDescent="0.2">
      <c r="A1257" s="301"/>
      <c r="B1257" s="302"/>
      <c r="C1257" s="302" t="s">
        <v>205</v>
      </c>
      <c r="D1257" s="303"/>
      <c r="E1257" s="286"/>
      <c r="F1257" s="321">
        <v>0.28000000000000003</v>
      </c>
      <c r="G1257" s="305" t="s">
        <v>195</v>
      </c>
      <c r="H1257" s="286">
        <v>1</v>
      </c>
      <c r="I1257" s="304">
        <v>0.28000000000000003</v>
      </c>
      <c r="J1257" s="286">
        <v>5.43</v>
      </c>
      <c r="K1257" s="304">
        <v>1.52</v>
      </c>
    </row>
    <row r="1258" spans="1:22" ht="14.25" x14ac:dyDescent="0.2">
      <c r="A1258" s="301"/>
      <c r="B1258" s="302"/>
      <c r="C1258" s="302" t="s">
        <v>194</v>
      </c>
      <c r="D1258" s="303" t="s">
        <v>187</v>
      </c>
      <c r="E1258" s="286">
        <v>112</v>
      </c>
      <c r="F1258" s="321"/>
      <c r="G1258" s="305"/>
      <c r="H1258" s="286"/>
      <c r="I1258" s="304">
        <v>35.11</v>
      </c>
      <c r="J1258" s="286">
        <v>90</v>
      </c>
      <c r="K1258" s="304">
        <v>647.26</v>
      </c>
    </row>
    <row r="1259" spans="1:22" ht="14.25" x14ac:dyDescent="0.2">
      <c r="A1259" s="301"/>
      <c r="B1259" s="302"/>
      <c r="C1259" s="302" t="s">
        <v>193</v>
      </c>
      <c r="D1259" s="303" t="s">
        <v>187</v>
      </c>
      <c r="E1259" s="286">
        <v>70</v>
      </c>
      <c r="F1259" s="321"/>
      <c r="G1259" s="305"/>
      <c r="H1259" s="286"/>
      <c r="I1259" s="304">
        <v>20.64</v>
      </c>
      <c r="J1259" s="286">
        <v>41</v>
      </c>
      <c r="K1259" s="304">
        <v>294.86</v>
      </c>
    </row>
    <row r="1260" spans="1:22" ht="14.25" x14ac:dyDescent="0.2">
      <c r="A1260" s="307"/>
      <c r="B1260" s="308"/>
      <c r="C1260" s="308" t="s">
        <v>192</v>
      </c>
      <c r="D1260" s="309" t="s">
        <v>191</v>
      </c>
      <c r="E1260" s="310">
        <v>2.06</v>
      </c>
      <c r="F1260" s="361"/>
      <c r="G1260" s="312" t="s">
        <v>1548</v>
      </c>
      <c r="H1260" s="310">
        <v>1</v>
      </c>
      <c r="I1260" s="311">
        <v>2.37</v>
      </c>
      <c r="J1260" s="310"/>
      <c r="K1260" s="311"/>
    </row>
    <row r="1261" spans="1:22" ht="15" x14ac:dyDescent="0.25">
      <c r="A1261" s="313"/>
      <c r="B1261" s="313"/>
      <c r="C1261" s="314" t="s">
        <v>183</v>
      </c>
      <c r="D1261" s="313"/>
      <c r="E1261" s="313"/>
      <c r="F1261" s="313"/>
      <c r="G1261" s="313"/>
      <c r="H1261" s="472">
        <v>86.83</v>
      </c>
      <c r="I1261" s="472"/>
      <c r="J1261" s="472">
        <v>1662.82</v>
      </c>
      <c r="K1261" s="472"/>
      <c r="O1261" s="284">
        <f>I1256+I1257+I1258+I1259</f>
        <v>86.83</v>
      </c>
      <c r="P1261" s="284">
        <f>K1256+K1257+K1258+K1259</f>
        <v>1662.82</v>
      </c>
    </row>
    <row r="1263" spans="1:22" ht="65.25" x14ac:dyDescent="0.2">
      <c r="A1263" s="301" t="s">
        <v>104</v>
      </c>
      <c r="B1263" s="302" t="s">
        <v>1473</v>
      </c>
      <c r="C1263" s="302" t="s">
        <v>1472</v>
      </c>
      <c r="D1263" s="303" t="s">
        <v>1903</v>
      </c>
      <c r="E1263" s="286">
        <v>1</v>
      </c>
      <c r="F1263" s="321"/>
      <c r="G1263" s="305"/>
      <c r="H1263" s="286"/>
      <c r="I1263" s="304"/>
      <c r="J1263" s="286"/>
      <c r="K1263" s="304"/>
      <c r="Q1263" s="281">
        <f>[20]Source!X1280</f>
        <v>7.62</v>
      </c>
      <c r="R1263" s="281">
        <f>[20]Source!X1281</f>
        <v>140.38</v>
      </c>
      <c r="S1263" s="281">
        <f>[20]Source!Y1280</f>
        <v>4.4800000000000004</v>
      </c>
      <c r="T1263" s="281">
        <f>[20]Source!Y1281</f>
        <v>63.95</v>
      </c>
      <c r="U1263" s="281">
        <f>ROUND((175/100)*ROUND([20]Source!R1280, 2), 2)</f>
        <v>12.09</v>
      </c>
      <c r="V1263" s="281">
        <f>ROUND((157/100)*ROUND([20]Source!R1281, 2), 2)</f>
        <v>253.32</v>
      </c>
    </row>
    <row r="1264" spans="1:22" ht="14.25" x14ac:dyDescent="0.2">
      <c r="A1264" s="301"/>
      <c r="B1264" s="302"/>
      <c r="C1264" s="302" t="s">
        <v>197</v>
      </c>
      <c r="D1264" s="303"/>
      <c r="E1264" s="286"/>
      <c r="F1264" s="321">
        <v>5.81</v>
      </c>
      <c r="G1264" s="305" t="s">
        <v>1548</v>
      </c>
      <c r="H1264" s="286">
        <v>1</v>
      </c>
      <c r="I1264" s="304">
        <v>6.68</v>
      </c>
      <c r="J1264" s="286">
        <v>23.35</v>
      </c>
      <c r="K1264" s="304">
        <v>155.97999999999999</v>
      </c>
    </row>
    <row r="1265" spans="1:22" ht="14.25" x14ac:dyDescent="0.2">
      <c r="A1265" s="301"/>
      <c r="B1265" s="302"/>
      <c r="C1265" s="302" t="s">
        <v>184</v>
      </c>
      <c r="D1265" s="303"/>
      <c r="E1265" s="286"/>
      <c r="F1265" s="321">
        <v>27.61</v>
      </c>
      <c r="G1265" s="305" t="s">
        <v>1549</v>
      </c>
      <c r="H1265" s="286">
        <v>1</v>
      </c>
      <c r="I1265" s="304">
        <v>34.51</v>
      </c>
      <c r="J1265" s="286">
        <v>8.9600000000000009</v>
      </c>
      <c r="K1265" s="304">
        <v>309.20999999999998</v>
      </c>
    </row>
    <row r="1266" spans="1:22" ht="14.25" x14ac:dyDescent="0.2">
      <c r="A1266" s="301"/>
      <c r="B1266" s="302"/>
      <c r="C1266" s="302" t="s">
        <v>189</v>
      </c>
      <c r="D1266" s="303"/>
      <c r="E1266" s="286"/>
      <c r="F1266" s="321">
        <v>5.53</v>
      </c>
      <c r="G1266" s="305" t="s">
        <v>1549</v>
      </c>
      <c r="H1266" s="286">
        <v>1</v>
      </c>
      <c r="I1266" s="306">
        <v>6.91</v>
      </c>
      <c r="J1266" s="286">
        <v>23.35</v>
      </c>
      <c r="K1266" s="306">
        <v>161.35</v>
      </c>
    </row>
    <row r="1267" spans="1:22" ht="14.25" x14ac:dyDescent="0.2">
      <c r="A1267" s="301"/>
      <c r="B1267" s="302"/>
      <c r="C1267" s="302" t="s">
        <v>205</v>
      </c>
      <c r="D1267" s="303"/>
      <c r="E1267" s="286"/>
      <c r="F1267" s="321">
        <v>1.89</v>
      </c>
      <c r="G1267" s="305" t="s">
        <v>195</v>
      </c>
      <c r="H1267" s="286">
        <v>1</v>
      </c>
      <c r="I1267" s="304">
        <v>1.89</v>
      </c>
      <c r="J1267" s="286">
        <v>5.42</v>
      </c>
      <c r="K1267" s="304">
        <v>10.24</v>
      </c>
    </row>
    <row r="1268" spans="1:22" ht="14.25" x14ac:dyDescent="0.2">
      <c r="A1268" s="301"/>
      <c r="B1268" s="302"/>
      <c r="C1268" s="302" t="s">
        <v>194</v>
      </c>
      <c r="D1268" s="303" t="s">
        <v>187</v>
      </c>
      <c r="E1268" s="286">
        <v>112</v>
      </c>
      <c r="F1268" s="321"/>
      <c r="G1268" s="305"/>
      <c r="H1268" s="286"/>
      <c r="I1268" s="304">
        <v>7.62</v>
      </c>
      <c r="J1268" s="286">
        <v>90</v>
      </c>
      <c r="K1268" s="304">
        <v>140.38</v>
      </c>
    </row>
    <row r="1269" spans="1:22" ht="14.25" x14ac:dyDescent="0.2">
      <c r="A1269" s="301"/>
      <c r="B1269" s="302"/>
      <c r="C1269" s="302" t="s">
        <v>193</v>
      </c>
      <c r="D1269" s="303" t="s">
        <v>187</v>
      </c>
      <c r="E1269" s="286">
        <v>70</v>
      </c>
      <c r="F1269" s="321"/>
      <c r="G1269" s="305"/>
      <c r="H1269" s="286"/>
      <c r="I1269" s="304">
        <v>4.4800000000000004</v>
      </c>
      <c r="J1269" s="286">
        <v>41</v>
      </c>
      <c r="K1269" s="304">
        <v>63.95</v>
      </c>
    </row>
    <row r="1270" spans="1:22" ht="14.25" x14ac:dyDescent="0.2">
      <c r="A1270" s="301"/>
      <c r="B1270" s="302"/>
      <c r="C1270" s="302" t="s">
        <v>188</v>
      </c>
      <c r="D1270" s="303" t="s">
        <v>187</v>
      </c>
      <c r="E1270" s="286">
        <v>175</v>
      </c>
      <c r="F1270" s="321"/>
      <c r="G1270" s="305"/>
      <c r="H1270" s="286"/>
      <c r="I1270" s="304">
        <v>12.09</v>
      </c>
      <c r="J1270" s="286">
        <v>157</v>
      </c>
      <c r="K1270" s="304">
        <v>253.32</v>
      </c>
    </row>
    <row r="1271" spans="1:22" ht="14.25" x14ac:dyDescent="0.2">
      <c r="A1271" s="307"/>
      <c r="B1271" s="308"/>
      <c r="C1271" s="308" t="s">
        <v>192</v>
      </c>
      <c r="D1271" s="309" t="s">
        <v>191</v>
      </c>
      <c r="E1271" s="310">
        <v>0.52</v>
      </c>
      <c r="F1271" s="361"/>
      <c r="G1271" s="312" t="s">
        <v>1548</v>
      </c>
      <c r="H1271" s="310">
        <v>1</v>
      </c>
      <c r="I1271" s="311">
        <v>0.6</v>
      </c>
      <c r="J1271" s="310"/>
      <c r="K1271" s="311"/>
    </row>
    <row r="1272" spans="1:22" ht="15" x14ac:dyDescent="0.25">
      <c r="A1272" s="313"/>
      <c r="B1272" s="313"/>
      <c r="C1272" s="314" t="s">
        <v>183</v>
      </c>
      <c r="D1272" s="313"/>
      <c r="E1272" s="313"/>
      <c r="F1272" s="313"/>
      <c r="G1272" s="313"/>
      <c r="H1272" s="472">
        <v>67.27</v>
      </c>
      <c r="I1272" s="472"/>
      <c r="J1272" s="472">
        <v>933.08</v>
      </c>
      <c r="K1272" s="472"/>
      <c r="O1272" s="284">
        <f>I1264+I1265+I1267+I1268+I1269+I1270</f>
        <v>67.27</v>
      </c>
      <c r="P1272" s="284">
        <f>K1264+K1265+K1267+K1268+K1269+K1270</f>
        <v>933.08</v>
      </c>
    </row>
    <row r="1274" spans="1:22" ht="81" x14ac:dyDescent="0.2">
      <c r="A1274" s="275" t="s">
        <v>1546</v>
      </c>
      <c r="B1274" s="276" t="s">
        <v>3752</v>
      </c>
      <c r="C1274" s="276" t="s">
        <v>1483</v>
      </c>
      <c r="D1274" s="277" t="s">
        <v>3240</v>
      </c>
      <c r="E1274" s="278">
        <v>1</v>
      </c>
      <c r="F1274" s="362">
        <v>11543.7</v>
      </c>
      <c r="G1274" s="280" t="s">
        <v>195</v>
      </c>
      <c r="H1274" s="278">
        <v>1</v>
      </c>
      <c r="I1274" s="279">
        <v>11543.7</v>
      </c>
      <c r="J1274" s="278">
        <v>4.4000000000000004</v>
      </c>
      <c r="K1274" s="279">
        <v>50792.28</v>
      </c>
      <c r="Q1274" s="281">
        <f>[20]Source!X1282</f>
        <v>0</v>
      </c>
      <c r="R1274" s="281">
        <f>[20]Source!X1283</f>
        <v>0</v>
      </c>
      <c r="S1274" s="281">
        <f>[20]Source!Y1282</f>
        <v>0</v>
      </c>
      <c r="T1274" s="281">
        <f>[20]Source!Y1283</f>
        <v>0</v>
      </c>
      <c r="U1274" s="281">
        <f>ROUND((175/100)*ROUND([20]Source!R1282, 2), 2)</f>
        <v>0</v>
      </c>
      <c r="V1274" s="281">
        <f>ROUND((157/100)*ROUND([20]Source!R1283, 2), 2)</f>
        <v>0</v>
      </c>
    </row>
    <row r="1275" spans="1:22" ht="15" x14ac:dyDescent="0.25">
      <c r="A1275" s="282"/>
      <c r="B1275" s="282"/>
      <c r="C1275" s="283" t="s">
        <v>183</v>
      </c>
      <c r="D1275" s="282"/>
      <c r="E1275" s="282"/>
      <c r="F1275" s="282"/>
      <c r="G1275" s="282"/>
      <c r="H1275" s="473">
        <v>11543.7</v>
      </c>
      <c r="I1275" s="473"/>
      <c r="J1275" s="473">
        <v>50792.28</v>
      </c>
      <c r="K1275" s="473"/>
      <c r="O1275" s="284">
        <f>I1274</f>
        <v>11543.7</v>
      </c>
      <c r="P1275" s="284">
        <f>K1274</f>
        <v>50792.28</v>
      </c>
    </row>
    <row r="1278" spans="1:22" ht="15" x14ac:dyDescent="0.25">
      <c r="A1278" s="447" t="s">
        <v>3809</v>
      </c>
      <c r="B1278" s="447"/>
      <c r="C1278" s="447"/>
      <c r="D1278" s="447"/>
      <c r="E1278" s="447"/>
      <c r="F1278" s="447"/>
      <c r="G1278" s="447"/>
      <c r="H1278" s="445">
        <v>11919.39</v>
      </c>
      <c r="I1278" s="446"/>
      <c r="J1278" s="445">
        <v>57287.040000000001</v>
      </c>
      <c r="K1278" s="446"/>
    </row>
    <row r="1279" spans="1:22" hidden="1" x14ac:dyDescent="0.2">
      <c r="A1279" s="281" t="s">
        <v>182</v>
      </c>
      <c r="I1279" s="281">
        <v>0</v>
      </c>
      <c r="J1279" s="281">
        <v>0</v>
      </c>
    </row>
    <row r="1280" spans="1:22" hidden="1" x14ac:dyDescent="0.2">
      <c r="A1280" s="281" t="s">
        <v>181</v>
      </c>
      <c r="I1280" s="281">
        <v>0</v>
      </c>
      <c r="J1280" s="281">
        <v>0</v>
      </c>
    </row>
    <row r="1282" spans="1:22" ht="16.5" x14ac:dyDescent="0.25">
      <c r="A1282" s="448" t="s">
        <v>3810</v>
      </c>
      <c r="B1282" s="448"/>
      <c r="C1282" s="448"/>
      <c r="D1282" s="448"/>
      <c r="E1282" s="448"/>
      <c r="F1282" s="448"/>
      <c r="G1282" s="448"/>
      <c r="H1282" s="448"/>
      <c r="I1282" s="448"/>
      <c r="J1282" s="448"/>
      <c r="K1282" s="448"/>
    </row>
    <row r="1283" spans="1:22" ht="65.25" x14ac:dyDescent="0.2">
      <c r="A1283" s="301" t="s">
        <v>719</v>
      </c>
      <c r="B1283" s="302" t="s">
        <v>1476</v>
      </c>
      <c r="C1283" s="302" t="s">
        <v>1475</v>
      </c>
      <c r="D1283" s="303" t="s">
        <v>1903</v>
      </c>
      <c r="E1283" s="286">
        <v>1</v>
      </c>
      <c r="F1283" s="321"/>
      <c r="G1283" s="305"/>
      <c r="H1283" s="286"/>
      <c r="I1283" s="304"/>
      <c r="J1283" s="286"/>
      <c r="K1283" s="304"/>
      <c r="Q1283" s="281">
        <f>[20]Source!X1319</f>
        <v>78.39</v>
      </c>
      <c r="R1283" s="281">
        <f>[20]Source!X1320</f>
        <v>1445</v>
      </c>
      <c r="S1283" s="281">
        <f>[20]Source!Y1319</f>
        <v>46.07</v>
      </c>
      <c r="T1283" s="281">
        <f>[20]Source!Y1320</f>
        <v>658.28</v>
      </c>
      <c r="U1283" s="281">
        <f>ROUND((175/100)*ROUND([20]Source!R1319, 2), 2)</f>
        <v>1.42</v>
      </c>
      <c r="V1283" s="281">
        <f>ROUND((157/100)*ROUND([20]Source!R1320, 2), 2)</f>
        <v>29.69</v>
      </c>
    </row>
    <row r="1284" spans="1:22" ht="14.25" x14ac:dyDescent="0.2">
      <c r="A1284" s="301"/>
      <c r="B1284" s="302"/>
      <c r="C1284" s="302" t="s">
        <v>197</v>
      </c>
      <c r="D1284" s="303"/>
      <c r="E1284" s="286"/>
      <c r="F1284" s="321">
        <v>59.79</v>
      </c>
      <c r="G1284" s="305" t="s">
        <v>1548</v>
      </c>
      <c r="H1284" s="286">
        <v>1</v>
      </c>
      <c r="I1284" s="304">
        <v>68.760000000000005</v>
      </c>
      <c r="J1284" s="286">
        <v>23.35</v>
      </c>
      <c r="K1284" s="304">
        <v>1605.55</v>
      </c>
    </row>
    <row r="1285" spans="1:22" ht="14.25" x14ac:dyDescent="0.2">
      <c r="A1285" s="301"/>
      <c r="B1285" s="302"/>
      <c r="C1285" s="302" t="s">
        <v>184</v>
      </c>
      <c r="D1285" s="303"/>
      <c r="E1285" s="286"/>
      <c r="F1285" s="321">
        <v>4.42</v>
      </c>
      <c r="G1285" s="305" t="s">
        <v>1549</v>
      </c>
      <c r="H1285" s="286">
        <v>1</v>
      </c>
      <c r="I1285" s="304">
        <v>5.53</v>
      </c>
      <c r="J1285" s="286">
        <v>8</v>
      </c>
      <c r="K1285" s="304">
        <v>44.24</v>
      </c>
    </row>
    <row r="1286" spans="1:22" ht="14.25" x14ac:dyDescent="0.2">
      <c r="A1286" s="301"/>
      <c r="B1286" s="302"/>
      <c r="C1286" s="302" t="s">
        <v>189</v>
      </c>
      <c r="D1286" s="303"/>
      <c r="E1286" s="286"/>
      <c r="F1286" s="321">
        <v>0.65</v>
      </c>
      <c r="G1286" s="305" t="s">
        <v>1549</v>
      </c>
      <c r="H1286" s="286">
        <v>1</v>
      </c>
      <c r="I1286" s="306">
        <v>0.81</v>
      </c>
      <c r="J1286" s="286">
        <v>23.35</v>
      </c>
      <c r="K1286" s="306">
        <v>18.91</v>
      </c>
    </row>
    <row r="1287" spans="1:22" ht="14.25" x14ac:dyDescent="0.2">
      <c r="A1287" s="301"/>
      <c r="B1287" s="302"/>
      <c r="C1287" s="302" t="s">
        <v>205</v>
      </c>
      <c r="D1287" s="303"/>
      <c r="E1287" s="286"/>
      <c r="F1287" s="321">
        <v>21.42</v>
      </c>
      <c r="G1287" s="305" t="s">
        <v>195</v>
      </c>
      <c r="H1287" s="286">
        <v>1</v>
      </c>
      <c r="I1287" s="304">
        <v>21.42</v>
      </c>
      <c r="J1287" s="286">
        <v>5.42</v>
      </c>
      <c r="K1287" s="304">
        <v>116.1</v>
      </c>
    </row>
    <row r="1288" spans="1:22" ht="14.25" x14ac:dyDescent="0.2">
      <c r="A1288" s="301"/>
      <c r="B1288" s="302"/>
      <c r="C1288" s="302" t="s">
        <v>194</v>
      </c>
      <c r="D1288" s="303" t="s">
        <v>187</v>
      </c>
      <c r="E1288" s="286">
        <v>112</v>
      </c>
      <c r="F1288" s="321"/>
      <c r="G1288" s="305"/>
      <c r="H1288" s="286"/>
      <c r="I1288" s="304">
        <v>78.39</v>
      </c>
      <c r="J1288" s="286">
        <v>90</v>
      </c>
      <c r="K1288" s="304">
        <v>1445</v>
      </c>
    </row>
    <row r="1289" spans="1:22" ht="14.25" x14ac:dyDescent="0.2">
      <c r="A1289" s="301"/>
      <c r="B1289" s="302"/>
      <c r="C1289" s="302" t="s">
        <v>193</v>
      </c>
      <c r="D1289" s="303" t="s">
        <v>187</v>
      </c>
      <c r="E1289" s="286">
        <v>70</v>
      </c>
      <c r="F1289" s="321"/>
      <c r="G1289" s="305"/>
      <c r="H1289" s="286"/>
      <c r="I1289" s="304">
        <v>46.07</v>
      </c>
      <c r="J1289" s="286">
        <v>41</v>
      </c>
      <c r="K1289" s="304">
        <v>658.28</v>
      </c>
    </row>
    <row r="1290" spans="1:22" ht="14.25" x14ac:dyDescent="0.2">
      <c r="A1290" s="301"/>
      <c r="B1290" s="302"/>
      <c r="C1290" s="302" t="s">
        <v>188</v>
      </c>
      <c r="D1290" s="303" t="s">
        <v>187</v>
      </c>
      <c r="E1290" s="286">
        <v>175</v>
      </c>
      <c r="F1290" s="321"/>
      <c r="G1290" s="305"/>
      <c r="H1290" s="286"/>
      <c r="I1290" s="304">
        <v>1.42</v>
      </c>
      <c r="J1290" s="286">
        <v>157</v>
      </c>
      <c r="K1290" s="304">
        <v>29.69</v>
      </c>
    </row>
    <row r="1291" spans="1:22" ht="14.25" x14ac:dyDescent="0.2">
      <c r="A1291" s="307"/>
      <c r="B1291" s="308"/>
      <c r="C1291" s="308" t="s">
        <v>192</v>
      </c>
      <c r="D1291" s="309" t="s">
        <v>191</v>
      </c>
      <c r="E1291" s="310">
        <v>5.15</v>
      </c>
      <c r="F1291" s="361"/>
      <c r="G1291" s="312" t="s">
        <v>1548</v>
      </c>
      <c r="H1291" s="310">
        <v>1</v>
      </c>
      <c r="I1291" s="311">
        <v>5.92</v>
      </c>
      <c r="J1291" s="310"/>
      <c r="K1291" s="311"/>
    </row>
    <row r="1292" spans="1:22" ht="15" x14ac:dyDescent="0.25">
      <c r="A1292" s="313"/>
      <c r="B1292" s="313"/>
      <c r="C1292" s="314" t="s">
        <v>183</v>
      </c>
      <c r="D1292" s="313"/>
      <c r="E1292" s="313"/>
      <c r="F1292" s="313"/>
      <c r="G1292" s="313"/>
      <c r="H1292" s="472">
        <v>221.59</v>
      </c>
      <c r="I1292" s="472"/>
      <c r="J1292" s="472">
        <v>3898.86</v>
      </c>
      <c r="K1292" s="472"/>
      <c r="O1292" s="284">
        <f>I1284+I1285+I1287+I1288+I1289+I1290</f>
        <v>221.59</v>
      </c>
      <c r="P1292" s="284">
        <f>K1284+K1285+K1287+K1288+K1289+K1290</f>
        <v>3898.86</v>
      </c>
    </row>
    <row r="1294" spans="1:22" ht="65.25" x14ac:dyDescent="0.2">
      <c r="A1294" s="301" t="s">
        <v>1534</v>
      </c>
      <c r="B1294" s="302" t="s">
        <v>1474</v>
      </c>
      <c r="C1294" s="302" t="s">
        <v>1247</v>
      </c>
      <c r="D1294" s="303" t="s">
        <v>1903</v>
      </c>
      <c r="E1294" s="286">
        <v>1</v>
      </c>
      <c r="F1294" s="321"/>
      <c r="G1294" s="305"/>
      <c r="H1294" s="286"/>
      <c r="I1294" s="304"/>
      <c r="J1294" s="286"/>
      <c r="K1294" s="304"/>
      <c r="Q1294" s="281">
        <f>[20]Source!X1321</f>
        <v>35.11</v>
      </c>
      <c r="R1294" s="281">
        <f>[20]Source!X1322</f>
        <v>647.26</v>
      </c>
      <c r="S1294" s="281">
        <f>[20]Source!Y1321</f>
        <v>20.64</v>
      </c>
      <c r="T1294" s="281">
        <f>[20]Source!Y1322</f>
        <v>294.86</v>
      </c>
      <c r="U1294" s="281">
        <f>ROUND((175/100)*ROUND([20]Source!R1321, 2), 2)</f>
        <v>0</v>
      </c>
      <c r="V1294" s="281">
        <f>ROUND((157/100)*ROUND([20]Source!R1322, 2), 2)</f>
        <v>0</v>
      </c>
    </row>
    <row r="1295" spans="1:22" ht="14.25" x14ac:dyDescent="0.2">
      <c r="A1295" s="301"/>
      <c r="B1295" s="302"/>
      <c r="C1295" s="302" t="s">
        <v>197</v>
      </c>
      <c r="D1295" s="303"/>
      <c r="E1295" s="286"/>
      <c r="F1295" s="321">
        <v>26.78</v>
      </c>
      <c r="G1295" s="305" t="s">
        <v>1548</v>
      </c>
      <c r="H1295" s="286">
        <v>1</v>
      </c>
      <c r="I1295" s="304">
        <v>30.8</v>
      </c>
      <c r="J1295" s="286">
        <v>23.35</v>
      </c>
      <c r="K1295" s="304">
        <v>719.18</v>
      </c>
    </row>
    <row r="1296" spans="1:22" ht="14.25" x14ac:dyDescent="0.2">
      <c r="A1296" s="301"/>
      <c r="B1296" s="302"/>
      <c r="C1296" s="302" t="s">
        <v>205</v>
      </c>
      <c r="D1296" s="303"/>
      <c r="E1296" s="286"/>
      <c r="F1296" s="321">
        <v>0.28000000000000003</v>
      </c>
      <c r="G1296" s="305" t="s">
        <v>195</v>
      </c>
      <c r="H1296" s="286">
        <v>1</v>
      </c>
      <c r="I1296" s="304">
        <v>0.28000000000000003</v>
      </c>
      <c r="J1296" s="286">
        <v>5.43</v>
      </c>
      <c r="K1296" s="304">
        <v>1.52</v>
      </c>
    </row>
    <row r="1297" spans="1:22" ht="14.25" x14ac:dyDescent="0.2">
      <c r="A1297" s="301"/>
      <c r="B1297" s="302"/>
      <c r="C1297" s="302" t="s">
        <v>194</v>
      </c>
      <c r="D1297" s="303" t="s">
        <v>187</v>
      </c>
      <c r="E1297" s="286">
        <v>112</v>
      </c>
      <c r="F1297" s="321"/>
      <c r="G1297" s="305"/>
      <c r="H1297" s="286"/>
      <c r="I1297" s="304">
        <v>35.11</v>
      </c>
      <c r="J1297" s="286">
        <v>90</v>
      </c>
      <c r="K1297" s="304">
        <v>647.26</v>
      </c>
    </row>
    <row r="1298" spans="1:22" ht="14.25" x14ac:dyDescent="0.2">
      <c r="A1298" s="301"/>
      <c r="B1298" s="302"/>
      <c r="C1298" s="302" t="s">
        <v>193</v>
      </c>
      <c r="D1298" s="303" t="s">
        <v>187</v>
      </c>
      <c r="E1298" s="286">
        <v>70</v>
      </c>
      <c r="F1298" s="321"/>
      <c r="G1298" s="305"/>
      <c r="H1298" s="286"/>
      <c r="I1298" s="304">
        <v>20.64</v>
      </c>
      <c r="J1298" s="286">
        <v>41</v>
      </c>
      <c r="K1298" s="304">
        <v>294.86</v>
      </c>
    </row>
    <row r="1299" spans="1:22" ht="14.25" x14ac:dyDescent="0.2">
      <c r="A1299" s="307"/>
      <c r="B1299" s="308"/>
      <c r="C1299" s="308" t="s">
        <v>192</v>
      </c>
      <c r="D1299" s="309" t="s">
        <v>191</v>
      </c>
      <c r="E1299" s="310">
        <v>2.06</v>
      </c>
      <c r="F1299" s="361"/>
      <c r="G1299" s="312" t="s">
        <v>1548</v>
      </c>
      <c r="H1299" s="310">
        <v>1</v>
      </c>
      <c r="I1299" s="311">
        <v>2.37</v>
      </c>
      <c r="J1299" s="310"/>
      <c r="K1299" s="311"/>
    </row>
    <row r="1300" spans="1:22" ht="15" x14ac:dyDescent="0.25">
      <c r="A1300" s="313"/>
      <c r="B1300" s="313"/>
      <c r="C1300" s="314" t="s">
        <v>183</v>
      </c>
      <c r="D1300" s="313"/>
      <c r="E1300" s="313"/>
      <c r="F1300" s="313"/>
      <c r="G1300" s="313"/>
      <c r="H1300" s="472">
        <v>86.83</v>
      </c>
      <c r="I1300" s="472"/>
      <c r="J1300" s="472">
        <v>1662.82</v>
      </c>
      <c r="K1300" s="472"/>
      <c r="O1300" s="284">
        <f>I1295+I1296+I1297+I1298</f>
        <v>86.83</v>
      </c>
      <c r="P1300" s="284">
        <f>K1295+K1296+K1297+K1298</f>
        <v>1662.82</v>
      </c>
    </row>
    <row r="1302" spans="1:22" ht="65.25" x14ac:dyDescent="0.2">
      <c r="A1302" s="301" t="s">
        <v>104</v>
      </c>
      <c r="B1302" s="302" t="s">
        <v>1473</v>
      </c>
      <c r="C1302" s="302" t="s">
        <v>1472</v>
      </c>
      <c r="D1302" s="303" t="s">
        <v>1903</v>
      </c>
      <c r="E1302" s="286">
        <v>1</v>
      </c>
      <c r="F1302" s="321"/>
      <c r="G1302" s="305"/>
      <c r="H1302" s="286"/>
      <c r="I1302" s="304"/>
      <c r="J1302" s="286"/>
      <c r="K1302" s="304"/>
      <c r="Q1302" s="281">
        <f>[20]Source!X1323</f>
        <v>7.62</v>
      </c>
      <c r="R1302" s="281">
        <f>[20]Source!X1324</f>
        <v>140.38</v>
      </c>
      <c r="S1302" s="281">
        <f>[20]Source!Y1323</f>
        <v>4.4800000000000004</v>
      </c>
      <c r="T1302" s="281">
        <f>[20]Source!Y1324</f>
        <v>63.95</v>
      </c>
      <c r="U1302" s="281">
        <f>ROUND((175/100)*ROUND([20]Source!R1323, 2), 2)</f>
        <v>12.09</v>
      </c>
      <c r="V1302" s="281">
        <f>ROUND((157/100)*ROUND([20]Source!R1324, 2), 2)</f>
        <v>253.32</v>
      </c>
    </row>
    <row r="1303" spans="1:22" ht="14.25" x14ac:dyDescent="0.2">
      <c r="A1303" s="301"/>
      <c r="B1303" s="302"/>
      <c r="C1303" s="302" t="s">
        <v>197</v>
      </c>
      <c r="D1303" s="303"/>
      <c r="E1303" s="286"/>
      <c r="F1303" s="321">
        <v>5.81</v>
      </c>
      <c r="G1303" s="305" t="s">
        <v>1548</v>
      </c>
      <c r="H1303" s="286">
        <v>1</v>
      </c>
      <c r="I1303" s="304">
        <v>6.68</v>
      </c>
      <c r="J1303" s="286">
        <v>23.35</v>
      </c>
      <c r="K1303" s="304">
        <v>155.97999999999999</v>
      </c>
    </row>
    <row r="1304" spans="1:22" ht="14.25" x14ac:dyDescent="0.2">
      <c r="A1304" s="301"/>
      <c r="B1304" s="302"/>
      <c r="C1304" s="302" t="s">
        <v>184</v>
      </c>
      <c r="D1304" s="303"/>
      <c r="E1304" s="286"/>
      <c r="F1304" s="321">
        <v>27.61</v>
      </c>
      <c r="G1304" s="305" t="s">
        <v>1549</v>
      </c>
      <c r="H1304" s="286">
        <v>1</v>
      </c>
      <c r="I1304" s="304">
        <v>34.51</v>
      </c>
      <c r="J1304" s="286">
        <v>8.9600000000000009</v>
      </c>
      <c r="K1304" s="304">
        <v>309.20999999999998</v>
      </c>
    </row>
    <row r="1305" spans="1:22" ht="14.25" x14ac:dyDescent="0.2">
      <c r="A1305" s="301"/>
      <c r="B1305" s="302"/>
      <c r="C1305" s="302" t="s">
        <v>189</v>
      </c>
      <c r="D1305" s="303"/>
      <c r="E1305" s="286"/>
      <c r="F1305" s="321">
        <v>5.53</v>
      </c>
      <c r="G1305" s="305" t="s">
        <v>1549</v>
      </c>
      <c r="H1305" s="286">
        <v>1</v>
      </c>
      <c r="I1305" s="306">
        <v>6.91</v>
      </c>
      <c r="J1305" s="286">
        <v>23.35</v>
      </c>
      <c r="K1305" s="306">
        <v>161.35</v>
      </c>
    </row>
    <row r="1306" spans="1:22" ht="14.25" x14ac:dyDescent="0.2">
      <c r="A1306" s="301"/>
      <c r="B1306" s="302"/>
      <c r="C1306" s="302" t="s">
        <v>205</v>
      </c>
      <c r="D1306" s="303"/>
      <c r="E1306" s="286"/>
      <c r="F1306" s="321">
        <v>1.89</v>
      </c>
      <c r="G1306" s="305" t="s">
        <v>195</v>
      </c>
      <c r="H1306" s="286">
        <v>1</v>
      </c>
      <c r="I1306" s="304">
        <v>1.89</v>
      </c>
      <c r="J1306" s="286">
        <v>5.42</v>
      </c>
      <c r="K1306" s="304">
        <v>10.24</v>
      </c>
    </row>
    <row r="1307" spans="1:22" ht="14.25" x14ac:dyDescent="0.2">
      <c r="A1307" s="301"/>
      <c r="B1307" s="302"/>
      <c r="C1307" s="302" t="s">
        <v>194</v>
      </c>
      <c r="D1307" s="303" t="s">
        <v>187</v>
      </c>
      <c r="E1307" s="286">
        <v>112</v>
      </c>
      <c r="F1307" s="321"/>
      <c r="G1307" s="305"/>
      <c r="H1307" s="286"/>
      <c r="I1307" s="304">
        <v>7.62</v>
      </c>
      <c r="J1307" s="286">
        <v>90</v>
      </c>
      <c r="K1307" s="304">
        <v>140.38</v>
      </c>
    </row>
    <row r="1308" spans="1:22" ht="14.25" x14ac:dyDescent="0.2">
      <c r="A1308" s="301"/>
      <c r="B1308" s="302"/>
      <c r="C1308" s="302" t="s">
        <v>193</v>
      </c>
      <c r="D1308" s="303" t="s">
        <v>187</v>
      </c>
      <c r="E1308" s="286">
        <v>70</v>
      </c>
      <c r="F1308" s="321"/>
      <c r="G1308" s="305"/>
      <c r="H1308" s="286"/>
      <c r="I1308" s="304">
        <v>4.4800000000000004</v>
      </c>
      <c r="J1308" s="286">
        <v>41</v>
      </c>
      <c r="K1308" s="304">
        <v>63.95</v>
      </c>
    </row>
    <row r="1309" spans="1:22" ht="14.25" x14ac:dyDescent="0.2">
      <c r="A1309" s="301"/>
      <c r="B1309" s="302"/>
      <c r="C1309" s="302" t="s">
        <v>188</v>
      </c>
      <c r="D1309" s="303" t="s">
        <v>187</v>
      </c>
      <c r="E1309" s="286">
        <v>175</v>
      </c>
      <c r="F1309" s="321"/>
      <c r="G1309" s="305"/>
      <c r="H1309" s="286"/>
      <c r="I1309" s="304">
        <v>12.09</v>
      </c>
      <c r="J1309" s="286">
        <v>157</v>
      </c>
      <c r="K1309" s="304">
        <v>253.32</v>
      </c>
    </row>
    <row r="1310" spans="1:22" ht="14.25" x14ac:dyDescent="0.2">
      <c r="A1310" s="307"/>
      <c r="B1310" s="308"/>
      <c r="C1310" s="308" t="s">
        <v>192</v>
      </c>
      <c r="D1310" s="309" t="s">
        <v>191</v>
      </c>
      <c r="E1310" s="310">
        <v>0.52</v>
      </c>
      <c r="F1310" s="361"/>
      <c r="G1310" s="312" t="s">
        <v>1548</v>
      </c>
      <c r="H1310" s="310">
        <v>1</v>
      </c>
      <c r="I1310" s="311">
        <v>0.6</v>
      </c>
      <c r="J1310" s="310"/>
      <c r="K1310" s="311"/>
    </row>
    <row r="1311" spans="1:22" ht="15" x14ac:dyDescent="0.25">
      <c r="A1311" s="313"/>
      <c r="B1311" s="313"/>
      <c r="C1311" s="314" t="s">
        <v>183</v>
      </c>
      <c r="D1311" s="313"/>
      <c r="E1311" s="313"/>
      <c r="F1311" s="313"/>
      <c r="G1311" s="313"/>
      <c r="H1311" s="472">
        <v>67.27</v>
      </c>
      <c r="I1311" s="472"/>
      <c r="J1311" s="472">
        <v>933.08</v>
      </c>
      <c r="K1311" s="472"/>
      <c r="O1311" s="284">
        <f>I1303+I1304+I1306+I1307+I1308+I1309</f>
        <v>67.27</v>
      </c>
      <c r="P1311" s="284">
        <f>K1303+K1304+K1306+K1307+K1308+K1309</f>
        <v>933.08</v>
      </c>
    </row>
    <row r="1313" spans="1:22" ht="81" x14ac:dyDescent="0.2">
      <c r="A1313" s="275" t="s">
        <v>1546</v>
      </c>
      <c r="B1313" s="276" t="s">
        <v>3752</v>
      </c>
      <c r="C1313" s="276" t="s">
        <v>1482</v>
      </c>
      <c r="D1313" s="277" t="s">
        <v>3240</v>
      </c>
      <c r="E1313" s="278">
        <v>1</v>
      </c>
      <c r="F1313" s="362">
        <v>11543.7</v>
      </c>
      <c r="G1313" s="280" t="s">
        <v>195</v>
      </c>
      <c r="H1313" s="278">
        <v>1</v>
      </c>
      <c r="I1313" s="279">
        <v>11543.7</v>
      </c>
      <c r="J1313" s="278">
        <v>4.4000000000000004</v>
      </c>
      <c r="K1313" s="279">
        <v>50792.28</v>
      </c>
      <c r="Q1313" s="281">
        <f>[20]Source!X1325</f>
        <v>0</v>
      </c>
      <c r="R1313" s="281">
        <f>[20]Source!X1326</f>
        <v>0</v>
      </c>
      <c r="S1313" s="281">
        <f>[20]Source!Y1325</f>
        <v>0</v>
      </c>
      <c r="T1313" s="281">
        <f>[20]Source!Y1326</f>
        <v>0</v>
      </c>
      <c r="U1313" s="281">
        <f>ROUND((175/100)*ROUND([20]Source!R1325, 2), 2)</f>
        <v>0</v>
      </c>
      <c r="V1313" s="281">
        <f>ROUND((157/100)*ROUND([20]Source!R1326, 2), 2)</f>
        <v>0</v>
      </c>
    </row>
    <row r="1314" spans="1:22" ht="15" x14ac:dyDescent="0.25">
      <c r="A1314" s="282"/>
      <c r="B1314" s="282"/>
      <c r="C1314" s="283" t="s">
        <v>183</v>
      </c>
      <c r="D1314" s="282"/>
      <c r="E1314" s="282"/>
      <c r="F1314" s="282"/>
      <c r="G1314" s="282"/>
      <c r="H1314" s="473">
        <v>11543.7</v>
      </c>
      <c r="I1314" s="473"/>
      <c r="J1314" s="473">
        <v>50792.28</v>
      </c>
      <c r="K1314" s="473"/>
      <c r="O1314" s="284">
        <f>I1313</f>
        <v>11543.7</v>
      </c>
      <c r="P1314" s="284">
        <f>K1313</f>
        <v>50792.28</v>
      </c>
    </row>
    <row r="1317" spans="1:22" ht="15" x14ac:dyDescent="0.25">
      <c r="A1317" s="447" t="s">
        <v>3811</v>
      </c>
      <c r="B1317" s="447"/>
      <c r="C1317" s="447"/>
      <c r="D1317" s="447"/>
      <c r="E1317" s="447"/>
      <c r="F1317" s="447"/>
      <c r="G1317" s="447"/>
      <c r="H1317" s="445">
        <v>11919.39</v>
      </c>
      <c r="I1317" s="446"/>
      <c r="J1317" s="445">
        <v>57287.040000000001</v>
      </c>
      <c r="K1317" s="446"/>
    </row>
    <row r="1318" spans="1:22" hidden="1" x14ac:dyDescent="0.2">
      <c r="A1318" s="281" t="s">
        <v>182</v>
      </c>
      <c r="I1318" s="281">
        <v>0</v>
      </c>
      <c r="J1318" s="281">
        <v>0</v>
      </c>
    </row>
    <row r="1319" spans="1:22" hidden="1" x14ac:dyDescent="0.2">
      <c r="A1319" s="281" t="s">
        <v>181</v>
      </c>
      <c r="I1319" s="281">
        <v>0</v>
      </c>
      <c r="J1319" s="281">
        <v>0</v>
      </c>
    </row>
    <row r="1321" spans="1:22" ht="16.5" x14ac:dyDescent="0.25">
      <c r="A1321" s="448" t="s">
        <v>3812</v>
      </c>
      <c r="B1321" s="448"/>
      <c r="C1321" s="448"/>
      <c r="D1321" s="448"/>
      <c r="E1321" s="448"/>
      <c r="F1321" s="448"/>
      <c r="G1321" s="448"/>
      <c r="H1321" s="448"/>
      <c r="I1321" s="448"/>
      <c r="J1321" s="448"/>
      <c r="K1321" s="448"/>
    </row>
    <row r="1322" spans="1:22" ht="65.25" x14ac:dyDescent="0.2">
      <c r="A1322" s="301" t="s">
        <v>719</v>
      </c>
      <c r="B1322" s="302" t="s">
        <v>1476</v>
      </c>
      <c r="C1322" s="302" t="s">
        <v>1475</v>
      </c>
      <c r="D1322" s="303" t="s">
        <v>1903</v>
      </c>
      <c r="E1322" s="286">
        <v>1</v>
      </c>
      <c r="F1322" s="321"/>
      <c r="G1322" s="305"/>
      <c r="H1322" s="286"/>
      <c r="I1322" s="304"/>
      <c r="J1322" s="286"/>
      <c r="K1322" s="304"/>
      <c r="Q1322" s="281">
        <f>[20]Source!X1362</f>
        <v>78.39</v>
      </c>
      <c r="R1322" s="281">
        <f>[20]Source!X1363</f>
        <v>1445</v>
      </c>
      <c r="S1322" s="281">
        <f>[20]Source!Y1362</f>
        <v>46.07</v>
      </c>
      <c r="T1322" s="281">
        <f>[20]Source!Y1363</f>
        <v>658.28</v>
      </c>
      <c r="U1322" s="281">
        <f>ROUND((175/100)*ROUND([20]Source!R1362, 2), 2)</f>
        <v>1.42</v>
      </c>
      <c r="V1322" s="281">
        <f>ROUND((157/100)*ROUND([20]Source!R1363, 2), 2)</f>
        <v>29.69</v>
      </c>
    </row>
    <row r="1323" spans="1:22" ht="14.25" x14ac:dyDescent="0.2">
      <c r="A1323" s="301"/>
      <c r="B1323" s="302"/>
      <c r="C1323" s="302" t="s">
        <v>197</v>
      </c>
      <c r="D1323" s="303"/>
      <c r="E1323" s="286"/>
      <c r="F1323" s="321">
        <v>59.79</v>
      </c>
      <c r="G1323" s="305" t="s">
        <v>1548</v>
      </c>
      <c r="H1323" s="286">
        <v>1</v>
      </c>
      <c r="I1323" s="304">
        <v>68.760000000000005</v>
      </c>
      <c r="J1323" s="286">
        <v>23.35</v>
      </c>
      <c r="K1323" s="304">
        <v>1605.55</v>
      </c>
    </row>
    <row r="1324" spans="1:22" ht="14.25" x14ac:dyDescent="0.2">
      <c r="A1324" s="301"/>
      <c r="B1324" s="302"/>
      <c r="C1324" s="302" t="s">
        <v>184</v>
      </c>
      <c r="D1324" s="303"/>
      <c r="E1324" s="286"/>
      <c r="F1324" s="321">
        <v>4.42</v>
      </c>
      <c r="G1324" s="305" t="s">
        <v>1549</v>
      </c>
      <c r="H1324" s="286">
        <v>1</v>
      </c>
      <c r="I1324" s="304">
        <v>5.53</v>
      </c>
      <c r="J1324" s="286">
        <v>8</v>
      </c>
      <c r="K1324" s="304">
        <v>44.24</v>
      </c>
    </row>
    <row r="1325" spans="1:22" ht="14.25" x14ac:dyDescent="0.2">
      <c r="A1325" s="301"/>
      <c r="B1325" s="302"/>
      <c r="C1325" s="302" t="s">
        <v>189</v>
      </c>
      <c r="D1325" s="303"/>
      <c r="E1325" s="286"/>
      <c r="F1325" s="321">
        <v>0.65</v>
      </c>
      <c r="G1325" s="305" t="s">
        <v>1549</v>
      </c>
      <c r="H1325" s="286">
        <v>1</v>
      </c>
      <c r="I1325" s="306">
        <v>0.81</v>
      </c>
      <c r="J1325" s="286">
        <v>23.35</v>
      </c>
      <c r="K1325" s="306">
        <v>18.91</v>
      </c>
    </row>
    <row r="1326" spans="1:22" ht="14.25" x14ac:dyDescent="0.2">
      <c r="A1326" s="301"/>
      <c r="B1326" s="302"/>
      <c r="C1326" s="302" t="s">
        <v>205</v>
      </c>
      <c r="D1326" s="303"/>
      <c r="E1326" s="286"/>
      <c r="F1326" s="321">
        <v>21.42</v>
      </c>
      <c r="G1326" s="305" t="s">
        <v>195</v>
      </c>
      <c r="H1326" s="286">
        <v>1</v>
      </c>
      <c r="I1326" s="304">
        <v>21.42</v>
      </c>
      <c r="J1326" s="286">
        <v>5.42</v>
      </c>
      <c r="K1326" s="304">
        <v>116.1</v>
      </c>
    </row>
    <row r="1327" spans="1:22" ht="14.25" x14ac:dyDescent="0.2">
      <c r="A1327" s="301"/>
      <c r="B1327" s="302"/>
      <c r="C1327" s="302" t="s">
        <v>194</v>
      </c>
      <c r="D1327" s="303" t="s">
        <v>187</v>
      </c>
      <c r="E1327" s="286">
        <v>112</v>
      </c>
      <c r="F1327" s="321"/>
      <c r="G1327" s="305"/>
      <c r="H1327" s="286"/>
      <c r="I1327" s="304">
        <v>78.39</v>
      </c>
      <c r="J1327" s="286">
        <v>90</v>
      </c>
      <c r="K1327" s="304">
        <v>1445</v>
      </c>
    </row>
    <row r="1328" spans="1:22" ht="14.25" x14ac:dyDescent="0.2">
      <c r="A1328" s="301"/>
      <c r="B1328" s="302"/>
      <c r="C1328" s="302" t="s">
        <v>193</v>
      </c>
      <c r="D1328" s="303" t="s">
        <v>187</v>
      </c>
      <c r="E1328" s="286">
        <v>70</v>
      </c>
      <c r="F1328" s="321"/>
      <c r="G1328" s="305"/>
      <c r="H1328" s="286"/>
      <c r="I1328" s="304">
        <v>46.07</v>
      </c>
      <c r="J1328" s="286">
        <v>41</v>
      </c>
      <c r="K1328" s="304">
        <v>658.28</v>
      </c>
    </row>
    <row r="1329" spans="1:22" ht="14.25" x14ac:dyDescent="0.2">
      <c r="A1329" s="301"/>
      <c r="B1329" s="302"/>
      <c r="C1329" s="302" t="s">
        <v>188</v>
      </c>
      <c r="D1329" s="303" t="s">
        <v>187</v>
      </c>
      <c r="E1329" s="286">
        <v>175</v>
      </c>
      <c r="F1329" s="321"/>
      <c r="G1329" s="305"/>
      <c r="H1329" s="286"/>
      <c r="I1329" s="304">
        <v>1.42</v>
      </c>
      <c r="J1329" s="286">
        <v>157</v>
      </c>
      <c r="K1329" s="304">
        <v>29.69</v>
      </c>
    </row>
    <row r="1330" spans="1:22" ht="14.25" x14ac:dyDescent="0.2">
      <c r="A1330" s="307"/>
      <c r="B1330" s="308"/>
      <c r="C1330" s="308" t="s">
        <v>192</v>
      </c>
      <c r="D1330" s="309" t="s">
        <v>191</v>
      </c>
      <c r="E1330" s="310">
        <v>5.15</v>
      </c>
      <c r="F1330" s="361"/>
      <c r="G1330" s="312" t="s">
        <v>1548</v>
      </c>
      <c r="H1330" s="310">
        <v>1</v>
      </c>
      <c r="I1330" s="311">
        <v>5.92</v>
      </c>
      <c r="J1330" s="310"/>
      <c r="K1330" s="311"/>
    </row>
    <row r="1331" spans="1:22" ht="15" x14ac:dyDescent="0.25">
      <c r="A1331" s="313"/>
      <c r="B1331" s="313"/>
      <c r="C1331" s="314" t="s">
        <v>183</v>
      </c>
      <c r="D1331" s="313"/>
      <c r="E1331" s="313"/>
      <c r="F1331" s="313"/>
      <c r="G1331" s="313"/>
      <c r="H1331" s="472">
        <v>221.59</v>
      </c>
      <c r="I1331" s="472"/>
      <c r="J1331" s="472">
        <v>3898.86</v>
      </c>
      <c r="K1331" s="472"/>
      <c r="O1331" s="284">
        <f>I1323+I1324+I1326+I1327+I1328+I1329</f>
        <v>221.59</v>
      </c>
      <c r="P1331" s="284">
        <f>K1323+K1324+K1326+K1327+K1328+K1329</f>
        <v>3898.86</v>
      </c>
    </row>
    <row r="1333" spans="1:22" ht="65.25" x14ac:dyDescent="0.2">
      <c r="A1333" s="301" t="s">
        <v>1534</v>
      </c>
      <c r="B1333" s="302" t="s">
        <v>1474</v>
      </c>
      <c r="C1333" s="302" t="s">
        <v>1247</v>
      </c>
      <c r="D1333" s="303" t="s">
        <v>1903</v>
      </c>
      <c r="E1333" s="286">
        <v>1</v>
      </c>
      <c r="F1333" s="321"/>
      <c r="G1333" s="305"/>
      <c r="H1333" s="286"/>
      <c r="I1333" s="304"/>
      <c r="J1333" s="286"/>
      <c r="K1333" s="304"/>
      <c r="Q1333" s="281">
        <f>[20]Source!X1364</f>
        <v>35.11</v>
      </c>
      <c r="R1333" s="281">
        <f>[20]Source!X1365</f>
        <v>647.26</v>
      </c>
      <c r="S1333" s="281">
        <f>[20]Source!Y1364</f>
        <v>20.64</v>
      </c>
      <c r="T1333" s="281">
        <f>[20]Source!Y1365</f>
        <v>294.86</v>
      </c>
      <c r="U1333" s="281">
        <f>ROUND((175/100)*ROUND([20]Source!R1364, 2), 2)</f>
        <v>0</v>
      </c>
      <c r="V1333" s="281">
        <f>ROUND((157/100)*ROUND([20]Source!R1365, 2), 2)</f>
        <v>0</v>
      </c>
    </row>
    <row r="1334" spans="1:22" ht="14.25" x14ac:dyDescent="0.2">
      <c r="A1334" s="301"/>
      <c r="B1334" s="302"/>
      <c r="C1334" s="302" t="s">
        <v>197</v>
      </c>
      <c r="D1334" s="303"/>
      <c r="E1334" s="286"/>
      <c r="F1334" s="321">
        <v>26.78</v>
      </c>
      <c r="G1334" s="305" t="s">
        <v>1548</v>
      </c>
      <c r="H1334" s="286">
        <v>1</v>
      </c>
      <c r="I1334" s="304">
        <v>30.8</v>
      </c>
      <c r="J1334" s="286">
        <v>23.35</v>
      </c>
      <c r="K1334" s="304">
        <v>719.18</v>
      </c>
    </row>
    <row r="1335" spans="1:22" ht="14.25" x14ac:dyDescent="0.2">
      <c r="A1335" s="301"/>
      <c r="B1335" s="302"/>
      <c r="C1335" s="302" t="s">
        <v>205</v>
      </c>
      <c r="D1335" s="303"/>
      <c r="E1335" s="286"/>
      <c r="F1335" s="321">
        <v>0.28000000000000003</v>
      </c>
      <c r="G1335" s="305" t="s">
        <v>195</v>
      </c>
      <c r="H1335" s="286">
        <v>1</v>
      </c>
      <c r="I1335" s="304">
        <v>0.28000000000000003</v>
      </c>
      <c r="J1335" s="286">
        <v>5.43</v>
      </c>
      <c r="K1335" s="304">
        <v>1.52</v>
      </c>
    </row>
    <row r="1336" spans="1:22" ht="14.25" x14ac:dyDescent="0.2">
      <c r="A1336" s="301"/>
      <c r="B1336" s="302"/>
      <c r="C1336" s="302" t="s">
        <v>194</v>
      </c>
      <c r="D1336" s="303" t="s">
        <v>187</v>
      </c>
      <c r="E1336" s="286">
        <v>112</v>
      </c>
      <c r="F1336" s="321"/>
      <c r="G1336" s="305"/>
      <c r="H1336" s="286"/>
      <c r="I1336" s="304">
        <v>35.11</v>
      </c>
      <c r="J1336" s="286">
        <v>90</v>
      </c>
      <c r="K1336" s="304">
        <v>647.26</v>
      </c>
    </row>
    <row r="1337" spans="1:22" ht="14.25" x14ac:dyDescent="0.2">
      <c r="A1337" s="301"/>
      <c r="B1337" s="302"/>
      <c r="C1337" s="302" t="s">
        <v>193</v>
      </c>
      <c r="D1337" s="303" t="s">
        <v>187</v>
      </c>
      <c r="E1337" s="286">
        <v>70</v>
      </c>
      <c r="F1337" s="321"/>
      <c r="G1337" s="305"/>
      <c r="H1337" s="286"/>
      <c r="I1337" s="304">
        <v>20.64</v>
      </c>
      <c r="J1337" s="286">
        <v>41</v>
      </c>
      <c r="K1337" s="304">
        <v>294.86</v>
      </c>
    </row>
    <row r="1338" spans="1:22" ht="14.25" x14ac:dyDescent="0.2">
      <c r="A1338" s="307"/>
      <c r="B1338" s="308"/>
      <c r="C1338" s="308" t="s">
        <v>192</v>
      </c>
      <c r="D1338" s="309" t="s">
        <v>191</v>
      </c>
      <c r="E1338" s="310">
        <v>2.06</v>
      </c>
      <c r="F1338" s="361"/>
      <c r="G1338" s="312" t="s">
        <v>1548</v>
      </c>
      <c r="H1338" s="310">
        <v>1</v>
      </c>
      <c r="I1338" s="311">
        <v>2.37</v>
      </c>
      <c r="J1338" s="310"/>
      <c r="K1338" s="311"/>
    </row>
    <row r="1339" spans="1:22" ht="15" x14ac:dyDescent="0.25">
      <c r="A1339" s="313"/>
      <c r="B1339" s="313"/>
      <c r="C1339" s="314" t="s">
        <v>183</v>
      </c>
      <c r="D1339" s="313"/>
      <c r="E1339" s="313"/>
      <c r="F1339" s="313"/>
      <c r="G1339" s="313"/>
      <c r="H1339" s="472">
        <v>86.83</v>
      </c>
      <c r="I1339" s="472"/>
      <c r="J1339" s="472">
        <v>1662.82</v>
      </c>
      <c r="K1339" s="472"/>
      <c r="O1339" s="284">
        <f>I1334+I1335+I1336+I1337</f>
        <v>86.83</v>
      </c>
      <c r="P1339" s="284">
        <f>K1334+K1335+K1336+K1337</f>
        <v>1662.82</v>
      </c>
    </row>
    <row r="1341" spans="1:22" ht="65.25" x14ac:dyDescent="0.2">
      <c r="A1341" s="301" t="s">
        <v>104</v>
      </c>
      <c r="B1341" s="302" t="s">
        <v>1473</v>
      </c>
      <c r="C1341" s="302" t="s">
        <v>1472</v>
      </c>
      <c r="D1341" s="303" t="s">
        <v>1903</v>
      </c>
      <c r="E1341" s="286">
        <v>1</v>
      </c>
      <c r="F1341" s="321"/>
      <c r="G1341" s="305"/>
      <c r="H1341" s="286"/>
      <c r="I1341" s="304"/>
      <c r="J1341" s="286"/>
      <c r="K1341" s="304"/>
      <c r="Q1341" s="281">
        <f>[20]Source!X1366</f>
        <v>7.62</v>
      </c>
      <c r="R1341" s="281">
        <f>[20]Source!X1367</f>
        <v>140.38</v>
      </c>
      <c r="S1341" s="281">
        <f>[20]Source!Y1366</f>
        <v>4.4800000000000004</v>
      </c>
      <c r="T1341" s="281">
        <f>[20]Source!Y1367</f>
        <v>63.95</v>
      </c>
      <c r="U1341" s="281">
        <f>ROUND((175/100)*ROUND([20]Source!R1366, 2), 2)</f>
        <v>12.09</v>
      </c>
      <c r="V1341" s="281">
        <f>ROUND((157/100)*ROUND([20]Source!R1367, 2), 2)</f>
        <v>253.32</v>
      </c>
    </row>
    <row r="1342" spans="1:22" ht="14.25" x14ac:dyDescent="0.2">
      <c r="A1342" s="301"/>
      <c r="B1342" s="302"/>
      <c r="C1342" s="302" t="s">
        <v>197</v>
      </c>
      <c r="D1342" s="303"/>
      <c r="E1342" s="286"/>
      <c r="F1342" s="321">
        <v>5.81</v>
      </c>
      <c r="G1342" s="305" t="s">
        <v>1548</v>
      </c>
      <c r="H1342" s="286">
        <v>1</v>
      </c>
      <c r="I1342" s="304">
        <v>6.68</v>
      </c>
      <c r="J1342" s="286">
        <v>23.35</v>
      </c>
      <c r="K1342" s="304">
        <v>155.97999999999999</v>
      </c>
    </row>
    <row r="1343" spans="1:22" ht="14.25" x14ac:dyDescent="0.2">
      <c r="A1343" s="301"/>
      <c r="B1343" s="302"/>
      <c r="C1343" s="302" t="s">
        <v>184</v>
      </c>
      <c r="D1343" s="303"/>
      <c r="E1343" s="286"/>
      <c r="F1343" s="321">
        <v>27.61</v>
      </c>
      <c r="G1343" s="305" t="s">
        <v>1549</v>
      </c>
      <c r="H1343" s="286">
        <v>1</v>
      </c>
      <c r="I1343" s="304">
        <v>34.51</v>
      </c>
      <c r="J1343" s="286">
        <v>8.9600000000000009</v>
      </c>
      <c r="K1343" s="304">
        <v>309.20999999999998</v>
      </c>
    </row>
    <row r="1344" spans="1:22" ht="14.25" x14ac:dyDescent="0.2">
      <c r="A1344" s="301"/>
      <c r="B1344" s="302"/>
      <c r="C1344" s="302" t="s">
        <v>189</v>
      </c>
      <c r="D1344" s="303"/>
      <c r="E1344" s="286"/>
      <c r="F1344" s="321">
        <v>5.53</v>
      </c>
      <c r="G1344" s="305" t="s">
        <v>1549</v>
      </c>
      <c r="H1344" s="286">
        <v>1</v>
      </c>
      <c r="I1344" s="306">
        <v>6.91</v>
      </c>
      <c r="J1344" s="286">
        <v>23.35</v>
      </c>
      <c r="K1344" s="306">
        <v>161.35</v>
      </c>
    </row>
    <row r="1345" spans="1:22" ht="14.25" x14ac:dyDescent="0.2">
      <c r="A1345" s="301"/>
      <c r="B1345" s="302"/>
      <c r="C1345" s="302" t="s">
        <v>205</v>
      </c>
      <c r="D1345" s="303"/>
      <c r="E1345" s="286"/>
      <c r="F1345" s="321">
        <v>1.89</v>
      </c>
      <c r="G1345" s="305" t="s">
        <v>195</v>
      </c>
      <c r="H1345" s="286">
        <v>1</v>
      </c>
      <c r="I1345" s="304">
        <v>1.89</v>
      </c>
      <c r="J1345" s="286">
        <v>5.42</v>
      </c>
      <c r="K1345" s="304">
        <v>10.24</v>
      </c>
    </row>
    <row r="1346" spans="1:22" ht="14.25" x14ac:dyDescent="0.2">
      <c r="A1346" s="301"/>
      <c r="B1346" s="302"/>
      <c r="C1346" s="302" t="s">
        <v>194</v>
      </c>
      <c r="D1346" s="303" t="s">
        <v>187</v>
      </c>
      <c r="E1346" s="286">
        <v>112</v>
      </c>
      <c r="F1346" s="321"/>
      <c r="G1346" s="305"/>
      <c r="H1346" s="286"/>
      <c r="I1346" s="304">
        <v>7.62</v>
      </c>
      <c r="J1346" s="286">
        <v>90</v>
      </c>
      <c r="K1346" s="304">
        <v>140.38</v>
      </c>
    </row>
    <row r="1347" spans="1:22" ht="14.25" x14ac:dyDescent="0.2">
      <c r="A1347" s="301"/>
      <c r="B1347" s="302"/>
      <c r="C1347" s="302" t="s">
        <v>193</v>
      </c>
      <c r="D1347" s="303" t="s">
        <v>187</v>
      </c>
      <c r="E1347" s="286">
        <v>70</v>
      </c>
      <c r="F1347" s="321"/>
      <c r="G1347" s="305"/>
      <c r="H1347" s="286"/>
      <c r="I1347" s="304">
        <v>4.4800000000000004</v>
      </c>
      <c r="J1347" s="286">
        <v>41</v>
      </c>
      <c r="K1347" s="304">
        <v>63.95</v>
      </c>
    </row>
    <row r="1348" spans="1:22" ht="14.25" x14ac:dyDescent="0.2">
      <c r="A1348" s="301"/>
      <c r="B1348" s="302"/>
      <c r="C1348" s="302" t="s">
        <v>188</v>
      </c>
      <c r="D1348" s="303" t="s">
        <v>187</v>
      </c>
      <c r="E1348" s="286">
        <v>175</v>
      </c>
      <c r="F1348" s="321"/>
      <c r="G1348" s="305"/>
      <c r="H1348" s="286"/>
      <c r="I1348" s="304">
        <v>12.09</v>
      </c>
      <c r="J1348" s="286">
        <v>157</v>
      </c>
      <c r="K1348" s="304">
        <v>253.32</v>
      </c>
    </row>
    <row r="1349" spans="1:22" ht="14.25" x14ac:dyDescent="0.2">
      <c r="A1349" s="307"/>
      <c r="B1349" s="308"/>
      <c r="C1349" s="308" t="s">
        <v>192</v>
      </c>
      <c r="D1349" s="309" t="s">
        <v>191</v>
      </c>
      <c r="E1349" s="310">
        <v>0.52</v>
      </c>
      <c r="F1349" s="361"/>
      <c r="G1349" s="312" t="s">
        <v>1548</v>
      </c>
      <c r="H1349" s="310">
        <v>1</v>
      </c>
      <c r="I1349" s="311">
        <v>0.6</v>
      </c>
      <c r="J1349" s="310"/>
      <c r="K1349" s="311"/>
    </row>
    <row r="1350" spans="1:22" ht="15" x14ac:dyDescent="0.25">
      <c r="A1350" s="313"/>
      <c r="B1350" s="313"/>
      <c r="C1350" s="314" t="s">
        <v>183</v>
      </c>
      <c r="D1350" s="313"/>
      <c r="E1350" s="313"/>
      <c r="F1350" s="313"/>
      <c r="G1350" s="313"/>
      <c r="H1350" s="472">
        <v>67.27</v>
      </c>
      <c r="I1350" s="472"/>
      <c r="J1350" s="472">
        <v>933.08</v>
      </c>
      <c r="K1350" s="472"/>
      <c r="O1350" s="284">
        <f>I1342+I1343+I1345+I1346+I1347+I1348</f>
        <v>67.27</v>
      </c>
      <c r="P1350" s="284">
        <f>K1342+K1343+K1345+K1346+K1347+K1348</f>
        <v>933.08</v>
      </c>
    </row>
    <row r="1352" spans="1:22" ht="81" x14ac:dyDescent="0.2">
      <c r="A1352" s="275" t="s">
        <v>1546</v>
      </c>
      <c r="B1352" s="276" t="s">
        <v>3752</v>
      </c>
      <c r="C1352" s="276" t="s">
        <v>1481</v>
      </c>
      <c r="D1352" s="277" t="s">
        <v>3240</v>
      </c>
      <c r="E1352" s="278">
        <v>1</v>
      </c>
      <c r="F1352" s="362">
        <v>11543.7</v>
      </c>
      <c r="G1352" s="280" t="s">
        <v>195</v>
      </c>
      <c r="H1352" s="278">
        <v>1</v>
      </c>
      <c r="I1352" s="279">
        <v>11543.7</v>
      </c>
      <c r="J1352" s="278">
        <v>4.4000000000000004</v>
      </c>
      <c r="K1352" s="279">
        <v>50792.28</v>
      </c>
      <c r="Q1352" s="281">
        <f>[20]Source!X1368</f>
        <v>0</v>
      </c>
      <c r="R1352" s="281">
        <f>[20]Source!X1369</f>
        <v>0</v>
      </c>
      <c r="S1352" s="281">
        <f>[20]Source!Y1368</f>
        <v>0</v>
      </c>
      <c r="T1352" s="281">
        <f>[20]Source!Y1369</f>
        <v>0</v>
      </c>
      <c r="U1352" s="281">
        <f>ROUND((175/100)*ROUND([20]Source!R1368, 2), 2)</f>
        <v>0</v>
      </c>
      <c r="V1352" s="281">
        <f>ROUND((157/100)*ROUND([20]Source!R1369, 2), 2)</f>
        <v>0</v>
      </c>
    </row>
    <row r="1353" spans="1:22" ht="15" x14ac:dyDescent="0.25">
      <c r="A1353" s="282"/>
      <c r="B1353" s="282"/>
      <c r="C1353" s="283" t="s">
        <v>183</v>
      </c>
      <c r="D1353" s="282"/>
      <c r="E1353" s="282"/>
      <c r="F1353" s="282"/>
      <c r="G1353" s="282"/>
      <c r="H1353" s="473">
        <v>11543.7</v>
      </c>
      <c r="I1353" s="473"/>
      <c r="J1353" s="473">
        <v>50792.28</v>
      </c>
      <c r="K1353" s="473"/>
      <c r="O1353" s="284">
        <f>I1352</f>
        <v>11543.7</v>
      </c>
      <c r="P1353" s="284">
        <f>K1352</f>
        <v>50792.28</v>
      </c>
    </row>
    <row r="1356" spans="1:22" ht="15" x14ac:dyDescent="0.25">
      <c r="A1356" s="447" t="s">
        <v>3813</v>
      </c>
      <c r="B1356" s="447"/>
      <c r="C1356" s="447"/>
      <c r="D1356" s="447"/>
      <c r="E1356" s="447"/>
      <c r="F1356" s="447"/>
      <c r="G1356" s="447"/>
      <c r="H1356" s="445">
        <v>11919.39</v>
      </c>
      <c r="I1356" s="446"/>
      <c r="J1356" s="445">
        <v>57287.040000000001</v>
      </c>
      <c r="K1356" s="446"/>
    </row>
    <row r="1357" spans="1:22" hidden="1" x14ac:dyDescent="0.2">
      <c r="A1357" s="281" t="s">
        <v>182</v>
      </c>
      <c r="I1357" s="281">
        <v>0</v>
      </c>
      <c r="J1357" s="281">
        <v>0</v>
      </c>
    </row>
    <row r="1358" spans="1:22" hidden="1" x14ac:dyDescent="0.2">
      <c r="A1358" s="281" t="s">
        <v>181</v>
      </c>
      <c r="I1358" s="281">
        <v>0</v>
      </c>
      <c r="J1358" s="281">
        <v>0</v>
      </c>
    </row>
    <row r="1360" spans="1:22" ht="16.5" x14ac:dyDescent="0.25">
      <c r="A1360" s="448" t="s">
        <v>3814</v>
      </c>
      <c r="B1360" s="448"/>
      <c r="C1360" s="448"/>
      <c r="D1360" s="448"/>
      <c r="E1360" s="448"/>
      <c r="F1360" s="448"/>
      <c r="G1360" s="448"/>
      <c r="H1360" s="448"/>
      <c r="I1360" s="448"/>
      <c r="J1360" s="448"/>
      <c r="K1360" s="448"/>
    </row>
    <row r="1361" spans="1:22" ht="65.25" x14ac:dyDescent="0.2">
      <c r="A1361" s="301" t="s">
        <v>719</v>
      </c>
      <c r="B1361" s="302" t="s">
        <v>1476</v>
      </c>
      <c r="C1361" s="302" t="s">
        <v>1475</v>
      </c>
      <c r="D1361" s="303" t="s">
        <v>1903</v>
      </c>
      <c r="E1361" s="286">
        <v>1</v>
      </c>
      <c r="F1361" s="321"/>
      <c r="G1361" s="305"/>
      <c r="H1361" s="286"/>
      <c r="I1361" s="304"/>
      <c r="J1361" s="286"/>
      <c r="K1361" s="304"/>
      <c r="Q1361" s="281">
        <f>[20]Source!X1405</f>
        <v>78.39</v>
      </c>
      <c r="R1361" s="281">
        <f>[20]Source!X1406</f>
        <v>1445</v>
      </c>
      <c r="S1361" s="281">
        <f>[20]Source!Y1405</f>
        <v>46.07</v>
      </c>
      <c r="T1361" s="281">
        <f>[20]Source!Y1406</f>
        <v>658.28</v>
      </c>
      <c r="U1361" s="281">
        <f>ROUND((175/100)*ROUND([20]Source!R1405, 2), 2)</f>
        <v>1.42</v>
      </c>
      <c r="V1361" s="281">
        <f>ROUND((157/100)*ROUND([20]Source!R1406, 2), 2)</f>
        <v>29.69</v>
      </c>
    </row>
    <row r="1362" spans="1:22" ht="14.25" x14ac:dyDescent="0.2">
      <c r="A1362" s="301"/>
      <c r="B1362" s="302"/>
      <c r="C1362" s="302" t="s">
        <v>197</v>
      </c>
      <c r="D1362" s="303"/>
      <c r="E1362" s="286"/>
      <c r="F1362" s="321">
        <v>59.79</v>
      </c>
      <c r="G1362" s="305" t="s">
        <v>1548</v>
      </c>
      <c r="H1362" s="286">
        <v>1</v>
      </c>
      <c r="I1362" s="304">
        <v>68.760000000000005</v>
      </c>
      <c r="J1362" s="286">
        <v>23.35</v>
      </c>
      <c r="K1362" s="304">
        <v>1605.55</v>
      </c>
    </row>
    <row r="1363" spans="1:22" ht="14.25" x14ac:dyDescent="0.2">
      <c r="A1363" s="301"/>
      <c r="B1363" s="302"/>
      <c r="C1363" s="302" t="s">
        <v>184</v>
      </c>
      <c r="D1363" s="303"/>
      <c r="E1363" s="286"/>
      <c r="F1363" s="321">
        <v>4.42</v>
      </c>
      <c r="G1363" s="305" t="s">
        <v>1549</v>
      </c>
      <c r="H1363" s="286">
        <v>1</v>
      </c>
      <c r="I1363" s="304">
        <v>5.53</v>
      </c>
      <c r="J1363" s="286">
        <v>8</v>
      </c>
      <c r="K1363" s="304">
        <v>44.24</v>
      </c>
    </row>
    <row r="1364" spans="1:22" ht="14.25" x14ac:dyDescent="0.2">
      <c r="A1364" s="301"/>
      <c r="B1364" s="302"/>
      <c r="C1364" s="302" t="s">
        <v>189</v>
      </c>
      <c r="D1364" s="303"/>
      <c r="E1364" s="286"/>
      <c r="F1364" s="321">
        <v>0.65</v>
      </c>
      <c r="G1364" s="305" t="s">
        <v>1549</v>
      </c>
      <c r="H1364" s="286">
        <v>1</v>
      </c>
      <c r="I1364" s="306">
        <v>0.81</v>
      </c>
      <c r="J1364" s="286">
        <v>23.35</v>
      </c>
      <c r="K1364" s="306">
        <v>18.91</v>
      </c>
    </row>
    <row r="1365" spans="1:22" ht="14.25" x14ac:dyDescent="0.2">
      <c r="A1365" s="301"/>
      <c r="B1365" s="302"/>
      <c r="C1365" s="302" t="s">
        <v>205</v>
      </c>
      <c r="D1365" s="303"/>
      <c r="E1365" s="286"/>
      <c r="F1365" s="321">
        <v>21.42</v>
      </c>
      <c r="G1365" s="305" t="s">
        <v>195</v>
      </c>
      <c r="H1365" s="286">
        <v>1</v>
      </c>
      <c r="I1365" s="304">
        <v>21.42</v>
      </c>
      <c r="J1365" s="286">
        <v>5.42</v>
      </c>
      <c r="K1365" s="304">
        <v>116.1</v>
      </c>
    </row>
    <row r="1366" spans="1:22" ht="14.25" x14ac:dyDescent="0.2">
      <c r="A1366" s="301"/>
      <c r="B1366" s="302"/>
      <c r="C1366" s="302" t="s">
        <v>194</v>
      </c>
      <c r="D1366" s="303" t="s">
        <v>187</v>
      </c>
      <c r="E1366" s="286">
        <v>112</v>
      </c>
      <c r="F1366" s="321"/>
      <c r="G1366" s="305"/>
      <c r="H1366" s="286"/>
      <c r="I1366" s="304">
        <v>78.39</v>
      </c>
      <c r="J1366" s="286">
        <v>90</v>
      </c>
      <c r="K1366" s="304">
        <v>1445</v>
      </c>
    </row>
    <row r="1367" spans="1:22" ht="14.25" x14ac:dyDescent="0.2">
      <c r="A1367" s="301"/>
      <c r="B1367" s="302"/>
      <c r="C1367" s="302" t="s">
        <v>193</v>
      </c>
      <c r="D1367" s="303" t="s">
        <v>187</v>
      </c>
      <c r="E1367" s="286">
        <v>70</v>
      </c>
      <c r="F1367" s="321"/>
      <c r="G1367" s="305"/>
      <c r="H1367" s="286"/>
      <c r="I1367" s="304">
        <v>46.07</v>
      </c>
      <c r="J1367" s="286">
        <v>41</v>
      </c>
      <c r="K1367" s="304">
        <v>658.28</v>
      </c>
    </row>
    <row r="1368" spans="1:22" ht="14.25" x14ac:dyDescent="0.2">
      <c r="A1368" s="301"/>
      <c r="B1368" s="302"/>
      <c r="C1368" s="302" t="s">
        <v>188</v>
      </c>
      <c r="D1368" s="303" t="s">
        <v>187</v>
      </c>
      <c r="E1368" s="286">
        <v>175</v>
      </c>
      <c r="F1368" s="321"/>
      <c r="G1368" s="305"/>
      <c r="H1368" s="286"/>
      <c r="I1368" s="304">
        <v>1.42</v>
      </c>
      <c r="J1368" s="286">
        <v>157</v>
      </c>
      <c r="K1368" s="304">
        <v>29.69</v>
      </c>
    </row>
    <row r="1369" spans="1:22" ht="14.25" x14ac:dyDescent="0.2">
      <c r="A1369" s="307"/>
      <c r="B1369" s="308"/>
      <c r="C1369" s="308" t="s">
        <v>192</v>
      </c>
      <c r="D1369" s="309" t="s">
        <v>191</v>
      </c>
      <c r="E1369" s="310">
        <v>5.15</v>
      </c>
      <c r="F1369" s="361"/>
      <c r="G1369" s="312" t="s">
        <v>1548</v>
      </c>
      <c r="H1369" s="310">
        <v>1</v>
      </c>
      <c r="I1369" s="311">
        <v>5.92</v>
      </c>
      <c r="J1369" s="310"/>
      <c r="K1369" s="311"/>
    </row>
    <row r="1370" spans="1:22" ht="15" x14ac:dyDescent="0.25">
      <c r="A1370" s="313"/>
      <c r="B1370" s="313"/>
      <c r="C1370" s="314" t="s">
        <v>183</v>
      </c>
      <c r="D1370" s="313"/>
      <c r="E1370" s="313"/>
      <c r="F1370" s="313"/>
      <c r="G1370" s="313"/>
      <c r="H1370" s="472">
        <v>221.59</v>
      </c>
      <c r="I1370" s="472"/>
      <c r="J1370" s="472">
        <v>3898.86</v>
      </c>
      <c r="K1370" s="472"/>
      <c r="O1370" s="284">
        <f>I1362+I1363+I1365+I1366+I1367+I1368</f>
        <v>221.59</v>
      </c>
      <c r="P1370" s="284">
        <f>K1362+K1363+K1365+K1366+K1367+K1368</f>
        <v>3898.86</v>
      </c>
    </row>
    <row r="1372" spans="1:22" ht="65.25" x14ac:dyDescent="0.2">
      <c r="A1372" s="301" t="s">
        <v>1534</v>
      </c>
      <c r="B1372" s="302" t="s">
        <v>1474</v>
      </c>
      <c r="C1372" s="302" t="s">
        <v>1247</v>
      </c>
      <c r="D1372" s="303" t="s">
        <v>1903</v>
      </c>
      <c r="E1372" s="286">
        <v>1</v>
      </c>
      <c r="F1372" s="321"/>
      <c r="G1372" s="305"/>
      <c r="H1372" s="286"/>
      <c r="I1372" s="304"/>
      <c r="J1372" s="286"/>
      <c r="K1372" s="304"/>
      <c r="Q1372" s="281">
        <f>[20]Source!X1407</f>
        <v>35.11</v>
      </c>
      <c r="R1372" s="281">
        <f>[20]Source!X1408</f>
        <v>647.26</v>
      </c>
      <c r="S1372" s="281">
        <f>[20]Source!Y1407</f>
        <v>20.64</v>
      </c>
      <c r="T1372" s="281">
        <f>[20]Source!Y1408</f>
        <v>294.86</v>
      </c>
      <c r="U1372" s="281">
        <f>ROUND((175/100)*ROUND([20]Source!R1407, 2), 2)</f>
        <v>0</v>
      </c>
      <c r="V1372" s="281">
        <f>ROUND((157/100)*ROUND([20]Source!R1408, 2), 2)</f>
        <v>0</v>
      </c>
    </row>
    <row r="1373" spans="1:22" ht="14.25" x14ac:dyDescent="0.2">
      <c r="A1373" s="301"/>
      <c r="B1373" s="302"/>
      <c r="C1373" s="302" t="s">
        <v>197</v>
      </c>
      <c r="D1373" s="303"/>
      <c r="E1373" s="286"/>
      <c r="F1373" s="321">
        <v>26.78</v>
      </c>
      <c r="G1373" s="305" t="s">
        <v>1548</v>
      </c>
      <c r="H1373" s="286">
        <v>1</v>
      </c>
      <c r="I1373" s="304">
        <v>30.8</v>
      </c>
      <c r="J1373" s="286">
        <v>23.35</v>
      </c>
      <c r="K1373" s="304">
        <v>719.18</v>
      </c>
    </row>
    <row r="1374" spans="1:22" ht="14.25" x14ac:dyDescent="0.2">
      <c r="A1374" s="301"/>
      <c r="B1374" s="302"/>
      <c r="C1374" s="302" t="s">
        <v>205</v>
      </c>
      <c r="D1374" s="303"/>
      <c r="E1374" s="286"/>
      <c r="F1374" s="321">
        <v>0.28000000000000003</v>
      </c>
      <c r="G1374" s="305" t="s">
        <v>195</v>
      </c>
      <c r="H1374" s="286">
        <v>1</v>
      </c>
      <c r="I1374" s="304">
        <v>0.28000000000000003</v>
      </c>
      <c r="J1374" s="286">
        <v>5.43</v>
      </c>
      <c r="K1374" s="304">
        <v>1.52</v>
      </c>
    </row>
    <row r="1375" spans="1:22" ht="14.25" x14ac:dyDescent="0.2">
      <c r="A1375" s="301"/>
      <c r="B1375" s="302"/>
      <c r="C1375" s="302" t="s">
        <v>194</v>
      </c>
      <c r="D1375" s="303" t="s">
        <v>187</v>
      </c>
      <c r="E1375" s="286">
        <v>112</v>
      </c>
      <c r="F1375" s="321"/>
      <c r="G1375" s="305"/>
      <c r="H1375" s="286"/>
      <c r="I1375" s="304">
        <v>35.11</v>
      </c>
      <c r="J1375" s="286">
        <v>90</v>
      </c>
      <c r="K1375" s="304">
        <v>647.26</v>
      </c>
    </row>
    <row r="1376" spans="1:22" ht="14.25" x14ac:dyDescent="0.2">
      <c r="A1376" s="301"/>
      <c r="B1376" s="302"/>
      <c r="C1376" s="302" t="s">
        <v>193</v>
      </c>
      <c r="D1376" s="303" t="s">
        <v>187</v>
      </c>
      <c r="E1376" s="286">
        <v>70</v>
      </c>
      <c r="F1376" s="321"/>
      <c r="G1376" s="305"/>
      <c r="H1376" s="286"/>
      <c r="I1376" s="304">
        <v>20.64</v>
      </c>
      <c r="J1376" s="286">
        <v>41</v>
      </c>
      <c r="K1376" s="304">
        <v>294.86</v>
      </c>
    </row>
    <row r="1377" spans="1:22" ht="14.25" x14ac:dyDescent="0.2">
      <c r="A1377" s="307"/>
      <c r="B1377" s="308"/>
      <c r="C1377" s="308" t="s">
        <v>192</v>
      </c>
      <c r="D1377" s="309" t="s">
        <v>191</v>
      </c>
      <c r="E1377" s="310">
        <v>2.06</v>
      </c>
      <c r="F1377" s="361"/>
      <c r="G1377" s="312" t="s">
        <v>1548</v>
      </c>
      <c r="H1377" s="310">
        <v>1</v>
      </c>
      <c r="I1377" s="311">
        <v>2.37</v>
      </c>
      <c r="J1377" s="310"/>
      <c r="K1377" s="311"/>
    </row>
    <row r="1378" spans="1:22" ht="15" x14ac:dyDescent="0.25">
      <c r="A1378" s="313"/>
      <c r="B1378" s="313"/>
      <c r="C1378" s="314" t="s">
        <v>183</v>
      </c>
      <c r="D1378" s="313"/>
      <c r="E1378" s="313"/>
      <c r="F1378" s="313"/>
      <c r="G1378" s="313"/>
      <c r="H1378" s="472">
        <v>86.83</v>
      </c>
      <c r="I1378" s="472"/>
      <c r="J1378" s="472">
        <v>1662.82</v>
      </c>
      <c r="K1378" s="472"/>
      <c r="O1378" s="284">
        <f>I1373+I1374+I1375+I1376</f>
        <v>86.83</v>
      </c>
      <c r="P1378" s="284">
        <f>K1373+K1374+K1375+K1376</f>
        <v>1662.82</v>
      </c>
    </row>
    <row r="1380" spans="1:22" ht="65.25" x14ac:dyDescent="0.2">
      <c r="A1380" s="301" t="s">
        <v>104</v>
      </c>
      <c r="B1380" s="302" t="s">
        <v>1473</v>
      </c>
      <c r="C1380" s="302" t="s">
        <v>1472</v>
      </c>
      <c r="D1380" s="303" t="s">
        <v>1903</v>
      </c>
      <c r="E1380" s="286">
        <v>1</v>
      </c>
      <c r="F1380" s="321"/>
      <c r="G1380" s="305"/>
      <c r="H1380" s="286"/>
      <c r="I1380" s="304"/>
      <c r="J1380" s="286"/>
      <c r="K1380" s="304"/>
      <c r="Q1380" s="281">
        <f>[20]Source!X1409</f>
        <v>7.62</v>
      </c>
      <c r="R1380" s="281">
        <f>[20]Source!X1410</f>
        <v>140.38</v>
      </c>
      <c r="S1380" s="281">
        <f>[20]Source!Y1409</f>
        <v>4.4800000000000004</v>
      </c>
      <c r="T1380" s="281">
        <f>[20]Source!Y1410</f>
        <v>63.95</v>
      </c>
      <c r="U1380" s="281">
        <f>ROUND((175/100)*ROUND([20]Source!R1409, 2), 2)</f>
        <v>12.09</v>
      </c>
      <c r="V1380" s="281">
        <f>ROUND((157/100)*ROUND([20]Source!R1410, 2), 2)</f>
        <v>253.32</v>
      </c>
    </row>
    <row r="1381" spans="1:22" ht="14.25" x14ac:dyDescent="0.2">
      <c r="A1381" s="301"/>
      <c r="B1381" s="302"/>
      <c r="C1381" s="302" t="s">
        <v>197</v>
      </c>
      <c r="D1381" s="303"/>
      <c r="E1381" s="286"/>
      <c r="F1381" s="321">
        <v>5.81</v>
      </c>
      <c r="G1381" s="305" t="s">
        <v>1548</v>
      </c>
      <c r="H1381" s="286">
        <v>1</v>
      </c>
      <c r="I1381" s="304">
        <v>6.68</v>
      </c>
      <c r="J1381" s="286">
        <v>23.35</v>
      </c>
      <c r="K1381" s="304">
        <v>155.97999999999999</v>
      </c>
    </row>
    <row r="1382" spans="1:22" ht="14.25" x14ac:dyDescent="0.2">
      <c r="A1382" s="301"/>
      <c r="B1382" s="302"/>
      <c r="C1382" s="302" t="s">
        <v>184</v>
      </c>
      <c r="D1382" s="303"/>
      <c r="E1382" s="286"/>
      <c r="F1382" s="321">
        <v>27.61</v>
      </c>
      <c r="G1382" s="305" t="s">
        <v>1549</v>
      </c>
      <c r="H1382" s="286">
        <v>1</v>
      </c>
      <c r="I1382" s="304">
        <v>34.51</v>
      </c>
      <c r="J1382" s="286">
        <v>8.9600000000000009</v>
      </c>
      <c r="K1382" s="304">
        <v>309.20999999999998</v>
      </c>
    </row>
    <row r="1383" spans="1:22" ht="14.25" x14ac:dyDescent="0.2">
      <c r="A1383" s="301"/>
      <c r="B1383" s="302"/>
      <c r="C1383" s="302" t="s">
        <v>189</v>
      </c>
      <c r="D1383" s="303"/>
      <c r="E1383" s="286"/>
      <c r="F1383" s="321">
        <v>5.53</v>
      </c>
      <c r="G1383" s="305" t="s">
        <v>1549</v>
      </c>
      <c r="H1383" s="286">
        <v>1</v>
      </c>
      <c r="I1383" s="306">
        <v>6.91</v>
      </c>
      <c r="J1383" s="286">
        <v>23.35</v>
      </c>
      <c r="K1383" s="306">
        <v>161.35</v>
      </c>
    </row>
    <row r="1384" spans="1:22" ht="14.25" x14ac:dyDescent="0.2">
      <c r="A1384" s="301"/>
      <c r="B1384" s="302"/>
      <c r="C1384" s="302" t="s">
        <v>205</v>
      </c>
      <c r="D1384" s="303"/>
      <c r="E1384" s="286"/>
      <c r="F1384" s="321">
        <v>1.89</v>
      </c>
      <c r="G1384" s="305" t="s">
        <v>195</v>
      </c>
      <c r="H1384" s="286">
        <v>1</v>
      </c>
      <c r="I1384" s="304">
        <v>1.89</v>
      </c>
      <c r="J1384" s="286">
        <v>5.42</v>
      </c>
      <c r="K1384" s="304">
        <v>10.24</v>
      </c>
    </row>
    <row r="1385" spans="1:22" ht="14.25" x14ac:dyDescent="0.2">
      <c r="A1385" s="301"/>
      <c r="B1385" s="302"/>
      <c r="C1385" s="302" t="s">
        <v>194</v>
      </c>
      <c r="D1385" s="303" t="s">
        <v>187</v>
      </c>
      <c r="E1385" s="286">
        <v>112</v>
      </c>
      <c r="F1385" s="321"/>
      <c r="G1385" s="305"/>
      <c r="H1385" s="286"/>
      <c r="I1385" s="304">
        <v>7.62</v>
      </c>
      <c r="J1385" s="286">
        <v>90</v>
      </c>
      <c r="K1385" s="304">
        <v>140.38</v>
      </c>
    </row>
    <row r="1386" spans="1:22" ht="14.25" x14ac:dyDescent="0.2">
      <c r="A1386" s="301"/>
      <c r="B1386" s="302"/>
      <c r="C1386" s="302" t="s">
        <v>193</v>
      </c>
      <c r="D1386" s="303" t="s">
        <v>187</v>
      </c>
      <c r="E1386" s="286">
        <v>70</v>
      </c>
      <c r="F1386" s="321"/>
      <c r="G1386" s="305"/>
      <c r="H1386" s="286"/>
      <c r="I1386" s="304">
        <v>4.4800000000000004</v>
      </c>
      <c r="J1386" s="286">
        <v>41</v>
      </c>
      <c r="K1386" s="304">
        <v>63.95</v>
      </c>
    </row>
    <row r="1387" spans="1:22" ht="14.25" x14ac:dyDescent="0.2">
      <c r="A1387" s="301"/>
      <c r="B1387" s="302"/>
      <c r="C1387" s="302" t="s">
        <v>188</v>
      </c>
      <c r="D1387" s="303" t="s">
        <v>187</v>
      </c>
      <c r="E1387" s="286">
        <v>175</v>
      </c>
      <c r="F1387" s="321"/>
      <c r="G1387" s="305"/>
      <c r="H1387" s="286"/>
      <c r="I1387" s="304">
        <v>12.09</v>
      </c>
      <c r="J1387" s="286">
        <v>157</v>
      </c>
      <c r="K1387" s="304">
        <v>253.32</v>
      </c>
    </row>
    <row r="1388" spans="1:22" ht="14.25" x14ac:dyDescent="0.2">
      <c r="A1388" s="307"/>
      <c r="B1388" s="308"/>
      <c r="C1388" s="308" t="s">
        <v>192</v>
      </c>
      <c r="D1388" s="309" t="s">
        <v>191</v>
      </c>
      <c r="E1388" s="310">
        <v>0.52</v>
      </c>
      <c r="F1388" s="361"/>
      <c r="G1388" s="312" t="s">
        <v>1548</v>
      </c>
      <c r="H1388" s="310">
        <v>1</v>
      </c>
      <c r="I1388" s="311">
        <v>0.6</v>
      </c>
      <c r="J1388" s="310"/>
      <c r="K1388" s="311"/>
    </row>
    <row r="1389" spans="1:22" ht="15" x14ac:dyDescent="0.25">
      <c r="A1389" s="313"/>
      <c r="B1389" s="313"/>
      <c r="C1389" s="314" t="s">
        <v>183</v>
      </c>
      <c r="D1389" s="313"/>
      <c r="E1389" s="313"/>
      <c r="F1389" s="313"/>
      <c r="G1389" s="313"/>
      <c r="H1389" s="472">
        <v>67.27</v>
      </c>
      <c r="I1389" s="472"/>
      <c r="J1389" s="472">
        <v>933.08</v>
      </c>
      <c r="K1389" s="472"/>
      <c r="O1389" s="284">
        <f>I1381+I1382+I1384+I1385+I1386+I1387</f>
        <v>67.27</v>
      </c>
      <c r="P1389" s="284">
        <f>K1381+K1382+K1384+K1385+K1386+K1387</f>
        <v>933.08</v>
      </c>
    </row>
    <row r="1391" spans="1:22" ht="81" x14ac:dyDescent="0.2">
      <c r="A1391" s="275" t="s">
        <v>1546</v>
      </c>
      <c r="B1391" s="276" t="s">
        <v>3752</v>
      </c>
      <c r="C1391" s="276" t="s">
        <v>1480</v>
      </c>
      <c r="D1391" s="277" t="s">
        <v>3240</v>
      </c>
      <c r="E1391" s="278">
        <v>1</v>
      </c>
      <c r="F1391" s="362">
        <v>11543.7</v>
      </c>
      <c r="G1391" s="280" t="s">
        <v>195</v>
      </c>
      <c r="H1391" s="278">
        <v>1</v>
      </c>
      <c r="I1391" s="279">
        <v>11543.7</v>
      </c>
      <c r="J1391" s="278">
        <v>4.4000000000000004</v>
      </c>
      <c r="K1391" s="279">
        <v>50792.28</v>
      </c>
      <c r="Q1391" s="281">
        <f>[20]Source!X1411</f>
        <v>0</v>
      </c>
      <c r="R1391" s="281">
        <f>[20]Source!X1412</f>
        <v>0</v>
      </c>
      <c r="S1391" s="281">
        <f>[20]Source!Y1411</f>
        <v>0</v>
      </c>
      <c r="T1391" s="281">
        <f>[20]Source!Y1412</f>
        <v>0</v>
      </c>
      <c r="U1391" s="281">
        <f>ROUND((175/100)*ROUND([20]Source!R1411, 2), 2)</f>
        <v>0</v>
      </c>
      <c r="V1391" s="281">
        <f>ROUND((157/100)*ROUND([20]Source!R1412, 2), 2)</f>
        <v>0</v>
      </c>
    </row>
    <row r="1392" spans="1:22" ht="15" x14ac:dyDescent="0.25">
      <c r="A1392" s="282"/>
      <c r="B1392" s="282"/>
      <c r="C1392" s="283" t="s">
        <v>183</v>
      </c>
      <c r="D1392" s="282"/>
      <c r="E1392" s="282"/>
      <c r="F1392" s="282"/>
      <c r="G1392" s="282"/>
      <c r="H1392" s="473">
        <v>11543.7</v>
      </c>
      <c r="I1392" s="473"/>
      <c r="J1392" s="473">
        <v>50792.28</v>
      </c>
      <c r="K1392" s="473"/>
      <c r="O1392" s="284">
        <f>I1391</f>
        <v>11543.7</v>
      </c>
      <c r="P1392" s="284">
        <f>K1391</f>
        <v>50792.28</v>
      </c>
    </row>
    <row r="1395" spans="1:22" ht="15" x14ac:dyDescent="0.25">
      <c r="A1395" s="447" t="s">
        <v>3815</v>
      </c>
      <c r="B1395" s="447"/>
      <c r="C1395" s="447"/>
      <c r="D1395" s="447"/>
      <c r="E1395" s="447"/>
      <c r="F1395" s="447"/>
      <c r="G1395" s="447"/>
      <c r="H1395" s="445">
        <v>11919.39</v>
      </c>
      <c r="I1395" s="446"/>
      <c r="J1395" s="445">
        <v>57287.040000000001</v>
      </c>
      <c r="K1395" s="446"/>
    </row>
    <row r="1396" spans="1:22" hidden="1" x14ac:dyDescent="0.2">
      <c r="A1396" s="281" t="s">
        <v>182</v>
      </c>
      <c r="I1396" s="281">
        <v>0</v>
      </c>
      <c r="J1396" s="281">
        <v>0</v>
      </c>
    </row>
    <row r="1397" spans="1:22" hidden="1" x14ac:dyDescent="0.2">
      <c r="A1397" s="281" t="s">
        <v>181</v>
      </c>
      <c r="I1397" s="281">
        <v>0</v>
      </c>
      <c r="J1397" s="281">
        <v>0</v>
      </c>
    </row>
    <row r="1399" spans="1:22" ht="16.5" x14ac:dyDescent="0.25">
      <c r="A1399" s="448" t="s">
        <v>3816</v>
      </c>
      <c r="B1399" s="448"/>
      <c r="C1399" s="448"/>
      <c r="D1399" s="448"/>
      <c r="E1399" s="448"/>
      <c r="F1399" s="448"/>
      <c r="G1399" s="448"/>
      <c r="H1399" s="448"/>
      <c r="I1399" s="448"/>
      <c r="J1399" s="448"/>
      <c r="K1399" s="448"/>
    </row>
    <row r="1400" spans="1:22" ht="65.25" x14ac:dyDescent="0.2">
      <c r="A1400" s="301" t="s">
        <v>719</v>
      </c>
      <c r="B1400" s="302" t="s">
        <v>1476</v>
      </c>
      <c r="C1400" s="302" t="s">
        <v>1475</v>
      </c>
      <c r="D1400" s="303" t="s">
        <v>1903</v>
      </c>
      <c r="E1400" s="286">
        <v>1</v>
      </c>
      <c r="F1400" s="321"/>
      <c r="G1400" s="305"/>
      <c r="H1400" s="286"/>
      <c r="I1400" s="304"/>
      <c r="J1400" s="286"/>
      <c r="K1400" s="304"/>
      <c r="Q1400" s="281">
        <f>[20]Source!X1448</f>
        <v>78.39</v>
      </c>
      <c r="R1400" s="281">
        <f>[20]Source!X1449</f>
        <v>1445</v>
      </c>
      <c r="S1400" s="281">
        <f>[20]Source!Y1448</f>
        <v>46.07</v>
      </c>
      <c r="T1400" s="281">
        <f>[20]Source!Y1449</f>
        <v>658.28</v>
      </c>
      <c r="U1400" s="281">
        <f>ROUND((175/100)*ROUND([20]Source!R1448, 2), 2)</f>
        <v>1.42</v>
      </c>
      <c r="V1400" s="281">
        <f>ROUND((157/100)*ROUND([20]Source!R1449, 2), 2)</f>
        <v>29.69</v>
      </c>
    </row>
    <row r="1401" spans="1:22" ht="14.25" x14ac:dyDescent="0.2">
      <c r="A1401" s="301"/>
      <c r="B1401" s="302"/>
      <c r="C1401" s="302" t="s">
        <v>197</v>
      </c>
      <c r="D1401" s="303"/>
      <c r="E1401" s="286"/>
      <c r="F1401" s="321">
        <v>59.79</v>
      </c>
      <c r="G1401" s="305" t="s">
        <v>1548</v>
      </c>
      <c r="H1401" s="286">
        <v>1</v>
      </c>
      <c r="I1401" s="304">
        <v>68.760000000000005</v>
      </c>
      <c r="J1401" s="286">
        <v>23.35</v>
      </c>
      <c r="K1401" s="304">
        <v>1605.55</v>
      </c>
    </row>
    <row r="1402" spans="1:22" ht="14.25" x14ac:dyDescent="0.2">
      <c r="A1402" s="301"/>
      <c r="B1402" s="302"/>
      <c r="C1402" s="302" t="s">
        <v>184</v>
      </c>
      <c r="D1402" s="303"/>
      <c r="E1402" s="286"/>
      <c r="F1402" s="321">
        <v>4.42</v>
      </c>
      <c r="G1402" s="305" t="s">
        <v>1549</v>
      </c>
      <c r="H1402" s="286">
        <v>1</v>
      </c>
      <c r="I1402" s="304">
        <v>5.53</v>
      </c>
      <c r="J1402" s="286">
        <v>8</v>
      </c>
      <c r="K1402" s="304">
        <v>44.24</v>
      </c>
    </row>
    <row r="1403" spans="1:22" ht="14.25" x14ac:dyDescent="0.2">
      <c r="A1403" s="301"/>
      <c r="B1403" s="302"/>
      <c r="C1403" s="302" t="s">
        <v>189</v>
      </c>
      <c r="D1403" s="303"/>
      <c r="E1403" s="286"/>
      <c r="F1403" s="321">
        <v>0.65</v>
      </c>
      <c r="G1403" s="305" t="s">
        <v>1549</v>
      </c>
      <c r="H1403" s="286">
        <v>1</v>
      </c>
      <c r="I1403" s="306">
        <v>0.81</v>
      </c>
      <c r="J1403" s="286">
        <v>23.35</v>
      </c>
      <c r="K1403" s="306">
        <v>18.91</v>
      </c>
    </row>
    <row r="1404" spans="1:22" ht="14.25" x14ac:dyDescent="0.2">
      <c r="A1404" s="301"/>
      <c r="B1404" s="302"/>
      <c r="C1404" s="302" t="s">
        <v>205</v>
      </c>
      <c r="D1404" s="303"/>
      <c r="E1404" s="286"/>
      <c r="F1404" s="321">
        <v>21.42</v>
      </c>
      <c r="G1404" s="305" t="s">
        <v>195</v>
      </c>
      <c r="H1404" s="286">
        <v>1</v>
      </c>
      <c r="I1404" s="304">
        <v>21.42</v>
      </c>
      <c r="J1404" s="286">
        <v>5.42</v>
      </c>
      <c r="K1404" s="304">
        <v>116.1</v>
      </c>
    </row>
    <row r="1405" spans="1:22" ht="14.25" x14ac:dyDescent="0.2">
      <c r="A1405" s="301"/>
      <c r="B1405" s="302"/>
      <c r="C1405" s="302" t="s">
        <v>194</v>
      </c>
      <c r="D1405" s="303" t="s">
        <v>187</v>
      </c>
      <c r="E1405" s="286">
        <v>112</v>
      </c>
      <c r="F1405" s="321"/>
      <c r="G1405" s="305"/>
      <c r="H1405" s="286"/>
      <c r="I1405" s="304">
        <v>78.39</v>
      </c>
      <c r="J1405" s="286">
        <v>90</v>
      </c>
      <c r="K1405" s="304">
        <v>1445</v>
      </c>
    </row>
    <row r="1406" spans="1:22" ht="14.25" x14ac:dyDescent="0.2">
      <c r="A1406" s="301"/>
      <c r="B1406" s="302"/>
      <c r="C1406" s="302" t="s">
        <v>193</v>
      </c>
      <c r="D1406" s="303" t="s">
        <v>187</v>
      </c>
      <c r="E1406" s="286">
        <v>70</v>
      </c>
      <c r="F1406" s="321"/>
      <c r="G1406" s="305"/>
      <c r="H1406" s="286"/>
      <c r="I1406" s="304">
        <v>46.07</v>
      </c>
      <c r="J1406" s="286">
        <v>41</v>
      </c>
      <c r="K1406" s="304">
        <v>658.28</v>
      </c>
    </row>
    <row r="1407" spans="1:22" ht="14.25" x14ac:dyDescent="0.2">
      <c r="A1407" s="301"/>
      <c r="B1407" s="302"/>
      <c r="C1407" s="302" t="s">
        <v>188</v>
      </c>
      <c r="D1407" s="303" t="s">
        <v>187</v>
      </c>
      <c r="E1407" s="286">
        <v>175</v>
      </c>
      <c r="F1407" s="321"/>
      <c r="G1407" s="305"/>
      <c r="H1407" s="286"/>
      <c r="I1407" s="304">
        <v>1.42</v>
      </c>
      <c r="J1407" s="286">
        <v>157</v>
      </c>
      <c r="K1407" s="304">
        <v>29.69</v>
      </c>
    </row>
    <row r="1408" spans="1:22" ht="14.25" x14ac:dyDescent="0.2">
      <c r="A1408" s="307"/>
      <c r="B1408" s="308"/>
      <c r="C1408" s="308" t="s">
        <v>192</v>
      </c>
      <c r="D1408" s="309" t="s">
        <v>191</v>
      </c>
      <c r="E1408" s="310">
        <v>5.15</v>
      </c>
      <c r="F1408" s="361"/>
      <c r="G1408" s="312" t="s">
        <v>1548</v>
      </c>
      <c r="H1408" s="310">
        <v>1</v>
      </c>
      <c r="I1408" s="311">
        <v>5.92</v>
      </c>
      <c r="J1408" s="310"/>
      <c r="K1408" s="311"/>
    </row>
    <row r="1409" spans="1:22" ht="15" x14ac:dyDescent="0.25">
      <c r="A1409" s="313"/>
      <c r="B1409" s="313"/>
      <c r="C1409" s="314" t="s">
        <v>183</v>
      </c>
      <c r="D1409" s="313"/>
      <c r="E1409" s="313"/>
      <c r="F1409" s="313"/>
      <c r="G1409" s="313"/>
      <c r="H1409" s="472">
        <v>221.59</v>
      </c>
      <c r="I1409" s="472"/>
      <c r="J1409" s="472">
        <v>3898.86</v>
      </c>
      <c r="K1409" s="472"/>
      <c r="O1409" s="284">
        <f>I1401+I1402+I1404+I1405+I1406+I1407</f>
        <v>221.59</v>
      </c>
      <c r="P1409" s="284">
        <f>K1401+K1402+K1404+K1405+K1406+K1407</f>
        <v>3898.86</v>
      </c>
    </row>
    <row r="1411" spans="1:22" ht="65.25" x14ac:dyDescent="0.2">
      <c r="A1411" s="301" t="s">
        <v>1534</v>
      </c>
      <c r="B1411" s="302" t="s">
        <v>1474</v>
      </c>
      <c r="C1411" s="302" t="s">
        <v>1247</v>
      </c>
      <c r="D1411" s="303" t="s">
        <v>1903</v>
      </c>
      <c r="E1411" s="286">
        <v>1</v>
      </c>
      <c r="F1411" s="321"/>
      <c r="G1411" s="305"/>
      <c r="H1411" s="286"/>
      <c r="I1411" s="304"/>
      <c r="J1411" s="286"/>
      <c r="K1411" s="304"/>
      <c r="Q1411" s="281">
        <f>[20]Source!X1450</f>
        <v>35.11</v>
      </c>
      <c r="R1411" s="281">
        <f>[20]Source!X1451</f>
        <v>647.26</v>
      </c>
      <c r="S1411" s="281">
        <f>[20]Source!Y1450</f>
        <v>20.64</v>
      </c>
      <c r="T1411" s="281">
        <f>[20]Source!Y1451</f>
        <v>294.86</v>
      </c>
      <c r="U1411" s="281">
        <f>ROUND((175/100)*ROUND([20]Source!R1450, 2), 2)</f>
        <v>0</v>
      </c>
      <c r="V1411" s="281">
        <f>ROUND((157/100)*ROUND([20]Source!R1451, 2), 2)</f>
        <v>0</v>
      </c>
    </row>
    <row r="1412" spans="1:22" ht="14.25" x14ac:dyDescent="0.2">
      <c r="A1412" s="301"/>
      <c r="B1412" s="302"/>
      <c r="C1412" s="302" t="s">
        <v>197</v>
      </c>
      <c r="D1412" s="303"/>
      <c r="E1412" s="286"/>
      <c r="F1412" s="321">
        <v>26.78</v>
      </c>
      <c r="G1412" s="305" t="s">
        <v>1548</v>
      </c>
      <c r="H1412" s="286">
        <v>1</v>
      </c>
      <c r="I1412" s="304">
        <v>30.8</v>
      </c>
      <c r="J1412" s="286">
        <v>23.35</v>
      </c>
      <c r="K1412" s="304">
        <v>719.18</v>
      </c>
    </row>
    <row r="1413" spans="1:22" ht="14.25" x14ac:dyDescent="0.2">
      <c r="A1413" s="301"/>
      <c r="B1413" s="302"/>
      <c r="C1413" s="302" t="s">
        <v>205</v>
      </c>
      <c r="D1413" s="303"/>
      <c r="E1413" s="286"/>
      <c r="F1413" s="321">
        <v>0.28000000000000003</v>
      </c>
      <c r="G1413" s="305" t="s">
        <v>195</v>
      </c>
      <c r="H1413" s="286">
        <v>1</v>
      </c>
      <c r="I1413" s="304">
        <v>0.28000000000000003</v>
      </c>
      <c r="J1413" s="286">
        <v>5.43</v>
      </c>
      <c r="K1413" s="304">
        <v>1.52</v>
      </c>
    </row>
    <row r="1414" spans="1:22" ht="14.25" x14ac:dyDescent="0.2">
      <c r="A1414" s="301"/>
      <c r="B1414" s="302"/>
      <c r="C1414" s="302" t="s">
        <v>194</v>
      </c>
      <c r="D1414" s="303" t="s">
        <v>187</v>
      </c>
      <c r="E1414" s="286">
        <v>112</v>
      </c>
      <c r="F1414" s="321"/>
      <c r="G1414" s="305"/>
      <c r="H1414" s="286"/>
      <c r="I1414" s="304">
        <v>35.11</v>
      </c>
      <c r="J1414" s="286">
        <v>90</v>
      </c>
      <c r="K1414" s="304">
        <v>647.26</v>
      </c>
    </row>
    <row r="1415" spans="1:22" ht="14.25" x14ac:dyDescent="0.2">
      <c r="A1415" s="301"/>
      <c r="B1415" s="302"/>
      <c r="C1415" s="302" t="s">
        <v>193</v>
      </c>
      <c r="D1415" s="303" t="s">
        <v>187</v>
      </c>
      <c r="E1415" s="286">
        <v>70</v>
      </c>
      <c r="F1415" s="321"/>
      <c r="G1415" s="305"/>
      <c r="H1415" s="286"/>
      <c r="I1415" s="304">
        <v>20.64</v>
      </c>
      <c r="J1415" s="286">
        <v>41</v>
      </c>
      <c r="K1415" s="304">
        <v>294.86</v>
      </c>
    </row>
    <row r="1416" spans="1:22" ht="14.25" x14ac:dyDescent="0.2">
      <c r="A1416" s="307"/>
      <c r="B1416" s="308"/>
      <c r="C1416" s="308" t="s">
        <v>192</v>
      </c>
      <c r="D1416" s="309" t="s">
        <v>191</v>
      </c>
      <c r="E1416" s="310">
        <v>2.06</v>
      </c>
      <c r="F1416" s="361"/>
      <c r="G1416" s="312" t="s">
        <v>1548</v>
      </c>
      <c r="H1416" s="310">
        <v>1</v>
      </c>
      <c r="I1416" s="311">
        <v>2.37</v>
      </c>
      <c r="J1416" s="310"/>
      <c r="K1416" s="311"/>
    </row>
    <row r="1417" spans="1:22" ht="15" x14ac:dyDescent="0.25">
      <c r="A1417" s="313"/>
      <c r="B1417" s="313"/>
      <c r="C1417" s="314" t="s">
        <v>183</v>
      </c>
      <c r="D1417" s="313"/>
      <c r="E1417" s="313"/>
      <c r="F1417" s="313"/>
      <c r="G1417" s="313"/>
      <c r="H1417" s="472">
        <v>86.83</v>
      </c>
      <c r="I1417" s="472"/>
      <c r="J1417" s="472">
        <v>1662.82</v>
      </c>
      <c r="K1417" s="472"/>
      <c r="O1417" s="284">
        <f>I1412+I1413+I1414+I1415</f>
        <v>86.83</v>
      </c>
      <c r="P1417" s="284">
        <f>K1412+K1413+K1414+K1415</f>
        <v>1662.82</v>
      </c>
    </row>
    <row r="1419" spans="1:22" ht="65.25" x14ac:dyDescent="0.2">
      <c r="A1419" s="301" t="s">
        <v>104</v>
      </c>
      <c r="B1419" s="302" t="s">
        <v>1473</v>
      </c>
      <c r="C1419" s="302" t="s">
        <v>1472</v>
      </c>
      <c r="D1419" s="303" t="s">
        <v>1903</v>
      </c>
      <c r="E1419" s="286">
        <v>1</v>
      </c>
      <c r="F1419" s="321"/>
      <c r="G1419" s="305"/>
      <c r="H1419" s="286"/>
      <c r="I1419" s="304"/>
      <c r="J1419" s="286"/>
      <c r="K1419" s="304"/>
      <c r="Q1419" s="281">
        <f>[20]Source!X1452</f>
        <v>7.62</v>
      </c>
      <c r="R1419" s="281">
        <f>[20]Source!X1453</f>
        <v>140.38</v>
      </c>
      <c r="S1419" s="281">
        <f>[20]Source!Y1452</f>
        <v>4.4800000000000004</v>
      </c>
      <c r="T1419" s="281">
        <f>[20]Source!Y1453</f>
        <v>63.95</v>
      </c>
      <c r="U1419" s="281">
        <f>ROUND((175/100)*ROUND([20]Source!R1452, 2), 2)</f>
        <v>12.09</v>
      </c>
      <c r="V1419" s="281">
        <f>ROUND((157/100)*ROUND([20]Source!R1453, 2), 2)</f>
        <v>253.32</v>
      </c>
    </row>
    <row r="1420" spans="1:22" ht="14.25" x14ac:dyDescent="0.2">
      <c r="A1420" s="301"/>
      <c r="B1420" s="302"/>
      <c r="C1420" s="302" t="s">
        <v>197</v>
      </c>
      <c r="D1420" s="303"/>
      <c r="E1420" s="286"/>
      <c r="F1420" s="321">
        <v>5.81</v>
      </c>
      <c r="G1420" s="305" t="s">
        <v>1548</v>
      </c>
      <c r="H1420" s="286">
        <v>1</v>
      </c>
      <c r="I1420" s="304">
        <v>6.68</v>
      </c>
      <c r="J1420" s="286">
        <v>23.35</v>
      </c>
      <c r="K1420" s="304">
        <v>155.97999999999999</v>
      </c>
    </row>
    <row r="1421" spans="1:22" ht="14.25" x14ac:dyDescent="0.2">
      <c r="A1421" s="301"/>
      <c r="B1421" s="302"/>
      <c r="C1421" s="302" t="s">
        <v>184</v>
      </c>
      <c r="D1421" s="303"/>
      <c r="E1421" s="286"/>
      <c r="F1421" s="321">
        <v>27.61</v>
      </c>
      <c r="G1421" s="305" t="s">
        <v>1549</v>
      </c>
      <c r="H1421" s="286">
        <v>1</v>
      </c>
      <c r="I1421" s="304">
        <v>34.51</v>
      </c>
      <c r="J1421" s="286">
        <v>8.9600000000000009</v>
      </c>
      <c r="K1421" s="304">
        <v>309.20999999999998</v>
      </c>
    </row>
    <row r="1422" spans="1:22" ht="14.25" x14ac:dyDescent="0.2">
      <c r="A1422" s="301"/>
      <c r="B1422" s="302"/>
      <c r="C1422" s="302" t="s">
        <v>189</v>
      </c>
      <c r="D1422" s="303"/>
      <c r="E1422" s="286"/>
      <c r="F1422" s="321">
        <v>5.53</v>
      </c>
      <c r="G1422" s="305" t="s">
        <v>1549</v>
      </c>
      <c r="H1422" s="286">
        <v>1</v>
      </c>
      <c r="I1422" s="306">
        <v>6.91</v>
      </c>
      <c r="J1422" s="286">
        <v>23.35</v>
      </c>
      <c r="K1422" s="306">
        <v>161.35</v>
      </c>
    </row>
    <row r="1423" spans="1:22" ht="14.25" x14ac:dyDescent="0.2">
      <c r="A1423" s="301"/>
      <c r="B1423" s="302"/>
      <c r="C1423" s="302" t="s">
        <v>205</v>
      </c>
      <c r="D1423" s="303"/>
      <c r="E1423" s="286"/>
      <c r="F1423" s="321">
        <v>1.89</v>
      </c>
      <c r="G1423" s="305" t="s">
        <v>195</v>
      </c>
      <c r="H1423" s="286">
        <v>1</v>
      </c>
      <c r="I1423" s="304">
        <v>1.89</v>
      </c>
      <c r="J1423" s="286">
        <v>5.42</v>
      </c>
      <c r="K1423" s="304">
        <v>10.24</v>
      </c>
    </row>
    <row r="1424" spans="1:22" ht="14.25" x14ac:dyDescent="0.2">
      <c r="A1424" s="301"/>
      <c r="B1424" s="302"/>
      <c r="C1424" s="302" t="s">
        <v>194</v>
      </c>
      <c r="D1424" s="303" t="s">
        <v>187</v>
      </c>
      <c r="E1424" s="286">
        <v>112</v>
      </c>
      <c r="F1424" s="321"/>
      <c r="G1424" s="305"/>
      <c r="H1424" s="286"/>
      <c r="I1424" s="304">
        <v>7.62</v>
      </c>
      <c r="J1424" s="286">
        <v>90</v>
      </c>
      <c r="K1424" s="304">
        <v>140.38</v>
      </c>
    </row>
    <row r="1425" spans="1:22" ht="14.25" x14ac:dyDescent="0.2">
      <c r="A1425" s="301"/>
      <c r="B1425" s="302"/>
      <c r="C1425" s="302" t="s">
        <v>193</v>
      </c>
      <c r="D1425" s="303" t="s">
        <v>187</v>
      </c>
      <c r="E1425" s="286">
        <v>70</v>
      </c>
      <c r="F1425" s="321"/>
      <c r="G1425" s="305"/>
      <c r="H1425" s="286"/>
      <c r="I1425" s="304">
        <v>4.4800000000000004</v>
      </c>
      <c r="J1425" s="286">
        <v>41</v>
      </c>
      <c r="K1425" s="304">
        <v>63.95</v>
      </c>
    </row>
    <row r="1426" spans="1:22" ht="14.25" x14ac:dyDescent="0.2">
      <c r="A1426" s="301"/>
      <c r="B1426" s="302"/>
      <c r="C1426" s="302" t="s">
        <v>188</v>
      </c>
      <c r="D1426" s="303" t="s">
        <v>187</v>
      </c>
      <c r="E1426" s="286">
        <v>175</v>
      </c>
      <c r="F1426" s="321"/>
      <c r="G1426" s="305"/>
      <c r="H1426" s="286"/>
      <c r="I1426" s="304">
        <v>12.09</v>
      </c>
      <c r="J1426" s="286">
        <v>157</v>
      </c>
      <c r="K1426" s="304">
        <v>253.32</v>
      </c>
    </row>
    <row r="1427" spans="1:22" ht="14.25" x14ac:dyDescent="0.2">
      <c r="A1427" s="307"/>
      <c r="B1427" s="308"/>
      <c r="C1427" s="308" t="s">
        <v>192</v>
      </c>
      <c r="D1427" s="309" t="s">
        <v>191</v>
      </c>
      <c r="E1427" s="310">
        <v>0.52</v>
      </c>
      <c r="F1427" s="361"/>
      <c r="G1427" s="312" t="s">
        <v>1548</v>
      </c>
      <c r="H1427" s="310">
        <v>1</v>
      </c>
      <c r="I1427" s="311">
        <v>0.6</v>
      </c>
      <c r="J1427" s="310"/>
      <c r="K1427" s="311"/>
    </row>
    <row r="1428" spans="1:22" ht="15" x14ac:dyDescent="0.25">
      <c r="A1428" s="313"/>
      <c r="B1428" s="313"/>
      <c r="C1428" s="314" t="s">
        <v>183</v>
      </c>
      <c r="D1428" s="313"/>
      <c r="E1428" s="313"/>
      <c r="F1428" s="313"/>
      <c r="G1428" s="313"/>
      <c r="H1428" s="472">
        <v>67.27</v>
      </c>
      <c r="I1428" s="472"/>
      <c r="J1428" s="472">
        <v>933.08</v>
      </c>
      <c r="K1428" s="472"/>
      <c r="O1428" s="284">
        <f>I1420+I1421+I1423+I1424+I1425+I1426</f>
        <v>67.27</v>
      </c>
      <c r="P1428" s="284">
        <f>K1420+K1421+K1423+K1424+K1425+K1426</f>
        <v>933.08</v>
      </c>
    </row>
    <row r="1430" spans="1:22" ht="81" x14ac:dyDescent="0.2">
      <c r="A1430" s="275" t="s">
        <v>1546</v>
      </c>
      <c r="B1430" s="276" t="s">
        <v>3752</v>
      </c>
      <c r="C1430" s="276" t="s">
        <v>1479</v>
      </c>
      <c r="D1430" s="277" t="s">
        <v>3240</v>
      </c>
      <c r="E1430" s="278">
        <v>1</v>
      </c>
      <c r="F1430" s="362">
        <v>11543.7</v>
      </c>
      <c r="G1430" s="280" t="s">
        <v>195</v>
      </c>
      <c r="H1430" s="278">
        <v>1</v>
      </c>
      <c r="I1430" s="279">
        <v>11543.7</v>
      </c>
      <c r="J1430" s="278">
        <v>4.4000000000000004</v>
      </c>
      <c r="K1430" s="279">
        <v>50792.28</v>
      </c>
      <c r="Q1430" s="281">
        <f>[20]Source!X1454</f>
        <v>0</v>
      </c>
      <c r="R1430" s="281">
        <f>[20]Source!X1455</f>
        <v>0</v>
      </c>
      <c r="S1430" s="281">
        <f>[20]Source!Y1454</f>
        <v>0</v>
      </c>
      <c r="T1430" s="281">
        <f>[20]Source!Y1455</f>
        <v>0</v>
      </c>
      <c r="U1430" s="281">
        <f>ROUND((175/100)*ROUND([20]Source!R1454, 2), 2)</f>
        <v>0</v>
      </c>
      <c r="V1430" s="281">
        <f>ROUND((157/100)*ROUND([20]Source!R1455, 2), 2)</f>
        <v>0</v>
      </c>
    </row>
    <row r="1431" spans="1:22" ht="15" x14ac:dyDescent="0.25">
      <c r="A1431" s="282"/>
      <c r="B1431" s="282"/>
      <c r="C1431" s="283" t="s">
        <v>183</v>
      </c>
      <c r="D1431" s="282"/>
      <c r="E1431" s="282"/>
      <c r="F1431" s="282"/>
      <c r="G1431" s="282"/>
      <c r="H1431" s="473">
        <v>11543.7</v>
      </c>
      <c r="I1431" s="473"/>
      <c r="J1431" s="473">
        <v>50792.28</v>
      </c>
      <c r="K1431" s="473"/>
      <c r="O1431" s="284">
        <f>I1430</f>
        <v>11543.7</v>
      </c>
      <c r="P1431" s="284">
        <f>K1430</f>
        <v>50792.28</v>
      </c>
    </row>
    <row r="1434" spans="1:22" ht="15" x14ac:dyDescent="0.25">
      <c r="A1434" s="447" t="s">
        <v>3817</v>
      </c>
      <c r="B1434" s="447"/>
      <c r="C1434" s="447"/>
      <c r="D1434" s="447"/>
      <c r="E1434" s="447"/>
      <c r="F1434" s="447"/>
      <c r="G1434" s="447"/>
      <c r="H1434" s="445">
        <v>11919.39</v>
      </c>
      <c r="I1434" s="446"/>
      <c r="J1434" s="445">
        <v>57287.040000000001</v>
      </c>
      <c r="K1434" s="446"/>
    </row>
    <row r="1435" spans="1:22" hidden="1" x14ac:dyDescent="0.2">
      <c r="A1435" s="281" t="s">
        <v>182</v>
      </c>
      <c r="I1435" s="281">
        <v>0</v>
      </c>
      <c r="J1435" s="281">
        <v>0</v>
      </c>
    </row>
    <row r="1436" spans="1:22" hidden="1" x14ac:dyDescent="0.2">
      <c r="A1436" s="281" t="s">
        <v>181</v>
      </c>
      <c r="I1436" s="281">
        <v>0</v>
      </c>
      <c r="J1436" s="281">
        <v>0</v>
      </c>
    </row>
    <row r="1438" spans="1:22" ht="16.5" x14ac:dyDescent="0.25">
      <c r="A1438" s="448" t="s">
        <v>3818</v>
      </c>
      <c r="B1438" s="448"/>
      <c r="C1438" s="448"/>
      <c r="D1438" s="448"/>
      <c r="E1438" s="448"/>
      <c r="F1438" s="448"/>
      <c r="G1438" s="448"/>
      <c r="H1438" s="448"/>
      <c r="I1438" s="448"/>
      <c r="J1438" s="448"/>
      <c r="K1438" s="448"/>
    </row>
    <row r="1439" spans="1:22" ht="65.25" x14ac:dyDescent="0.2">
      <c r="A1439" s="301" t="s">
        <v>719</v>
      </c>
      <c r="B1439" s="302" t="s">
        <v>1476</v>
      </c>
      <c r="C1439" s="302" t="s">
        <v>1475</v>
      </c>
      <c r="D1439" s="303" t="s">
        <v>1903</v>
      </c>
      <c r="E1439" s="286">
        <v>1</v>
      </c>
      <c r="F1439" s="321"/>
      <c r="G1439" s="305"/>
      <c r="H1439" s="286"/>
      <c r="I1439" s="304"/>
      <c r="J1439" s="286"/>
      <c r="K1439" s="304"/>
      <c r="Q1439" s="281">
        <f>[20]Source!X1491</f>
        <v>78.39</v>
      </c>
      <c r="R1439" s="281">
        <f>[20]Source!X1492</f>
        <v>1445</v>
      </c>
      <c r="S1439" s="281">
        <f>[20]Source!Y1491</f>
        <v>46.07</v>
      </c>
      <c r="T1439" s="281">
        <f>[20]Source!Y1492</f>
        <v>658.28</v>
      </c>
      <c r="U1439" s="281">
        <f>ROUND((175/100)*ROUND([20]Source!R1491, 2), 2)</f>
        <v>1.42</v>
      </c>
      <c r="V1439" s="281">
        <f>ROUND((157/100)*ROUND([20]Source!R1492, 2), 2)</f>
        <v>29.69</v>
      </c>
    </row>
    <row r="1440" spans="1:22" ht="14.25" x14ac:dyDescent="0.2">
      <c r="A1440" s="301"/>
      <c r="B1440" s="302"/>
      <c r="C1440" s="302" t="s">
        <v>197</v>
      </c>
      <c r="D1440" s="303"/>
      <c r="E1440" s="286"/>
      <c r="F1440" s="321">
        <v>59.79</v>
      </c>
      <c r="G1440" s="305" t="s">
        <v>1548</v>
      </c>
      <c r="H1440" s="286">
        <v>1</v>
      </c>
      <c r="I1440" s="304">
        <v>68.760000000000005</v>
      </c>
      <c r="J1440" s="286">
        <v>23.35</v>
      </c>
      <c r="K1440" s="304">
        <v>1605.55</v>
      </c>
    </row>
    <row r="1441" spans="1:22" ht="14.25" x14ac:dyDescent="0.2">
      <c r="A1441" s="301"/>
      <c r="B1441" s="302"/>
      <c r="C1441" s="302" t="s">
        <v>184</v>
      </c>
      <c r="D1441" s="303"/>
      <c r="E1441" s="286"/>
      <c r="F1441" s="321">
        <v>4.42</v>
      </c>
      <c r="G1441" s="305" t="s">
        <v>1549</v>
      </c>
      <c r="H1441" s="286">
        <v>1</v>
      </c>
      <c r="I1441" s="304">
        <v>5.53</v>
      </c>
      <c r="J1441" s="286">
        <v>8</v>
      </c>
      <c r="K1441" s="304">
        <v>44.24</v>
      </c>
    </row>
    <row r="1442" spans="1:22" ht="14.25" x14ac:dyDescent="0.2">
      <c r="A1442" s="301"/>
      <c r="B1442" s="302"/>
      <c r="C1442" s="302" t="s">
        <v>189</v>
      </c>
      <c r="D1442" s="303"/>
      <c r="E1442" s="286"/>
      <c r="F1442" s="321">
        <v>0.65</v>
      </c>
      <c r="G1442" s="305" t="s">
        <v>1549</v>
      </c>
      <c r="H1442" s="286">
        <v>1</v>
      </c>
      <c r="I1442" s="306">
        <v>0.81</v>
      </c>
      <c r="J1442" s="286">
        <v>23.35</v>
      </c>
      <c r="K1442" s="306">
        <v>18.91</v>
      </c>
    </row>
    <row r="1443" spans="1:22" ht="14.25" x14ac:dyDescent="0.2">
      <c r="A1443" s="301"/>
      <c r="B1443" s="302"/>
      <c r="C1443" s="302" t="s">
        <v>205</v>
      </c>
      <c r="D1443" s="303"/>
      <c r="E1443" s="286"/>
      <c r="F1443" s="321">
        <v>21.42</v>
      </c>
      <c r="G1443" s="305" t="s">
        <v>195</v>
      </c>
      <c r="H1443" s="286">
        <v>1</v>
      </c>
      <c r="I1443" s="304">
        <v>21.42</v>
      </c>
      <c r="J1443" s="286">
        <v>5.42</v>
      </c>
      <c r="K1443" s="304">
        <v>116.1</v>
      </c>
    </row>
    <row r="1444" spans="1:22" ht="14.25" x14ac:dyDescent="0.2">
      <c r="A1444" s="301"/>
      <c r="B1444" s="302"/>
      <c r="C1444" s="302" t="s">
        <v>194</v>
      </c>
      <c r="D1444" s="303" t="s">
        <v>187</v>
      </c>
      <c r="E1444" s="286">
        <v>112</v>
      </c>
      <c r="F1444" s="321"/>
      <c r="G1444" s="305"/>
      <c r="H1444" s="286"/>
      <c r="I1444" s="304">
        <v>78.39</v>
      </c>
      <c r="J1444" s="286">
        <v>90</v>
      </c>
      <c r="K1444" s="304">
        <v>1445</v>
      </c>
    </row>
    <row r="1445" spans="1:22" ht="14.25" x14ac:dyDescent="0.2">
      <c r="A1445" s="301"/>
      <c r="B1445" s="302"/>
      <c r="C1445" s="302" t="s">
        <v>193</v>
      </c>
      <c r="D1445" s="303" t="s">
        <v>187</v>
      </c>
      <c r="E1445" s="286">
        <v>70</v>
      </c>
      <c r="F1445" s="321"/>
      <c r="G1445" s="305"/>
      <c r="H1445" s="286"/>
      <c r="I1445" s="304">
        <v>46.07</v>
      </c>
      <c r="J1445" s="286">
        <v>41</v>
      </c>
      <c r="K1445" s="304">
        <v>658.28</v>
      </c>
    </row>
    <row r="1446" spans="1:22" ht="14.25" x14ac:dyDescent="0.2">
      <c r="A1446" s="301"/>
      <c r="B1446" s="302"/>
      <c r="C1446" s="302" t="s">
        <v>188</v>
      </c>
      <c r="D1446" s="303" t="s">
        <v>187</v>
      </c>
      <c r="E1446" s="286">
        <v>175</v>
      </c>
      <c r="F1446" s="321"/>
      <c r="G1446" s="305"/>
      <c r="H1446" s="286"/>
      <c r="I1446" s="304">
        <v>1.42</v>
      </c>
      <c r="J1446" s="286">
        <v>157</v>
      </c>
      <c r="K1446" s="304">
        <v>29.69</v>
      </c>
    </row>
    <row r="1447" spans="1:22" ht="14.25" x14ac:dyDescent="0.2">
      <c r="A1447" s="307"/>
      <c r="B1447" s="308"/>
      <c r="C1447" s="308" t="s">
        <v>192</v>
      </c>
      <c r="D1447" s="309" t="s">
        <v>191</v>
      </c>
      <c r="E1447" s="310">
        <v>5.15</v>
      </c>
      <c r="F1447" s="361"/>
      <c r="G1447" s="312" t="s">
        <v>1548</v>
      </c>
      <c r="H1447" s="310">
        <v>1</v>
      </c>
      <c r="I1447" s="311">
        <v>5.92</v>
      </c>
      <c r="J1447" s="310"/>
      <c r="K1447" s="311"/>
    </row>
    <row r="1448" spans="1:22" ht="15" x14ac:dyDescent="0.25">
      <c r="A1448" s="313"/>
      <c r="B1448" s="313"/>
      <c r="C1448" s="314" t="s">
        <v>183</v>
      </c>
      <c r="D1448" s="313"/>
      <c r="E1448" s="313"/>
      <c r="F1448" s="313"/>
      <c r="G1448" s="313"/>
      <c r="H1448" s="472">
        <v>221.59</v>
      </c>
      <c r="I1448" s="472"/>
      <c r="J1448" s="472">
        <v>3898.86</v>
      </c>
      <c r="K1448" s="472"/>
      <c r="O1448" s="284">
        <f>I1440+I1441+I1443+I1444+I1445+I1446</f>
        <v>221.59</v>
      </c>
      <c r="P1448" s="284">
        <f>K1440+K1441+K1443+K1444+K1445+K1446</f>
        <v>3898.86</v>
      </c>
    </row>
    <row r="1450" spans="1:22" ht="65.25" x14ac:dyDescent="0.2">
      <c r="A1450" s="301" t="s">
        <v>1534</v>
      </c>
      <c r="B1450" s="302" t="s">
        <v>1474</v>
      </c>
      <c r="C1450" s="302" t="s">
        <v>1247</v>
      </c>
      <c r="D1450" s="303" t="s">
        <v>1903</v>
      </c>
      <c r="E1450" s="286">
        <v>1</v>
      </c>
      <c r="F1450" s="321"/>
      <c r="G1450" s="305"/>
      <c r="H1450" s="286"/>
      <c r="I1450" s="304"/>
      <c r="J1450" s="286"/>
      <c r="K1450" s="304"/>
      <c r="Q1450" s="281">
        <f>[20]Source!X1493</f>
        <v>35.11</v>
      </c>
      <c r="R1450" s="281">
        <f>[20]Source!X1494</f>
        <v>647.26</v>
      </c>
      <c r="S1450" s="281">
        <f>[20]Source!Y1493</f>
        <v>20.64</v>
      </c>
      <c r="T1450" s="281">
        <f>[20]Source!Y1494</f>
        <v>294.86</v>
      </c>
      <c r="U1450" s="281">
        <f>ROUND((175/100)*ROUND([20]Source!R1493, 2), 2)</f>
        <v>0</v>
      </c>
      <c r="V1450" s="281">
        <f>ROUND((157/100)*ROUND([20]Source!R1494, 2), 2)</f>
        <v>0</v>
      </c>
    </row>
    <row r="1451" spans="1:22" ht="14.25" x14ac:dyDescent="0.2">
      <c r="A1451" s="301"/>
      <c r="B1451" s="302"/>
      <c r="C1451" s="302" t="s">
        <v>197</v>
      </c>
      <c r="D1451" s="303"/>
      <c r="E1451" s="286"/>
      <c r="F1451" s="321">
        <v>26.78</v>
      </c>
      <c r="G1451" s="305" t="s">
        <v>1548</v>
      </c>
      <c r="H1451" s="286">
        <v>1</v>
      </c>
      <c r="I1451" s="304">
        <v>30.8</v>
      </c>
      <c r="J1451" s="286">
        <v>23.35</v>
      </c>
      <c r="K1451" s="304">
        <v>719.18</v>
      </c>
    </row>
    <row r="1452" spans="1:22" ht="14.25" x14ac:dyDescent="0.2">
      <c r="A1452" s="301"/>
      <c r="B1452" s="302"/>
      <c r="C1452" s="302" t="s">
        <v>205</v>
      </c>
      <c r="D1452" s="303"/>
      <c r="E1452" s="286"/>
      <c r="F1452" s="321">
        <v>0.28000000000000003</v>
      </c>
      <c r="G1452" s="305" t="s">
        <v>195</v>
      </c>
      <c r="H1452" s="286">
        <v>1</v>
      </c>
      <c r="I1452" s="304">
        <v>0.28000000000000003</v>
      </c>
      <c r="J1452" s="286">
        <v>5.43</v>
      </c>
      <c r="K1452" s="304">
        <v>1.52</v>
      </c>
    </row>
    <row r="1453" spans="1:22" ht="14.25" x14ac:dyDescent="0.2">
      <c r="A1453" s="301"/>
      <c r="B1453" s="302"/>
      <c r="C1453" s="302" t="s">
        <v>194</v>
      </c>
      <c r="D1453" s="303" t="s">
        <v>187</v>
      </c>
      <c r="E1453" s="286">
        <v>112</v>
      </c>
      <c r="F1453" s="321"/>
      <c r="G1453" s="305"/>
      <c r="H1453" s="286"/>
      <c r="I1453" s="304">
        <v>35.11</v>
      </c>
      <c r="J1453" s="286">
        <v>90</v>
      </c>
      <c r="K1453" s="304">
        <v>647.26</v>
      </c>
    </row>
    <row r="1454" spans="1:22" ht="14.25" x14ac:dyDescent="0.2">
      <c r="A1454" s="301"/>
      <c r="B1454" s="302"/>
      <c r="C1454" s="302" t="s">
        <v>193</v>
      </c>
      <c r="D1454" s="303" t="s">
        <v>187</v>
      </c>
      <c r="E1454" s="286">
        <v>70</v>
      </c>
      <c r="F1454" s="321"/>
      <c r="G1454" s="305"/>
      <c r="H1454" s="286"/>
      <c r="I1454" s="304">
        <v>20.64</v>
      </c>
      <c r="J1454" s="286">
        <v>41</v>
      </c>
      <c r="K1454" s="304">
        <v>294.86</v>
      </c>
    </row>
    <row r="1455" spans="1:22" ht="14.25" x14ac:dyDescent="0.2">
      <c r="A1455" s="307"/>
      <c r="B1455" s="308"/>
      <c r="C1455" s="308" t="s">
        <v>192</v>
      </c>
      <c r="D1455" s="309" t="s">
        <v>191</v>
      </c>
      <c r="E1455" s="310">
        <v>2.06</v>
      </c>
      <c r="F1455" s="361"/>
      <c r="G1455" s="312" t="s">
        <v>1548</v>
      </c>
      <c r="H1455" s="310">
        <v>1</v>
      </c>
      <c r="I1455" s="311">
        <v>2.37</v>
      </c>
      <c r="J1455" s="310"/>
      <c r="K1455" s="311"/>
    </row>
    <row r="1456" spans="1:22" ht="15" x14ac:dyDescent="0.25">
      <c r="A1456" s="313"/>
      <c r="B1456" s="313"/>
      <c r="C1456" s="314" t="s">
        <v>183</v>
      </c>
      <c r="D1456" s="313"/>
      <c r="E1456" s="313"/>
      <c r="F1456" s="313"/>
      <c r="G1456" s="313"/>
      <c r="H1456" s="472">
        <v>86.83</v>
      </c>
      <c r="I1456" s="472"/>
      <c r="J1456" s="472">
        <v>1662.82</v>
      </c>
      <c r="K1456" s="472"/>
      <c r="O1456" s="284">
        <f>I1451+I1452+I1453+I1454</f>
        <v>86.83</v>
      </c>
      <c r="P1456" s="284">
        <f>K1451+K1452+K1453+K1454</f>
        <v>1662.82</v>
      </c>
    </row>
    <row r="1458" spans="1:22" ht="65.25" x14ac:dyDescent="0.2">
      <c r="A1458" s="301" t="s">
        <v>104</v>
      </c>
      <c r="B1458" s="302" t="s">
        <v>1473</v>
      </c>
      <c r="C1458" s="302" t="s">
        <v>1472</v>
      </c>
      <c r="D1458" s="303" t="s">
        <v>1903</v>
      </c>
      <c r="E1458" s="286">
        <v>1</v>
      </c>
      <c r="F1458" s="321"/>
      <c r="G1458" s="305"/>
      <c r="H1458" s="286"/>
      <c r="I1458" s="304"/>
      <c r="J1458" s="286"/>
      <c r="K1458" s="304"/>
      <c r="Q1458" s="281">
        <f>[20]Source!X1495</f>
        <v>7.62</v>
      </c>
      <c r="R1458" s="281">
        <f>[20]Source!X1496</f>
        <v>140.38</v>
      </c>
      <c r="S1458" s="281">
        <f>[20]Source!Y1495</f>
        <v>4.4800000000000004</v>
      </c>
      <c r="T1458" s="281">
        <f>[20]Source!Y1496</f>
        <v>63.95</v>
      </c>
      <c r="U1458" s="281">
        <f>ROUND((175/100)*ROUND([20]Source!R1495, 2), 2)</f>
        <v>12.09</v>
      </c>
      <c r="V1458" s="281">
        <f>ROUND((157/100)*ROUND([20]Source!R1496, 2), 2)</f>
        <v>253.32</v>
      </c>
    </row>
    <row r="1459" spans="1:22" ht="14.25" x14ac:dyDescent="0.2">
      <c r="A1459" s="301"/>
      <c r="B1459" s="302"/>
      <c r="C1459" s="302" t="s">
        <v>197</v>
      </c>
      <c r="D1459" s="303"/>
      <c r="E1459" s="286"/>
      <c r="F1459" s="321">
        <v>5.81</v>
      </c>
      <c r="G1459" s="305" t="s">
        <v>1548</v>
      </c>
      <c r="H1459" s="286">
        <v>1</v>
      </c>
      <c r="I1459" s="304">
        <v>6.68</v>
      </c>
      <c r="J1459" s="286">
        <v>23.35</v>
      </c>
      <c r="K1459" s="304">
        <v>155.97999999999999</v>
      </c>
    </row>
    <row r="1460" spans="1:22" ht="14.25" x14ac:dyDescent="0.2">
      <c r="A1460" s="301"/>
      <c r="B1460" s="302"/>
      <c r="C1460" s="302" t="s">
        <v>184</v>
      </c>
      <c r="D1460" s="303"/>
      <c r="E1460" s="286"/>
      <c r="F1460" s="321">
        <v>27.61</v>
      </c>
      <c r="G1460" s="305" t="s">
        <v>1549</v>
      </c>
      <c r="H1460" s="286">
        <v>1</v>
      </c>
      <c r="I1460" s="304">
        <v>34.51</v>
      </c>
      <c r="J1460" s="286">
        <v>8.9600000000000009</v>
      </c>
      <c r="K1460" s="304">
        <v>309.20999999999998</v>
      </c>
    </row>
    <row r="1461" spans="1:22" ht="14.25" x14ac:dyDescent="0.2">
      <c r="A1461" s="301"/>
      <c r="B1461" s="302"/>
      <c r="C1461" s="302" t="s">
        <v>189</v>
      </c>
      <c r="D1461" s="303"/>
      <c r="E1461" s="286"/>
      <c r="F1461" s="321">
        <v>5.53</v>
      </c>
      <c r="G1461" s="305" t="s">
        <v>1549</v>
      </c>
      <c r="H1461" s="286">
        <v>1</v>
      </c>
      <c r="I1461" s="306">
        <v>6.91</v>
      </c>
      <c r="J1461" s="286">
        <v>23.35</v>
      </c>
      <c r="K1461" s="306">
        <v>161.35</v>
      </c>
    </row>
    <row r="1462" spans="1:22" ht="14.25" x14ac:dyDescent="0.2">
      <c r="A1462" s="301"/>
      <c r="B1462" s="302"/>
      <c r="C1462" s="302" t="s">
        <v>205</v>
      </c>
      <c r="D1462" s="303"/>
      <c r="E1462" s="286"/>
      <c r="F1462" s="321">
        <v>1.89</v>
      </c>
      <c r="G1462" s="305" t="s">
        <v>195</v>
      </c>
      <c r="H1462" s="286">
        <v>1</v>
      </c>
      <c r="I1462" s="304">
        <v>1.89</v>
      </c>
      <c r="J1462" s="286">
        <v>5.42</v>
      </c>
      <c r="K1462" s="304">
        <v>10.24</v>
      </c>
    </row>
    <row r="1463" spans="1:22" ht="14.25" x14ac:dyDescent="0.2">
      <c r="A1463" s="301"/>
      <c r="B1463" s="302"/>
      <c r="C1463" s="302" t="s">
        <v>194</v>
      </c>
      <c r="D1463" s="303" t="s">
        <v>187</v>
      </c>
      <c r="E1463" s="286">
        <v>112</v>
      </c>
      <c r="F1463" s="321"/>
      <c r="G1463" s="305"/>
      <c r="H1463" s="286"/>
      <c r="I1463" s="304">
        <v>7.62</v>
      </c>
      <c r="J1463" s="286">
        <v>90</v>
      </c>
      <c r="K1463" s="304">
        <v>140.38</v>
      </c>
    </row>
    <row r="1464" spans="1:22" ht="14.25" x14ac:dyDescent="0.2">
      <c r="A1464" s="301"/>
      <c r="B1464" s="302"/>
      <c r="C1464" s="302" t="s">
        <v>193</v>
      </c>
      <c r="D1464" s="303" t="s">
        <v>187</v>
      </c>
      <c r="E1464" s="286">
        <v>70</v>
      </c>
      <c r="F1464" s="321"/>
      <c r="G1464" s="305"/>
      <c r="H1464" s="286"/>
      <c r="I1464" s="304">
        <v>4.4800000000000004</v>
      </c>
      <c r="J1464" s="286">
        <v>41</v>
      </c>
      <c r="K1464" s="304">
        <v>63.95</v>
      </c>
    </row>
    <row r="1465" spans="1:22" ht="14.25" x14ac:dyDescent="0.2">
      <c r="A1465" s="301"/>
      <c r="B1465" s="302"/>
      <c r="C1465" s="302" t="s">
        <v>188</v>
      </c>
      <c r="D1465" s="303" t="s">
        <v>187</v>
      </c>
      <c r="E1465" s="286">
        <v>175</v>
      </c>
      <c r="F1465" s="321"/>
      <c r="G1465" s="305"/>
      <c r="H1465" s="286"/>
      <c r="I1465" s="304">
        <v>12.09</v>
      </c>
      <c r="J1465" s="286">
        <v>157</v>
      </c>
      <c r="K1465" s="304">
        <v>253.32</v>
      </c>
    </row>
    <row r="1466" spans="1:22" ht="14.25" x14ac:dyDescent="0.2">
      <c r="A1466" s="307"/>
      <c r="B1466" s="308"/>
      <c r="C1466" s="308" t="s">
        <v>192</v>
      </c>
      <c r="D1466" s="309" t="s">
        <v>191</v>
      </c>
      <c r="E1466" s="310">
        <v>0.52</v>
      </c>
      <c r="F1466" s="361"/>
      <c r="G1466" s="312" t="s">
        <v>1548</v>
      </c>
      <c r="H1466" s="310">
        <v>1</v>
      </c>
      <c r="I1466" s="311">
        <v>0.6</v>
      </c>
      <c r="J1466" s="310"/>
      <c r="K1466" s="311"/>
    </row>
    <row r="1467" spans="1:22" ht="15" x14ac:dyDescent="0.25">
      <c r="A1467" s="313"/>
      <c r="B1467" s="313"/>
      <c r="C1467" s="314" t="s">
        <v>183</v>
      </c>
      <c r="D1467" s="313"/>
      <c r="E1467" s="313"/>
      <c r="F1467" s="313"/>
      <c r="G1467" s="313"/>
      <c r="H1467" s="472">
        <v>67.27</v>
      </c>
      <c r="I1467" s="472"/>
      <c r="J1467" s="472">
        <v>933.08</v>
      </c>
      <c r="K1467" s="472"/>
      <c r="O1467" s="284">
        <f>I1459+I1460+I1462+I1463+I1464+I1465</f>
        <v>67.27</v>
      </c>
      <c r="P1467" s="284">
        <f>K1459+K1460+K1462+K1463+K1464+K1465</f>
        <v>933.08</v>
      </c>
    </row>
    <row r="1469" spans="1:22" ht="81" x14ac:dyDescent="0.2">
      <c r="A1469" s="275" t="s">
        <v>1546</v>
      </c>
      <c r="B1469" s="276" t="s">
        <v>3752</v>
      </c>
      <c r="C1469" s="276" t="s">
        <v>1478</v>
      </c>
      <c r="D1469" s="277" t="s">
        <v>3240</v>
      </c>
      <c r="E1469" s="278">
        <v>1</v>
      </c>
      <c r="F1469" s="362">
        <v>11543.7</v>
      </c>
      <c r="G1469" s="280" t="s">
        <v>195</v>
      </c>
      <c r="H1469" s="278">
        <v>1</v>
      </c>
      <c r="I1469" s="279">
        <v>11543.7</v>
      </c>
      <c r="J1469" s="278">
        <v>4.4000000000000004</v>
      </c>
      <c r="K1469" s="279">
        <v>50792.28</v>
      </c>
      <c r="Q1469" s="281">
        <f>[20]Source!X1497</f>
        <v>0</v>
      </c>
      <c r="R1469" s="281">
        <f>[20]Source!X1498</f>
        <v>0</v>
      </c>
      <c r="S1469" s="281">
        <f>[20]Source!Y1497</f>
        <v>0</v>
      </c>
      <c r="T1469" s="281">
        <f>[20]Source!Y1498</f>
        <v>0</v>
      </c>
      <c r="U1469" s="281">
        <f>ROUND((175/100)*ROUND([20]Source!R1497, 2), 2)</f>
        <v>0</v>
      </c>
      <c r="V1469" s="281">
        <f>ROUND((157/100)*ROUND([20]Source!R1498, 2), 2)</f>
        <v>0</v>
      </c>
    </row>
    <row r="1470" spans="1:22" ht="15" x14ac:dyDescent="0.25">
      <c r="A1470" s="282"/>
      <c r="B1470" s="282"/>
      <c r="C1470" s="283" t="s">
        <v>183</v>
      </c>
      <c r="D1470" s="282"/>
      <c r="E1470" s="282"/>
      <c r="F1470" s="282"/>
      <c r="G1470" s="282"/>
      <c r="H1470" s="473">
        <v>11543.7</v>
      </c>
      <c r="I1470" s="473"/>
      <c r="J1470" s="473">
        <v>50792.28</v>
      </c>
      <c r="K1470" s="473"/>
      <c r="O1470" s="284">
        <f>I1469</f>
        <v>11543.7</v>
      </c>
      <c r="P1470" s="284">
        <f>K1469</f>
        <v>50792.28</v>
      </c>
    </row>
    <row r="1473" spans="1:22" ht="15" x14ac:dyDescent="0.25">
      <c r="A1473" s="447" t="s">
        <v>3819</v>
      </c>
      <c r="B1473" s="447"/>
      <c r="C1473" s="447"/>
      <c r="D1473" s="447"/>
      <c r="E1473" s="447"/>
      <c r="F1473" s="447"/>
      <c r="G1473" s="447"/>
      <c r="H1473" s="445">
        <v>11919.39</v>
      </c>
      <c r="I1473" s="446"/>
      <c r="J1473" s="445">
        <v>57287.040000000001</v>
      </c>
      <c r="K1473" s="446"/>
    </row>
    <row r="1474" spans="1:22" hidden="1" x14ac:dyDescent="0.2">
      <c r="A1474" s="281" t="s">
        <v>182</v>
      </c>
      <c r="I1474" s="281">
        <v>0</v>
      </c>
      <c r="J1474" s="281">
        <v>0</v>
      </c>
    </row>
    <row r="1475" spans="1:22" hidden="1" x14ac:dyDescent="0.2">
      <c r="A1475" s="281" t="s">
        <v>181</v>
      </c>
      <c r="I1475" s="281">
        <v>0</v>
      </c>
      <c r="J1475" s="281">
        <v>0</v>
      </c>
    </row>
    <row r="1477" spans="1:22" ht="16.5" x14ac:dyDescent="0.25">
      <c r="A1477" s="448" t="s">
        <v>3820</v>
      </c>
      <c r="B1477" s="448"/>
      <c r="C1477" s="448"/>
      <c r="D1477" s="448"/>
      <c r="E1477" s="448"/>
      <c r="F1477" s="448"/>
      <c r="G1477" s="448"/>
      <c r="H1477" s="448"/>
      <c r="I1477" s="448"/>
      <c r="J1477" s="448"/>
      <c r="K1477" s="448"/>
    </row>
    <row r="1478" spans="1:22" ht="65.25" x14ac:dyDescent="0.2">
      <c r="A1478" s="301" t="s">
        <v>719</v>
      </c>
      <c r="B1478" s="302" t="s">
        <v>1476</v>
      </c>
      <c r="C1478" s="302" t="s">
        <v>1475</v>
      </c>
      <c r="D1478" s="303" t="s">
        <v>1903</v>
      </c>
      <c r="E1478" s="286">
        <v>1</v>
      </c>
      <c r="F1478" s="321"/>
      <c r="G1478" s="305"/>
      <c r="H1478" s="286"/>
      <c r="I1478" s="304"/>
      <c r="J1478" s="286"/>
      <c r="K1478" s="304"/>
      <c r="Q1478" s="281">
        <f>[20]Source!X1534</f>
        <v>78.39</v>
      </c>
      <c r="R1478" s="281">
        <f>[20]Source!X1535</f>
        <v>1445</v>
      </c>
      <c r="S1478" s="281">
        <f>[20]Source!Y1534</f>
        <v>46.07</v>
      </c>
      <c r="T1478" s="281">
        <f>[20]Source!Y1535</f>
        <v>658.28</v>
      </c>
      <c r="U1478" s="281">
        <f>ROUND((175/100)*ROUND([20]Source!R1534, 2), 2)</f>
        <v>1.42</v>
      </c>
      <c r="V1478" s="281">
        <f>ROUND((157/100)*ROUND([20]Source!R1535, 2), 2)</f>
        <v>29.69</v>
      </c>
    </row>
    <row r="1479" spans="1:22" ht="14.25" x14ac:dyDescent="0.2">
      <c r="A1479" s="301"/>
      <c r="B1479" s="302"/>
      <c r="C1479" s="302" t="s">
        <v>197</v>
      </c>
      <c r="D1479" s="303"/>
      <c r="E1479" s="286"/>
      <c r="F1479" s="321">
        <v>59.79</v>
      </c>
      <c r="G1479" s="305" t="s">
        <v>1548</v>
      </c>
      <c r="H1479" s="286">
        <v>1</v>
      </c>
      <c r="I1479" s="304">
        <v>68.760000000000005</v>
      </c>
      <c r="J1479" s="286">
        <v>23.35</v>
      </c>
      <c r="K1479" s="304">
        <v>1605.55</v>
      </c>
    </row>
    <row r="1480" spans="1:22" ht="14.25" x14ac:dyDescent="0.2">
      <c r="A1480" s="301"/>
      <c r="B1480" s="302"/>
      <c r="C1480" s="302" t="s">
        <v>184</v>
      </c>
      <c r="D1480" s="303"/>
      <c r="E1480" s="286"/>
      <c r="F1480" s="321">
        <v>4.42</v>
      </c>
      <c r="G1480" s="305" t="s">
        <v>1549</v>
      </c>
      <c r="H1480" s="286">
        <v>1</v>
      </c>
      <c r="I1480" s="304">
        <v>5.53</v>
      </c>
      <c r="J1480" s="286">
        <v>8</v>
      </c>
      <c r="K1480" s="304">
        <v>44.24</v>
      </c>
    </row>
    <row r="1481" spans="1:22" ht="14.25" x14ac:dyDescent="0.2">
      <c r="A1481" s="301"/>
      <c r="B1481" s="302"/>
      <c r="C1481" s="302" t="s">
        <v>189</v>
      </c>
      <c r="D1481" s="303"/>
      <c r="E1481" s="286"/>
      <c r="F1481" s="321">
        <v>0.65</v>
      </c>
      <c r="G1481" s="305" t="s">
        <v>1549</v>
      </c>
      <c r="H1481" s="286">
        <v>1</v>
      </c>
      <c r="I1481" s="306">
        <v>0.81</v>
      </c>
      <c r="J1481" s="286">
        <v>23.35</v>
      </c>
      <c r="K1481" s="306">
        <v>18.91</v>
      </c>
    </row>
    <row r="1482" spans="1:22" ht="14.25" x14ac:dyDescent="0.2">
      <c r="A1482" s="301"/>
      <c r="B1482" s="302"/>
      <c r="C1482" s="302" t="s">
        <v>205</v>
      </c>
      <c r="D1482" s="303"/>
      <c r="E1482" s="286"/>
      <c r="F1482" s="321">
        <v>21.42</v>
      </c>
      <c r="G1482" s="305" t="s">
        <v>195</v>
      </c>
      <c r="H1482" s="286">
        <v>1</v>
      </c>
      <c r="I1482" s="304">
        <v>21.42</v>
      </c>
      <c r="J1482" s="286">
        <v>5.42</v>
      </c>
      <c r="K1482" s="304">
        <v>116.1</v>
      </c>
    </row>
    <row r="1483" spans="1:22" ht="14.25" x14ac:dyDescent="0.2">
      <c r="A1483" s="301"/>
      <c r="B1483" s="302"/>
      <c r="C1483" s="302" t="s">
        <v>194</v>
      </c>
      <c r="D1483" s="303" t="s">
        <v>187</v>
      </c>
      <c r="E1483" s="286">
        <v>112</v>
      </c>
      <c r="F1483" s="321"/>
      <c r="G1483" s="305"/>
      <c r="H1483" s="286"/>
      <c r="I1483" s="304">
        <v>78.39</v>
      </c>
      <c r="J1483" s="286">
        <v>90</v>
      </c>
      <c r="K1483" s="304">
        <v>1445</v>
      </c>
    </row>
    <row r="1484" spans="1:22" ht="14.25" x14ac:dyDescent="0.2">
      <c r="A1484" s="301"/>
      <c r="B1484" s="302"/>
      <c r="C1484" s="302" t="s">
        <v>193</v>
      </c>
      <c r="D1484" s="303" t="s">
        <v>187</v>
      </c>
      <c r="E1484" s="286">
        <v>70</v>
      </c>
      <c r="F1484" s="321"/>
      <c r="G1484" s="305"/>
      <c r="H1484" s="286"/>
      <c r="I1484" s="304">
        <v>46.07</v>
      </c>
      <c r="J1484" s="286">
        <v>41</v>
      </c>
      <c r="K1484" s="304">
        <v>658.28</v>
      </c>
    </row>
    <row r="1485" spans="1:22" ht="14.25" x14ac:dyDescent="0.2">
      <c r="A1485" s="301"/>
      <c r="B1485" s="302"/>
      <c r="C1485" s="302" t="s">
        <v>188</v>
      </c>
      <c r="D1485" s="303" t="s">
        <v>187</v>
      </c>
      <c r="E1485" s="286">
        <v>175</v>
      </c>
      <c r="F1485" s="321"/>
      <c r="G1485" s="305"/>
      <c r="H1485" s="286"/>
      <c r="I1485" s="304">
        <v>1.42</v>
      </c>
      <c r="J1485" s="286">
        <v>157</v>
      </c>
      <c r="K1485" s="304">
        <v>29.69</v>
      </c>
    </row>
    <row r="1486" spans="1:22" ht="14.25" x14ac:dyDescent="0.2">
      <c r="A1486" s="307"/>
      <c r="B1486" s="308"/>
      <c r="C1486" s="308" t="s">
        <v>192</v>
      </c>
      <c r="D1486" s="309" t="s">
        <v>191</v>
      </c>
      <c r="E1486" s="310">
        <v>5.15</v>
      </c>
      <c r="F1486" s="361"/>
      <c r="G1486" s="312" t="s">
        <v>1548</v>
      </c>
      <c r="H1486" s="310">
        <v>1</v>
      </c>
      <c r="I1486" s="311">
        <v>5.92</v>
      </c>
      <c r="J1486" s="310"/>
      <c r="K1486" s="311"/>
    </row>
    <row r="1487" spans="1:22" ht="15" x14ac:dyDescent="0.25">
      <c r="A1487" s="313"/>
      <c r="B1487" s="313"/>
      <c r="C1487" s="314" t="s">
        <v>183</v>
      </c>
      <c r="D1487" s="313"/>
      <c r="E1487" s="313"/>
      <c r="F1487" s="313"/>
      <c r="G1487" s="313"/>
      <c r="H1487" s="472">
        <v>221.59</v>
      </c>
      <c r="I1487" s="472"/>
      <c r="J1487" s="472">
        <v>3898.86</v>
      </c>
      <c r="K1487" s="472"/>
      <c r="O1487" s="284">
        <f>I1479+I1480+I1482+I1483+I1484+I1485</f>
        <v>221.59</v>
      </c>
      <c r="P1487" s="284">
        <f>K1479+K1480+K1482+K1483+K1484+K1485</f>
        <v>3898.86</v>
      </c>
    </row>
    <row r="1489" spans="1:22" ht="65.25" x14ac:dyDescent="0.2">
      <c r="A1489" s="301" t="s">
        <v>1534</v>
      </c>
      <c r="B1489" s="302" t="s">
        <v>1474</v>
      </c>
      <c r="C1489" s="302" t="s">
        <v>1247</v>
      </c>
      <c r="D1489" s="303" t="s">
        <v>1903</v>
      </c>
      <c r="E1489" s="286">
        <v>1</v>
      </c>
      <c r="F1489" s="321"/>
      <c r="G1489" s="305"/>
      <c r="H1489" s="286"/>
      <c r="I1489" s="304"/>
      <c r="J1489" s="286"/>
      <c r="K1489" s="304"/>
      <c r="Q1489" s="281">
        <f>[20]Source!X1536</f>
        <v>35.11</v>
      </c>
      <c r="R1489" s="281">
        <f>[20]Source!X1537</f>
        <v>647.26</v>
      </c>
      <c r="S1489" s="281">
        <f>[20]Source!Y1536</f>
        <v>20.64</v>
      </c>
      <c r="T1489" s="281">
        <f>[20]Source!Y1537</f>
        <v>294.86</v>
      </c>
      <c r="U1489" s="281">
        <f>ROUND((175/100)*ROUND([20]Source!R1536, 2), 2)</f>
        <v>0</v>
      </c>
      <c r="V1489" s="281">
        <f>ROUND((157/100)*ROUND([20]Source!R1537, 2), 2)</f>
        <v>0</v>
      </c>
    </row>
    <row r="1490" spans="1:22" ht="14.25" x14ac:dyDescent="0.2">
      <c r="A1490" s="301"/>
      <c r="B1490" s="302"/>
      <c r="C1490" s="302" t="s">
        <v>197</v>
      </c>
      <c r="D1490" s="303"/>
      <c r="E1490" s="286"/>
      <c r="F1490" s="321">
        <v>26.78</v>
      </c>
      <c r="G1490" s="305" t="s">
        <v>1548</v>
      </c>
      <c r="H1490" s="286">
        <v>1</v>
      </c>
      <c r="I1490" s="304">
        <v>30.8</v>
      </c>
      <c r="J1490" s="286">
        <v>23.35</v>
      </c>
      <c r="K1490" s="304">
        <v>719.18</v>
      </c>
    </row>
    <row r="1491" spans="1:22" ht="14.25" x14ac:dyDescent="0.2">
      <c r="A1491" s="301"/>
      <c r="B1491" s="302"/>
      <c r="C1491" s="302" t="s">
        <v>205</v>
      </c>
      <c r="D1491" s="303"/>
      <c r="E1491" s="286"/>
      <c r="F1491" s="321">
        <v>0.28000000000000003</v>
      </c>
      <c r="G1491" s="305" t="s">
        <v>195</v>
      </c>
      <c r="H1491" s="286">
        <v>1</v>
      </c>
      <c r="I1491" s="304">
        <v>0.28000000000000003</v>
      </c>
      <c r="J1491" s="286">
        <v>5.43</v>
      </c>
      <c r="K1491" s="304">
        <v>1.52</v>
      </c>
    </row>
    <row r="1492" spans="1:22" ht="14.25" x14ac:dyDescent="0.2">
      <c r="A1492" s="301"/>
      <c r="B1492" s="302"/>
      <c r="C1492" s="302" t="s">
        <v>194</v>
      </c>
      <c r="D1492" s="303" t="s">
        <v>187</v>
      </c>
      <c r="E1492" s="286">
        <v>112</v>
      </c>
      <c r="F1492" s="321"/>
      <c r="G1492" s="305"/>
      <c r="H1492" s="286"/>
      <c r="I1492" s="304">
        <v>35.11</v>
      </c>
      <c r="J1492" s="286">
        <v>90</v>
      </c>
      <c r="K1492" s="304">
        <v>647.26</v>
      </c>
    </row>
    <row r="1493" spans="1:22" ht="14.25" x14ac:dyDescent="0.2">
      <c r="A1493" s="301"/>
      <c r="B1493" s="302"/>
      <c r="C1493" s="302" t="s">
        <v>193</v>
      </c>
      <c r="D1493" s="303" t="s">
        <v>187</v>
      </c>
      <c r="E1493" s="286">
        <v>70</v>
      </c>
      <c r="F1493" s="321"/>
      <c r="G1493" s="305"/>
      <c r="H1493" s="286"/>
      <c r="I1493" s="304">
        <v>20.64</v>
      </c>
      <c r="J1493" s="286">
        <v>41</v>
      </c>
      <c r="K1493" s="304">
        <v>294.86</v>
      </c>
    </row>
    <row r="1494" spans="1:22" ht="14.25" x14ac:dyDescent="0.2">
      <c r="A1494" s="307"/>
      <c r="B1494" s="308"/>
      <c r="C1494" s="308" t="s">
        <v>192</v>
      </c>
      <c r="D1494" s="309" t="s">
        <v>191</v>
      </c>
      <c r="E1494" s="310">
        <v>2.06</v>
      </c>
      <c r="F1494" s="361"/>
      <c r="G1494" s="312" t="s">
        <v>1548</v>
      </c>
      <c r="H1494" s="310">
        <v>1</v>
      </c>
      <c r="I1494" s="311">
        <v>2.37</v>
      </c>
      <c r="J1494" s="310"/>
      <c r="K1494" s="311"/>
    </row>
    <row r="1495" spans="1:22" ht="15" x14ac:dyDescent="0.25">
      <c r="A1495" s="313"/>
      <c r="B1495" s="313"/>
      <c r="C1495" s="314" t="s">
        <v>183</v>
      </c>
      <c r="D1495" s="313"/>
      <c r="E1495" s="313"/>
      <c r="F1495" s="313"/>
      <c r="G1495" s="313"/>
      <c r="H1495" s="472">
        <v>86.83</v>
      </c>
      <c r="I1495" s="472"/>
      <c r="J1495" s="472">
        <v>1662.82</v>
      </c>
      <c r="K1495" s="472"/>
      <c r="O1495" s="284">
        <f>I1490+I1491+I1492+I1493</f>
        <v>86.83</v>
      </c>
      <c r="P1495" s="284">
        <f>K1490+K1491+K1492+K1493</f>
        <v>1662.82</v>
      </c>
    </row>
    <row r="1497" spans="1:22" ht="65.25" x14ac:dyDescent="0.2">
      <c r="A1497" s="301" t="s">
        <v>104</v>
      </c>
      <c r="B1497" s="302" t="s">
        <v>1473</v>
      </c>
      <c r="C1497" s="302" t="s">
        <v>1472</v>
      </c>
      <c r="D1497" s="303" t="s">
        <v>1903</v>
      </c>
      <c r="E1497" s="286">
        <v>1</v>
      </c>
      <c r="F1497" s="321"/>
      <c r="G1497" s="305"/>
      <c r="H1497" s="286"/>
      <c r="I1497" s="304"/>
      <c r="J1497" s="286"/>
      <c r="K1497" s="304"/>
      <c r="Q1497" s="281">
        <f>[20]Source!X1538</f>
        <v>7.62</v>
      </c>
      <c r="R1497" s="281">
        <f>[20]Source!X1539</f>
        <v>140.38</v>
      </c>
      <c r="S1497" s="281">
        <f>[20]Source!Y1538</f>
        <v>4.4800000000000004</v>
      </c>
      <c r="T1497" s="281">
        <f>[20]Source!Y1539</f>
        <v>63.95</v>
      </c>
      <c r="U1497" s="281">
        <f>ROUND((175/100)*ROUND([20]Source!R1538, 2), 2)</f>
        <v>12.09</v>
      </c>
      <c r="V1497" s="281">
        <f>ROUND((157/100)*ROUND([20]Source!R1539, 2), 2)</f>
        <v>253.32</v>
      </c>
    </row>
    <row r="1498" spans="1:22" ht="14.25" x14ac:dyDescent="0.2">
      <c r="A1498" s="301"/>
      <c r="B1498" s="302"/>
      <c r="C1498" s="302" t="s">
        <v>197</v>
      </c>
      <c r="D1498" s="303"/>
      <c r="E1498" s="286"/>
      <c r="F1498" s="321">
        <v>5.81</v>
      </c>
      <c r="G1498" s="305" t="s">
        <v>1548</v>
      </c>
      <c r="H1498" s="286">
        <v>1</v>
      </c>
      <c r="I1498" s="304">
        <v>6.68</v>
      </c>
      <c r="J1498" s="286">
        <v>23.35</v>
      </c>
      <c r="K1498" s="304">
        <v>155.97999999999999</v>
      </c>
    </row>
    <row r="1499" spans="1:22" ht="14.25" x14ac:dyDescent="0.2">
      <c r="A1499" s="301"/>
      <c r="B1499" s="302"/>
      <c r="C1499" s="302" t="s">
        <v>184</v>
      </c>
      <c r="D1499" s="303"/>
      <c r="E1499" s="286"/>
      <c r="F1499" s="321">
        <v>27.61</v>
      </c>
      <c r="G1499" s="305" t="s">
        <v>1549</v>
      </c>
      <c r="H1499" s="286">
        <v>1</v>
      </c>
      <c r="I1499" s="304">
        <v>34.51</v>
      </c>
      <c r="J1499" s="286">
        <v>8.9600000000000009</v>
      </c>
      <c r="K1499" s="304">
        <v>309.20999999999998</v>
      </c>
    </row>
    <row r="1500" spans="1:22" ht="14.25" x14ac:dyDescent="0.2">
      <c r="A1500" s="301"/>
      <c r="B1500" s="302"/>
      <c r="C1500" s="302" t="s">
        <v>189</v>
      </c>
      <c r="D1500" s="303"/>
      <c r="E1500" s="286"/>
      <c r="F1500" s="321">
        <v>5.53</v>
      </c>
      <c r="G1500" s="305" t="s">
        <v>1549</v>
      </c>
      <c r="H1500" s="286">
        <v>1</v>
      </c>
      <c r="I1500" s="306">
        <v>6.91</v>
      </c>
      <c r="J1500" s="286">
        <v>23.35</v>
      </c>
      <c r="K1500" s="306">
        <v>161.35</v>
      </c>
    </row>
    <row r="1501" spans="1:22" ht="14.25" x14ac:dyDescent="0.2">
      <c r="A1501" s="301"/>
      <c r="B1501" s="302"/>
      <c r="C1501" s="302" t="s">
        <v>205</v>
      </c>
      <c r="D1501" s="303"/>
      <c r="E1501" s="286"/>
      <c r="F1501" s="321">
        <v>1.89</v>
      </c>
      <c r="G1501" s="305" t="s">
        <v>195</v>
      </c>
      <c r="H1501" s="286">
        <v>1</v>
      </c>
      <c r="I1501" s="304">
        <v>1.89</v>
      </c>
      <c r="J1501" s="286">
        <v>5.42</v>
      </c>
      <c r="K1501" s="304">
        <v>10.24</v>
      </c>
    </row>
    <row r="1502" spans="1:22" ht="14.25" x14ac:dyDescent="0.2">
      <c r="A1502" s="301"/>
      <c r="B1502" s="302"/>
      <c r="C1502" s="302" t="s">
        <v>194</v>
      </c>
      <c r="D1502" s="303" t="s">
        <v>187</v>
      </c>
      <c r="E1502" s="286">
        <v>112</v>
      </c>
      <c r="F1502" s="321"/>
      <c r="G1502" s="305"/>
      <c r="H1502" s="286"/>
      <c r="I1502" s="304">
        <v>7.62</v>
      </c>
      <c r="J1502" s="286">
        <v>90</v>
      </c>
      <c r="K1502" s="304">
        <v>140.38</v>
      </c>
    </row>
    <row r="1503" spans="1:22" ht="14.25" x14ac:dyDescent="0.2">
      <c r="A1503" s="301"/>
      <c r="B1503" s="302"/>
      <c r="C1503" s="302" t="s">
        <v>193</v>
      </c>
      <c r="D1503" s="303" t="s">
        <v>187</v>
      </c>
      <c r="E1503" s="286">
        <v>70</v>
      </c>
      <c r="F1503" s="321"/>
      <c r="G1503" s="305"/>
      <c r="H1503" s="286"/>
      <c r="I1503" s="304">
        <v>4.4800000000000004</v>
      </c>
      <c r="J1503" s="286">
        <v>41</v>
      </c>
      <c r="K1503" s="304">
        <v>63.95</v>
      </c>
    </row>
    <row r="1504" spans="1:22" ht="14.25" x14ac:dyDescent="0.2">
      <c r="A1504" s="301"/>
      <c r="B1504" s="302"/>
      <c r="C1504" s="302" t="s">
        <v>188</v>
      </c>
      <c r="D1504" s="303" t="s">
        <v>187</v>
      </c>
      <c r="E1504" s="286">
        <v>175</v>
      </c>
      <c r="F1504" s="321"/>
      <c r="G1504" s="305"/>
      <c r="H1504" s="286"/>
      <c r="I1504" s="304">
        <v>12.09</v>
      </c>
      <c r="J1504" s="286">
        <v>157</v>
      </c>
      <c r="K1504" s="304">
        <v>253.32</v>
      </c>
    </row>
    <row r="1505" spans="1:22" ht="14.25" x14ac:dyDescent="0.2">
      <c r="A1505" s="307"/>
      <c r="B1505" s="308"/>
      <c r="C1505" s="308" t="s">
        <v>192</v>
      </c>
      <c r="D1505" s="309" t="s">
        <v>191</v>
      </c>
      <c r="E1505" s="310">
        <v>0.52</v>
      </c>
      <c r="F1505" s="361"/>
      <c r="G1505" s="312" t="s">
        <v>1548</v>
      </c>
      <c r="H1505" s="310">
        <v>1</v>
      </c>
      <c r="I1505" s="311">
        <v>0.6</v>
      </c>
      <c r="J1505" s="310"/>
      <c r="K1505" s="311"/>
    </row>
    <row r="1506" spans="1:22" ht="15" x14ac:dyDescent="0.25">
      <c r="A1506" s="313"/>
      <c r="B1506" s="313"/>
      <c r="C1506" s="314" t="s">
        <v>183</v>
      </c>
      <c r="D1506" s="313"/>
      <c r="E1506" s="313"/>
      <c r="F1506" s="313"/>
      <c r="G1506" s="313"/>
      <c r="H1506" s="472">
        <v>67.27</v>
      </c>
      <c r="I1506" s="472"/>
      <c r="J1506" s="472">
        <v>933.08</v>
      </c>
      <c r="K1506" s="472"/>
      <c r="O1506" s="284">
        <f>I1498+I1499+I1501+I1502+I1503+I1504</f>
        <v>67.27</v>
      </c>
      <c r="P1506" s="284">
        <f>K1498+K1499+K1501+K1502+K1503+K1504</f>
        <v>933.08</v>
      </c>
    </row>
    <row r="1508" spans="1:22" ht="81" x14ac:dyDescent="0.2">
      <c r="A1508" s="275" t="s">
        <v>1546</v>
      </c>
      <c r="B1508" s="276" t="s">
        <v>3752</v>
      </c>
      <c r="C1508" s="276" t="s">
        <v>1477</v>
      </c>
      <c r="D1508" s="277" t="s">
        <v>3240</v>
      </c>
      <c r="E1508" s="278">
        <v>1</v>
      </c>
      <c r="F1508" s="362">
        <v>11543.7</v>
      </c>
      <c r="G1508" s="280" t="s">
        <v>195</v>
      </c>
      <c r="H1508" s="278">
        <v>1</v>
      </c>
      <c r="I1508" s="279">
        <v>11543.7</v>
      </c>
      <c r="J1508" s="278">
        <v>4.4000000000000004</v>
      </c>
      <c r="K1508" s="279">
        <v>50792.28</v>
      </c>
      <c r="Q1508" s="281">
        <f>[20]Source!X1540</f>
        <v>0</v>
      </c>
      <c r="R1508" s="281">
        <f>[20]Source!X1541</f>
        <v>0</v>
      </c>
      <c r="S1508" s="281">
        <f>[20]Source!Y1540</f>
        <v>0</v>
      </c>
      <c r="T1508" s="281">
        <f>[20]Source!Y1541</f>
        <v>0</v>
      </c>
      <c r="U1508" s="281">
        <f>ROUND((175/100)*ROUND([20]Source!R1540, 2), 2)</f>
        <v>0</v>
      </c>
      <c r="V1508" s="281">
        <f>ROUND((157/100)*ROUND([20]Source!R1541, 2), 2)</f>
        <v>0</v>
      </c>
    </row>
    <row r="1509" spans="1:22" ht="15" x14ac:dyDescent="0.25">
      <c r="A1509" s="282"/>
      <c r="B1509" s="282"/>
      <c r="C1509" s="283" t="s">
        <v>183</v>
      </c>
      <c r="D1509" s="282"/>
      <c r="E1509" s="282"/>
      <c r="F1509" s="282"/>
      <c r="G1509" s="282"/>
      <c r="H1509" s="473">
        <v>11543.7</v>
      </c>
      <c r="I1509" s="473"/>
      <c r="J1509" s="473">
        <v>50792.28</v>
      </c>
      <c r="K1509" s="473"/>
      <c r="O1509" s="284">
        <f>I1508</f>
        <v>11543.7</v>
      </c>
      <c r="P1509" s="284">
        <f>K1508</f>
        <v>50792.28</v>
      </c>
    </row>
    <row r="1512" spans="1:22" ht="15" x14ac:dyDescent="0.25">
      <c r="A1512" s="447" t="s">
        <v>3821</v>
      </c>
      <c r="B1512" s="447"/>
      <c r="C1512" s="447"/>
      <c r="D1512" s="447"/>
      <c r="E1512" s="447"/>
      <c r="F1512" s="447"/>
      <c r="G1512" s="447"/>
      <c r="H1512" s="445">
        <v>11919.39</v>
      </c>
      <c r="I1512" s="446"/>
      <c r="J1512" s="445">
        <v>57287.040000000001</v>
      </c>
      <c r="K1512" s="446"/>
    </row>
    <row r="1513" spans="1:22" hidden="1" x14ac:dyDescent="0.2">
      <c r="A1513" s="281" t="s">
        <v>182</v>
      </c>
      <c r="I1513" s="281">
        <v>0</v>
      </c>
      <c r="J1513" s="281">
        <v>0</v>
      </c>
    </row>
    <row r="1514" spans="1:22" hidden="1" x14ac:dyDescent="0.2">
      <c r="A1514" s="281" t="s">
        <v>181</v>
      </c>
      <c r="I1514" s="281">
        <v>0</v>
      </c>
      <c r="J1514" s="281">
        <v>0</v>
      </c>
    </row>
    <row r="1516" spans="1:22" ht="16.5" x14ac:dyDescent="0.25">
      <c r="A1516" s="448" t="s">
        <v>3822</v>
      </c>
      <c r="B1516" s="448"/>
      <c r="C1516" s="448"/>
      <c r="D1516" s="448"/>
      <c r="E1516" s="448"/>
      <c r="F1516" s="448"/>
      <c r="G1516" s="448"/>
      <c r="H1516" s="448"/>
      <c r="I1516" s="448"/>
      <c r="J1516" s="448"/>
      <c r="K1516" s="448"/>
    </row>
    <row r="1517" spans="1:22" ht="65.25" x14ac:dyDescent="0.2">
      <c r="A1517" s="301" t="s">
        <v>719</v>
      </c>
      <c r="B1517" s="302" t="s">
        <v>1476</v>
      </c>
      <c r="C1517" s="302" t="s">
        <v>1475</v>
      </c>
      <c r="D1517" s="303" t="s">
        <v>1903</v>
      </c>
      <c r="E1517" s="286">
        <v>1</v>
      </c>
      <c r="F1517" s="321"/>
      <c r="G1517" s="305"/>
      <c r="H1517" s="286"/>
      <c r="I1517" s="304"/>
      <c r="J1517" s="286"/>
      <c r="K1517" s="304"/>
      <c r="Q1517" s="281">
        <f>[20]Source!X1577</f>
        <v>78.39</v>
      </c>
      <c r="R1517" s="281">
        <f>[20]Source!X1578</f>
        <v>1445</v>
      </c>
      <c r="S1517" s="281">
        <f>[20]Source!Y1577</f>
        <v>46.07</v>
      </c>
      <c r="T1517" s="281">
        <f>[20]Source!Y1578</f>
        <v>658.28</v>
      </c>
      <c r="U1517" s="281">
        <f>ROUND((175/100)*ROUND([20]Source!R1577, 2), 2)</f>
        <v>1.42</v>
      </c>
      <c r="V1517" s="281">
        <f>ROUND((157/100)*ROUND([20]Source!R1578, 2), 2)</f>
        <v>29.69</v>
      </c>
    </row>
    <row r="1518" spans="1:22" ht="14.25" x14ac:dyDescent="0.2">
      <c r="A1518" s="301"/>
      <c r="B1518" s="302"/>
      <c r="C1518" s="302" t="s">
        <v>197</v>
      </c>
      <c r="D1518" s="303"/>
      <c r="E1518" s="286"/>
      <c r="F1518" s="321">
        <v>59.79</v>
      </c>
      <c r="G1518" s="305" t="s">
        <v>1548</v>
      </c>
      <c r="H1518" s="286">
        <v>1</v>
      </c>
      <c r="I1518" s="304">
        <v>68.760000000000005</v>
      </c>
      <c r="J1518" s="286">
        <v>23.35</v>
      </c>
      <c r="K1518" s="304">
        <v>1605.55</v>
      </c>
    </row>
    <row r="1519" spans="1:22" ht="14.25" x14ac:dyDescent="0.2">
      <c r="A1519" s="301"/>
      <c r="B1519" s="302"/>
      <c r="C1519" s="302" t="s">
        <v>184</v>
      </c>
      <c r="D1519" s="303"/>
      <c r="E1519" s="286"/>
      <c r="F1519" s="321">
        <v>4.42</v>
      </c>
      <c r="G1519" s="305" t="s">
        <v>1549</v>
      </c>
      <c r="H1519" s="286">
        <v>1</v>
      </c>
      <c r="I1519" s="304">
        <v>5.53</v>
      </c>
      <c r="J1519" s="286">
        <v>8</v>
      </c>
      <c r="K1519" s="304">
        <v>44.24</v>
      </c>
    </row>
    <row r="1520" spans="1:22" ht="14.25" x14ac:dyDescent="0.2">
      <c r="A1520" s="301"/>
      <c r="B1520" s="302"/>
      <c r="C1520" s="302" t="s">
        <v>189</v>
      </c>
      <c r="D1520" s="303"/>
      <c r="E1520" s="286"/>
      <c r="F1520" s="321">
        <v>0.65</v>
      </c>
      <c r="G1520" s="305" t="s">
        <v>1549</v>
      </c>
      <c r="H1520" s="286">
        <v>1</v>
      </c>
      <c r="I1520" s="306">
        <v>0.81</v>
      </c>
      <c r="J1520" s="286">
        <v>23.35</v>
      </c>
      <c r="K1520" s="306">
        <v>18.91</v>
      </c>
    </row>
    <row r="1521" spans="1:22" ht="14.25" x14ac:dyDescent="0.2">
      <c r="A1521" s="301"/>
      <c r="B1521" s="302"/>
      <c r="C1521" s="302" t="s">
        <v>205</v>
      </c>
      <c r="D1521" s="303"/>
      <c r="E1521" s="286"/>
      <c r="F1521" s="321">
        <v>21.42</v>
      </c>
      <c r="G1521" s="305" t="s">
        <v>195</v>
      </c>
      <c r="H1521" s="286">
        <v>1</v>
      </c>
      <c r="I1521" s="304">
        <v>21.42</v>
      </c>
      <c r="J1521" s="286">
        <v>5.42</v>
      </c>
      <c r="K1521" s="304">
        <v>116.1</v>
      </c>
    </row>
    <row r="1522" spans="1:22" ht="14.25" x14ac:dyDescent="0.2">
      <c r="A1522" s="301"/>
      <c r="B1522" s="302"/>
      <c r="C1522" s="302" t="s">
        <v>194</v>
      </c>
      <c r="D1522" s="303" t="s">
        <v>187</v>
      </c>
      <c r="E1522" s="286">
        <v>112</v>
      </c>
      <c r="F1522" s="321"/>
      <c r="G1522" s="305"/>
      <c r="H1522" s="286"/>
      <c r="I1522" s="304">
        <v>78.39</v>
      </c>
      <c r="J1522" s="286">
        <v>90</v>
      </c>
      <c r="K1522" s="304">
        <v>1445</v>
      </c>
    </row>
    <row r="1523" spans="1:22" ht="14.25" x14ac:dyDescent="0.2">
      <c r="A1523" s="301"/>
      <c r="B1523" s="302"/>
      <c r="C1523" s="302" t="s">
        <v>193</v>
      </c>
      <c r="D1523" s="303" t="s">
        <v>187</v>
      </c>
      <c r="E1523" s="286">
        <v>70</v>
      </c>
      <c r="F1523" s="321"/>
      <c r="G1523" s="305"/>
      <c r="H1523" s="286"/>
      <c r="I1523" s="304">
        <v>46.07</v>
      </c>
      <c r="J1523" s="286">
        <v>41</v>
      </c>
      <c r="K1523" s="304">
        <v>658.28</v>
      </c>
    </row>
    <row r="1524" spans="1:22" ht="14.25" x14ac:dyDescent="0.2">
      <c r="A1524" s="301"/>
      <c r="B1524" s="302"/>
      <c r="C1524" s="302" t="s">
        <v>188</v>
      </c>
      <c r="D1524" s="303" t="s">
        <v>187</v>
      </c>
      <c r="E1524" s="286">
        <v>175</v>
      </c>
      <c r="F1524" s="321"/>
      <c r="G1524" s="305"/>
      <c r="H1524" s="286"/>
      <c r="I1524" s="304">
        <v>1.42</v>
      </c>
      <c r="J1524" s="286">
        <v>157</v>
      </c>
      <c r="K1524" s="304">
        <v>29.69</v>
      </c>
    </row>
    <row r="1525" spans="1:22" ht="14.25" x14ac:dyDescent="0.2">
      <c r="A1525" s="307"/>
      <c r="B1525" s="308"/>
      <c r="C1525" s="308" t="s">
        <v>192</v>
      </c>
      <c r="D1525" s="309" t="s">
        <v>191</v>
      </c>
      <c r="E1525" s="310">
        <v>5.15</v>
      </c>
      <c r="F1525" s="361"/>
      <c r="G1525" s="312" t="s">
        <v>1548</v>
      </c>
      <c r="H1525" s="310">
        <v>1</v>
      </c>
      <c r="I1525" s="311">
        <v>5.92</v>
      </c>
      <c r="J1525" s="310"/>
      <c r="K1525" s="311"/>
    </row>
    <row r="1526" spans="1:22" ht="15" x14ac:dyDescent="0.25">
      <c r="A1526" s="313"/>
      <c r="B1526" s="313"/>
      <c r="C1526" s="314" t="s">
        <v>183</v>
      </c>
      <c r="D1526" s="313"/>
      <c r="E1526" s="313"/>
      <c r="F1526" s="313"/>
      <c r="G1526" s="313"/>
      <c r="H1526" s="472">
        <v>221.59</v>
      </c>
      <c r="I1526" s="472"/>
      <c r="J1526" s="472">
        <v>3898.86</v>
      </c>
      <c r="K1526" s="472"/>
      <c r="O1526" s="284">
        <f>I1518+I1519+I1521+I1522+I1523+I1524</f>
        <v>221.59</v>
      </c>
      <c r="P1526" s="284">
        <f>K1518+K1519+K1521+K1522+K1523+K1524</f>
        <v>3898.86</v>
      </c>
    </row>
    <row r="1528" spans="1:22" ht="65.25" x14ac:dyDescent="0.2">
      <c r="A1528" s="301" t="s">
        <v>1534</v>
      </c>
      <c r="B1528" s="302" t="s">
        <v>1474</v>
      </c>
      <c r="C1528" s="302" t="s">
        <v>1247</v>
      </c>
      <c r="D1528" s="303" t="s">
        <v>1903</v>
      </c>
      <c r="E1528" s="286">
        <v>1</v>
      </c>
      <c r="F1528" s="321"/>
      <c r="G1528" s="305"/>
      <c r="H1528" s="286"/>
      <c r="I1528" s="304"/>
      <c r="J1528" s="286"/>
      <c r="K1528" s="304"/>
      <c r="Q1528" s="281">
        <f>[20]Source!X1579</f>
        <v>35.11</v>
      </c>
      <c r="R1528" s="281">
        <f>[20]Source!X1580</f>
        <v>647.26</v>
      </c>
      <c r="S1528" s="281">
        <f>[20]Source!Y1579</f>
        <v>20.64</v>
      </c>
      <c r="T1528" s="281">
        <f>[20]Source!Y1580</f>
        <v>294.86</v>
      </c>
      <c r="U1528" s="281">
        <f>ROUND((175/100)*ROUND([20]Source!R1579, 2), 2)</f>
        <v>0</v>
      </c>
      <c r="V1528" s="281">
        <f>ROUND((157/100)*ROUND([20]Source!R1580, 2), 2)</f>
        <v>0</v>
      </c>
    </row>
    <row r="1529" spans="1:22" ht="14.25" x14ac:dyDescent="0.2">
      <c r="A1529" s="301"/>
      <c r="B1529" s="302"/>
      <c r="C1529" s="302" t="s">
        <v>197</v>
      </c>
      <c r="D1529" s="303"/>
      <c r="E1529" s="286"/>
      <c r="F1529" s="321">
        <v>26.78</v>
      </c>
      <c r="G1529" s="305" t="s">
        <v>1548</v>
      </c>
      <c r="H1529" s="286">
        <v>1</v>
      </c>
      <c r="I1529" s="304">
        <v>30.8</v>
      </c>
      <c r="J1529" s="286">
        <v>23.35</v>
      </c>
      <c r="K1529" s="304">
        <v>719.18</v>
      </c>
    </row>
    <row r="1530" spans="1:22" ht="14.25" x14ac:dyDescent="0.2">
      <c r="A1530" s="301"/>
      <c r="B1530" s="302"/>
      <c r="C1530" s="302" t="s">
        <v>205</v>
      </c>
      <c r="D1530" s="303"/>
      <c r="E1530" s="286"/>
      <c r="F1530" s="321">
        <v>0.28000000000000003</v>
      </c>
      <c r="G1530" s="305" t="s">
        <v>195</v>
      </c>
      <c r="H1530" s="286">
        <v>1</v>
      </c>
      <c r="I1530" s="304">
        <v>0.28000000000000003</v>
      </c>
      <c r="J1530" s="286">
        <v>5.43</v>
      </c>
      <c r="K1530" s="304">
        <v>1.52</v>
      </c>
    </row>
    <row r="1531" spans="1:22" ht="14.25" x14ac:dyDescent="0.2">
      <c r="A1531" s="301"/>
      <c r="B1531" s="302"/>
      <c r="C1531" s="302" t="s">
        <v>194</v>
      </c>
      <c r="D1531" s="303" t="s">
        <v>187</v>
      </c>
      <c r="E1531" s="286">
        <v>112</v>
      </c>
      <c r="F1531" s="321"/>
      <c r="G1531" s="305"/>
      <c r="H1531" s="286"/>
      <c r="I1531" s="304">
        <v>35.11</v>
      </c>
      <c r="J1531" s="286">
        <v>90</v>
      </c>
      <c r="K1531" s="304">
        <v>647.26</v>
      </c>
    </row>
    <row r="1532" spans="1:22" ht="14.25" x14ac:dyDescent="0.2">
      <c r="A1532" s="301"/>
      <c r="B1532" s="302"/>
      <c r="C1532" s="302" t="s">
        <v>193</v>
      </c>
      <c r="D1532" s="303" t="s">
        <v>187</v>
      </c>
      <c r="E1532" s="286">
        <v>70</v>
      </c>
      <c r="F1532" s="321"/>
      <c r="G1532" s="305"/>
      <c r="H1532" s="286"/>
      <c r="I1532" s="304">
        <v>20.64</v>
      </c>
      <c r="J1532" s="286">
        <v>41</v>
      </c>
      <c r="K1532" s="304">
        <v>294.86</v>
      </c>
    </row>
    <row r="1533" spans="1:22" ht="14.25" x14ac:dyDescent="0.2">
      <c r="A1533" s="307"/>
      <c r="B1533" s="308"/>
      <c r="C1533" s="308" t="s">
        <v>192</v>
      </c>
      <c r="D1533" s="309" t="s">
        <v>191</v>
      </c>
      <c r="E1533" s="310">
        <v>2.06</v>
      </c>
      <c r="F1533" s="361"/>
      <c r="G1533" s="312" t="s">
        <v>1548</v>
      </c>
      <c r="H1533" s="310">
        <v>1</v>
      </c>
      <c r="I1533" s="311">
        <v>2.37</v>
      </c>
      <c r="J1533" s="310"/>
      <c r="K1533" s="311"/>
    </row>
    <row r="1534" spans="1:22" ht="15" x14ac:dyDescent="0.25">
      <c r="A1534" s="313"/>
      <c r="B1534" s="313"/>
      <c r="C1534" s="314" t="s">
        <v>183</v>
      </c>
      <c r="D1534" s="313"/>
      <c r="E1534" s="313"/>
      <c r="F1534" s="313"/>
      <c r="G1534" s="313"/>
      <c r="H1534" s="472">
        <v>86.83</v>
      </c>
      <c r="I1534" s="472"/>
      <c r="J1534" s="472">
        <v>1662.82</v>
      </c>
      <c r="K1534" s="472"/>
      <c r="O1534" s="284">
        <f>I1529+I1530+I1531+I1532</f>
        <v>86.83</v>
      </c>
      <c r="P1534" s="284">
        <f>K1529+K1530+K1531+K1532</f>
        <v>1662.82</v>
      </c>
    </row>
    <row r="1536" spans="1:22" ht="65.25" x14ac:dyDescent="0.2">
      <c r="A1536" s="301" t="s">
        <v>104</v>
      </c>
      <c r="B1536" s="302" t="s">
        <v>1473</v>
      </c>
      <c r="C1536" s="302" t="s">
        <v>1472</v>
      </c>
      <c r="D1536" s="303" t="s">
        <v>1903</v>
      </c>
      <c r="E1536" s="286">
        <v>1</v>
      </c>
      <c r="F1536" s="321"/>
      <c r="G1536" s="305"/>
      <c r="H1536" s="286"/>
      <c r="I1536" s="304"/>
      <c r="J1536" s="286"/>
      <c r="K1536" s="304"/>
      <c r="Q1536" s="281">
        <f>[20]Source!X1581</f>
        <v>7.62</v>
      </c>
      <c r="R1536" s="281">
        <f>[20]Source!X1582</f>
        <v>140.38</v>
      </c>
      <c r="S1536" s="281">
        <f>[20]Source!Y1581</f>
        <v>4.4800000000000004</v>
      </c>
      <c r="T1536" s="281">
        <f>[20]Source!Y1582</f>
        <v>63.95</v>
      </c>
      <c r="U1536" s="281">
        <f>ROUND((175/100)*ROUND([20]Source!R1581, 2), 2)</f>
        <v>12.09</v>
      </c>
      <c r="V1536" s="281">
        <f>ROUND((157/100)*ROUND([20]Source!R1582, 2), 2)</f>
        <v>253.32</v>
      </c>
    </row>
    <row r="1537" spans="1:22" ht="14.25" x14ac:dyDescent="0.2">
      <c r="A1537" s="301"/>
      <c r="B1537" s="302"/>
      <c r="C1537" s="302" t="s">
        <v>197</v>
      </c>
      <c r="D1537" s="303"/>
      <c r="E1537" s="286"/>
      <c r="F1537" s="321">
        <v>5.81</v>
      </c>
      <c r="G1537" s="305" t="s">
        <v>1548</v>
      </c>
      <c r="H1537" s="286">
        <v>1</v>
      </c>
      <c r="I1537" s="304">
        <v>6.68</v>
      </c>
      <c r="J1537" s="286">
        <v>23.35</v>
      </c>
      <c r="K1537" s="304">
        <v>155.97999999999999</v>
      </c>
    </row>
    <row r="1538" spans="1:22" ht="14.25" x14ac:dyDescent="0.2">
      <c r="A1538" s="301"/>
      <c r="B1538" s="302"/>
      <c r="C1538" s="302" t="s">
        <v>184</v>
      </c>
      <c r="D1538" s="303"/>
      <c r="E1538" s="286"/>
      <c r="F1538" s="321">
        <v>27.61</v>
      </c>
      <c r="G1538" s="305" t="s">
        <v>1549</v>
      </c>
      <c r="H1538" s="286">
        <v>1</v>
      </c>
      <c r="I1538" s="304">
        <v>34.51</v>
      </c>
      <c r="J1538" s="286">
        <v>8.9600000000000009</v>
      </c>
      <c r="K1538" s="304">
        <v>309.20999999999998</v>
      </c>
    </row>
    <row r="1539" spans="1:22" ht="14.25" x14ac:dyDescent="0.2">
      <c r="A1539" s="301"/>
      <c r="B1539" s="302"/>
      <c r="C1539" s="302" t="s">
        <v>189</v>
      </c>
      <c r="D1539" s="303"/>
      <c r="E1539" s="286"/>
      <c r="F1539" s="321">
        <v>5.53</v>
      </c>
      <c r="G1539" s="305" t="s">
        <v>1549</v>
      </c>
      <c r="H1539" s="286">
        <v>1</v>
      </c>
      <c r="I1539" s="306">
        <v>6.91</v>
      </c>
      <c r="J1539" s="286">
        <v>23.35</v>
      </c>
      <c r="K1539" s="306">
        <v>161.35</v>
      </c>
    </row>
    <row r="1540" spans="1:22" ht="14.25" x14ac:dyDescent="0.2">
      <c r="A1540" s="301"/>
      <c r="B1540" s="302"/>
      <c r="C1540" s="302" t="s">
        <v>205</v>
      </c>
      <c r="D1540" s="303"/>
      <c r="E1540" s="286"/>
      <c r="F1540" s="321">
        <v>1.89</v>
      </c>
      <c r="G1540" s="305" t="s">
        <v>195</v>
      </c>
      <c r="H1540" s="286">
        <v>1</v>
      </c>
      <c r="I1540" s="304">
        <v>1.89</v>
      </c>
      <c r="J1540" s="286">
        <v>5.42</v>
      </c>
      <c r="K1540" s="304">
        <v>10.24</v>
      </c>
    </row>
    <row r="1541" spans="1:22" ht="14.25" x14ac:dyDescent="0.2">
      <c r="A1541" s="301"/>
      <c r="B1541" s="302"/>
      <c r="C1541" s="302" t="s">
        <v>194</v>
      </c>
      <c r="D1541" s="303" t="s">
        <v>187</v>
      </c>
      <c r="E1541" s="286">
        <v>112</v>
      </c>
      <c r="F1541" s="321"/>
      <c r="G1541" s="305"/>
      <c r="H1541" s="286"/>
      <c r="I1541" s="304">
        <v>7.62</v>
      </c>
      <c r="J1541" s="286">
        <v>90</v>
      </c>
      <c r="K1541" s="304">
        <v>140.38</v>
      </c>
    </row>
    <row r="1542" spans="1:22" ht="14.25" x14ac:dyDescent="0.2">
      <c r="A1542" s="301"/>
      <c r="B1542" s="302"/>
      <c r="C1542" s="302" t="s">
        <v>193</v>
      </c>
      <c r="D1542" s="303" t="s">
        <v>187</v>
      </c>
      <c r="E1542" s="286">
        <v>70</v>
      </c>
      <c r="F1542" s="321"/>
      <c r="G1542" s="305"/>
      <c r="H1542" s="286"/>
      <c r="I1542" s="304">
        <v>4.4800000000000004</v>
      </c>
      <c r="J1542" s="286">
        <v>41</v>
      </c>
      <c r="K1542" s="304">
        <v>63.95</v>
      </c>
    </row>
    <row r="1543" spans="1:22" ht="14.25" x14ac:dyDescent="0.2">
      <c r="A1543" s="301"/>
      <c r="B1543" s="302"/>
      <c r="C1543" s="302" t="s">
        <v>188</v>
      </c>
      <c r="D1543" s="303" t="s">
        <v>187</v>
      </c>
      <c r="E1543" s="286">
        <v>175</v>
      </c>
      <c r="F1543" s="321"/>
      <c r="G1543" s="305"/>
      <c r="H1543" s="286"/>
      <c r="I1543" s="304">
        <v>12.09</v>
      </c>
      <c r="J1543" s="286">
        <v>157</v>
      </c>
      <c r="K1543" s="304">
        <v>253.32</v>
      </c>
    </row>
    <row r="1544" spans="1:22" ht="14.25" x14ac:dyDescent="0.2">
      <c r="A1544" s="307"/>
      <c r="B1544" s="308"/>
      <c r="C1544" s="308" t="s">
        <v>192</v>
      </c>
      <c r="D1544" s="309" t="s">
        <v>191</v>
      </c>
      <c r="E1544" s="310">
        <v>0.52</v>
      </c>
      <c r="F1544" s="361"/>
      <c r="G1544" s="312" t="s">
        <v>1548</v>
      </c>
      <c r="H1544" s="310">
        <v>1</v>
      </c>
      <c r="I1544" s="311">
        <v>0.6</v>
      </c>
      <c r="J1544" s="310"/>
      <c r="K1544" s="311"/>
    </row>
    <row r="1545" spans="1:22" ht="15" x14ac:dyDescent="0.25">
      <c r="A1545" s="313"/>
      <c r="B1545" s="313"/>
      <c r="C1545" s="314" t="s">
        <v>183</v>
      </c>
      <c r="D1545" s="313"/>
      <c r="E1545" s="313"/>
      <c r="F1545" s="313"/>
      <c r="G1545" s="313"/>
      <c r="H1545" s="472">
        <v>67.27</v>
      </c>
      <c r="I1545" s="472"/>
      <c r="J1545" s="472">
        <v>933.08</v>
      </c>
      <c r="K1545" s="472"/>
      <c r="O1545" s="284">
        <f>I1537+I1538+I1540+I1541+I1542+I1543</f>
        <v>67.27</v>
      </c>
      <c r="P1545" s="284">
        <f>K1537+K1538+K1540+K1541+K1542+K1543</f>
        <v>933.08</v>
      </c>
    </row>
    <row r="1547" spans="1:22" ht="81" x14ac:dyDescent="0.2">
      <c r="A1547" s="275" t="s">
        <v>1546</v>
      </c>
      <c r="B1547" s="276" t="s">
        <v>3752</v>
      </c>
      <c r="C1547" s="276" t="s">
        <v>1471</v>
      </c>
      <c r="D1547" s="277" t="s">
        <v>3240</v>
      </c>
      <c r="E1547" s="278">
        <v>1</v>
      </c>
      <c r="F1547" s="362">
        <v>11543.7</v>
      </c>
      <c r="G1547" s="280" t="s">
        <v>195</v>
      </c>
      <c r="H1547" s="278">
        <v>1</v>
      </c>
      <c r="I1547" s="279">
        <v>11543.7</v>
      </c>
      <c r="J1547" s="278">
        <v>4.4000000000000004</v>
      </c>
      <c r="K1547" s="279">
        <v>50792.28</v>
      </c>
      <c r="Q1547" s="281">
        <f>[20]Source!X1583</f>
        <v>0</v>
      </c>
      <c r="R1547" s="281">
        <f>[20]Source!X1584</f>
        <v>0</v>
      </c>
      <c r="S1547" s="281">
        <f>[20]Source!Y1583</f>
        <v>0</v>
      </c>
      <c r="T1547" s="281">
        <f>[20]Source!Y1584</f>
        <v>0</v>
      </c>
      <c r="U1547" s="281">
        <f>ROUND((175/100)*ROUND([20]Source!R1583, 2), 2)</f>
        <v>0</v>
      </c>
      <c r="V1547" s="281">
        <f>ROUND((157/100)*ROUND([20]Source!R1584, 2), 2)</f>
        <v>0</v>
      </c>
    </row>
    <row r="1548" spans="1:22" ht="15" x14ac:dyDescent="0.25">
      <c r="A1548" s="282"/>
      <c r="B1548" s="282"/>
      <c r="C1548" s="283" t="s">
        <v>183</v>
      </c>
      <c r="D1548" s="282"/>
      <c r="E1548" s="282"/>
      <c r="F1548" s="282"/>
      <c r="G1548" s="282"/>
      <c r="H1548" s="473">
        <v>11543.7</v>
      </c>
      <c r="I1548" s="473"/>
      <c r="J1548" s="473">
        <v>50792.28</v>
      </c>
      <c r="K1548" s="473"/>
      <c r="O1548" s="284">
        <f>I1547</f>
        <v>11543.7</v>
      </c>
      <c r="P1548" s="284">
        <f>K1547</f>
        <v>50792.28</v>
      </c>
    </row>
    <row r="1551" spans="1:22" ht="15" x14ac:dyDescent="0.25">
      <c r="A1551" s="447" t="s">
        <v>3823</v>
      </c>
      <c r="B1551" s="447"/>
      <c r="C1551" s="447"/>
      <c r="D1551" s="447"/>
      <c r="E1551" s="447"/>
      <c r="F1551" s="447"/>
      <c r="G1551" s="447"/>
      <c r="H1551" s="445">
        <v>11919.39</v>
      </c>
      <c r="I1551" s="446"/>
      <c r="J1551" s="445">
        <v>57287.040000000001</v>
      </c>
      <c r="K1551" s="446"/>
    </row>
    <row r="1552" spans="1:22" hidden="1" x14ac:dyDescent="0.2">
      <c r="A1552" s="281" t="s">
        <v>182</v>
      </c>
      <c r="I1552" s="281">
        <v>0</v>
      </c>
      <c r="J1552" s="281">
        <v>0</v>
      </c>
    </row>
    <row r="1553" spans="1:22" hidden="1" x14ac:dyDescent="0.2">
      <c r="A1553" s="281" t="s">
        <v>181</v>
      </c>
      <c r="I1553" s="281">
        <v>0</v>
      </c>
      <c r="J1553" s="281">
        <v>0</v>
      </c>
    </row>
    <row r="1555" spans="1:22" ht="16.5" x14ac:dyDescent="0.25">
      <c r="A1555" s="448" t="s">
        <v>2918</v>
      </c>
      <c r="B1555" s="448"/>
      <c r="C1555" s="448"/>
      <c r="D1555" s="448"/>
      <c r="E1555" s="448"/>
      <c r="F1555" s="448"/>
      <c r="G1555" s="448"/>
      <c r="H1555" s="448"/>
      <c r="I1555" s="448"/>
      <c r="J1555" s="448"/>
      <c r="K1555" s="448"/>
    </row>
    <row r="1556" spans="1:22" ht="99.75" x14ac:dyDescent="0.2">
      <c r="A1556" s="301" t="s">
        <v>719</v>
      </c>
      <c r="B1556" s="302" t="s">
        <v>1470</v>
      </c>
      <c r="C1556" s="302" t="s">
        <v>1469</v>
      </c>
      <c r="D1556" s="303" t="s">
        <v>3824</v>
      </c>
      <c r="E1556" s="286">
        <v>1</v>
      </c>
      <c r="F1556" s="321"/>
      <c r="G1556" s="305"/>
      <c r="H1556" s="286"/>
      <c r="I1556" s="304"/>
      <c r="J1556" s="286"/>
      <c r="K1556" s="304"/>
      <c r="Q1556" s="281">
        <f>[20]Source!X1620</f>
        <v>159.66999999999999</v>
      </c>
      <c r="R1556" s="281">
        <f>[20]Source!X1621</f>
        <v>3380.27</v>
      </c>
      <c r="S1556" s="281">
        <f>[20]Source!Y1620</f>
        <v>149.02000000000001</v>
      </c>
      <c r="T1556" s="281">
        <f>[20]Source!Y1621</f>
        <v>2038.1</v>
      </c>
      <c r="U1556" s="281">
        <f>ROUND((175/100)*ROUND([20]Source!R1620, 2), 2)</f>
        <v>0</v>
      </c>
      <c r="V1556" s="281">
        <f>ROUND((157/100)*ROUND([20]Source!R1621, 2), 2)</f>
        <v>0</v>
      </c>
    </row>
    <row r="1557" spans="1:22" ht="14.25" x14ac:dyDescent="0.2">
      <c r="A1557" s="301"/>
      <c r="B1557" s="302"/>
      <c r="C1557" s="302" t="s">
        <v>197</v>
      </c>
      <c r="D1557" s="303"/>
      <c r="E1557" s="286"/>
      <c r="F1557" s="321">
        <v>266.11</v>
      </c>
      <c r="G1557" s="305" t="s">
        <v>2344</v>
      </c>
      <c r="H1557" s="286">
        <v>1</v>
      </c>
      <c r="I1557" s="304">
        <v>212.89</v>
      </c>
      <c r="J1557" s="286">
        <v>23.35</v>
      </c>
      <c r="K1557" s="304">
        <v>4970.9799999999996</v>
      </c>
    </row>
    <row r="1558" spans="1:22" ht="14.25" x14ac:dyDescent="0.2">
      <c r="A1558" s="301"/>
      <c r="B1558" s="302"/>
      <c r="C1558" s="302" t="s">
        <v>194</v>
      </c>
      <c r="D1558" s="303" t="s">
        <v>187</v>
      </c>
      <c r="E1558" s="286">
        <v>75</v>
      </c>
      <c r="F1558" s="321"/>
      <c r="G1558" s="305"/>
      <c r="H1558" s="286"/>
      <c r="I1558" s="304">
        <v>159.66999999999999</v>
      </c>
      <c r="J1558" s="286">
        <v>68</v>
      </c>
      <c r="K1558" s="304">
        <v>3380.27</v>
      </c>
    </row>
    <row r="1559" spans="1:22" ht="14.25" x14ac:dyDescent="0.2">
      <c r="A1559" s="301"/>
      <c r="B1559" s="302"/>
      <c r="C1559" s="302" t="s">
        <v>193</v>
      </c>
      <c r="D1559" s="303" t="s">
        <v>187</v>
      </c>
      <c r="E1559" s="286">
        <v>70</v>
      </c>
      <c r="F1559" s="321"/>
      <c r="G1559" s="305"/>
      <c r="H1559" s="286"/>
      <c r="I1559" s="304">
        <v>149.02000000000001</v>
      </c>
      <c r="J1559" s="286">
        <v>41</v>
      </c>
      <c r="K1559" s="304">
        <v>2038.1</v>
      </c>
    </row>
    <row r="1560" spans="1:22" ht="14.25" x14ac:dyDescent="0.2">
      <c r="A1560" s="307"/>
      <c r="B1560" s="308"/>
      <c r="C1560" s="308" t="s">
        <v>192</v>
      </c>
      <c r="D1560" s="309" t="s">
        <v>191</v>
      </c>
      <c r="E1560" s="310">
        <v>14.4</v>
      </c>
      <c r="F1560" s="361"/>
      <c r="G1560" s="312" t="s">
        <v>2344</v>
      </c>
      <c r="H1560" s="310">
        <v>1</v>
      </c>
      <c r="I1560" s="311">
        <v>11.52</v>
      </c>
      <c r="J1560" s="310"/>
      <c r="K1560" s="311"/>
    </row>
    <row r="1561" spans="1:22" ht="15" x14ac:dyDescent="0.25">
      <c r="A1561" s="313"/>
      <c r="B1561" s="313"/>
      <c r="C1561" s="314" t="s">
        <v>183</v>
      </c>
      <c r="D1561" s="313"/>
      <c r="E1561" s="313"/>
      <c r="F1561" s="313"/>
      <c r="G1561" s="313"/>
      <c r="H1561" s="472">
        <v>521.58000000000004</v>
      </c>
      <c r="I1561" s="472"/>
      <c r="J1561" s="472">
        <v>10389.35</v>
      </c>
      <c r="K1561" s="472"/>
      <c r="O1561" s="284">
        <f>I1557+I1558+I1559</f>
        <v>521.58000000000004</v>
      </c>
      <c r="P1561" s="284">
        <f>K1557+K1558+K1559</f>
        <v>10389.35</v>
      </c>
    </row>
    <row r="1563" spans="1:22" ht="52.5" x14ac:dyDescent="0.2">
      <c r="A1563" s="301" t="s">
        <v>1534</v>
      </c>
      <c r="B1563" s="302" t="s">
        <v>1468</v>
      </c>
      <c r="C1563" s="302" t="s">
        <v>1467</v>
      </c>
      <c r="D1563" s="303" t="s">
        <v>3825</v>
      </c>
      <c r="E1563" s="286">
        <v>34</v>
      </c>
      <c r="F1563" s="321"/>
      <c r="G1563" s="305"/>
      <c r="H1563" s="286"/>
      <c r="I1563" s="304"/>
      <c r="J1563" s="286"/>
      <c r="K1563" s="304"/>
      <c r="Q1563" s="281">
        <f>[20]Source!X1622</f>
        <v>2374.9699999999998</v>
      </c>
      <c r="R1563" s="281">
        <f>[20]Source!X1623</f>
        <v>50279.59</v>
      </c>
      <c r="S1563" s="281">
        <f>[20]Source!Y1622</f>
        <v>2216.63</v>
      </c>
      <c r="T1563" s="281">
        <f>[20]Source!Y1623</f>
        <v>30315.64</v>
      </c>
      <c r="U1563" s="281">
        <f>ROUND((175/100)*ROUND([20]Source!R1622, 2), 2)</f>
        <v>0</v>
      </c>
      <c r="V1563" s="281">
        <f>ROUND((157/100)*ROUND([20]Source!R1623, 2), 2)</f>
        <v>0</v>
      </c>
    </row>
    <row r="1564" spans="1:22" ht="14.25" x14ac:dyDescent="0.2">
      <c r="A1564" s="301"/>
      <c r="B1564" s="302"/>
      <c r="C1564" s="302" t="s">
        <v>197</v>
      </c>
      <c r="D1564" s="303"/>
      <c r="E1564" s="286"/>
      <c r="F1564" s="321">
        <v>116.42</v>
      </c>
      <c r="G1564" s="305" t="s">
        <v>2344</v>
      </c>
      <c r="H1564" s="286">
        <v>1</v>
      </c>
      <c r="I1564" s="304">
        <v>3166.62</v>
      </c>
      <c r="J1564" s="286">
        <v>23.35</v>
      </c>
      <c r="K1564" s="304">
        <v>73940.58</v>
      </c>
    </row>
    <row r="1565" spans="1:22" ht="14.25" x14ac:dyDescent="0.2">
      <c r="A1565" s="301"/>
      <c r="B1565" s="302"/>
      <c r="C1565" s="302" t="s">
        <v>194</v>
      </c>
      <c r="D1565" s="303" t="s">
        <v>187</v>
      </c>
      <c r="E1565" s="286">
        <v>75</v>
      </c>
      <c r="F1565" s="321"/>
      <c r="G1565" s="305"/>
      <c r="H1565" s="286"/>
      <c r="I1565" s="304">
        <v>2374.9699999999998</v>
      </c>
      <c r="J1565" s="286">
        <v>68</v>
      </c>
      <c r="K1565" s="304">
        <v>50279.59</v>
      </c>
    </row>
    <row r="1566" spans="1:22" ht="14.25" x14ac:dyDescent="0.2">
      <c r="A1566" s="301"/>
      <c r="B1566" s="302"/>
      <c r="C1566" s="302" t="s">
        <v>193</v>
      </c>
      <c r="D1566" s="303" t="s">
        <v>187</v>
      </c>
      <c r="E1566" s="286">
        <v>70</v>
      </c>
      <c r="F1566" s="321"/>
      <c r="G1566" s="305"/>
      <c r="H1566" s="286"/>
      <c r="I1566" s="304">
        <v>2216.63</v>
      </c>
      <c r="J1566" s="286">
        <v>41</v>
      </c>
      <c r="K1566" s="304">
        <v>30315.64</v>
      </c>
    </row>
    <row r="1567" spans="1:22" ht="14.25" x14ac:dyDescent="0.2">
      <c r="A1567" s="307"/>
      <c r="B1567" s="308"/>
      <c r="C1567" s="308" t="s">
        <v>192</v>
      </c>
      <c r="D1567" s="309" t="s">
        <v>191</v>
      </c>
      <c r="E1567" s="310">
        <v>6.3</v>
      </c>
      <c r="F1567" s="361"/>
      <c r="G1567" s="312" t="s">
        <v>2344</v>
      </c>
      <c r="H1567" s="310">
        <v>1</v>
      </c>
      <c r="I1567" s="311">
        <v>171.36</v>
      </c>
      <c r="J1567" s="310"/>
      <c r="K1567" s="311"/>
    </row>
    <row r="1568" spans="1:22" ht="15" x14ac:dyDescent="0.25">
      <c r="A1568" s="313"/>
      <c r="B1568" s="313"/>
      <c r="C1568" s="314" t="s">
        <v>183</v>
      </c>
      <c r="D1568" s="313"/>
      <c r="E1568" s="313"/>
      <c r="F1568" s="313"/>
      <c r="G1568" s="313"/>
      <c r="H1568" s="472">
        <v>7758.22</v>
      </c>
      <c r="I1568" s="472"/>
      <c r="J1568" s="472">
        <v>154535.81</v>
      </c>
      <c r="K1568" s="472"/>
      <c r="O1568" s="284">
        <f>I1564+I1565+I1566</f>
        <v>7758.22</v>
      </c>
      <c r="P1568" s="284">
        <f>K1564+K1565+K1566</f>
        <v>154535.81</v>
      </c>
    </row>
    <row r="1571" spans="1:32" ht="15" x14ac:dyDescent="0.25">
      <c r="A1571" s="447" t="s">
        <v>2929</v>
      </c>
      <c r="B1571" s="447"/>
      <c r="C1571" s="447"/>
      <c r="D1571" s="447"/>
      <c r="E1571" s="447"/>
      <c r="F1571" s="447"/>
      <c r="G1571" s="447"/>
      <c r="H1571" s="445">
        <v>8279.7999999999993</v>
      </c>
      <c r="I1571" s="446"/>
      <c r="J1571" s="445">
        <v>164925.16</v>
      </c>
      <c r="K1571" s="446"/>
    </row>
    <row r="1572" spans="1:32" hidden="1" x14ac:dyDescent="0.2">
      <c r="A1572" s="281" t="s">
        <v>182</v>
      </c>
      <c r="I1572" s="281">
        <v>0</v>
      </c>
      <c r="J1572" s="281">
        <v>0</v>
      </c>
    </row>
    <row r="1573" spans="1:32" hidden="1" x14ac:dyDescent="0.2">
      <c r="A1573" s="281" t="s">
        <v>181</v>
      </c>
      <c r="I1573" s="281">
        <v>0</v>
      </c>
      <c r="J1573" s="281">
        <v>0</v>
      </c>
    </row>
    <row r="1575" spans="1:32" ht="15" x14ac:dyDescent="0.25">
      <c r="A1575" s="447" t="s">
        <v>3826</v>
      </c>
      <c r="B1575" s="447"/>
      <c r="C1575" s="447"/>
      <c r="D1575" s="447"/>
      <c r="E1575" s="447"/>
      <c r="F1575" s="447"/>
      <c r="G1575" s="447"/>
      <c r="H1575" s="445">
        <v>784884.1</v>
      </c>
      <c r="I1575" s="446"/>
      <c r="J1575" s="445">
        <v>3953092.66</v>
      </c>
      <c r="K1575" s="446"/>
      <c r="AF1575" s="360" t="str">
        <f>CONCATENATE("Итого по локальной смете: ",IF([20]Source!G1665&lt;&gt;"Новая локальная смета", [20]Source!G1665, ""))</f>
        <v>Итого по локальной смете: Система автоматизации и диспетчеризации инженерных систем</v>
      </c>
    </row>
    <row r="1576" spans="1:32" hidden="1" x14ac:dyDescent="0.2">
      <c r="A1576" s="281" t="s">
        <v>182</v>
      </c>
      <c r="I1576" s="281">
        <v>0</v>
      </c>
      <c r="J1576" s="281">
        <v>0</v>
      </c>
    </row>
    <row r="1577" spans="1:32" hidden="1" x14ac:dyDescent="0.2">
      <c r="A1577" s="281" t="s">
        <v>181</v>
      </c>
      <c r="I1577" s="281">
        <v>0</v>
      </c>
      <c r="J1577" s="281">
        <v>0</v>
      </c>
    </row>
    <row r="1578" spans="1:32" ht="14.25" x14ac:dyDescent="0.2">
      <c r="C1578" s="442" t="s">
        <v>1920</v>
      </c>
      <c r="D1578" s="442"/>
      <c r="E1578" s="442"/>
      <c r="F1578" s="442"/>
      <c r="G1578" s="442"/>
      <c r="H1578" s="443">
        <v>762368.74</v>
      </c>
      <c r="I1578" s="443"/>
      <c r="J1578" s="443">
        <v>3565182.79</v>
      </c>
      <c r="K1578" s="443"/>
    </row>
    <row r="1579" spans="1:32" ht="14.25" x14ac:dyDescent="0.2">
      <c r="C1579" s="442" t="s">
        <v>1933</v>
      </c>
      <c r="D1579" s="442"/>
      <c r="E1579" s="442"/>
      <c r="F1579" s="442"/>
      <c r="G1579" s="442"/>
      <c r="H1579" s="443">
        <v>747618.77</v>
      </c>
      <c r="I1579" s="443"/>
      <c r="J1579" s="443">
        <v>3250524.51</v>
      </c>
      <c r="K1579" s="443"/>
    </row>
    <row r="1580" spans="1:32" ht="14.25" x14ac:dyDescent="0.2">
      <c r="C1580" s="442" t="s">
        <v>1934</v>
      </c>
      <c r="D1580" s="442"/>
      <c r="E1580" s="442"/>
      <c r="F1580" s="442"/>
      <c r="G1580" s="442"/>
      <c r="H1580" s="443">
        <v>46172.72</v>
      </c>
      <c r="I1580" s="443"/>
      <c r="J1580" s="443">
        <v>164161.91</v>
      </c>
      <c r="K1580" s="443"/>
    </row>
    <row r="1581" spans="1:32" ht="14.25" x14ac:dyDescent="0.2">
      <c r="C1581" s="442" t="s">
        <v>1935</v>
      </c>
      <c r="D1581" s="442"/>
      <c r="E1581" s="442"/>
      <c r="F1581" s="442"/>
      <c r="G1581" s="442"/>
      <c r="H1581" s="443">
        <v>701446.05</v>
      </c>
      <c r="I1581" s="443"/>
      <c r="J1581" s="443">
        <v>3086362.6</v>
      </c>
      <c r="K1581" s="443"/>
    </row>
    <row r="1582" spans="1:32" ht="14.25" x14ac:dyDescent="0.2">
      <c r="C1582" s="442" t="s">
        <v>1936</v>
      </c>
      <c r="D1582" s="442"/>
      <c r="E1582" s="442"/>
      <c r="F1582" s="442"/>
      <c r="G1582" s="442"/>
      <c r="H1582" s="443">
        <v>2038.02</v>
      </c>
      <c r="I1582" s="443"/>
      <c r="J1582" s="443">
        <v>17834.03</v>
      </c>
      <c r="K1582" s="443"/>
    </row>
    <row r="1583" spans="1:32" ht="14.25" x14ac:dyDescent="0.2">
      <c r="C1583" s="442" t="s">
        <v>1937</v>
      </c>
      <c r="D1583" s="442"/>
      <c r="E1583" s="442"/>
      <c r="F1583" s="442"/>
      <c r="G1583" s="442"/>
      <c r="H1583" s="443">
        <v>384.4</v>
      </c>
      <c r="I1583" s="443"/>
      <c r="J1583" s="443">
        <v>8975.68</v>
      </c>
      <c r="K1583" s="443"/>
    </row>
    <row r="1584" spans="1:32" ht="14.25" x14ac:dyDescent="0.2">
      <c r="C1584" s="442" t="s">
        <v>1938</v>
      </c>
      <c r="D1584" s="442"/>
      <c r="E1584" s="442"/>
      <c r="F1584" s="442"/>
      <c r="G1584" s="442"/>
      <c r="H1584" s="443">
        <v>12711.95</v>
      </c>
      <c r="I1584" s="443"/>
      <c r="J1584" s="443">
        <v>296824.25</v>
      </c>
      <c r="K1584" s="443"/>
    </row>
    <row r="1585" spans="1:11" ht="14.25" x14ac:dyDescent="0.2">
      <c r="C1585" s="442" t="s">
        <v>1939</v>
      </c>
      <c r="D1585" s="442"/>
      <c r="E1585" s="442"/>
      <c r="F1585" s="442"/>
      <c r="G1585" s="442"/>
      <c r="H1585" s="443">
        <v>0</v>
      </c>
      <c r="I1585" s="443"/>
      <c r="J1585" s="443">
        <v>0</v>
      </c>
      <c r="K1585" s="443"/>
    </row>
    <row r="1586" spans="1:11" ht="14.25" x14ac:dyDescent="0.2">
      <c r="C1586" s="442" t="s">
        <v>1940</v>
      </c>
      <c r="D1586" s="442"/>
      <c r="E1586" s="442"/>
      <c r="F1586" s="442"/>
      <c r="G1586" s="442"/>
      <c r="H1586" s="443">
        <v>75158.25</v>
      </c>
      <c r="I1586" s="443"/>
      <c r="J1586" s="443">
        <v>701804.9</v>
      </c>
      <c r="K1586" s="443"/>
    </row>
    <row r="1587" spans="1:11" ht="14.25" x14ac:dyDescent="0.2">
      <c r="C1587" s="442" t="s">
        <v>1941</v>
      </c>
      <c r="D1587" s="442"/>
      <c r="E1587" s="442"/>
      <c r="F1587" s="442"/>
      <c r="G1587" s="442"/>
      <c r="H1587" s="443">
        <v>8279.7999999999993</v>
      </c>
      <c r="I1587" s="443"/>
      <c r="J1587" s="443">
        <v>164925.16</v>
      </c>
      <c r="K1587" s="443"/>
    </row>
    <row r="1588" spans="1:11" ht="14.25" x14ac:dyDescent="0.2">
      <c r="C1588" s="442" t="s">
        <v>1942</v>
      </c>
      <c r="D1588" s="442"/>
      <c r="E1588" s="442"/>
      <c r="F1588" s="442"/>
      <c r="G1588" s="442"/>
      <c r="H1588" s="443">
        <v>13073.68</v>
      </c>
      <c r="I1588" s="443"/>
      <c r="J1588" s="443">
        <v>249781.35</v>
      </c>
      <c r="K1588" s="443"/>
    </row>
    <row r="1589" spans="1:11" ht="14.25" x14ac:dyDescent="0.2">
      <c r="C1589" s="442" t="s">
        <v>1943</v>
      </c>
      <c r="D1589" s="442"/>
      <c r="E1589" s="442"/>
      <c r="F1589" s="442"/>
      <c r="G1589" s="442"/>
      <c r="H1589" s="443">
        <v>8768.98</v>
      </c>
      <c r="I1589" s="443"/>
      <c r="J1589" s="443">
        <v>124036.64</v>
      </c>
      <c r="K1589" s="443"/>
    </row>
    <row r="1590" spans="1:11" ht="14.25" x14ac:dyDescent="0.2">
      <c r="C1590" s="442" t="s">
        <v>1944</v>
      </c>
      <c r="D1590" s="442"/>
      <c r="E1590" s="442"/>
      <c r="F1590" s="442"/>
      <c r="G1590" s="442"/>
      <c r="H1590" s="443">
        <v>784884.1</v>
      </c>
      <c r="I1590" s="443"/>
      <c r="J1590" s="443">
        <v>3953092.66</v>
      </c>
      <c r="K1590" s="443"/>
    </row>
    <row r="1593" spans="1:11" ht="14.25" x14ac:dyDescent="0.2">
      <c r="A1593" s="440" t="s">
        <v>180</v>
      </c>
      <c r="B1593" s="440"/>
      <c r="C1593" s="347" t="s">
        <v>107</v>
      </c>
      <c r="D1593" s="347"/>
      <c r="E1593" s="347"/>
      <c r="F1593" s="347"/>
      <c r="G1593" s="347"/>
      <c r="H1593" s="287" t="s">
        <v>107</v>
      </c>
      <c r="I1593" s="287"/>
      <c r="J1593" s="287"/>
      <c r="K1593" s="287"/>
    </row>
    <row r="1594" spans="1:11" ht="14.25" x14ac:dyDescent="0.2">
      <c r="A1594" s="287"/>
      <c r="B1594" s="287"/>
      <c r="C1594" s="460" t="s">
        <v>72</v>
      </c>
      <c r="D1594" s="460"/>
      <c r="E1594" s="460"/>
      <c r="F1594" s="460"/>
      <c r="G1594" s="460"/>
      <c r="H1594" s="287"/>
      <c r="I1594" s="287"/>
      <c r="J1594" s="287"/>
      <c r="K1594" s="287"/>
    </row>
    <row r="1595" spans="1:11" ht="14.25" x14ac:dyDescent="0.2">
      <c r="A1595" s="287"/>
      <c r="B1595" s="287"/>
      <c r="C1595" s="287"/>
      <c r="D1595" s="287"/>
      <c r="E1595" s="287"/>
      <c r="F1595" s="287"/>
      <c r="G1595" s="287"/>
      <c r="H1595" s="287"/>
      <c r="I1595" s="287"/>
      <c r="J1595" s="287"/>
      <c r="K1595" s="287"/>
    </row>
    <row r="1596" spans="1:11" ht="14.25" x14ac:dyDescent="0.2">
      <c r="A1596" s="440" t="s">
        <v>179</v>
      </c>
      <c r="B1596" s="440"/>
      <c r="C1596" s="347" t="s">
        <v>107</v>
      </c>
      <c r="D1596" s="347"/>
      <c r="E1596" s="347"/>
      <c r="F1596" s="347"/>
      <c r="G1596" s="347"/>
      <c r="H1596" s="287" t="s">
        <v>107</v>
      </c>
      <c r="I1596" s="287"/>
      <c r="J1596" s="287"/>
      <c r="K1596" s="287"/>
    </row>
    <row r="1597" spans="1:11" ht="14.25" x14ac:dyDescent="0.2">
      <c r="A1597" s="287"/>
      <c r="B1597" s="287"/>
      <c r="C1597" s="460" t="s">
        <v>72</v>
      </c>
      <c r="D1597" s="460"/>
      <c r="E1597" s="460"/>
      <c r="F1597" s="460"/>
      <c r="G1597" s="460"/>
      <c r="H1597" s="287"/>
      <c r="I1597" s="287"/>
      <c r="J1597" s="287"/>
      <c r="K1597" s="287"/>
    </row>
  </sheetData>
  <mergeCells count="533">
    <mergeCell ref="J1589:K1589"/>
    <mergeCell ref="C1590:G1590"/>
    <mergeCell ref="H1590:I1590"/>
    <mergeCell ref="J1590:K1590"/>
    <mergeCell ref="A1593:B1593"/>
    <mergeCell ref="C1594:G1594"/>
    <mergeCell ref="A1596:B1596"/>
    <mergeCell ref="C1597:G1597"/>
    <mergeCell ref="C1589:G1589"/>
    <mergeCell ref="H1589:I1589"/>
    <mergeCell ref="C1588:G1588"/>
    <mergeCell ref="H1588:I1588"/>
    <mergeCell ref="J1588:K1588"/>
    <mergeCell ref="C1581:G1581"/>
    <mergeCell ref="H1581:I1581"/>
    <mergeCell ref="J1581:K1581"/>
    <mergeCell ref="C1582:G1582"/>
    <mergeCell ref="H1582:I1582"/>
    <mergeCell ref="J1582:K1582"/>
    <mergeCell ref="C1583:G1583"/>
    <mergeCell ref="H1583:I1583"/>
    <mergeCell ref="J1583:K1583"/>
    <mergeCell ref="C1584:G1584"/>
    <mergeCell ref="H1584:I1584"/>
    <mergeCell ref="J1584:K1584"/>
    <mergeCell ref="C1585:G1585"/>
    <mergeCell ref="H1585:I1585"/>
    <mergeCell ref="J1585:K1585"/>
    <mergeCell ref="C1586:G1586"/>
    <mergeCell ref="H1586:I1586"/>
    <mergeCell ref="J1586:K1586"/>
    <mergeCell ref="C1587:G1587"/>
    <mergeCell ref="H1587:I1587"/>
    <mergeCell ref="J1587:K1587"/>
    <mergeCell ref="C1580:G1580"/>
    <mergeCell ref="H1580:I1580"/>
    <mergeCell ref="J1580:K1580"/>
    <mergeCell ref="J1571:K1571"/>
    <mergeCell ref="H1571:I1571"/>
    <mergeCell ref="J1548:K1548"/>
    <mergeCell ref="H1548:I1548"/>
    <mergeCell ref="J1551:K1551"/>
    <mergeCell ref="H1551:I1551"/>
    <mergeCell ref="A1571:G1571"/>
    <mergeCell ref="J1575:K1575"/>
    <mergeCell ref="H1575:I1575"/>
    <mergeCell ref="A1575:G1575"/>
    <mergeCell ref="C1578:G1578"/>
    <mergeCell ref="H1578:I1578"/>
    <mergeCell ref="J1578:K1578"/>
    <mergeCell ref="C1579:G1579"/>
    <mergeCell ref="H1579:I1579"/>
    <mergeCell ref="J1579:K1579"/>
    <mergeCell ref="J1561:K1561"/>
    <mergeCell ref="H1561:I1561"/>
    <mergeCell ref="J1568:K1568"/>
    <mergeCell ref="H1568:I1568"/>
    <mergeCell ref="J1545:K1545"/>
    <mergeCell ref="H1545:I1545"/>
    <mergeCell ref="J1509:K1509"/>
    <mergeCell ref="H1509:I1509"/>
    <mergeCell ref="J1512:K1512"/>
    <mergeCell ref="H1512:I1512"/>
    <mergeCell ref="H1473:I1473"/>
    <mergeCell ref="A1551:G1551"/>
    <mergeCell ref="A1555:K1555"/>
    <mergeCell ref="J1526:K1526"/>
    <mergeCell ref="H1526:I1526"/>
    <mergeCell ref="J1534:K1534"/>
    <mergeCell ref="H1534:I1534"/>
    <mergeCell ref="J1487:K1487"/>
    <mergeCell ref="H1487:I1487"/>
    <mergeCell ref="J1495:K1495"/>
    <mergeCell ref="H1495:I1495"/>
    <mergeCell ref="J1506:K1506"/>
    <mergeCell ref="H1506:I1506"/>
    <mergeCell ref="A1477:K1477"/>
    <mergeCell ref="A1512:G1512"/>
    <mergeCell ref="A1516:K1516"/>
    <mergeCell ref="J1431:K1431"/>
    <mergeCell ref="H1431:I1431"/>
    <mergeCell ref="J1434:K1434"/>
    <mergeCell ref="H1434:I1434"/>
    <mergeCell ref="A1434:G1434"/>
    <mergeCell ref="A1438:K1438"/>
    <mergeCell ref="J1395:K1395"/>
    <mergeCell ref="H1395:I1395"/>
    <mergeCell ref="A1473:G1473"/>
    <mergeCell ref="J1448:K1448"/>
    <mergeCell ref="H1448:I1448"/>
    <mergeCell ref="J1456:K1456"/>
    <mergeCell ref="H1456:I1456"/>
    <mergeCell ref="J1467:K1467"/>
    <mergeCell ref="H1467:I1467"/>
    <mergeCell ref="J1409:K1409"/>
    <mergeCell ref="H1409:I1409"/>
    <mergeCell ref="J1417:K1417"/>
    <mergeCell ref="H1417:I1417"/>
    <mergeCell ref="J1428:K1428"/>
    <mergeCell ref="H1428:I1428"/>
    <mergeCell ref="J1470:K1470"/>
    <mergeCell ref="H1470:I1470"/>
    <mergeCell ref="J1473:K1473"/>
    <mergeCell ref="J1353:K1353"/>
    <mergeCell ref="H1353:I1353"/>
    <mergeCell ref="J1356:K1356"/>
    <mergeCell ref="H1356:I1356"/>
    <mergeCell ref="A1356:G1356"/>
    <mergeCell ref="A1360:K1360"/>
    <mergeCell ref="A1395:G1395"/>
    <mergeCell ref="A1399:K1399"/>
    <mergeCell ref="J1370:K1370"/>
    <mergeCell ref="H1370:I1370"/>
    <mergeCell ref="J1378:K1378"/>
    <mergeCell ref="H1378:I1378"/>
    <mergeCell ref="J1389:K1389"/>
    <mergeCell ref="H1389:I1389"/>
    <mergeCell ref="J1392:K1392"/>
    <mergeCell ref="H1392:I1392"/>
    <mergeCell ref="J1350:K1350"/>
    <mergeCell ref="H1350:I1350"/>
    <mergeCell ref="J1314:K1314"/>
    <mergeCell ref="H1314:I1314"/>
    <mergeCell ref="J1317:K1317"/>
    <mergeCell ref="H1317:I1317"/>
    <mergeCell ref="A1278:G1278"/>
    <mergeCell ref="A1282:K1282"/>
    <mergeCell ref="J1331:K1331"/>
    <mergeCell ref="H1331:I1331"/>
    <mergeCell ref="J1339:K1339"/>
    <mergeCell ref="H1339:I1339"/>
    <mergeCell ref="J1311:K1311"/>
    <mergeCell ref="H1311:I1311"/>
    <mergeCell ref="A1321:K1321"/>
    <mergeCell ref="J1275:K1275"/>
    <mergeCell ref="H1275:I1275"/>
    <mergeCell ref="J1278:K1278"/>
    <mergeCell ref="H1278:I1278"/>
    <mergeCell ref="J1236:K1236"/>
    <mergeCell ref="H1236:I1236"/>
    <mergeCell ref="J1239:K1239"/>
    <mergeCell ref="H1239:I1239"/>
    <mergeCell ref="A1317:G1317"/>
    <mergeCell ref="J1292:K1292"/>
    <mergeCell ref="H1292:I1292"/>
    <mergeCell ref="J1300:K1300"/>
    <mergeCell ref="H1300:I1300"/>
    <mergeCell ref="J1253:K1253"/>
    <mergeCell ref="H1253:I1253"/>
    <mergeCell ref="J1261:K1261"/>
    <mergeCell ref="H1261:I1261"/>
    <mergeCell ref="J1272:K1272"/>
    <mergeCell ref="H1272:I1272"/>
    <mergeCell ref="A1243:K1243"/>
    <mergeCell ref="J1197:K1197"/>
    <mergeCell ref="H1197:I1197"/>
    <mergeCell ref="J1200:K1200"/>
    <mergeCell ref="H1200:I1200"/>
    <mergeCell ref="A1200:G1200"/>
    <mergeCell ref="A1204:K1204"/>
    <mergeCell ref="J1161:K1161"/>
    <mergeCell ref="H1161:I1161"/>
    <mergeCell ref="A1239:G1239"/>
    <mergeCell ref="J1214:K1214"/>
    <mergeCell ref="H1214:I1214"/>
    <mergeCell ref="J1222:K1222"/>
    <mergeCell ref="H1222:I1222"/>
    <mergeCell ref="J1233:K1233"/>
    <mergeCell ref="H1233:I1233"/>
    <mergeCell ref="J1175:K1175"/>
    <mergeCell ref="H1175:I1175"/>
    <mergeCell ref="J1183:K1183"/>
    <mergeCell ref="H1183:I1183"/>
    <mergeCell ref="J1194:K1194"/>
    <mergeCell ref="H1194:I1194"/>
    <mergeCell ref="J1119:K1119"/>
    <mergeCell ref="H1119:I1119"/>
    <mergeCell ref="J1122:K1122"/>
    <mergeCell ref="H1122:I1122"/>
    <mergeCell ref="A1122:G1122"/>
    <mergeCell ref="A1126:K1126"/>
    <mergeCell ref="A1161:G1161"/>
    <mergeCell ref="A1165:K1165"/>
    <mergeCell ref="J1136:K1136"/>
    <mergeCell ref="H1136:I1136"/>
    <mergeCell ref="J1144:K1144"/>
    <mergeCell ref="H1144:I1144"/>
    <mergeCell ref="J1155:K1155"/>
    <mergeCell ref="H1155:I1155"/>
    <mergeCell ref="J1158:K1158"/>
    <mergeCell ref="H1158:I1158"/>
    <mergeCell ref="J1116:K1116"/>
    <mergeCell ref="H1116:I1116"/>
    <mergeCell ref="J1080:K1080"/>
    <mergeCell ref="H1080:I1080"/>
    <mergeCell ref="J1083:K1083"/>
    <mergeCell ref="H1083:I1083"/>
    <mergeCell ref="A1044:G1044"/>
    <mergeCell ref="A1048:K1048"/>
    <mergeCell ref="J1097:K1097"/>
    <mergeCell ref="H1097:I1097"/>
    <mergeCell ref="J1105:K1105"/>
    <mergeCell ref="H1105:I1105"/>
    <mergeCell ref="J1077:K1077"/>
    <mergeCell ref="H1077:I1077"/>
    <mergeCell ref="A1087:K1087"/>
    <mergeCell ref="J1041:K1041"/>
    <mergeCell ref="H1041:I1041"/>
    <mergeCell ref="J1044:K1044"/>
    <mergeCell ref="H1044:I1044"/>
    <mergeCell ref="J1002:K1002"/>
    <mergeCell ref="H1002:I1002"/>
    <mergeCell ref="J1005:K1005"/>
    <mergeCell ref="H1005:I1005"/>
    <mergeCell ref="A1083:G1083"/>
    <mergeCell ref="J1058:K1058"/>
    <mergeCell ref="H1058:I1058"/>
    <mergeCell ref="J1066:K1066"/>
    <mergeCell ref="H1066:I1066"/>
    <mergeCell ref="J1019:K1019"/>
    <mergeCell ref="H1019:I1019"/>
    <mergeCell ref="J1027:K1027"/>
    <mergeCell ref="H1027:I1027"/>
    <mergeCell ref="J1038:K1038"/>
    <mergeCell ref="H1038:I1038"/>
    <mergeCell ref="A1009:K1009"/>
    <mergeCell ref="J963:K963"/>
    <mergeCell ref="H963:I963"/>
    <mergeCell ref="J966:K966"/>
    <mergeCell ref="H966:I966"/>
    <mergeCell ref="A966:G966"/>
    <mergeCell ref="A970:K970"/>
    <mergeCell ref="J927:K927"/>
    <mergeCell ref="H927:I927"/>
    <mergeCell ref="A1005:G1005"/>
    <mergeCell ref="J980:K980"/>
    <mergeCell ref="H980:I980"/>
    <mergeCell ref="J988:K988"/>
    <mergeCell ref="H988:I988"/>
    <mergeCell ref="J999:K999"/>
    <mergeCell ref="H999:I999"/>
    <mergeCell ref="J941:K941"/>
    <mergeCell ref="H941:I941"/>
    <mergeCell ref="J949:K949"/>
    <mergeCell ref="H949:I949"/>
    <mergeCell ref="J960:K960"/>
    <mergeCell ref="H960:I960"/>
    <mergeCell ref="J885:K885"/>
    <mergeCell ref="H885:I885"/>
    <mergeCell ref="J888:K888"/>
    <mergeCell ref="H888:I888"/>
    <mergeCell ref="A888:G888"/>
    <mergeCell ref="A892:K892"/>
    <mergeCell ref="A927:G927"/>
    <mergeCell ref="A931:K931"/>
    <mergeCell ref="J902:K902"/>
    <mergeCell ref="H902:I902"/>
    <mergeCell ref="J910:K910"/>
    <mergeCell ref="H910:I910"/>
    <mergeCell ref="J921:K921"/>
    <mergeCell ref="H921:I921"/>
    <mergeCell ref="J924:K924"/>
    <mergeCell ref="H924:I924"/>
    <mergeCell ref="J882:K882"/>
    <mergeCell ref="H882:I882"/>
    <mergeCell ref="J846:K846"/>
    <mergeCell ref="H846:I846"/>
    <mergeCell ref="J849:K849"/>
    <mergeCell ref="H849:I849"/>
    <mergeCell ref="A810:G810"/>
    <mergeCell ref="A814:K814"/>
    <mergeCell ref="J863:K863"/>
    <mergeCell ref="H863:I863"/>
    <mergeCell ref="J871:K871"/>
    <mergeCell ref="H871:I871"/>
    <mergeCell ref="J843:K843"/>
    <mergeCell ref="H843:I843"/>
    <mergeCell ref="A853:K853"/>
    <mergeCell ref="J807:K807"/>
    <mergeCell ref="H807:I807"/>
    <mergeCell ref="J810:K810"/>
    <mergeCell ref="H810:I810"/>
    <mergeCell ref="J768:K768"/>
    <mergeCell ref="H768:I768"/>
    <mergeCell ref="J771:K771"/>
    <mergeCell ref="H771:I771"/>
    <mergeCell ref="A849:G849"/>
    <mergeCell ref="J824:K824"/>
    <mergeCell ref="H824:I824"/>
    <mergeCell ref="J832:K832"/>
    <mergeCell ref="H832:I832"/>
    <mergeCell ref="J785:K785"/>
    <mergeCell ref="H785:I785"/>
    <mergeCell ref="J793:K793"/>
    <mergeCell ref="H793:I793"/>
    <mergeCell ref="J804:K804"/>
    <mergeCell ref="H804:I804"/>
    <mergeCell ref="A775:K775"/>
    <mergeCell ref="J729:K729"/>
    <mergeCell ref="H729:I729"/>
    <mergeCell ref="J732:K732"/>
    <mergeCell ref="H732:I732"/>
    <mergeCell ref="A732:G732"/>
    <mergeCell ref="A736:K736"/>
    <mergeCell ref="J693:K693"/>
    <mergeCell ref="H693:I693"/>
    <mergeCell ref="A771:G771"/>
    <mergeCell ref="J746:K746"/>
    <mergeCell ref="H746:I746"/>
    <mergeCell ref="J754:K754"/>
    <mergeCell ref="H754:I754"/>
    <mergeCell ref="J765:K765"/>
    <mergeCell ref="H765:I765"/>
    <mergeCell ref="J707:K707"/>
    <mergeCell ref="H707:I707"/>
    <mergeCell ref="J715:K715"/>
    <mergeCell ref="H715:I715"/>
    <mergeCell ref="J726:K726"/>
    <mergeCell ref="H726:I726"/>
    <mergeCell ref="A697:K697"/>
    <mergeCell ref="J668:K668"/>
    <mergeCell ref="H668:I668"/>
    <mergeCell ref="J676:K676"/>
    <mergeCell ref="H676:I676"/>
    <mergeCell ref="J687:K687"/>
    <mergeCell ref="H687:I687"/>
    <mergeCell ref="J690:K690"/>
    <mergeCell ref="H690:I690"/>
    <mergeCell ref="J640:K640"/>
    <mergeCell ref="H640:I640"/>
    <mergeCell ref="J646:K646"/>
    <mergeCell ref="H646:I646"/>
    <mergeCell ref="A646:G646"/>
    <mergeCell ref="A650:K650"/>
    <mergeCell ref="J660:K660"/>
    <mergeCell ref="H660:I660"/>
    <mergeCell ref="A693:G693"/>
    <mergeCell ref="J643:K643"/>
    <mergeCell ref="H643:I643"/>
    <mergeCell ref="A560:G560"/>
    <mergeCell ref="A564:K564"/>
    <mergeCell ref="J574:K574"/>
    <mergeCell ref="H574:I574"/>
    <mergeCell ref="J582:K582"/>
    <mergeCell ref="H582:I582"/>
    <mergeCell ref="J590:K590"/>
    <mergeCell ref="H590:I590"/>
    <mergeCell ref="J601:K601"/>
    <mergeCell ref="H601:I601"/>
    <mergeCell ref="J604:K604"/>
    <mergeCell ref="H604:I604"/>
    <mergeCell ref="J560:K560"/>
    <mergeCell ref="H560:I560"/>
    <mergeCell ref="J607:K607"/>
    <mergeCell ref="H607:I607"/>
    <mergeCell ref="A607:G607"/>
    <mergeCell ref="A611:K611"/>
    <mergeCell ref="J621:K621"/>
    <mergeCell ref="H621:I621"/>
    <mergeCell ref="J629:K629"/>
    <mergeCell ref="H629:I629"/>
    <mergeCell ref="J527:K527"/>
    <mergeCell ref="H527:I527"/>
    <mergeCell ref="J535:K535"/>
    <mergeCell ref="H535:I535"/>
    <mergeCell ref="J543:K543"/>
    <mergeCell ref="H543:I543"/>
    <mergeCell ref="J554:K554"/>
    <mergeCell ref="H554:I554"/>
    <mergeCell ref="J557:K557"/>
    <mergeCell ref="H557:I557"/>
    <mergeCell ref="A513:G513"/>
    <mergeCell ref="A517:K517"/>
    <mergeCell ref="J449:K449"/>
    <mergeCell ref="H449:I449"/>
    <mergeCell ref="J460:K460"/>
    <mergeCell ref="H460:I460"/>
    <mergeCell ref="J463:K463"/>
    <mergeCell ref="H463:I463"/>
    <mergeCell ref="J466:K466"/>
    <mergeCell ref="H466:I466"/>
    <mergeCell ref="A466:G466"/>
    <mergeCell ref="A470:K470"/>
    <mergeCell ref="J480:K480"/>
    <mergeCell ref="H480:I480"/>
    <mergeCell ref="J488:K488"/>
    <mergeCell ref="H488:I488"/>
    <mergeCell ref="J496:K496"/>
    <mergeCell ref="H496:I496"/>
    <mergeCell ref="J507:K507"/>
    <mergeCell ref="H507:I507"/>
    <mergeCell ref="J510:K510"/>
    <mergeCell ref="H510:I510"/>
    <mergeCell ref="J513:K513"/>
    <mergeCell ref="H513:I513"/>
    <mergeCell ref="J441:K441"/>
    <mergeCell ref="H441:I441"/>
    <mergeCell ref="J413:K413"/>
    <mergeCell ref="H413:I413"/>
    <mergeCell ref="J416:K416"/>
    <mergeCell ref="H416:I416"/>
    <mergeCell ref="J419:K419"/>
    <mergeCell ref="H419:I419"/>
    <mergeCell ref="J372:K372"/>
    <mergeCell ref="H372:I372"/>
    <mergeCell ref="A419:G419"/>
    <mergeCell ref="A423:K423"/>
    <mergeCell ref="J433:K433"/>
    <mergeCell ref="H433:I433"/>
    <mergeCell ref="J386:K386"/>
    <mergeCell ref="H386:I386"/>
    <mergeCell ref="J394:K394"/>
    <mergeCell ref="H394:I394"/>
    <mergeCell ref="J402:K402"/>
    <mergeCell ref="H402:I402"/>
    <mergeCell ref="J325:K325"/>
    <mergeCell ref="H325:I325"/>
    <mergeCell ref="A325:G325"/>
    <mergeCell ref="A329:K329"/>
    <mergeCell ref="J339:K339"/>
    <mergeCell ref="H339:I339"/>
    <mergeCell ref="A372:G372"/>
    <mergeCell ref="A376:K376"/>
    <mergeCell ref="J347:K347"/>
    <mergeCell ref="H347:I347"/>
    <mergeCell ref="J355:K355"/>
    <mergeCell ref="H355:I355"/>
    <mergeCell ref="J366:K366"/>
    <mergeCell ref="H366:I366"/>
    <mergeCell ref="J369:K369"/>
    <mergeCell ref="H369:I369"/>
    <mergeCell ref="A278:G278"/>
    <mergeCell ref="A282:K282"/>
    <mergeCell ref="J292:K292"/>
    <mergeCell ref="H292:I292"/>
    <mergeCell ref="J300:K300"/>
    <mergeCell ref="H300:I300"/>
    <mergeCell ref="J308:K308"/>
    <mergeCell ref="H308:I308"/>
    <mergeCell ref="J319:K319"/>
    <mergeCell ref="H319:I319"/>
    <mergeCell ref="J322:K322"/>
    <mergeCell ref="H322:I322"/>
    <mergeCell ref="J245:K245"/>
    <mergeCell ref="H245:I245"/>
    <mergeCell ref="J253:K253"/>
    <mergeCell ref="H253:I253"/>
    <mergeCell ref="J261:K261"/>
    <mergeCell ref="H261:I261"/>
    <mergeCell ref="J272:K272"/>
    <mergeCell ref="H272:I272"/>
    <mergeCell ref="J275:K275"/>
    <mergeCell ref="H275:I275"/>
    <mergeCell ref="J278:K278"/>
    <mergeCell ref="H278:I278"/>
    <mergeCell ref="A231:G231"/>
    <mergeCell ref="A235:K235"/>
    <mergeCell ref="J167:K167"/>
    <mergeCell ref="H167:I167"/>
    <mergeCell ref="J178:K178"/>
    <mergeCell ref="H178:I178"/>
    <mergeCell ref="J181:K181"/>
    <mergeCell ref="H181:I181"/>
    <mergeCell ref="J184:K184"/>
    <mergeCell ref="H184:I184"/>
    <mergeCell ref="A184:G184"/>
    <mergeCell ref="A188:K188"/>
    <mergeCell ref="J198:K198"/>
    <mergeCell ref="H198:I198"/>
    <mergeCell ref="J206:K206"/>
    <mergeCell ref="H206:I206"/>
    <mergeCell ref="J214:K214"/>
    <mergeCell ref="H214:I214"/>
    <mergeCell ref="J225:K225"/>
    <mergeCell ref="H225:I225"/>
    <mergeCell ref="J228:K228"/>
    <mergeCell ref="H228:I228"/>
    <mergeCell ref="J231:K231"/>
    <mergeCell ref="H231:I231"/>
    <mergeCell ref="J159:K159"/>
    <mergeCell ref="H159:I159"/>
    <mergeCell ref="J131:K131"/>
    <mergeCell ref="H131:I131"/>
    <mergeCell ref="J134:K134"/>
    <mergeCell ref="H134:I134"/>
    <mergeCell ref="J137:K137"/>
    <mergeCell ref="H137:I137"/>
    <mergeCell ref="J90:K90"/>
    <mergeCell ref="H90:I90"/>
    <mergeCell ref="A137:G137"/>
    <mergeCell ref="A141:K141"/>
    <mergeCell ref="J151:K151"/>
    <mergeCell ref="H151:I151"/>
    <mergeCell ref="J104:K104"/>
    <mergeCell ref="H104:I104"/>
    <mergeCell ref="J112:K112"/>
    <mergeCell ref="H112:I112"/>
    <mergeCell ref="J120:K120"/>
    <mergeCell ref="H120:I120"/>
    <mergeCell ref="F25:H25"/>
    <mergeCell ref="F26:H26"/>
    <mergeCell ref="F27:H27"/>
    <mergeCell ref="F29:H29"/>
    <mergeCell ref="A32:K32"/>
    <mergeCell ref="A36:K36"/>
    <mergeCell ref="A90:G90"/>
    <mergeCell ref="A94:K94"/>
    <mergeCell ref="J49:K49"/>
    <mergeCell ref="H49:I49"/>
    <mergeCell ref="J63:K63"/>
    <mergeCell ref="H63:I63"/>
    <mergeCell ref="J77:K77"/>
    <mergeCell ref="H77:I77"/>
    <mergeCell ref="J87:K87"/>
    <mergeCell ref="H87:I87"/>
    <mergeCell ref="F22:H22"/>
    <mergeCell ref="F23:H23"/>
    <mergeCell ref="F24:H24"/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AE145"/>
  <sheetViews>
    <sheetView zoomScaleNormal="100" workbookViewId="0">
      <selection activeCell="A13" sqref="A13:K13"/>
    </sheetView>
  </sheetViews>
  <sheetFormatPr defaultColWidth="9.140625" defaultRowHeight="12.75" x14ac:dyDescent="0.2"/>
  <cols>
    <col min="1" max="1" width="5.7109375" style="160" customWidth="1"/>
    <col min="2" max="2" width="11.7109375" style="160" customWidth="1"/>
    <col min="3" max="3" width="40.7109375" style="160" customWidth="1"/>
    <col min="4" max="6" width="11.7109375" style="160" customWidth="1"/>
    <col min="7" max="7" width="12.7109375" style="160" customWidth="1"/>
    <col min="8" max="8" width="10.7109375" style="160" customWidth="1"/>
    <col min="9" max="11" width="12.7109375" style="160" customWidth="1"/>
    <col min="12" max="14" width="9.140625" style="160"/>
    <col min="15" max="30" width="0" style="160" hidden="1" customWidth="1"/>
    <col min="31" max="31" width="150.7109375" style="160" hidden="1" customWidth="1"/>
    <col min="32" max="36" width="0" style="160" hidden="1" customWidth="1"/>
    <col min="37" max="16384" width="9.140625" style="160"/>
  </cols>
  <sheetData>
    <row r="1" spans="1:31" x14ac:dyDescent="0.2">
      <c r="A1" s="200" t="s">
        <v>1523</v>
      </c>
    </row>
    <row r="2" spans="1:31" ht="14.25" x14ac:dyDescent="0.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61" t="s">
        <v>381</v>
      </c>
    </row>
    <row r="3" spans="1:31" ht="16.5" x14ac:dyDescent="0.25">
      <c r="A3" s="199"/>
      <c r="B3" s="428" t="s">
        <v>380</v>
      </c>
      <c r="C3" s="428"/>
      <c r="D3" s="428"/>
      <c r="E3" s="428"/>
      <c r="F3" s="161"/>
      <c r="G3" s="428" t="s">
        <v>0</v>
      </c>
      <c r="H3" s="428"/>
      <c r="I3" s="428"/>
      <c r="J3" s="428"/>
      <c r="K3" s="428"/>
    </row>
    <row r="4" spans="1:31" ht="14.25" x14ac:dyDescent="0.2">
      <c r="A4" s="161"/>
      <c r="B4" s="418"/>
      <c r="C4" s="418"/>
      <c r="D4" s="418"/>
      <c r="E4" s="418"/>
      <c r="F4" s="161"/>
      <c r="G4" s="418"/>
      <c r="H4" s="418"/>
      <c r="I4" s="418"/>
      <c r="J4" s="418"/>
      <c r="K4" s="418"/>
    </row>
    <row r="5" spans="1:31" ht="14.25" x14ac:dyDescent="0.2">
      <c r="A5" s="198"/>
      <c r="B5" s="198"/>
      <c r="C5" s="197"/>
      <c r="D5" s="197"/>
      <c r="E5" s="197"/>
      <c r="F5" s="161"/>
      <c r="G5" s="231"/>
      <c r="H5" s="197"/>
      <c r="I5" s="197"/>
      <c r="J5" s="197"/>
      <c r="K5" s="231"/>
    </row>
    <row r="6" spans="1:31" ht="14.25" x14ac:dyDescent="0.2">
      <c r="A6" s="231"/>
      <c r="B6" s="418" t="s">
        <v>1524</v>
      </c>
      <c r="C6" s="418"/>
      <c r="D6" s="418"/>
      <c r="E6" s="418"/>
      <c r="F6" s="161"/>
      <c r="G6" s="418" t="s">
        <v>1524</v>
      </c>
      <c r="H6" s="418"/>
      <c r="I6" s="418"/>
      <c r="J6" s="418"/>
      <c r="K6" s="418"/>
    </row>
    <row r="7" spans="1:31" ht="14.25" x14ac:dyDescent="0.2">
      <c r="A7" s="196"/>
      <c r="B7" s="429" t="s">
        <v>379</v>
      </c>
      <c r="C7" s="429"/>
      <c r="D7" s="429"/>
      <c r="E7" s="429"/>
      <c r="F7" s="161"/>
      <c r="G7" s="429" t="s">
        <v>379</v>
      </c>
      <c r="H7" s="429"/>
      <c r="I7" s="429"/>
      <c r="J7" s="429"/>
      <c r="K7" s="429"/>
    </row>
    <row r="9" spans="1:31" ht="14.25" x14ac:dyDescent="0.2">
      <c r="A9" s="161"/>
      <c r="B9" s="161"/>
      <c r="C9" s="161"/>
      <c r="D9" s="161"/>
      <c r="E9" s="161"/>
      <c r="F9" s="161"/>
      <c r="G9" s="161"/>
      <c r="H9" s="161"/>
      <c r="I9" s="161"/>
      <c r="J9" s="161"/>
      <c r="K9" s="161"/>
    </row>
    <row r="10" spans="1:31" ht="47.25" x14ac:dyDescent="0.25">
      <c r="A10" s="474" t="s">
        <v>3850</v>
      </c>
      <c r="B10" s="474"/>
      <c r="C10" s="474"/>
      <c r="D10" s="474"/>
      <c r="E10" s="474"/>
      <c r="F10" s="474"/>
      <c r="G10" s="474"/>
      <c r="H10" s="474"/>
      <c r="I10" s="474"/>
      <c r="J10" s="474"/>
      <c r="K10" s="474"/>
      <c r="AE10" s="259" t="str">
        <f>IF([21]Source!G12&lt;&gt;"Новый объект", [21]Source!G12,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75" t="s">
        <v>75</v>
      </c>
      <c r="B11" s="475"/>
      <c r="C11" s="475"/>
      <c r="D11" s="475"/>
      <c r="E11" s="475"/>
      <c r="F11" s="475"/>
      <c r="G11" s="475"/>
      <c r="H11" s="475"/>
      <c r="I11" s="475"/>
      <c r="J11" s="475"/>
      <c r="K11" s="475"/>
    </row>
    <row r="12" spans="1:31" ht="14.25" x14ac:dyDescent="0.2">
      <c r="A12" s="161"/>
      <c r="B12" s="161"/>
      <c r="C12" s="161"/>
      <c r="D12" s="161"/>
      <c r="E12" s="161"/>
      <c r="F12" s="161"/>
      <c r="G12" s="161"/>
      <c r="H12" s="161"/>
      <c r="I12" s="161"/>
      <c r="J12" s="161"/>
      <c r="K12" s="161"/>
    </row>
    <row r="13" spans="1:31" ht="15.75" x14ac:dyDescent="0.25">
      <c r="A13" s="474" t="s">
        <v>3900</v>
      </c>
      <c r="B13" s="476"/>
      <c r="C13" s="476"/>
      <c r="D13" s="476"/>
      <c r="E13" s="476"/>
      <c r="F13" s="476"/>
      <c r="G13" s="476"/>
      <c r="H13" s="476"/>
      <c r="I13" s="476"/>
      <c r="J13" s="476"/>
      <c r="K13" s="476"/>
    </row>
    <row r="14" spans="1:31" ht="14.25" x14ac:dyDescent="0.2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</row>
    <row r="15" spans="1:31" ht="18" x14ac:dyDescent="0.25">
      <c r="A15" s="477" t="s">
        <v>171</v>
      </c>
      <c r="B15" s="477"/>
      <c r="C15" s="477"/>
      <c r="D15" s="477"/>
      <c r="E15" s="477"/>
      <c r="F15" s="477"/>
      <c r="G15" s="477"/>
      <c r="H15" s="477"/>
      <c r="I15" s="477"/>
      <c r="J15" s="477"/>
      <c r="K15" s="477"/>
    </row>
    <row r="16" spans="1:31" x14ac:dyDescent="0.2">
      <c r="A16" s="425" t="s">
        <v>378</v>
      </c>
      <c r="B16" s="426"/>
      <c r="C16" s="426"/>
      <c r="D16" s="426"/>
      <c r="E16" s="426"/>
      <c r="F16" s="426"/>
      <c r="G16" s="426"/>
      <c r="H16" s="426"/>
      <c r="I16" s="426"/>
      <c r="J16" s="426"/>
      <c r="K16" s="426"/>
    </row>
    <row r="17" spans="1:31" ht="14.25" x14ac:dyDescent="0.2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</row>
    <row r="18" spans="1:31" ht="14.25" x14ac:dyDescent="0.2">
      <c r="A18" s="478" t="s">
        <v>3827</v>
      </c>
      <c r="B18" s="478"/>
      <c r="C18" s="478"/>
      <c r="D18" s="478"/>
      <c r="E18" s="478"/>
      <c r="F18" s="478"/>
      <c r="G18" s="478"/>
      <c r="H18" s="478"/>
      <c r="I18" s="478"/>
      <c r="J18" s="478"/>
      <c r="K18" s="478"/>
    </row>
    <row r="19" spans="1:31" ht="14.25" x14ac:dyDescent="0.2">
      <c r="A19" s="233"/>
      <c r="B19" s="233"/>
      <c r="C19" s="233"/>
      <c r="D19" s="233"/>
      <c r="E19" s="233"/>
      <c r="F19" s="233"/>
      <c r="G19" s="233"/>
      <c r="H19" s="233"/>
      <c r="I19" s="233"/>
      <c r="J19" s="233"/>
      <c r="K19" s="233"/>
    </row>
    <row r="20" spans="1:31" ht="28.5" x14ac:dyDescent="0.2">
      <c r="A20" s="161"/>
      <c r="B20" s="161"/>
      <c r="C20" s="161"/>
      <c r="D20" s="161"/>
      <c r="E20" s="161"/>
      <c r="F20" s="161"/>
      <c r="G20" s="161"/>
      <c r="H20" s="161"/>
      <c r="I20" s="192" t="s">
        <v>377</v>
      </c>
      <c r="J20" s="192" t="s">
        <v>376</v>
      </c>
      <c r="K20" s="161"/>
    </row>
    <row r="21" spans="1:31" ht="15" x14ac:dyDescent="0.25">
      <c r="A21" s="161"/>
      <c r="B21" s="161"/>
      <c r="C21" s="161"/>
      <c r="D21" s="161"/>
      <c r="E21" s="161"/>
      <c r="F21" s="427" t="s">
        <v>375</v>
      </c>
      <c r="G21" s="427"/>
      <c r="H21" s="427"/>
      <c r="I21" s="191">
        <v>30.97</v>
      </c>
      <c r="J21" s="191">
        <v>84.08</v>
      </c>
      <c r="K21" s="190" t="s">
        <v>366</v>
      </c>
    </row>
    <row r="22" spans="1:31" ht="14.25" x14ac:dyDescent="0.2">
      <c r="A22" s="161"/>
      <c r="B22" s="161"/>
      <c r="C22" s="161"/>
      <c r="D22" s="161"/>
      <c r="E22" s="161"/>
      <c r="F22" s="418" t="s">
        <v>374</v>
      </c>
      <c r="G22" s="418"/>
      <c r="H22" s="418"/>
      <c r="I22" s="186">
        <v>7.02</v>
      </c>
      <c r="J22" s="186">
        <v>34.450000000000003</v>
      </c>
      <c r="K22" s="161" t="s">
        <v>366</v>
      </c>
    </row>
    <row r="23" spans="1:31" ht="14.25" x14ac:dyDescent="0.2">
      <c r="A23" s="161"/>
      <c r="B23" s="161"/>
      <c r="C23" s="161"/>
      <c r="D23" s="161"/>
      <c r="E23" s="161"/>
      <c r="F23" s="418" t="s">
        <v>373</v>
      </c>
      <c r="G23" s="418"/>
      <c r="H23" s="418"/>
      <c r="I23" s="186">
        <v>0.17</v>
      </c>
      <c r="J23" s="186">
        <v>1.6</v>
      </c>
      <c r="K23" s="161" t="s">
        <v>366</v>
      </c>
    </row>
    <row r="24" spans="1:31" ht="14.25" x14ac:dyDescent="0.2">
      <c r="A24" s="161"/>
      <c r="B24" s="161"/>
      <c r="C24" s="161"/>
      <c r="D24" s="161"/>
      <c r="E24" s="161"/>
      <c r="F24" s="418" t="s">
        <v>106</v>
      </c>
      <c r="G24" s="418"/>
      <c r="H24" s="418"/>
      <c r="I24" s="186">
        <v>23.78</v>
      </c>
      <c r="J24" s="186">
        <v>48.03</v>
      </c>
      <c r="K24" s="161" t="s">
        <v>366</v>
      </c>
    </row>
    <row r="25" spans="1:31" ht="14.25" x14ac:dyDescent="0.2">
      <c r="A25" s="161"/>
      <c r="B25" s="161"/>
      <c r="C25" s="161"/>
      <c r="D25" s="161"/>
      <c r="E25" s="161"/>
      <c r="F25" s="418" t="s">
        <v>372</v>
      </c>
      <c r="G25" s="418"/>
      <c r="H25" s="418"/>
      <c r="I25" s="186">
        <v>0</v>
      </c>
      <c r="J25" s="186">
        <v>0</v>
      </c>
      <c r="K25" s="161" t="s">
        <v>366</v>
      </c>
    </row>
    <row r="26" spans="1:31" ht="14.25" x14ac:dyDescent="0.2">
      <c r="A26" s="161"/>
      <c r="B26" s="161"/>
      <c r="C26" s="161"/>
      <c r="D26" s="161"/>
      <c r="E26" s="161"/>
      <c r="F26" s="418" t="s">
        <v>371</v>
      </c>
      <c r="G26" s="418"/>
      <c r="H26" s="418"/>
      <c r="I26" s="186">
        <v>0.13</v>
      </c>
      <c r="J26" s="186">
        <v>3.13</v>
      </c>
      <c r="K26" s="161" t="s">
        <v>366</v>
      </c>
    </row>
    <row r="27" spans="1:31" ht="14.25" x14ac:dyDescent="0.2">
      <c r="A27" s="161"/>
      <c r="B27" s="161"/>
      <c r="C27" s="161"/>
      <c r="D27" s="161"/>
      <c r="E27" s="161"/>
      <c r="F27" s="418" t="s">
        <v>370</v>
      </c>
      <c r="G27" s="418"/>
      <c r="H27" s="418"/>
      <c r="I27" s="186">
        <v>11.03</v>
      </c>
      <c r="J27" s="186"/>
      <c r="K27" s="161" t="s">
        <v>369</v>
      </c>
    </row>
    <row r="28" spans="1:31" ht="14.25" hidden="1" x14ac:dyDescent="0.2">
      <c r="A28" s="161"/>
      <c r="B28" s="161"/>
      <c r="C28" s="161"/>
      <c r="D28" s="161"/>
      <c r="E28" s="161"/>
      <c r="F28" s="188" t="s">
        <v>368</v>
      </c>
      <c r="G28" s="188"/>
      <c r="H28" s="188"/>
      <c r="I28" s="186"/>
      <c r="J28" s="186"/>
      <c r="K28" s="161"/>
    </row>
    <row r="29" spans="1:31" ht="14.25" hidden="1" x14ac:dyDescent="0.2">
      <c r="A29" s="161"/>
      <c r="B29" s="161"/>
      <c r="C29" s="161"/>
      <c r="D29" s="161"/>
      <c r="E29" s="161"/>
      <c r="F29" s="419" t="s">
        <v>367</v>
      </c>
      <c r="G29" s="420"/>
      <c r="H29" s="420"/>
      <c r="I29" s="186">
        <v>0</v>
      </c>
      <c r="J29" s="186">
        <v>0</v>
      </c>
      <c r="K29" s="161" t="s">
        <v>366</v>
      </c>
    </row>
    <row r="30" spans="1:31" ht="14.25" x14ac:dyDescent="0.2">
      <c r="A30" s="161"/>
      <c r="B30" s="161"/>
      <c r="C30" s="161"/>
      <c r="D30" s="161"/>
      <c r="E30" s="161"/>
      <c r="F30" s="231"/>
      <c r="G30" s="231"/>
      <c r="H30" s="231"/>
      <c r="I30" s="186"/>
      <c r="J30" s="186"/>
      <c r="K30" s="161"/>
    </row>
    <row r="31" spans="1:31" ht="14.25" x14ac:dyDescent="0.2">
      <c r="A31" s="161" t="s">
        <v>365</v>
      </c>
      <c r="B31" s="161"/>
      <c r="C31" s="161"/>
      <c r="D31" s="161"/>
      <c r="E31" s="161"/>
      <c r="F31" s="231"/>
      <c r="G31" s="231"/>
      <c r="H31" s="231"/>
      <c r="I31" s="186"/>
      <c r="J31" s="186"/>
      <c r="K31" s="161"/>
    </row>
    <row r="32" spans="1:31" ht="28.5" x14ac:dyDescent="0.2">
      <c r="A32" s="478" t="s">
        <v>364</v>
      </c>
      <c r="B32" s="478"/>
      <c r="C32" s="478"/>
      <c r="D32" s="478"/>
      <c r="E32" s="478"/>
      <c r="F32" s="478"/>
      <c r="G32" s="478"/>
      <c r="H32" s="478"/>
      <c r="I32" s="478"/>
      <c r="J32" s="478"/>
      <c r="K32" s="478"/>
      <c r="AE32" s="258" t="s">
        <v>364</v>
      </c>
    </row>
    <row r="33" spans="1:22" ht="85.5" x14ac:dyDescent="0.2">
      <c r="A33" s="183" t="s">
        <v>81</v>
      </c>
      <c r="B33" s="183" t="s">
        <v>363</v>
      </c>
      <c r="C33" s="183" t="s">
        <v>83</v>
      </c>
      <c r="D33" s="183" t="s">
        <v>362</v>
      </c>
      <c r="E33" s="183" t="s">
        <v>361</v>
      </c>
      <c r="F33" s="183" t="s">
        <v>360</v>
      </c>
      <c r="G33" s="184" t="s">
        <v>359</v>
      </c>
      <c r="H33" s="184" t="s">
        <v>358</v>
      </c>
      <c r="I33" s="183" t="s">
        <v>357</v>
      </c>
      <c r="J33" s="183" t="s">
        <v>356</v>
      </c>
      <c r="K33" s="183" t="s">
        <v>355</v>
      </c>
    </row>
    <row r="34" spans="1:22" ht="14.25" x14ac:dyDescent="0.2">
      <c r="A34" s="183">
        <v>1</v>
      </c>
      <c r="B34" s="183">
        <v>2</v>
      </c>
      <c r="C34" s="183">
        <v>3</v>
      </c>
      <c r="D34" s="183">
        <v>4</v>
      </c>
      <c r="E34" s="183">
        <v>5</v>
      </c>
      <c r="F34" s="183">
        <v>6</v>
      </c>
      <c r="G34" s="183">
        <v>7</v>
      </c>
      <c r="H34" s="183">
        <v>8</v>
      </c>
      <c r="I34" s="183">
        <v>9</v>
      </c>
      <c r="J34" s="183">
        <v>10</v>
      </c>
      <c r="K34" s="183">
        <v>11</v>
      </c>
    </row>
    <row r="36" spans="1:22" ht="16.5" x14ac:dyDescent="0.25">
      <c r="A36" s="413" t="s">
        <v>3828</v>
      </c>
      <c r="B36" s="413"/>
      <c r="C36" s="413"/>
      <c r="D36" s="413"/>
      <c r="E36" s="413"/>
      <c r="F36" s="413"/>
      <c r="G36" s="413"/>
      <c r="H36" s="413"/>
      <c r="I36" s="413"/>
      <c r="J36" s="413"/>
      <c r="K36" s="413"/>
    </row>
    <row r="37" spans="1:22" ht="14.25" x14ac:dyDescent="0.2">
      <c r="A37" s="179" t="s">
        <v>719</v>
      </c>
      <c r="B37" s="178" t="s">
        <v>3471</v>
      </c>
      <c r="C37" s="178" t="s">
        <v>718</v>
      </c>
      <c r="D37" s="177" t="s">
        <v>1903</v>
      </c>
      <c r="E37" s="174">
        <v>2</v>
      </c>
      <c r="F37" s="176"/>
      <c r="G37" s="175"/>
      <c r="H37" s="174"/>
      <c r="I37" s="232"/>
      <c r="J37" s="174"/>
      <c r="K37" s="232"/>
      <c r="Q37" s="160">
        <f>[21]Source!X28</f>
        <v>27.13</v>
      </c>
      <c r="R37" s="160">
        <f>[21]Source!X29</f>
        <v>427.91</v>
      </c>
      <c r="S37" s="160">
        <f>[21]Source!Y28</f>
        <v>15.95</v>
      </c>
      <c r="T37" s="160">
        <f>[21]Source!Y29</f>
        <v>227.85</v>
      </c>
      <c r="U37" s="160">
        <f>ROUND((175/100)*ROUND([21]Source!R28, 2), 2)</f>
        <v>0</v>
      </c>
      <c r="V37" s="160">
        <f>ROUND((157/100)*ROUND([21]Source!R29, 2), 2)</f>
        <v>0</v>
      </c>
    </row>
    <row r="38" spans="1:22" ht="14.25" x14ac:dyDescent="0.2">
      <c r="A38" s="179"/>
      <c r="B38" s="178"/>
      <c r="C38" s="178" t="s">
        <v>197</v>
      </c>
      <c r="D38" s="177"/>
      <c r="E38" s="174"/>
      <c r="F38" s="176">
        <v>11.9</v>
      </c>
      <c r="G38" s="175" t="s">
        <v>195</v>
      </c>
      <c r="H38" s="174">
        <v>1</v>
      </c>
      <c r="I38" s="232">
        <v>23.8</v>
      </c>
      <c r="J38" s="174">
        <v>23.35</v>
      </c>
      <c r="K38" s="232">
        <v>555.73</v>
      </c>
    </row>
    <row r="39" spans="1:22" ht="14.25" x14ac:dyDescent="0.2">
      <c r="A39" s="179"/>
      <c r="B39" s="178"/>
      <c r="C39" s="178" t="s">
        <v>205</v>
      </c>
      <c r="D39" s="177"/>
      <c r="E39" s="174"/>
      <c r="F39" s="176">
        <v>1.75</v>
      </c>
      <c r="G39" s="175" t="s">
        <v>195</v>
      </c>
      <c r="H39" s="174">
        <v>1</v>
      </c>
      <c r="I39" s="232">
        <v>3.5</v>
      </c>
      <c r="J39" s="174">
        <v>5.42</v>
      </c>
      <c r="K39" s="232">
        <v>18.97</v>
      </c>
    </row>
    <row r="40" spans="1:22" ht="42.75" x14ac:dyDescent="0.2">
      <c r="A40" s="179" t="s">
        <v>1531</v>
      </c>
      <c r="B40" s="178" t="s">
        <v>3604</v>
      </c>
      <c r="C40" s="178" t="s">
        <v>717</v>
      </c>
      <c r="D40" s="177" t="s">
        <v>1661</v>
      </c>
      <c r="E40" s="174">
        <v>2</v>
      </c>
      <c r="F40" s="176">
        <v>51.45</v>
      </c>
      <c r="G40" s="182" t="s">
        <v>195</v>
      </c>
      <c r="H40" s="174">
        <v>1</v>
      </c>
      <c r="I40" s="232">
        <v>102.9</v>
      </c>
      <c r="J40" s="174">
        <v>3.58</v>
      </c>
      <c r="K40" s="232">
        <v>368.38</v>
      </c>
      <c r="Q40" s="160">
        <f>[21]Source!X30</f>
        <v>0</v>
      </c>
      <c r="R40" s="160">
        <f>[21]Source!X31</f>
        <v>0</v>
      </c>
      <c r="S40" s="160">
        <f>[21]Source!Y30</f>
        <v>0</v>
      </c>
      <c r="T40" s="160">
        <f>[21]Source!Y31</f>
        <v>0</v>
      </c>
      <c r="U40" s="160">
        <f>ROUND((175/100)*ROUND([21]Source!R30, 2), 2)</f>
        <v>0</v>
      </c>
      <c r="V40" s="160">
        <f>ROUND((157/100)*ROUND([21]Source!R31, 2), 2)</f>
        <v>0</v>
      </c>
    </row>
    <row r="41" spans="1:22" ht="14.25" x14ac:dyDescent="0.2">
      <c r="A41" s="179"/>
      <c r="B41" s="178"/>
      <c r="C41" s="178" t="s">
        <v>194</v>
      </c>
      <c r="D41" s="177" t="s">
        <v>187</v>
      </c>
      <c r="E41" s="174">
        <v>114</v>
      </c>
      <c r="F41" s="176"/>
      <c r="G41" s="175"/>
      <c r="H41" s="174"/>
      <c r="I41" s="232">
        <v>27.13</v>
      </c>
      <c r="J41" s="174">
        <v>77</v>
      </c>
      <c r="K41" s="232">
        <v>427.91</v>
      </c>
    </row>
    <row r="42" spans="1:22" ht="14.25" x14ac:dyDescent="0.2">
      <c r="A42" s="179"/>
      <c r="B42" s="178"/>
      <c r="C42" s="178" t="s">
        <v>193</v>
      </c>
      <c r="D42" s="177" t="s">
        <v>187</v>
      </c>
      <c r="E42" s="174">
        <v>67</v>
      </c>
      <c r="F42" s="176"/>
      <c r="G42" s="175"/>
      <c r="H42" s="174"/>
      <c r="I42" s="232">
        <v>15.95</v>
      </c>
      <c r="J42" s="174">
        <v>41</v>
      </c>
      <c r="K42" s="232">
        <v>227.85</v>
      </c>
    </row>
    <row r="43" spans="1:22" ht="14.25" x14ac:dyDescent="0.2">
      <c r="A43" s="242"/>
      <c r="B43" s="241"/>
      <c r="C43" s="241" t="s">
        <v>192</v>
      </c>
      <c r="D43" s="240" t="s">
        <v>191</v>
      </c>
      <c r="E43" s="238">
        <v>1</v>
      </c>
      <c r="F43" s="253"/>
      <c r="G43" s="239" t="s">
        <v>195</v>
      </c>
      <c r="H43" s="238">
        <v>1</v>
      </c>
      <c r="I43" s="237">
        <v>2</v>
      </c>
      <c r="J43" s="238"/>
      <c r="K43" s="237"/>
    </row>
    <row r="44" spans="1:22" ht="15" x14ac:dyDescent="0.25">
      <c r="A44" s="235"/>
      <c r="B44" s="235"/>
      <c r="C44" s="236" t="s">
        <v>183</v>
      </c>
      <c r="D44" s="235"/>
      <c r="E44" s="235"/>
      <c r="F44" s="235"/>
      <c r="G44" s="235"/>
      <c r="H44" s="436">
        <v>173.28</v>
      </c>
      <c r="I44" s="436"/>
      <c r="J44" s="436">
        <v>1598.84</v>
      </c>
      <c r="K44" s="436"/>
      <c r="O44" s="163">
        <f>I38+I39+I41+I42+SUM(I40:I40)</f>
        <v>173.28</v>
      </c>
      <c r="P44" s="163">
        <f>K38+K39+K41+K42+SUM(K40:K40)</f>
        <v>1598.84</v>
      </c>
    </row>
    <row r="46" spans="1:22" ht="52.5" x14ac:dyDescent="0.2">
      <c r="A46" s="179" t="s">
        <v>1534</v>
      </c>
      <c r="B46" s="178" t="s">
        <v>716</v>
      </c>
      <c r="C46" s="178" t="s">
        <v>715</v>
      </c>
      <c r="D46" s="177" t="s">
        <v>2094</v>
      </c>
      <c r="E46" s="174">
        <v>1</v>
      </c>
      <c r="F46" s="176"/>
      <c r="G46" s="175"/>
      <c r="H46" s="174"/>
      <c r="I46" s="232"/>
      <c r="J46" s="174"/>
      <c r="K46" s="232"/>
      <c r="Q46" s="160">
        <f>[21]Source!X32</f>
        <v>35.08</v>
      </c>
      <c r="R46" s="160">
        <f>[21]Source!X33</f>
        <v>655.27</v>
      </c>
      <c r="S46" s="160">
        <f>[21]Source!Y32</f>
        <v>23.6</v>
      </c>
      <c r="T46" s="160">
        <f>[21]Source!Y33</f>
        <v>305.3</v>
      </c>
      <c r="U46" s="160">
        <f>ROUND((175/100)*ROUND([21]Source!R32, 2), 2)</f>
        <v>1.93</v>
      </c>
      <c r="V46" s="160">
        <f>ROUND((157/100)*ROUND([21]Source!R33, 2), 2)</f>
        <v>40.33</v>
      </c>
    </row>
    <row r="47" spans="1:22" ht="14.25" x14ac:dyDescent="0.2">
      <c r="A47" s="179"/>
      <c r="B47" s="178"/>
      <c r="C47" s="178" t="s">
        <v>197</v>
      </c>
      <c r="D47" s="177"/>
      <c r="E47" s="174"/>
      <c r="F47" s="176">
        <v>27.73</v>
      </c>
      <c r="G47" s="175" t="s">
        <v>1548</v>
      </c>
      <c r="H47" s="174">
        <v>1</v>
      </c>
      <c r="I47" s="232">
        <v>31.89</v>
      </c>
      <c r="J47" s="174">
        <v>23.35</v>
      </c>
      <c r="K47" s="232">
        <v>744.63</v>
      </c>
    </row>
    <row r="48" spans="1:22" ht="14.25" x14ac:dyDescent="0.2">
      <c r="A48" s="179"/>
      <c r="B48" s="178"/>
      <c r="C48" s="178" t="s">
        <v>184</v>
      </c>
      <c r="D48" s="177"/>
      <c r="E48" s="174"/>
      <c r="F48" s="176">
        <v>3.72</v>
      </c>
      <c r="G48" s="175" t="s">
        <v>1549</v>
      </c>
      <c r="H48" s="174">
        <v>1</v>
      </c>
      <c r="I48" s="232">
        <v>4.6500000000000004</v>
      </c>
      <c r="J48" s="174">
        <v>9.61</v>
      </c>
      <c r="K48" s="232">
        <v>44.69</v>
      </c>
    </row>
    <row r="49" spans="1:22" ht="14.25" x14ac:dyDescent="0.2">
      <c r="A49" s="179"/>
      <c r="B49" s="178"/>
      <c r="C49" s="178" t="s">
        <v>189</v>
      </c>
      <c r="D49" s="177"/>
      <c r="E49" s="174"/>
      <c r="F49" s="176">
        <v>0.88</v>
      </c>
      <c r="G49" s="175" t="s">
        <v>1549</v>
      </c>
      <c r="H49" s="174">
        <v>1</v>
      </c>
      <c r="I49" s="180">
        <v>1.1000000000000001</v>
      </c>
      <c r="J49" s="174">
        <v>23.35</v>
      </c>
      <c r="K49" s="180">
        <v>25.69</v>
      </c>
    </row>
    <row r="50" spans="1:22" ht="14.25" x14ac:dyDescent="0.2">
      <c r="A50" s="179"/>
      <c r="B50" s="178"/>
      <c r="C50" s="178" t="s">
        <v>205</v>
      </c>
      <c r="D50" s="177"/>
      <c r="E50" s="174"/>
      <c r="F50" s="176">
        <v>11.48</v>
      </c>
      <c r="G50" s="175" t="s">
        <v>195</v>
      </c>
      <c r="H50" s="174">
        <v>1</v>
      </c>
      <c r="I50" s="232">
        <v>11.48</v>
      </c>
      <c r="J50" s="174">
        <v>5.42</v>
      </c>
      <c r="K50" s="232">
        <v>62.22</v>
      </c>
    </row>
    <row r="51" spans="1:22" ht="71.25" x14ac:dyDescent="0.2">
      <c r="A51" s="179" t="s">
        <v>1538</v>
      </c>
      <c r="B51" s="178" t="s">
        <v>3829</v>
      </c>
      <c r="C51" s="178" t="s">
        <v>714</v>
      </c>
      <c r="D51" s="177" t="s">
        <v>3240</v>
      </c>
      <c r="E51" s="174">
        <v>1</v>
      </c>
      <c r="F51" s="176">
        <v>2019.68</v>
      </c>
      <c r="G51" s="182" t="s">
        <v>195</v>
      </c>
      <c r="H51" s="174">
        <v>1</v>
      </c>
      <c r="I51" s="232">
        <v>2019.68</v>
      </c>
      <c r="J51" s="174">
        <v>6.32</v>
      </c>
      <c r="K51" s="232">
        <v>12764.38</v>
      </c>
      <c r="Q51" s="160">
        <f>[21]Source!X34</f>
        <v>0</v>
      </c>
      <c r="R51" s="160">
        <f>[21]Source!X35</f>
        <v>0</v>
      </c>
      <c r="S51" s="160">
        <f>[21]Source!Y34</f>
        <v>0</v>
      </c>
      <c r="T51" s="160">
        <f>[21]Source!Y35</f>
        <v>0</v>
      </c>
      <c r="U51" s="160">
        <f>ROUND((175/100)*ROUND([21]Source!R34, 2), 2)</f>
        <v>0</v>
      </c>
      <c r="V51" s="160">
        <f>ROUND((157/100)*ROUND([21]Source!R35, 2), 2)</f>
        <v>0</v>
      </c>
    </row>
    <row r="52" spans="1:22" ht="42.75" x14ac:dyDescent="0.2">
      <c r="A52" s="179" t="s">
        <v>3153</v>
      </c>
      <c r="B52" s="178" t="s">
        <v>3830</v>
      </c>
      <c r="C52" s="178" t="s">
        <v>713</v>
      </c>
      <c r="D52" s="177" t="s">
        <v>3240</v>
      </c>
      <c r="E52" s="174">
        <v>1</v>
      </c>
      <c r="F52" s="176">
        <v>15.74</v>
      </c>
      <c r="G52" s="182" t="s">
        <v>195</v>
      </c>
      <c r="H52" s="174">
        <v>1</v>
      </c>
      <c r="I52" s="232">
        <v>15.74</v>
      </c>
      <c r="J52" s="174">
        <v>3.27</v>
      </c>
      <c r="K52" s="232">
        <v>51.47</v>
      </c>
      <c r="Q52" s="160">
        <f>[21]Source!X36</f>
        <v>0</v>
      </c>
      <c r="R52" s="160">
        <f>[21]Source!X37</f>
        <v>0</v>
      </c>
      <c r="S52" s="160">
        <f>[21]Source!Y36</f>
        <v>0</v>
      </c>
      <c r="T52" s="160">
        <f>[21]Source!Y37</f>
        <v>0</v>
      </c>
      <c r="U52" s="160">
        <f>ROUND((175/100)*ROUND([21]Source!R36, 2), 2)</f>
        <v>0</v>
      </c>
      <c r="V52" s="160">
        <f>ROUND((157/100)*ROUND([21]Source!R37, 2), 2)</f>
        <v>0</v>
      </c>
    </row>
    <row r="53" spans="1:22" ht="14.25" x14ac:dyDescent="0.2">
      <c r="A53" s="179"/>
      <c r="B53" s="178"/>
      <c r="C53" s="178" t="s">
        <v>194</v>
      </c>
      <c r="D53" s="177" t="s">
        <v>187</v>
      </c>
      <c r="E53" s="174">
        <v>110</v>
      </c>
      <c r="F53" s="176"/>
      <c r="G53" s="175"/>
      <c r="H53" s="174"/>
      <c r="I53" s="232">
        <v>35.08</v>
      </c>
      <c r="J53" s="174">
        <v>88</v>
      </c>
      <c r="K53" s="232">
        <v>655.27</v>
      </c>
    </row>
    <row r="54" spans="1:22" ht="14.25" x14ac:dyDescent="0.2">
      <c r="A54" s="179"/>
      <c r="B54" s="178"/>
      <c r="C54" s="178" t="s">
        <v>193</v>
      </c>
      <c r="D54" s="177" t="s">
        <v>187</v>
      </c>
      <c r="E54" s="174">
        <v>74</v>
      </c>
      <c r="F54" s="176"/>
      <c r="G54" s="175"/>
      <c r="H54" s="174"/>
      <c r="I54" s="232">
        <v>23.6</v>
      </c>
      <c r="J54" s="174">
        <v>41</v>
      </c>
      <c r="K54" s="232">
        <v>305.3</v>
      </c>
    </row>
    <row r="55" spans="1:22" ht="14.25" x14ac:dyDescent="0.2">
      <c r="A55" s="179"/>
      <c r="B55" s="178"/>
      <c r="C55" s="178" t="s">
        <v>188</v>
      </c>
      <c r="D55" s="177" t="s">
        <v>187</v>
      </c>
      <c r="E55" s="174">
        <v>175</v>
      </c>
      <c r="F55" s="176"/>
      <c r="G55" s="175"/>
      <c r="H55" s="174"/>
      <c r="I55" s="232">
        <v>1.93</v>
      </c>
      <c r="J55" s="174">
        <v>157</v>
      </c>
      <c r="K55" s="232">
        <v>40.33</v>
      </c>
    </row>
    <row r="56" spans="1:22" ht="14.25" x14ac:dyDescent="0.2">
      <c r="A56" s="242"/>
      <c r="B56" s="241"/>
      <c r="C56" s="241" t="s">
        <v>192</v>
      </c>
      <c r="D56" s="240" t="s">
        <v>191</v>
      </c>
      <c r="E56" s="238">
        <v>2.2200000000000002</v>
      </c>
      <c r="F56" s="253"/>
      <c r="G56" s="239" t="s">
        <v>1548</v>
      </c>
      <c r="H56" s="238">
        <v>1</v>
      </c>
      <c r="I56" s="237">
        <v>2.5499999999999998</v>
      </c>
      <c r="J56" s="238"/>
      <c r="K56" s="237"/>
    </row>
    <row r="57" spans="1:22" ht="15" x14ac:dyDescent="0.25">
      <c r="A57" s="235"/>
      <c r="B57" s="235"/>
      <c r="C57" s="236" t="s">
        <v>183</v>
      </c>
      <c r="D57" s="235"/>
      <c r="E57" s="235"/>
      <c r="F57" s="235"/>
      <c r="G57" s="235"/>
      <c r="H57" s="436">
        <v>2144.0500000000002</v>
      </c>
      <c r="I57" s="436"/>
      <c r="J57" s="436">
        <v>14668.29</v>
      </c>
      <c r="K57" s="436"/>
      <c r="O57" s="163">
        <f>I47+I48+I50+I53+I54+I55+SUM(I51:I52)</f>
        <v>2144.0500000000002</v>
      </c>
      <c r="P57" s="163">
        <f>K47+K48+K50+K53+K54+K55+SUM(K51:K52)</f>
        <v>14668.29</v>
      </c>
    </row>
    <row r="59" spans="1:22" ht="52.5" x14ac:dyDescent="0.2">
      <c r="A59" s="179" t="s">
        <v>104</v>
      </c>
      <c r="B59" s="178" t="s">
        <v>712</v>
      </c>
      <c r="C59" s="178" t="s">
        <v>711</v>
      </c>
      <c r="D59" s="177" t="s">
        <v>2094</v>
      </c>
      <c r="E59" s="174">
        <v>1</v>
      </c>
      <c r="F59" s="176"/>
      <c r="G59" s="175"/>
      <c r="H59" s="174"/>
      <c r="I59" s="232"/>
      <c r="J59" s="174"/>
      <c r="K59" s="232"/>
      <c r="Q59" s="160">
        <f>[21]Source!X38</f>
        <v>12.93</v>
      </c>
      <c r="R59" s="160">
        <f>[21]Source!X39</f>
        <v>241.44</v>
      </c>
      <c r="S59" s="160">
        <f>[21]Source!Y38</f>
        <v>8.6999999999999993</v>
      </c>
      <c r="T59" s="160">
        <f>[21]Source!Y39</f>
        <v>112.49</v>
      </c>
      <c r="U59" s="160">
        <f>ROUND((175/100)*ROUND([21]Source!R38, 2), 2)</f>
        <v>0.77</v>
      </c>
      <c r="V59" s="160">
        <f>ROUND((157/100)*ROUND([21]Source!R39, 2), 2)</f>
        <v>16.12</v>
      </c>
    </row>
    <row r="60" spans="1:22" ht="14.25" x14ac:dyDescent="0.2">
      <c r="A60" s="179"/>
      <c r="B60" s="178"/>
      <c r="C60" s="178" t="s">
        <v>197</v>
      </c>
      <c r="D60" s="177"/>
      <c r="E60" s="174"/>
      <c r="F60" s="176">
        <v>10.220000000000001</v>
      </c>
      <c r="G60" s="175" t="s">
        <v>1548</v>
      </c>
      <c r="H60" s="174">
        <v>1</v>
      </c>
      <c r="I60" s="232">
        <v>11.75</v>
      </c>
      <c r="J60" s="174">
        <v>23.35</v>
      </c>
      <c r="K60" s="232">
        <v>274.36</v>
      </c>
    </row>
    <row r="61" spans="1:22" ht="14.25" x14ac:dyDescent="0.2">
      <c r="A61" s="179"/>
      <c r="B61" s="178"/>
      <c r="C61" s="178" t="s">
        <v>184</v>
      </c>
      <c r="D61" s="177"/>
      <c r="E61" s="174"/>
      <c r="F61" s="176">
        <v>1.49</v>
      </c>
      <c r="G61" s="175" t="s">
        <v>1549</v>
      </c>
      <c r="H61" s="174">
        <v>1</v>
      </c>
      <c r="I61" s="232">
        <v>1.86</v>
      </c>
      <c r="J61" s="174">
        <v>9.58</v>
      </c>
      <c r="K61" s="232">
        <v>17.82</v>
      </c>
    </row>
    <row r="62" spans="1:22" ht="14.25" x14ac:dyDescent="0.2">
      <c r="A62" s="179"/>
      <c r="B62" s="178"/>
      <c r="C62" s="178" t="s">
        <v>189</v>
      </c>
      <c r="D62" s="177"/>
      <c r="E62" s="174"/>
      <c r="F62" s="176">
        <v>0.35</v>
      </c>
      <c r="G62" s="175" t="s">
        <v>1549</v>
      </c>
      <c r="H62" s="174">
        <v>1</v>
      </c>
      <c r="I62" s="180">
        <v>0.44</v>
      </c>
      <c r="J62" s="174">
        <v>23.35</v>
      </c>
      <c r="K62" s="180">
        <v>10.27</v>
      </c>
    </row>
    <row r="63" spans="1:22" ht="14.25" x14ac:dyDescent="0.2">
      <c r="A63" s="179"/>
      <c r="B63" s="178"/>
      <c r="C63" s="178" t="s">
        <v>205</v>
      </c>
      <c r="D63" s="177"/>
      <c r="E63" s="174"/>
      <c r="F63" s="176">
        <v>5.1100000000000003</v>
      </c>
      <c r="G63" s="175" t="s">
        <v>195</v>
      </c>
      <c r="H63" s="174">
        <v>1</v>
      </c>
      <c r="I63" s="232">
        <v>5.1100000000000003</v>
      </c>
      <c r="J63" s="174">
        <v>5.42</v>
      </c>
      <c r="K63" s="232">
        <v>27.7</v>
      </c>
    </row>
    <row r="64" spans="1:22" ht="85.5" x14ac:dyDescent="0.2">
      <c r="A64" s="179" t="s">
        <v>1542</v>
      </c>
      <c r="B64" s="178" t="s">
        <v>3831</v>
      </c>
      <c r="C64" s="178" t="s">
        <v>710</v>
      </c>
      <c r="D64" s="177" t="s">
        <v>1661</v>
      </c>
      <c r="E64" s="174">
        <v>1</v>
      </c>
      <c r="F64" s="176">
        <v>465.12</v>
      </c>
      <c r="G64" s="182" t="s">
        <v>195</v>
      </c>
      <c r="H64" s="174">
        <v>1</v>
      </c>
      <c r="I64" s="232">
        <v>465.12</v>
      </c>
      <c r="J64" s="174">
        <v>8.08</v>
      </c>
      <c r="K64" s="232">
        <v>3758.17</v>
      </c>
      <c r="Q64" s="160">
        <f>[21]Source!X40</f>
        <v>0</v>
      </c>
      <c r="R64" s="160">
        <f>[21]Source!X41</f>
        <v>0</v>
      </c>
      <c r="S64" s="160">
        <f>[21]Source!Y40</f>
        <v>0</v>
      </c>
      <c r="T64" s="160">
        <f>[21]Source!Y41</f>
        <v>0</v>
      </c>
      <c r="U64" s="160">
        <f>ROUND((175/100)*ROUND([21]Source!R40, 2), 2)</f>
        <v>0</v>
      </c>
      <c r="V64" s="160">
        <f>ROUND((157/100)*ROUND([21]Source!R41, 2), 2)</f>
        <v>0</v>
      </c>
    </row>
    <row r="65" spans="1:22" ht="14.25" x14ac:dyDescent="0.2">
      <c r="A65" s="179"/>
      <c r="B65" s="178"/>
      <c r="C65" s="178" t="s">
        <v>194</v>
      </c>
      <c r="D65" s="177" t="s">
        <v>187</v>
      </c>
      <c r="E65" s="174">
        <v>110</v>
      </c>
      <c r="F65" s="176"/>
      <c r="G65" s="175"/>
      <c r="H65" s="174"/>
      <c r="I65" s="232">
        <v>12.93</v>
      </c>
      <c r="J65" s="174">
        <v>88</v>
      </c>
      <c r="K65" s="232">
        <v>241.44</v>
      </c>
    </row>
    <row r="66" spans="1:22" ht="14.25" x14ac:dyDescent="0.2">
      <c r="A66" s="179"/>
      <c r="B66" s="178"/>
      <c r="C66" s="178" t="s">
        <v>193</v>
      </c>
      <c r="D66" s="177" t="s">
        <v>187</v>
      </c>
      <c r="E66" s="174">
        <v>74</v>
      </c>
      <c r="F66" s="176"/>
      <c r="G66" s="175"/>
      <c r="H66" s="174"/>
      <c r="I66" s="232">
        <v>8.6999999999999993</v>
      </c>
      <c r="J66" s="174">
        <v>41</v>
      </c>
      <c r="K66" s="232">
        <v>112.49</v>
      </c>
    </row>
    <row r="67" spans="1:22" ht="14.25" x14ac:dyDescent="0.2">
      <c r="A67" s="179"/>
      <c r="B67" s="178"/>
      <c r="C67" s="178" t="s">
        <v>188</v>
      </c>
      <c r="D67" s="177" t="s">
        <v>187</v>
      </c>
      <c r="E67" s="174">
        <v>175</v>
      </c>
      <c r="F67" s="176"/>
      <c r="G67" s="175"/>
      <c r="H67" s="174"/>
      <c r="I67" s="232">
        <v>0.77</v>
      </c>
      <c r="J67" s="174">
        <v>157</v>
      </c>
      <c r="K67" s="232">
        <v>16.12</v>
      </c>
    </row>
    <row r="68" spans="1:22" ht="14.25" x14ac:dyDescent="0.2">
      <c r="A68" s="242"/>
      <c r="B68" s="241"/>
      <c r="C68" s="241" t="s">
        <v>192</v>
      </c>
      <c r="D68" s="240" t="s">
        <v>191</v>
      </c>
      <c r="E68" s="238">
        <v>0.81</v>
      </c>
      <c r="F68" s="253"/>
      <c r="G68" s="239" t="s">
        <v>1548</v>
      </c>
      <c r="H68" s="238">
        <v>1</v>
      </c>
      <c r="I68" s="237">
        <v>0.93</v>
      </c>
      <c r="J68" s="238"/>
      <c r="K68" s="237"/>
    </row>
    <row r="69" spans="1:22" ht="15" x14ac:dyDescent="0.25">
      <c r="A69" s="235"/>
      <c r="B69" s="235"/>
      <c r="C69" s="236" t="s">
        <v>183</v>
      </c>
      <c r="D69" s="235"/>
      <c r="E69" s="235"/>
      <c r="F69" s="235"/>
      <c r="G69" s="235"/>
      <c r="H69" s="436">
        <v>506.24</v>
      </c>
      <c r="I69" s="436"/>
      <c r="J69" s="436">
        <v>4448.1000000000004</v>
      </c>
      <c r="K69" s="436"/>
      <c r="O69" s="163">
        <f>I60+I61+I63+I65+I66+I67+SUM(I64:I64)</f>
        <v>506.24</v>
      </c>
      <c r="P69" s="163">
        <f>K60+K61+K63+K65+K66+K67+SUM(K64:K64)</f>
        <v>4448.1000000000004</v>
      </c>
    </row>
    <row r="71" spans="1:22" ht="52.5" x14ac:dyDescent="0.2">
      <c r="A71" s="179" t="s">
        <v>1546</v>
      </c>
      <c r="B71" s="178" t="s">
        <v>709</v>
      </c>
      <c r="C71" s="178" t="s">
        <v>708</v>
      </c>
      <c r="D71" s="177" t="s">
        <v>1661</v>
      </c>
      <c r="E71" s="174">
        <v>18</v>
      </c>
      <c r="F71" s="176"/>
      <c r="G71" s="175"/>
      <c r="H71" s="174"/>
      <c r="I71" s="232"/>
      <c r="J71" s="174"/>
      <c r="K71" s="232"/>
      <c r="Q71" s="160">
        <f>[21]Source!X44</f>
        <v>17.77</v>
      </c>
      <c r="R71" s="160">
        <f>[21]Source!X45</f>
        <v>332.01</v>
      </c>
      <c r="S71" s="160">
        <f>[21]Source!Y44</f>
        <v>14.64</v>
      </c>
      <c r="T71" s="160">
        <f>[21]Source!Y45</f>
        <v>200.18</v>
      </c>
      <c r="U71" s="160">
        <f>ROUND((175/100)*ROUND([21]Source!R44, 2), 2)</f>
        <v>0</v>
      </c>
      <c r="V71" s="160">
        <f>ROUND((157/100)*ROUND([21]Source!R45, 2), 2)</f>
        <v>0</v>
      </c>
    </row>
    <row r="72" spans="1:22" ht="14.25" x14ac:dyDescent="0.2">
      <c r="A72" s="179"/>
      <c r="B72" s="178"/>
      <c r="C72" s="178" t="s">
        <v>197</v>
      </c>
      <c r="D72" s="177"/>
      <c r="E72" s="174"/>
      <c r="F72" s="176">
        <v>1.01</v>
      </c>
      <c r="G72" s="175" t="s">
        <v>1548</v>
      </c>
      <c r="H72" s="174">
        <v>1</v>
      </c>
      <c r="I72" s="232">
        <v>20.91</v>
      </c>
      <c r="J72" s="174">
        <v>23.35</v>
      </c>
      <c r="K72" s="232">
        <v>488.25</v>
      </c>
    </row>
    <row r="73" spans="1:22" ht="14.25" x14ac:dyDescent="0.2">
      <c r="A73" s="179"/>
      <c r="B73" s="178"/>
      <c r="C73" s="178" t="s">
        <v>205</v>
      </c>
      <c r="D73" s="177"/>
      <c r="E73" s="174"/>
      <c r="F73" s="176">
        <v>0.17</v>
      </c>
      <c r="G73" s="175" t="s">
        <v>195</v>
      </c>
      <c r="H73" s="174">
        <v>1</v>
      </c>
      <c r="I73" s="232">
        <v>3.06</v>
      </c>
      <c r="J73" s="174">
        <v>7.82</v>
      </c>
      <c r="K73" s="232">
        <v>23.93</v>
      </c>
    </row>
    <row r="74" spans="1:22" ht="57" x14ac:dyDescent="0.2">
      <c r="A74" s="179" t="s">
        <v>1550</v>
      </c>
      <c r="B74" s="178" t="s">
        <v>3832</v>
      </c>
      <c r="C74" s="178" t="s">
        <v>707</v>
      </c>
      <c r="D74" s="177" t="s">
        <v>1661</v>
      </c>
      <c r="E74" s="174">
        <v>18</v>
      </c>
      <c r="F74" s="176">
        <v>156.96</v>
      </c>
      <c r="G74" s="182" t="s">
        <v>195</v>
      </c>
      <c r="H74" s="174">
        <v>1</v>
      </c>
      <c r="I74" s="232">
        <v>2825.28</v>
      </c>
      <c r="J74" s="174">
        <v>0.9</v>
      </c>
      <c r="K74" s="232">
        <v>2542.75</v>
      </c>
      <c r="Q74" s="160">
        <f>[21]Source!X46</f>
        <v>0</v>
      </c>
      <c r="R74" s="160">
        <f>[21]Source!X47</f>
        <v>0</v>
      </c>
      <c r="S74" s="160">
        <f>[21]Source!Y46</f>
        <v>0</v>
      </c>
      <c r="T74" s="160">
        <f>[21]Source!Y47</f>
        <v>0</v>
      </c>
      <c r="U74" s="160">
        <f>ROUND((175/100)*ROUND([21]Source!R46, 2), 2)</f>
        <v>0</v>
      </c>
      <c r="V74" s="160">
        <f>ROUND((157/100)*ROUND([21]Source!R47, 2), 2)</f>
        <v>0</v>
      </c>
    </row>
    <row r="75" spans="1:22" ht="14.25" x14ac:dyDescent="0.2">
      <c r="A75" s="179"/>
      <c r="B75" s="178"/>
      <c r="C75" s="178" t="s">
        <v>194</v>
      </c>
      <c r="D75" s="177" t="s">
        <v>187</v>
      </c>
      <c r="E75" s="174">
        <v>85</v>
      </c>
      <c r="F75" s="176"/>
      <c r="G75" s="175"/>
      <c r="H75" s="174"/>
      <c r="I75" s="232">
        <v>17.77</v>
      </c>
      <c r="J75" s="174">
        <v>68</v>
      </c>
      <c r="K75" s="232">
        <v>332.01</v>
      </c>
    </row>
    <row r="76" spans="1:22" ht="14.25" x14ac:dyDescent="0.2">
      <c r="A76" s="179"/>
      <c r="B76" s="178"/>
      <c r="C76" s="178" t="s">
        <v>193</v>
      </c>
      <c r="D76" s="177" t="s">
        <v>187</v>
      </c>
      <c r="E76" s="174">
        <v>70</v>
      </c>
      <c r="F76" s="176"/>
      <c r="G76" s="175"/>
      <c r="H76" s="174"/>
      <c r="I76" s="232">
        <v>14.64</v>
      </c>
      <c r="J76" s="174">
        <v>41</v>
      </c>
      <c r="K76" s="232">
        <v>200.18</v>
      </c>
    </row>
    <row r="77" spans="1:22" ht="14.25" x14ac:dyDescent="0.2">
      <c r="A77" s="242"/>
      <c r="B77" s="241"/>
      <c r="C77" s="241" t="s">
        <v>192</v>
      </c>
      <c r="D77" s="240" t="s">
        <v>191</v>
      </c>
      <c r="E77" s="238">
        <v>0.09</v>
      </c>
      <c r="F77" s="253"/>
      <c r="G77" s="239" t="s">
        <v>1548</v>
      </c>
      <c r="H77" s="238">
        <v>1</v>
      </c>
      <c r="I77" s="237">
        <v>1.86</v>
      </c>
      <c r="J77" s="238"/>
      <c r="K77" s="237"/>
    </row>
    <row r="78" spans="1:22" ht="15" x14ac:dyDescent="0.25">
      <c r="A78" s="235"/>
      <c r="B78" s="235"/>
      <c r="C78" s="236" t="s">
        <v>183</v>
      </c>
      <c r="D78" s="235"/>
      <c r="E78" s="235"/>
      <c r="F78" s="235"/>
      <c r="G78" s="235"/>
      <c r="H78" s="436">
        <v>2881.66</v>
      </c>
      <c r="I78" s="436"/>
      <c r="J78" s="436">
        <v>3587.12</v>
      </c>
      <c r="K78" s="436"/>
      <c r="O78" s="163">
        <f>I72+I73+I75+I76+SUM(I74:I74)</f>
        <v>2881.66</v>
      </c>
      <c r="P78" s="163">
        <f>K72+K73+K75+K76+SUM(K74:K74)</f>
        <v>3587.12</v>
      </c>
    </row>
    <row r="80" spans="1:22" ht="57" x14ac:dyDescent="0.2">
      <c r="A80" s="179" t="s">
        <v>1560</v>
      </c>
      <c r="B80" s="178" t="s">
        <v>706</v>
      </c>
      <c r="C80" s="178" t="s">
        <v>705</v>
      </c>
      <c r="D80" s="177" t="s">
        <v>1890</v>
      </c>
      <c r="E80" s="174">
        <v>8</v>
      </c>
      <c r="F80" s="176"/>
      <c r="G80" s="175"/>
      <c r="H80" s="174"/>
      <c r="I80" s="232"/>
      <c r="J80" s="174"/>
      <c r="K80" s="232"/>
      <c r="Q80" s="160">
        <f>[21]Source!X50</f>
        <v>44.88</v>
      </c>
      <c r="R80" s="160">
        <f>[21]Source!X51</f>
        <v>856.42</v>
      </c>
      <c r="S80" s="160">
        <f>[21]Source!Y50</f>
        <v>30.21</v>
      </c>
      <c r="T80" s="160">
        <f>[21]Source!Y51</f>
        <v>413.1</v>
      </c>
      <c r="U80" s="160">
        <f>ROUND((175/100)*ROUND([21]Source!R50, 2), 2)</f>
        <v>1.93</v>
      </c>
      <c r="V80" s="160">
        <f>ROUND((157/100)*ROUND([21]Source!R51, 2), 2)</f>
        <v>40.33</v>
      </c>
    </row>
    <row r="81" spans="1:22" x14ac:dyDescent="0.2">
      <c r="C81" s="181" t="s">
        <v>3833</v>
      </c>
    </row>
    <row r="82" spans="1:22" ht="14.25" x14ac:dyDescent="0.2">
      <c r="A82" s="179"/>
      <c r="B82" s="178"/>
      <c r="C82" s="178" t="s">
        <v>197</v>
      </c>
      <c r="D82" s="177"/>
      <c r="E82" s="174"/>
      <c r="F82" s="176">
        <v>4.6900000000000004</v>
      </c>
      <c r="G82" s="175" t="s">
        <v>1548</v>
      </c>
      <c r="H82" s="174">
        <v>1</v>
      </c>
      <c r="I82" s="232">
        <v>43.15</v>
      </c>
      <c r="J82" s="174">
        <v>23.35</v>
      </c>
      <c r="K82" s="232">
        <v>1007.55</v>
      </c>
    </row>
    <row r="83" spans="1:22" ht="14.25" x14ac:dyDescent="0.2">
      <c r="A83" s="179"/>
      <c r="B83" s="178"/>
      <c r="C83" s="178" t="s">
        <v>184</v>
      </c>
      <c r="D83" s="177"/>
      <c r="E83" s="174"/>
      <c r="F83" s="176">
        <v>0.6</v>
      </c>
      <c r="G83" s="175" t="s">
        <v>1549</v>
      </c>
      <c r="H83" s="174">
        <v>1</v>
      </c>
      <c r="I83" s="232">
        <v>6</v>
      </c>
      <c r="J83" s="174">
        <v>7.92</v>
      </c>
      <c r="K83" s="232">
        <v>47.52</v>
      </c>
    </row>
    <row r="84" spans="1:22" ht="14.25" x14ac:dyDescent="0.2">
      <c r="A84" s="179"/>
      <c r="B84" s="178"/>
      <c r="C84" s="178" t="s">
        <v>189</v>
      </c>
      <c r="D84" s="177"/>
      <c r="E84" s="174"/>
      <c r="F84" s="176">
        <v>0.11</v>
      </c>
      <c r="G84" s="175" t="s">
        <v>1549</v>
      </c>
      <c r="H84" s="174">
        <v>1</v>
      </c>
      <c r="I84" s="180">
        <v>1.1000000000000001</v>
      </c>
      <c r="J84" s="174">
        <v>23.35</v>
      </c>
      <c r="K84" s="180">
        <v>25.69</v>
      </c>
    </row>
    <row r="85" spans="1:22" ht="14.25" x14ac:dyDescent="0.2">
      <c r="A85" s="179"/>
      <c r="B85" s="178"/>
      <c r="C85" s="178" t="s">
        <v>205</v>
      </c>
      <c r="D85" s="177"/>
      <c r="E85" s="174"/>
      <c r="F85" s="176">
        <v>11.75</v>
      </c>
      <c r="G85" s="175" t="s">
        <v>195</v>
      </c>
      <c r="H85" s="174">
        <v>1</v>
      </c>
      <c r="I85" s="232">
        <v>94</v>
      </c>
      <c r="J85" s="174">
        <v>1.93</v>
      </c>
      <c r="K85" s="232">
        <v>181.42</v>
      </c>
    </row>
    <row r="86" spans="1:22" ht="42.75" x14ac:dyDescent="0.2">
      <c r="A86" s="179" t="s">
        <v>1562</v>
      </c>
      <c r="B86" s="178" t="s">
        <v>3834</v>
      </c>
      <c r="C86" s="178" t="s">
        <v>704</v>
      </c>
      <c r="D86" s="177" t="s">
        <v>1557</v>
      </c>
      <c r="E86" s="174">
        <v>7.2</v>
      </c>
      <c r="F86" s="176">
        <v>175.56</v>
      </c>
      <c r="G86" s="182" t="s">
        <v>195</v>
      </c>
      <c r="H86" s="174">
        <v>1</v>
      </c>
      <c r="I86" s="232">
        <v>1264.03</v>
      </c>
      <c r="J86" s="174">
        <v>7.28</v>
      </c>
      <c r="K86" s="232">
        <v>9202.14</v>
      </c>
      <c r="Q86" s="160">
        <f>[21]Source!X52</f>
        <v>0</v>
      </c>
      <c r="R86" s="160">
        <f>[21]Source!X53</f>
        <v>0</v>
      </c>
      <c r="S86" s="160">
        <f>[21]Source!Y52</f>
        <v>0</v>
      </c>
      <c r="T86" s="160">
        <f>[21]Source!Y53</f>
        <v>0</v>
      </c>
      <c r="U86" s="160">
        <f>ROUND((175/100)*ROUND([21]Source!R52, 2), 2)</f>
        <v>0</v>
      </c>
      <c r="V86" s="160">
        <f>ROUND((157/100)*ROUND([21]Source!R53, 2), 2)</f>
        <v>0</v>
      </c>
    </row>
    <row r="87" spans="1:22" ht="14.25" x14ac:dyDescent="0.2">
      <c r="A87" s="179"/>
      <c r="B87" s="178"/>
      <c r="C87" s="178" t="s">
        <v>194</v>
      </c>
      <c r="D87" s="177" t="s">
        <v>187</v>
      </c>
      <c r="E87" s="174">
        <v>104</v>
      </c>
      <c r="F87" s="176"/>
      <c r="G87" s="175"/>
      <c r="H87" s="174"/>
      <c r="I87" s="232">
        <v>44.88</v>
      </c>
      <c r="J87" s="174">
        <v>85</v>
      </c>
      <c r="K87" s="232">
        <v>856.42</v>
      </c>
    </row>
    <row r="88" spans="1:22" ht="14.25" x14ac:dyDescent="0.2">
      <c r="A88" s="179"/>
      <c r="B88" s="178"/>
      <c r="C88" s="178" t="s">
        <v>193</v>
      </c>
      <c r="D88" s="177" t="s">
        <v>187</v>
      </c>
      <c r="E88" s="174">
        <v>70</v>
      </c>
      <c r="F88" s="176"/>
      <c r="G88" s="175"/>
      <c r="H88" s="174"/>
      <c r="I88" s="232">
        <v>30.21</v>
      </c>
      <c r="J88" s="174">
        <v>41</v>
      </c>
      <c r="K88" s="232">
        <v>413.1</v>
      </c>
    </row>
    <row r="89" spans="1:22" ht="14.25" x14ac:dyDescent="0.2">
      <c r="A89" s="179"/>
      <c r="B89" s="178"/>
      <c r="C89" s="178" t="s">
        <v>188</v>
      </c>
      <c r="D89" s="177" t="s">
        <v>187</v>
      </c>
      <c r="E89" s="174">
        <v>175</v>
      </c>
      <c r="F89" s="176"/>
      <c r="G89" s="175"/>
      <c r="H89" s="174"/>
      <c r="I89" s="232">
        <v>1.93</v>
      </c>
      <c r="J89" s="174">
        <v>157</v>
      </c>
      <c r="K89" s="232">
        <v>40.33</v>
      </c>
    </row>
    <row r="90" spans="1:22" ht="14.25" x14ac:dyDescent="0.2">
      <c r="A90" s="242"/>
      <c r="B90" s="241"/>
      <c r="C90" s="241" t="s">
        <v>192</v>
      </c>
      <c r="D90" s="240" t="s">
        <v>191</v>
      </c>
      <c r="E90" s="238">
        <v>0.4</v>
      </c>
      <c r="F90" s="253"/>
      <c r="G90" s="239" t="s">
        <v>1548</v>
      </c>
      <c r="H90" s="238">
        <v>1</v>
      </c>
      <c r="I90" s="237">
        <v>3.68</v>
      </c>
      <c r="J90" s="238"/>
      <c r="K90" s="237"/>
    </row>
    <row r="91" spans="1:22" ht="15" x14ac:dyDescent="0.25">
      <c r="A91" s="235"/>
      <c r="B91" s="235"/>
      <c r="C91" s="236" t="s">
        <v>183</v>
      </c>
      <c r="D91" s="235"/>
      <c r="E91" s="235"/>
      <c r="F91" s="235"/>
      <c r="G91" s="235"/>
      <c r="H91" s="436">
        <v>1484.2</v>
      </c>
      <c r="I91" s="436"/>
      <c r="J91" s="436">
        <v>11748.48</v>
      </c>
      <c r="K91" s="436"/>
      <c r="O91" s="163">
        <f>I82+I83+I85+I87+I88+I89+SUM(I86:I86)</f>
        <v>1484.2</v>
      </c>
      <c r="P91" s="163">
        <f>K82+K83+K85+K87+K88+K89+SUM(K86:K86)</f>
        <v>11748.48</v>
      </c>
    </row>
    <row r="93" spans="1:22" ht="99.75" x14ac:dyDescent="0.2">
      <c r="A93" s="250" t="s">
        <v>1565</v>
      </c>
      <c r="B93" s="249" t="s">
        <v>3835</v>
      </c>
      <c r="C93" s="249" t="s">
        <v>700</v>
      </c>
      <c r="D93" s="248" t="s">
        <v>1661</v>
      </c>
      <c r="E93" s="246">
        <v>1</v>
      </c>
      <c r="F93" s="254">
        <v>2530.11</v>
      </c>
      <c r="G93" s="247" t="s">
        <v>195</v>
      </c>
      <c r="H93" s="246">
        <v>1</v>
      </c>
      <c r="I93" s="245">
        <v>2530.11</v>
      </c>
      <c r="J93" s="246">
        <v>1.82</v>
      </c>
      <c r="K93" s="245">
        <v>4604.8</v>
      </c>
      <c r="Q93" s="160">
        <f>[21]Source!X54</f>
        <v>0</v>
      </c>
      <c r="R93" s="160">
        <f>[21]Source!X55</f>
        <v>0</v>
      </c>
      <c r="S93" s="160">
        <f>[21]Source!Y54</f>
        <v>0</v>
      </c>
      <c r="T93" s="160">
        <f>[21]Source!Y55</f>
        <v>0</v>
      </c>
      <c r="U93" s="160">
        <f>ROUND((175/100)*ROUND([21]Source!R54, 2), 2)</f>
        <v>0</v>
      </c>
      <c r="V93" s="160">
        <f>ROUND((157/100)*ROUND([21]Source!R55, 2), 2)</f>
        <v>0</v>
      </c>
    </row>
    <row r="94" spans="1:22" ht="15" x14ac:dyDescent="0.25">
      <c r="A94" s="243"/>
      <c r="B94" s="243"/>
      <c r="C94" s="244" t="s">
        <v>183</v>
      </c>
      <c r="D94" s="243"/>
      <c r="E94" s="243"/>
      <c r="F94" s="243"/>
      <c r="G94" s="243"/>
      <c r="H94" s="437">
        <v>2530.11</v>
      </c>
      <c r="I94" s="437"/>
      <c r="J94" s="437">
        <v>4604.8</v>
      </c>
      <c r="K94" s="437"/>
      <c r="O94" s="163">
        <f>I93</f>
        <v>2530.11</v>
      </c>
      <c r="P94" s="163">
        <f>K93</f>
        <v>4604.8</v>
      </c>
    </row>
    <row r="96" spans="1:22" ht="99.75" x14ac:dyDescent="0.2">
      <c r="A96" s="250" t="s">
        <v>1572</v>
      </c>
      <c r="B96" s="249" t="s">
        <v>3836</v>
      </c>
      <c r="C96" s="249" t="s">
        <v>699</v>
      </c>
      <c r="D96" s="248" t="s">
        <v>1913</v>
      </c>
      <c r="E96" s="246">
        <v>3</v>
      </c>
      <c r="F96" s="254">
        <v>990.24</v>
      </c>
      <c r="G96" s="247" t="s">
        <v>195</v>
      </c>
      <c r="H96" s="246">
        <v>1</v>
      </c>
      <c r="I96" s="245">
        <v>2970.72</v>
      </c>
      <c r="J96" s="246">
        <v>2.37</v>
      </c>
      <c r="K96" s="245">
        <v>7040.61</v>
      </c>
      <c r="Q96" s="160">
        <f>[21]Source!X56</f>
        <v>0</v>
      </c>
      <c r="R96" s="160">
        <f>[21]Source!X57</f>
        <v>0</v>
      </c>
      <c r="S96" s="160">
        <f>[21]Source!Y56</f>
        <v>0</v>
      </c>
      <c r="T96" s="160">
        <f>[21]Source!Y57</f>
        <v>0</v>
      </c>
      <c r="U96" s="160">
        <f>ROUND((175/100)*ROUND([21]Source!R56, 2), 2)</f>
        <v>0</v>
      </c>
      <c r="V96" s="160">
        <f>ROUND((157/100)*ROUND([21]Source!R57, 2), 2)</f>
        <v>0</v>
      </c>
    </row>
    <row r="97" spans="1:22" ht="15" x14ac:dyDescent="0.25">
      <c r="A97" s="243"/>
      <c r="B97" s="243"/>
      <c r="C97" s="244" t="s">
        <v>183</v>
      </c>
      <c r="D97" s="243"/>
      <c r="E97" s="243"/>
      <c r="F97" s="243"/>
      <c r="G97" s="243"/>
      <c r="H97" s="437">
        <v>2970.72</v>
      </c>
      <c r="I97" s="437"/>
      <c r="J97" s="437">
        <v>7040.61</v>
      </c>
      <c r="K97" s="437"/>
      <c r="O97" s="163">
        <f>I96</f>
        <v>2970.72</v>
      </c>
      <c r="P97" s="163">
        <f>K96</f>
        <v>7040.61</v>
      </c>
    </row>
    <row r="100" spans="1:22" ht="15" x14ac:dyDescent="0.25">
      <c r="A100" s="417" t="s">
        <v>3837</v>
      </c>
      <c r="B100" s="417"/>
      <c r="C100" s="417"/>
      <c r="D100" s="417"/>
      <c r="E100" s="417"/>
      <c r="F100" s="417"/>
      <c r="G100" s="417"/>
      <c r="H100" s="415">
        <v>12690.26</v>
      </c>
      <c r="I100" s="416"/>
      <c r="J100" s="415">
        <v>47696.24</v>
      </c>
      <c r="K100" s="416"/>
    </row>
    <row r="101" spans="1:22" hidden="1" x14ac:dyDescent="0.2">
      <c r="A101" s="160" t="s">
        <v>182</v>
      </c>
      <c r="I101" s="160">
        <v>0</v>
      </c>
      <c r="J101" s="160">
        <v>0</v>
      </c>
    </row>
    <row r="102" spans="1:22" hidden="1" x14ac:dyDescent="0.2">
      <c r="A102" s="160" t="s">
        <v>181</v>
      </c>
      <c r="I102" s="160">
        <v>0</v>
      </c>
      <c r="J102" s="160">
        <v>0</v>
      </c>
    </row>
    <row r="104" spans="1:22" ht="16.5" x14ac:dyDescent="0.25">
      <c r="A104" s="413" t="s">
        <v>3838</v>
      </c>
      <c r="B104" s="413"/>
      <c r="C104" s="413"/>
      <c r="D104" s="413"/>
      <c r="E104" s="413"/>
      <c r="F104" s="413"/>
      <c r="G104" s="413"/>
      <c r="H104" s="413"/>
      <c r="I104" s="413"/>
      <c r="J104" s="413"/>
      <c r="K104" s="413"/>
    </row>
    <row r="105" spans="1:22" ht="114" x14ac:dyDescent="0.2">
      <c r="A105" s="250" t="s">
        <v>1578</v>
      </c>
      <c r="B105" s="249" t="s">
        <v>3839</v>
      </c>
      <c r="C105" s="249" t="s">
        <v>703</v>
      </c>
      <c r="D105" s="248" t="s">
        <v>1913</v>
      </c>
      <c r="E105" s="246">
        <v>1</v>
      </c>
      <c r="F105" s="254">
        <v>7974.05</v>
      </c>
      <c r="G105" s="247" t="s">
        <v>195</v>
      </c>
      <c r="H105" s="246">
        <v>1</v>
      </c>
      <c r="I105" s="245">
        <v>7974.05</v>
      </c>
      <c r="J105" s="246">
        <v>1.72</v>
      </c>
      <c r="K105" s="245">
        <v>13715.37</v>
      </c>
      <c r="Q105" s="160">
        <f>[21]Source!X93</f>
        <v>0</v>
      </c>
      <c r="R105" s="160">
        <f>[21]Source!X94</f>
        <v>0</v>
      </c>
      <c r="S105" s="160">
        <f>[21]Source!Y93</f>
        <v>0</v>
      </c>
      <c r="T105" s="160">
        <f>[21]Source!Y94</f>
        <v>0</v>
      </c>
      <c r="U105" s="160">
        <f>ROUND((175/100)*ROUND([21]Source!R93, 2), 2)</f>
        <v>0</v>
      </c>
      <c r="V105" s="160">
        <f>ROUND((157/100)*ROUND([21]Source!R94, 2), 2)</f>
        <v>0</v>
      </c>
    </row>
    <row r="106" spans="1:22" ht="15" x14ac:dyDescent="0.25">
      <c r="A106" s="243"/>
      <c r="B106" s="243"/>
      <c r="C106" s="244" t="s">
        <v>183</v>
      </c>
      <c r="D106" s="243"/>
      <c r="E106" s="243"/>
      <c r="F106" s="243"/>
      <c r="G106" s="243"/>
      <c r="H106" s="437">
        <v>7974.05</v>
      </c>
      <c r="I106" s="437"/>
      <c r="J106" s="437">
        <v>13715.37</v>
      </c>
      <c r="K106" s="437"/>
      <c r="O106" s="163">
        <f>I105</f>
        <v>7974.05</v>
      </c>
      <c r="P106" s="163">
        <f>K105</f>
        <v>13715.37</v>
      </c>
    </row>
    <row r="108" spans="1:22" ht="114" x14ac:dyDescent="0.2">
      <c r="A108" s="250" t="s">
        <v>1587</v>
      </c>
      <c r="B108" s="249" t="s">
        <v>3840</v>
      </c>
      <c r="C108" s="249" t="s">
        <v>701</v>
      </c>
      <c r="D108" s="248" t="s">
        <v>1913</v>
      </c>
      <c r="E108" s="246">
        <v>2</v>
      </c>
      <c r="F108" s="254">
        <v>2449.5500000000002</v>
      </c>
      <c r="G108" s="247" t="s">
        <v>195</v>
      </c>
      <c r="H108" s="246">
        <v>1</v>
      </c>
      <c r="I108" s="245">
        <v>4899.1000000000004</v>
      </c>
      <c r="J108" s="246">
        <v>2.19</v>
      </c>
      <c r="K108" s="245">
        <v>10729.03</v>
      </c>
      <c r="Q108" s="160">
        <f>[21]Source!X95</f>
        <v>0</v>
      </c>
      <c r="R108" s="160">
        <f>[21]Source!X96</f>
        <v>0</v>
      </c>
      <c r="S108" s="160">
        <f>[21]Source!Y95</f>
        <v>0</v>
      </c>
      <c r="T108" s="160">
        <f>[21]Source!Y96</f>
        <v>0</v>
      </c>
      <c r="U108" s="160">
        <f>ROUND((175/100)*ROUND([21]Source!R95, 2), 2)</f>
        <v>0</v>
      </c>
      <c r="V108" s="160">
        <f>ROUND((157/100)*ROUND([21]Source!R96, 2), 2)</f>
        <v>0</v>
      </c>
    </row>
    <row r="109" spans="1:22" ht="15" x14ac:dyDescent="0.25">
      <c r="A109" s="243"/>
      <c r="B109" s="243"/>
      <c r="C109" s="244" t="s">
        <v>183</v>
      </c>
      <c r="D109" s="243"/>
      <c r="E109" s="243"/>
      <c r="F109" s="243"/>
      <c r="G109" s="243"/>
      <c r="H109" s="437">
        <v>4899.1000000000004</v>
      </c>
      <c r="I109" s="437"/>
      <c r="J109" s="437">
        <v>10729.03</v>
      </c>
      <c r="K109" s="437"/>
      <c r="O109" s="163">
        <f>I108</f>
        <v>4899.1000000000004</v>
      </c>
      <c r="P109" s="163">
        <f>K108</f>
        <v>10729.03</v>
      </c>
    </row>
    <row r="111" spans="1:22" ht="114" x14ac:dyDescent="0.2">
      <c r="A111" s="250" t="s">
        <v>1589</v>
      </c>
      <c r="B111" s="249" t="s">
        <v>3841</v>
      </c>
      <c r="C111" s="249" t="s">
        <v>702</v>
      </c>
      <c r="D111" s="248" t="s">
        <v>1913</v>
      </c>
      <c r="E111" s="246">
        <v>1</v>
      </c>
      <c r="F111" s="254">
        <v>2960.3</v>
      </c>
      <c r="G111" s="247" t="s">
        <v>195</v>
      </c>
      <c r="H111" s="246">
        <v>1</v>
      </c>
      <c r="I111" s="245">
        <v>2960.3</v>
      </c>
      <c r="J111" s="246">
        <v>2.2200000000000002</v>
      </c>
      <c r="K111" s="245">
        <v>6571.87</v>
      </c>
      <c r="Q111" s="160">
        <f>[21]Source!X97</f>
        <v>0</v>
      </c>
      <c r="R111" s="160">
        <f>[21]Source!X98</f>
        <v>0</v>
      </c>
      <c r="S111" s="160">
        <f>[21]Source!Y97</f>
        <v>0</v>
      </c>
      <c r="T111" s="160">
        <f>[21]Source!Y98</f>
        <v>0</v>
      </c>
      <c r="U111" s="160">
        <f>ROUND((175/100)*ROUND([21]Source!R97, 2), 2)</f>
        <v>0</v>
      </c>
      <c r="V111" s="160">
        <f>ROUND((157/100)*ROUND([21]Source!R98, 2), 2)</f>
        <v>0</v>
      </c>
    </row>
    <row r="112" spans="1:22" ht="15" x14ac:dyDescent="0.25">
      <c r="A112" s="243"/>
      <c r="B112" s="243"/>
      <c r="C112" s="244" t="s">
        <v>183</v>
      </c>
      <c r="D112" s="243"/>
      <c r="E112" s="243"/>
      <c r="F112" s="243"/>
      <c r="G112" s="243"/>
      <c r="H112" s="437">
        <v>2960.3</v>
      </c>
      <c r="I112" s="437"/>
      <c r="J112" s="437">
        <v>6571.87</v>
      </c>
      <c r="K112" s="437"/>
      <c r="O112" s="163">
        <f>I111</f>
        <v>2960.3</v>
      </c>
      <c r="P112" s="163">
        <f>K111</f>
        <v>6571.87</v>
      </c>
    </row>
    <row r="114" spans="1:22" ht="114" x14ac:dyDescent="0.2">
      <c r="A114" s="250" t="s">
        <v>1599</v>
      </c>
      <c r="B114" s="249" t="s">
        <v>3840</v>
      </c>
      <c r="C114" s="249" t="s">
        <v>701</v>
      </c>
      <c r="D114" s="248" t="s">
        <v>1913</v>
      </c>
      <c r="E114" s="246">
        <v>1</v>
      </c>
      <c r="F114" s="254">
        <v>2449.5500000000002</v>
      </c>
      <c r="G114" s="247" t="s">
        <v>195</v>
      </c>
      <c r="H114" s="246">
        <v>1</v>
      </c>
      <c r="I114" s="245">
        <v>2449.5500000000002</v>
      </c>
      <c r="J114" s="246">
        <v>2.19</v>
      </c>
      <c r="K114" s="245">
        <v>5364.51</v>
      </c>
      <c r="Q114" s="160">
        <f>[21]Source!X99</f>
        <v>0</v>
      </c>
      <c r="R114" s="160">
        <f>[21]Source!X100</f>
        <v>0</v>
      </c>
      <c r="S114" s="160">
        <f>[21]Source!Y99</f>
        <v>0</v>
      </c>
      <c r="T114" s="160">
        <f>[21]Source!Y100</f>
        <v>0</v>
      </c>
      <c r="U114" s="160">
        <f>ROUND((175/100)*ROUND([21]Source!R99, 2), 2)</f>
        <v>0</v>
      </c>
      <c r="V114" s="160">
        <f>ROUND((157/100)*ROUND([21]Source!R100, 2), 2)</f>
        <v>0</v>
      </c>
    </row>
    <row r="115" spans="1:22" ht="15" x14ac:dyDescent="0.25">
      <c r="A115" s="243"/>
      <c r="B115" s="243"/>
      <c r="C115" s="244" t="s">
        <v>183</v>
      </c>
      <c r="D115" s="243"/>
      <c r="E115" s="243"/>
      <c r="F115" s="243"/>
      <c r="G115" s="243"/>
      <c r="H115" s="437">
        <v>2449.5500000000002</v>
      </c>
      <c r="I115" s="437"/>
      <c r="J115" s="437">
        <v>5364.51</v>
      </c>
      <c r="K115" s="437"/>
      <c r="O115" s="163">
        <f>I114</f>
        <v>2449.5500000000002</v>
      </c>
      <c r="P115" s="163">
        <f>K114</f>
        <v>5364.51</v>
      </c>
    </row>
    <row r="118" spans="1:22" ht="15" x14ac:dyDescent="0.25">
      <c r="A118" s="417" t="s">
        <v>3842</v>
      </c>
      <c r="B118" s="417"/>
      <c r="C118" s="417"/>
      <c r="D118" s="417"/>
      <c r="E118" s="417"/>
      <c r="F118" s="417"/>
      <c r="G118" s="417"/>
      <c r="H118" s="415">
        <v>18283</v>
      </c>
      <c r="I118" s="416"/>
      <c r="J118" s="415">
        <v>36380.78</v>
      </c>
      <c r="K118" s="416"/>
    </row>
    <row r="119" spans="1:22" hidden="1" x14ac:dyDescent="0.2">
      <c r="A119" s="160" t="s">
        <v>182</v>
      </c>
      <c r="I119" s="160">
        <v>0</v>
      </c>
      <c r="J119" s="160">
        <v>0</v>
      </c>
    </row>
    <row r="120" spans="1:22" hidden="1" x14ac:dyDescent="0.2">
      <c r="A120" s="160" t="s">
        <v>181</v>
      </c>
      <c r="I120" s="160">
        <v>0</v>
      </c>
      <c r="J120" s="160">
        <v>0</v>
      </c>
    </row>
    <row r="122" spans="1:22" ht="15" x14ac:dyDescent="0.25">
      <c r="A122" s="417" t="s">
        <v>3843</v>
      </c>
      <c r="B122" s="417"/>
      <c r="C122" s="417"/>
      <c r="D122" s="417"/>
      <c r="E122" s="417"/>
      <c r="F122" s="417"/>
      <c r="G122" s="417"/>
      <c r="H122" s="415">
        <v>30973.26</v>
      </c>
      <c r="I122" s="416"/>
      <c r="J122" s="415">
        <v>84077.02</v>
      </c>
      <c r="K122" s="416"/>
    </row>
    <row r="123" spans="1:22" hidden="1" x14ac:dyDescent="0.2">
      <c r="A123" s="160" t="s">
        <v>182</v>
      </c>
      <c r="I123" s="160">
        <v>0</v>
      </c>
      <c r="J123" s="160">
        <v>0</v>
      </c>
    </row>
    <row r="124" spans="1:22" hidden="1" x14ac:dyDescent="0.2">
      <c r="A124" s="160" t="s">
        <v>181</v>
      </c>
      <c r="I124" s="160">
        <v>0</v>
      </c>
      <c r="J124" s="160">
        <v>0</v>
      </c>
    </row>
    <row r="125" spans="1:22" ht="14.25" x14ac:dyDescent="0.2">
      <c r="C125" s="410" t="s">
        <v>1920</v>
      </c>
      <c r="D125" s="410"/>
      <c r="E125" s="410"/>
      <c r="F125" s="410"/>
      <c r="G125" s="410"/>
      <c r="H125" s="411">
        <v>30737.74</v>
      </c>
      <c r="I125" s="411"/>
      <c r="J125" s="411">
        <v>80208.27</v>
      </c>
      <c r="K125" s="411"/>
    </row>
    <row r="126" spans="1:22" ht="14.25" x14ac:dyDescent="0.2">
      <c r="C126" s="410" t="s">
        <v>1933</v>
      </c>
      <c r="D126" s="410"/>
      <c r="E126" s="410"/>
      <c r="F126" s="410"/>
      <c r="G126" s="410"/>
      <c r="H126" s="411">
        <v>30593.73</v>
      </c>
      <c r="I126" s="411"/>
      <c r="J126" s="411">
        <v>77027.72</v>
      </c>
      <c r="K126" s="411"/>
    </row>
    <row r="127" spans="1:22" ht="14.25" x14ac:dyDescent="0.2">
      <c r="C127" s="410" t="s">
        <v>1934</v>
      </c>
      <c r="D127" s="410"/>
      <c r="E127" s="410"/>
      <c r="F127" s="410"/>
      <c r="G127" s="410"/>
      <c r="H127" s="411">
        <v>6809.9</v>
      </c>
      <c r="I127" s="411"/>
      <c r="J127" s="411">
        <v>29001.53</v>
      </c>
      <c r="K127" s="411"/>
    </row>
    <row r="128" spans="1:22" ht="14.25" x14ac:dyDescent="0.2">
      <c r="C128" s="410" t="s">
        <v>1935</v>
      </c>
      <c r="D128" s="410"/>
      <c r="E128" s="410"/>
      <c r="F128" s="410"/>
      <c r="G128" s="410"/>
      <c r="H128" s="411">
        <v>23783.83</v>
      </c>
      <c r="I128" s="411"/>
      <c r="J128" s="411">
        <v>48026.19</v>
      </c>
      <c r="K128" s="411"/>
    </row>
    <row r="129" spans="1:11" ht="14.25" x14ac:dyDescent="0.2">
      <c r="C129" s="410" t="s">
        <v>1936</v>
      </c>
      <c r="D129" s="410"/>
      <c r="E129" s="410"/>
      <c r="F129" s="410"/>
      <c r="G129" s="410"/>
      <c r="H129" s="411">
        <v>12.51</v>
      </c>
      <c r="I129" s="411"/>
      <c r="J129" s="411">
        <v>110.03</v>
      </c>
      <c r="K129" s="411"/>
    </row>
    <row r="130" spans="1:11" ht="14.25" x14ac:dyDescent="0.2">
      <c r="C130" s="410" t="s">
        <v>1937</v>
      </c>
      <c r="D130" s="410"/>
      <c r="E130" s="410"/>
      <c r="F130" s="410"/>
      <c r="G130" s="410"/>
      <c r="H130" s="411">
        <v>2.64</v>
      </c>
      <c r="I130" s="411"/>
      <c r="J130" s="411">
        <v>61.65</v>
      </c>
      <c r="K130" s="411"/>
    </row>
    <row r="131" spans="1:11" ht="14.25" x14ac:dyDescent="0.2">
      <c r="C131" s="410" t="s">
        <v>1938</v>
      </c>
      <c r="D131" s="410"/>
      <c r="E131" s="410"/>
      <c r="F131" s="410"/>
      <c r="G131" s="410"/>
      <c r="H131" s="411">
        <v>131.5</v>
      </c>
      <c r="I131" s="411"/>
      <c r="J131" s="411">
        <v>3070.52</v>
      </c>
      <c r="K131" s="411"/>
    </row>
    <row r="132" spans="1:11" ht="14.25" x14ac:dyDescent="0.2">
      <c r="C132" s="410" t="s">
        <v>1939</v>
      </c>
      <c r="D132" s="410"/>
      <c r="E132" s="410"/>
      <c r="F132" s="410"/>
      <c r="G132" s="410"/>
      <c r="H132" s="411">
        <v>7016.15</v>
      </c>
      <c r="I132" s="411"/>
      <c r="J132" s="411">
        <v>34451.99</v>
      </c>
      <c r="K132" s="411"/>
    </row>
    <row r="133" spans="1:11" ht="14.25" x14ac:dyDescent="0.2">
      <c r="C133" s="410" t="s">
        <v>1940</v>
      </c>
      <c r="D133" s="410"/>
      <c r="E133" s="410"/>
      <c r="F133" s="410"/>
      <c r="G133" s="410"/>
      <c r="H133" s="411">
        <v>173.28</v>
      </c>
      <c r="I133" s="411"/>
      <c r="J133" s="411">
        <v>1598.84</v>
      </c>
      <c r="K133" s="411"/>
    </row>
    <row r="134" spans="1:11" ht="14.25" x14ac:dyDescent="0.2">
      <c r="C134" s="410" t="s">
        <v>1941</v>
      </c>
      <c r="D134" s="410"/>
      <c r="E134" s="410"/>
      <c r="F134" s="410"/>
      <c r="G134" s="410"/>
      <c r="H134" s="411">
        <v>0</v>
      </c>
      <c r="I134" s="411"/>
      <c r="J134" s="411">
        <v>0</v>
      </c>
      <c r="K134" s="411"/>
    </row>
    <row r="135" spans="1:11" ht="14.25" x14ac:dyDescent="0.2">
      <c r="C135" s="410" t="s">
        <v>1942</v>
      </c>
      <c r="D135" s="410"/>
      <c r="E135" s="410"/>
      <c r="F135" s="410"/>
      <c r="G135" s="410"/>
      <c r="H135" s="411">
        <v>137.79</v>
      </c>
      <c r="I135" s="411"/>
      <c r="J135" s="411">
        <v>2513.0500000000002</v>
      </c>
      <c r="K135" s="411"/>
    </row>
    <row r="136" spans="1:11" ht="14.25" x14ac:dyDescent="0.2">
      <c r="C136" s="410" t="s">
        <v>1943</v>
      </c>
      <c r="D136" s="410"/>
      <c r="E136" s="410"/>
      <c r="F136" s="410"/>
      <c r="G136" s="410"/>
      <c r="H136" s="411">
        <v>93.1</v>
      </c>
      <c r="I136" s="411"/>
      <c r="J136" s="411">
        <v>1258.92</v>
      </c>
      <c r="K136" s="411"/>
    </row>
    <row r="137" spans="1:11" ht="14.25" x14ac:dyDescent="0.2">
      <c r="C137" s="410" t="s">
        <v>1944</v>
      </c>
      <c r="D137" s="410"/>
      <c r="E137" s="410"/>
      <c r="F137" s="410"/>
      <c r="G137" s="410"/>
      <c r="H137" s="411">
        <v>30973.26</v>
      </c>
      <c r="I137" s="411"/>
      <c r="J137" s="411">
        <v>84077.02</v>
      </c>
      <c r="K137" s="411"/>
    </row>
    <row r="138" spans="1:11" ht="14.25" x14ac:dyDescent="0.2">
      <c r="C138" s="410" t="s">
        <v>3844</v>
      </c>
      <c r="D138" s="410"/>
      <c r="E138" s="410"/>
      <c r="F138" s="410"/>
      <c r="G138" s="410"/>
      <c r="H138" s="411">
        <v>18283</v>
      </c>
      <c r="I138" s="411"/>
      <c r="J138" s="411">
        <v>36380.78</v>
      </c>
      <c r="K138" s="411"/>
    </row>
    <row r="141" spans="1:11" ht="14.25" x14ac:dyDescent="0.2">
      <c r="A141" s="412" t="s">
        <v>180</v>
      </c>
      <c r="B141" s="412"/>
      <c r="C141" s="257" t="s">
        <v>107</v>
      </c>
      <c r="D141" s="257"/>
      <c r="E141" s="257"/>
      <c r="F141" s="257"/>
      <c r="G141" s="257"/>
      <c r="H141" s="161" t="s">
        <v>107</v>
      </c>
      <c r="I141" s="161"/>
      <c r="J141" s="161"/>
      <c r="K141" s="161"/>
    </row>
    <row r="142" spans="1:11" ht="14.25" x14ac:dyDescent="0.2">
      <c r="A142" s="161"/>
      <c r="B142" s="161"/>
      <c r="C142" s="475" t="s">
        <v>72</v>
      </c>
      <c r="D142" s="475"/>
      <c r="E142" s="475"/>
      <c r="F142" s="475"/>
      <c r="G142" s="475"/>
      <c r="H142" s="161"/>
      <c r="I142" s="161"/>
      <c r="J142" s="161"/>
      <c r="K142" s="161"/>
    </row>
    <row r="143" spans="1:11" ht="14.25" x14ac:dyDescent="0.2">
      <c r="A143" s="161"/>
      <c r="B143" s="161"/>
      <c r="C143" s="161"/>
      <c r="D143" s="161"/>
      <c r="E143" s="161"/>
      <c r="F143" s="161"/>
      <c r="G143" s="161"/>
      <c r="H143" s="161"/>
      <c r="I143" s="161"/>
      <c r="J143" s="161"/>
      <c r="K143" s="161"/>
    </row>
    <row r="144" spans="1:11" ht="14.25" x14ac:dyDescent="0.2">
      <c r="A144" s="412" t="s">
        <v>179</v>
      </c>
      <c r="B144" s="412"/>
      <c r="C144" s="257" t="s">
        <v>107</v>
      </c>
      <c r="D144" s="257"/>
      <c r="E144" s="257"/>
      <c r="F144" s="257"/>
      <c r="G144" s="257"/>
      <c r="H144" s="161" t="s">
        <v>107</v>
      </c>
      <c r="I144" s="161"/>
      <c r="J144" s="161"/>
      <c r="K144" s="161"/>
    </row>
    <row r="145" spans="1:11" ht="14.25" x14ac:dyDescent="0.2">
      <c r="A145" s="161"/>
      <c r="B145" s="161"/>
      <c r="C145" s="475" t="s">
        <v>72</v>
      </c>
      <c r="D145" s="475"/>
      <c r="E145" s="475"/>
      <c r="F145" s="475"/>
      <c r="G145" s="475"/>
      <c r="H145" s="161"/>
      <c r="I145" s="161"/>
      <c r="J145" s="161"/>
      <c r="K145" s="161"/>
    </row>
  </sheetData>
  <mergeCells count="102">
    <mergeCell ref="C145:G145"/>
    <mergeCell ref="C137:G137"/>
    <mergeCell ref="H137:I137"/>
    <mergeCell ref="H135:I135"/>
    <mergeCell ref="J135:K135"/>
    <mergeCell ref="J137:K137"/>
    <mergeCell ref="C138:G138"/>
    <mergeCell ref="H138:I138"/>
    <mergeCell ref="J138:K138"/>
    <mergeCell ref="A141:B141"/>
    <mergeCell ref="C142:G142"/>
    <mergeCell ref="A144:B144"/>
    <mergeCell ref="H127:I127"/>
    <mergeCell ref="J127:K127"/>
    <mergeCell ref="C136:G136"/>
    <mergeCell ref="H136:I136"/>
    <mergeCell ref="J136:K136"/>
    <mergeCell ref="C129:G129"/>
    <mergeCell ref="H129:I129"/>
    <mergeCell ref="J129:K129"/>
    <mergeCell ref="C130:G130"/>
    <mergeCell ref="H130:I130"/>
    <mergeCell ref="J130:K130"/>
    <mergeCell ref="C131:G131"/>
    <mergeCell ref="H131:I131"/>
    <mergeCell ref="J131:K131"/>
    <mergeCell ref="C132:G132"/>
    <mergeCell ref="H132:I132"/>
    <mergeCell ref="J132:K132"/>
    <mergeCell ref="C133:G133"/>
    <mergeCell ref="H133:I133"/>
    <mergeCell ref="J133:K133"/>
    <mergeCell ref="C134:G134"/>
    <mergeCell ref="H134:I134"/>
    <mergeCell ref="J134:K134"/>
    <mergeCell ref="C135:G135"/>
    <mergeCell ref="C128:G128"/>
    <mergeCell ref="H128:I128"/>
    <mergeCell ref="J128:K128"/>
    <mergeCell ref="J106:K106"/>
    <mergeCell ref="H106:I106"/>
    <mergeCell ref="J109:K109"/>
    <mergeCell ref="H109:I109"/>
    <mergeCell ref="J112:K112"/>
    <mergeCell ref="H112:I112"/>
    <mergeCell ref="J115:K115"/>
    <mergeCell ref="H115:I115"/>
    <mergeCell ref="J118:K118"/>
    <mergeCell ref="H118:I118"/>
    <mergeCell ref="A118:G118"/>
    <mergeCell ref="J122:K122"/>
    <mergeCell ref="H122:I122"/>
    <mergeCell ref="A122:G122"/>
    <mergeCell ref="C125:G125"/>
    <mergeCell ref="H125:I125"/>
    <mergeCell ref="J125:K125"/>
    <mergeCell ref="C126:G126"/>
    <mergeCell ref="H126:I126"/>
    <mergeCell ref="J126:K126"/>
    <mergeCell ref="C127:G127"/>
    <mergeCell ref="A100:G100"/>
    <mergeCell ref="A104:K104"/>
    <mergeCell ref="F25:H25"/>
    <mergeCell ref="F26:H26"/>
    <mergeCell ref="F27:H27"/>
    <mergeCell ref="F29:H29"/>
    <mergeCell ref="A32:K32"/>
    <mergeCell ref="A36:K36"/>
    <mergeCell ref="J44:K44"/>
    <mergeCell ref="H44:I44"/>
    <mergeCell ref="J57:K57"/>
    <mergeCell ref="H57:I57"/>
    <mergeCell ref="J69:K69"/>
    <mergeCell ref="H69:I69"/>
    <mergeCell ref="J78:K78"/>
    <mergeCell ref="H78:I78"/>
    <mergeCell ref="J91:K91"/>
    <mergeCell ref="H91:I91"/>
    <mergeCell ref="J94:K94"/>
    <mergeCell ref="H94:I94"/>
    <mergeCell ref="J97:K97"/>
    <mergeCell ref="H97:I97"/>
    <mergeCell ref="J100:K100"/>
    <mergeCell ref="H100:I100"/>
    <mergeCell ref="F22:H22"/>
    <mergeCell ref="F23:H23"/>
    <mergeCell ref="F24:H24"/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AE74"/>
  <sheetViews>
    <sheetView zoomScaleNormal="100" workbookViewId="0">
      <selection activeCell="J82" sqref="J82"/>
    </sheetView>
  </sheetViews>
  <sheetFormatPr defaultColWidth="9.140625" defaultRowHeight="12.75" x14ac:dyDescent="0.2"/>
  <cols>
    <col min="1" max="1" width="5.7109375" style="160" customWidth="1"/>
    <col min="2" max="2" width="11.7109375" style="160" customWidth="1"/>
    <col min="3" max="3" width="40.7109375" style="160" customWidth="1"/>
    <col min="4" max="6" width="11.7109375" style="160" customWidth="1"/>
    <col min="7" max="7" width="12.7109375" style="160" customWidth="1"/>
    <col min="8" max="8" width="10.7109375" style="160" customWidth="1"/>
    <col min="9" max="11" width="12.7109375" style="160" customWidth="1"/>
    <col min="12" max="14" width="9.140625" style="160"/>
    <col min="15" max="30" width="0" style="160" hidden="1" customWidth="1"/>
    <col min="31" max="31" width="150.7109375" style="160" hidden="1" customWidth="1"/>
    <col min="32" max="36" width="0" style="160" hidden="1" customWidth="1"/>
    <col min="37" max="16384" width="9.140625" style="160"/>
  </cols>
  <sheetData>
    <row r="1" spans="1:31" x14ac:dyDescent="0.2">
      <c r="A1" s="200" t="s">
        <v>1523</v>
      </c>
    </row>
    <row r="2" spans="1:31" ht="14.25" x14ac:dyDescent="0.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61" t="s">
        <v>381</v>
      </c>
    </row>
    <row r="3" spans="1:31" ht="16.5" x14ac:dyDescent="0.25">
      <c r="A3" s="199"/>
      <c r="B3" s="428" t="s">
        <v>380</v>
      </c>
      <c r="C3" s="428"/>
      <c r="D3" s="428"/>
      <c r="E3" s="428"/>
      <c r="F3" s="161"/>
      <c r="G3" s="428" t="s">
        <v>0</v>
      </c>
      <c r="H3" s="428"/>
      <c r="I3" s="428"/>
      <c r="J3" s="428"/>
      <c r="K3" s="428"/>
    </row>
    <row r="4" spans="1:31" ht="14.25" x14ac:dyDescent="0.2">
      <c r="A4" s="161"/>
      <c r="B4" s="418"/>
      <c r="C4" s="418"/>
      <c r="D4" s="418"/>
      <c r="E4" s="418"/>
      <c r="F4" s="161"/>
      <c r="G4" s="418"/>
      <c r="H4" s="418"/>
      <c r="I4" s="418"/>
      <c r="J4" s="418"/>
      <c r="K4" s="418"/>
    </row>
    <row r="5" spans="1:31" ht="14.25" x14ac:dyDescent="0.2">
      <c r="A5" s="198"/>
      <c r="B5" s="198"/>
      <c r="C5" s="197"/>
      <c r="D5" s="197"/>
      <c r="E5" s="197"/>
      <c r="F5" s="161"/>
      <c r="G5" s="187"/>
      <c r="H5" s="197"/>
      <c r="I5" s="197"/>
      <c r="J5" s="197"/>
      <c r="K5" s="187"/>
    </row>
    <row r="6" spans="1:31" ht="14.25" x14ac:dyDescent="0.2">
      <c r="A6" s="187"/>
      <c r="B6" s="418" t="s">
        <v>1524</v>
      </c>
      <c r="C6" s="418"/>
      <c r="D6" s="418"/>
      <c r="E6" s="418"/>
      <c r="F6" s="161"/>
      <c r="G6" s="418" t="s">
        <v>1524</v>
      </c>
      <c r="H6" s="418"/>
      <c r="I6" s="418"/>
      <c r="J6" s="418"/>
      <c r="K6" s="418"/>
    </row>
    <row r="7" spans="1:31" ht="14.25" x14ac:dyDescent="0.2">
      <c r="A7" s="196"/>
      <c r="B7" s="429" t="s">
        <v>379</v>
      </c>
      <c r="C7" s="429"/>
      <c r="D7" s="429"/>
      <c r="E7" s="429"/>
      <c r="F7" s="161"/>
      <c r="G7" s="429" t="s">
        <v>379</v>
      </c>
      <c r="H7" s="429"/>
      <c r="I7" s="429"/>
      <c r="J7" s="429"/>
      <c r="K7" s="429"/>
    </row>
    <row r="9" spans="1:31" ht="14.25" x14ac:dyDescent="0.2">
      <c r="A9" s="161"/>
      <c r="B9" s="161"/>
      <c r="C9" s="161"/>
      <c r="D9" s="161"/>
      <c r="E9" s="161"/>
      <c r="F9" s="161"/>
      <c r="G9" s="161"/>
      <c r="H9" s="161"/>
      <c r="I9" s="161"/>
      <c r="J9" s="161"/>
      <c r="K9" s="161"/>
    </row>
    <row r="10" spans="1:31" ht="47.25" x14ac:dyDescent="0.25">
      <c r="A10" s="422" t="s">
        <v>3850</v>
      </c>
      <c r="B10" s="422"/>
      <c r="C10" s="422"/>
      <c r="D10" s="422"/>
      <c r="E10" s="422"/>
      <c r="F10" s="422"/>
      <c r="G10" s="422"/>
      <c r="H10" s="422"/>
      <c r="I10" s="422"/>
      <c r="J10" s="422"/>
      <c r="K10" s="422"/>
      <c r="AE10" s="194" t="str">
        <f>IF([9]Source!G12&lt;&gt;"Новый объект", [9]Source!G12, "")</f>
        <v>Капитальный ремонт, реставрация и приспособление строения № 20 под размещение клинико-диагностического центра ГБУЗ «Психиатрическая клиническая больница №1 им. Н.А. Алексеева Департамента здравоохранения города Москвы» по адресу: г. Москва, Загородное шоссе д.2 строение 20.</v>
      </c>
    </row>
    <row r="11" spans="1:31" x14ac:dyDescent="0.2">
      <c r="A11" s="409" t="s">
        <v>75</v>
      </c>
      <c r="B11" s="409"/>
      <c r="C11" s="409"/>
      <c r="D11" s="409"/>
      <c r="E11" s="409"/>
      <c r="F11" s="409"/>
      <c r="G11" s="409"/>
      <c r="H11" s="409"/>
      <c r="I11" s="409"/>
      <c r="J11" s="409"/>
      <c r="K11" s="409"/>
    </row>
    <row r="12" spans="1:31" ht="14.25" x14ac:dyDescent="0.2">
      <c r="A12" s="161"/>
      <c r="B12" s="161"/>
      <c r="C12" s="161"/>
      <c r="D12" s="161"/>
      <c r="E12" s="161"/>
      <c r="F12" s="161"/>
      <c r="G12" s="161"/>
      <c r="H12" s="161"/>
      <c r="I12" s="161"/>
      <c r="J12" s="161"/>
      <c r="K12" s="161"/>
    </row>
    <row r="13" spans="1:31" ht="15.75" x14ac:dyDescent="0.25">
      <c r="A13" s="422" t="s">
        <v>3901</v>
      </c>
      <c r="B13" s="423"/>
      <c r="C13" s="423"/>
      <c r="D13" s="423"/>
      <c r="E13" s="423"/>
      <c r="F13" s="423"/>
      <c r="G13" s="423"/>
      <c r="H13" s="423"/>
      <c r="I13" s="423"/>
      <c r="J13" s="423"/>
      <c r="K13" s="423"/>
    </row>
    <row r="14" spans="1:31" ht="14.25" x14ac:dyDescent="0.2">
      <c r="A14" s="161"/>
      <c r="B14" s="161"/>
      <c r="C14" s="161"/>
      <c r="D14" s="161"/>
      <c r="E14" s="161"/>
      <c r="F14" s="161"/>
      <c r="G14" s="161"/>
      <c r="H14" s="161"/>
      <c r="I14" s="161"/>
      <c r="J14" s="161"/>
      <c r="K14" s="161"/>
    </row>
    <row r="15" spans="1:31" ht="18" x14ac:dyDescent="0.25">
      <c r="A15" s="424" t="s">
        <v>147</v>
      </c>
      <c r="B15" s="424"/>
      <c r="C15" s="424"/>
      <c r="D15" s="424"/>
      <c r="E15" s="424"/>
      <c r="F15" s="424"/>
      <c r="G15" s="424"/>
      <c r="H15" s="424"/>
      <c r="I15" s="424"/>
      <c r="J15" s="424"/>
      <c r="K15" s="424"/>
    </row>
    <row r="16" spans="1:31" x14ac:dyDescent="0.2">
      <c r="A16" s="425" t="s">
        <v>378</v>
      </c>
      <c r="B16" s="426"/>
      <c r="C16" s="426"/>
      <c r="D16" s="426"/>
      <c r="E16" s="426"/>
      <c r="F16" s="426"/>
      <c r="G16" s="426"/>
      <c r="H16" s="426"/>
      <c r="I16" s="426"/>
      <c r="J16" s="426"/>
      <c r="K16" s="426"/>
    </row>
    <row r="17" spans="1:31" ht="14.25" x14ac:dyDescent="0.2">
      <c r="A17" s="161"/>
      <c r="B17" s="161"/>
      <c r="C17" s="161"/>
      <c r="D17" s="161"/>
      <c r="E17" s="161"/>
      <c r="F17" s="161"/>
      <c r="G17" s="161"/>
      <c r="H17" s="161"/>
      <c r="I17" s="161"/>
      <c r="J17" s="161"/>
      <c r="K17" s="161"/>
    </row>
    <row r="18" spans="1:31" ht="14.25" x14ac:dyDescent="0.2">
      <c r="A18" s="421" t="s">
        <v>1946</v>
      </c>
      <c r="B18" s="421"/>
      <c r="C18" s="421"/>
      <c r="D18" s="421"/>
      <c r="E18" s="421"/>
      <c r="F18" s="421"/>
      <c r="G18" s="421"/>
      <c r="H18" s="421"/>
      <c r="I18" s="421"/>
      <c r="J18" s="421"/>
      <c r="K18" s="421"/>
    </row>
    <row r="19" spans="1:31" ht="14.25" x14ac:dyDescent="0.2">
      <c r="A19" s="193"/>
      <c r="B19" s="193"/>
      <c r="C19" s="193"/>
      <c r="D19" s="193"/>
      <c r="E19" s="193"/>
      <c r="F19" s="193"/>
      <c r="G19" s="193"/>
      <c r="H19" s="193"/>
      <c r="I19" s="193"/>
      <c r="J19" s="193"/>
      <c r="K19" s="193"/>
    </row>
    <row r="20" spans="1:31" ht="28.5" x14ac:dyDescent="0.2">
      <c r="A20" s="161"/>
      <c r="B20" s="161"/>
      <c r="C20" s="161"/>
      <c r="D20" s="161"/>
      <c r="E20" s="161"/>
      <c r="F20" s="161"/>
      <c r="G20" s="161"/>
      <c r="H20" s="161"/>
      <c r="I20" s="192" t="s">
        <v>377</v>
      </c>
      <c r="J20" s="192" t="s">
        <v>376</v>
      </c>
      <c r="K20" s="161"/>
    </row>
    <row r="21" spans="1:31" ht="15" x14ac:dyDescent="0.25">
      <c r="A21" s="161"/>
      <c r="B21" s="161"/>
      <c r="C21" s="161"/>
      <c r="D21" s="161"/>
      <c r="E21" s="161"/>
      <c r="F21" s="427" t="s">
        <v>375</v>
      </c>
      <c r="G21" s="427"/>
      <c r="H21" s="427"/>
      <c r="I21" s="191">
        <v>0</v>
      </c>
      <c r="J21" s="191">
        <v>0</v>
      </c>
      <c r="K21" s="190" t="s">
        <v>366</v>
      </c>
    </row>
    <row r="22" spans="1:31" ht="14.25" x14ac:dyDescent="0.2">
      <c r="A22" s="161"/>
      <c r="B22" s="161"/>
      <c r="C22" s="161"/>
      <c r="D22" s="161"/>
      <c r="E22" s="161"/>
      <c r="F22" s="418" t="s">
        <v>374</v>
      </c>
      <c r="G22" s="418"/>
      <c r="H22" s="418"/>
      <c r="I22" s="186">
        <v>0</v>
      </c>
      <c r="J22" s="186">
        <v>0</v>
      </c>
      <c r="K22" s="161" t="s">
        <v>366</v>
      </c>
    </row>
    <row r="23" spans="1:31" ht="14.25" x14ac:dyDescent="0.2">
      <c r="A23" s="161"/>
      <c r="B23" s="161"/>
      <c r="C23" s="161"/>
      <c r="D23" s="161"/>
      <c r="E23" s="161"/>
      <c r="F23" s="418" t="s">
        <v>373</v>
      </c>
      <c r="G23" s="418"/>
      <c r="H23" s="418"/>
      <c r="I23" s="186">
        <v>0</v>
      </c>
      <c r="J23" s="186">
        <v>0</v>
      </c>
      <c r="K23" s="161" t="s">
        <v>366</v>
      </c>
    </row>
    <row r="24" spans="1:31" ht="14.25" x14ac:dyDescent="0.2">
      <c r="A24" s="161"/>
      <c r="B24" s="161"/>
      <c r="C24" s="161"/>
      <c r="D24" s="161"/>
      <c r="E24" s="161"/>
      <c r="F24" s="418" t="s">
        <v>106</v>
      </c>
      <c r="G24" s="418"/>
      <c r="H24" s="418"/>
      <c r="I24" s="186">
        <v>0</v>
      </c>
      <c r="J24" s="186">
        <v>0</v>
      </c>
      <c r="K24" s="161" t="s">
        <v>366</v>
      </c>
    </row>
    <row r="25" spans="1:31" ht="14.25" x14ac:dyDescent="0.2">
      <c r="A25" s="161"/>
      <c r="B25" s="161"/>
      <c r="C25" s="161"/>
      <c r="D25" s="161"/>
      <c r="E25" s="161"/>
      <c r="F25" s="418" t="s">
        <v>372</v>
      </c>
      <c r="G25" s="418"/>
      <c r="H25" s="418"/>
      <c r="I25" s="186">
        <v>0</v>
      </c>
      <c r="J25" s="186">
        <v>0</v>
      </c>
      <c r="K25" s="161" t="s">
        <v>366</v>
      </c>
    </row>
    <row r="26" spans="1:31" ht="14.25" x14ac:dyDescent="0.2">
      <c r="A26" s="161"/>
      <c r="B26" s="161"/>
      <c r="C26" s="161"/>
      <c r="D26" s="161"/>
      <c r="E26" s="161"/>
      <c r="F26" s="418" t="s">
        <v>371</v>
      </c>
      <c r="G26" s="418"/>
      <c r="H26" s="418"/>
      <c r="I26" s="186">
        <v>0</v>
      </c>
      <c r="J26" s="186">
        <v>0</v>
      </c>
      <c r="K26" s="161" t="s">
        <v>366</v>
      </c>
    </row>
    <row r="27" spans="1:31" ht="14.25" x14ac:dyDescent="0.2">
      <c r="A27" s="161"/>
      <c r="B27" s="161"/>
      <c r="C27" s="161"/>
      <c r="D27" s="161"/>
      <c r="E27" s="161"/>
      <c r="F27" s="418" t="s">
        <v>370</v>
      </c>
      <c r="G27" s="418"/>
      <c r="H27" s="418"/>
      <c r="I27" s="186">
        <v>0</v>
      </c>
      <c r="J27" s="186"/>
      <c r="K27" s="161" t="s">
        <v>369</v>
      </c>
    </row>
    <row r="28" spans="1:31" ht="14.25" x14ac:dyDescent="0.2">
      <c r="A28" s="161"/>
      <c r="B28" s="161"/>
      <c r="C28" s="161"/>
      <c r="D28" s="161"/>
      <c r="E28" s="161"/>
      <c r="F28" s="188" t="s">
        <v>368</v>
      </c>
      <c r="G28" s="188"/>
      <c r="H28" s="188"/>
      <c r="I28" s="186"/>
      <c r="J28" s="186"/>
      <c r="K28" s="161"/>
    </row>
    <row r="29" spans="1:31" ht="14.25" x14ac:dyDescent="0.2">
      <c r="A29" s="161"/>
      <c r="B29" s="161"/>
      <c r="C29" s="161"/>
      <c r="D29" s="161"/>
      <c r="E29" s="161"/>
      <c r="F29" s="419" t="s">
        <v>367</v>
      </c>
      <c r="G29" s="420"/>
      <c r="H29" s="420"/>
      <c r="I29" s="186">
        <v>53.95</v>
      </c>
      <c r="J29" s="186">
        <v>268.63</v>
      </c>
      <c r="K29" s="161" t="s">
        <v>366</v>
      </c>
    </row>
    <row r="30" spans="1:31" ht="14.25" x14ac:dyDescent="0.2">
      <c r="A30" s="161"/>
      <c r="B30" s="161"/>
      <c r="C30" s="161"/>
      <c r="D30" s="161"/>
      <c r="E30" s="161"/>
      <c r="F30" s="187"/>
      <c r="G30" s="187"/>
      <c r="H30" s="187"/>
      <c r="I30" s="186"/>
      <c r="J30" s="186"/>
      <c r="K30" s="161"/>
    </row>
    <row r="31" spans="1:31" ht="14.25" x14ac:dyDescent="0.2">
      <c r="A31" s="161" t="s">
        <v>365</v>
      </c>
      <c r="B31" s="161"/>
      <c r="C31" s="161"/>
      <c r="D31" s="161"/>
      <c r="E31" s="161"/>
      <c r="F31" s="187"/>
      <c r="G31" s="187"/>
      <c r="H31" s="187"/>
      <c r="I31" s="186"/>
      <c r="J31" s="186"/>
      <c r="K31" s="161"/>
    </row>
    <row r="32" spans="1:31" ht="28.5" x14ac:dyDescent="0.2">
      <c r="A32" s="421" t="s">
        <v>364</v>
      </c>
      <c r="B32" s="421"/>
      <c r="C32" s="421"/>
      <c r="D32" s="421"/>
      <c r="E32" s="421"/>
      <c r="F32" s="421"/>
      <c r="G32" s="421"/>
      <c r="H32" s="421"/>
      <c r="I32" s="421"/>
      <c r="J32" s="421"/>
      <c r="K32" s="421"/>
      <c r="AE32" s="185" t="s">
        <v>364</v>
      </c>
    </row>
    <row r="33" spans="1:26" ht="85.5" x14ac:dyDescent="0.2">
      <c r="A33" s="183" t="s">
        <v>81</v>
      </c>
      <c r="B33" s="183" t="s">
        <v>363</v>
      </c>
      <c r="C33" s="183" t="s">
        <v>83</v>
      </c>
      <c r="D33" s="183" t="s">
        <v>362</v>
      </c>
      <c r="E33" s="183" t="s">
        <v>361</v>
      </c>
      <c r="F33" s="183" t="s">
        <v>360</v>
      </c>
      <c r="G33" s="184" t="s">
        <v>359</v>
      </c>
      <c r="H33" s="184" t="s">
        <v>358</v>
      </c>
      <c r="I33" s="183" t="s">
        <v>357</v>
      </c>
      <c r="J33" s="183" t="s">
        <v>356</v>
      </c>
      <c r="K33" s="183" t="s">
        <v>355</v>
      </c>
    </row>
    <row r="34" spans="1:26" ht="14.25" x14ac:dyDescent="0.2">
      <c r="A34" s="183">
        <v>1</v>
      </c>
      <c r="B34" s="183">
        <v>2</v>
      </c>
      <c r="C34" s="183">
        <v>3</v>
      </c>
      <c r="D34" s="183">
        <v>4</v>
      </c>
      <c r="E34" s="183">
        <v>5</v>
      </c>
      <c r="F34" s="183">
        <v>6</v>
      </c>
      <c r="G34" s="183">
        <v>7</v>
      </c>
      <c r="H34" s="183">
        <v>8</v>
      </c>
      <c r="I34" s="183">
        <v>9</v>
      </c>
      <c r="J34" s="183">
        <v>10</v>
      </c>
      <c r="K34" s="183">
        <v>11</v>
      </c>
    </row>
    <row r="35" spans="1:26" ht="57" x14ac:dyDescent="0.2">
      <c r="A35" s="179" t="s">
        <v>719</v>
      </c>
      <c r="B35" s="178" t="s">
        <v>2454</v>
      </c>
      <c r="C35" s="178" t="s">
        <v>901</v>
      </c>
      <c r="D35" s="177" t="s">
        <v>1533</v>
      </c>
      <c r="E35" s="174">
        <v>3.2515000000000001</v>
      </c>
      <c r="F35" s="176">
        <v>1853.64</v>
      </c>
      <c r="G35" s="175" t="s">
        <v>195</v>
      </c>
      <c r="H35" s="174">
        <v>1</v>
      </c>
      <c r="I35" s="173">
        <v>6027.11</v>
      </c>
      <c r="J35" s="174">
        <v>5.17</v>
      </c>
      <c r="K35" s="173">
        <v>31160.16</v>
      </c>
      <c r="Q35" s="160">
        <f>[9]Source!X903</f>
        <v>0</v>
      </c>
      <c r="R35" s="160">
        <f>[9]Source!X904</f>
        <v>0</v>
      </c>
      <c r="S35" s="160">
        <f>[9]Source!Y903</f>
        <v>0</v>
      </c>
      <c r="T35" s="160">
        <f>[9]Source!Y904</f>
        <v>0</v>
      </c>
      <c r="U35" s="160">
        <f>ROUND((175/100)*ROUND([9]Source!R903, 2), 2)</f>
        <v>0</v>
      </c>
      <c r="V35" s="160">
        <f>ROUND((157/100)*ROUND([9]Source!R904, 2), 2)</f>
        <v>0</v>
      </c>
      <c r="Y35" s="163">
        <f>I35</f>
        <v>6027.11</v>
      </c>
      <c r="Z35" s="163">
        <f>K35</f>
        <v>31160.16</v>
      </c>
    </row>
    <row r="36" spans="1:26" ht="25.5" x14ac:dyDescent="0.2">
      <c r="A36" s="229"/>
      <c r="B36" s="229"/>
      <c r="C36" s="230" t="s">
        <v>3845</v>
      </c>
      <c r="D36" s="229"/>
      <c r="E36" s="229"/>
      <c r="F36" s="229"/>
      <c r="G36" s="229"/>
      <c r="H36" s="229"/>
      <c r="I36" s="229"/>
      <c r="J36" s="229"/>
      <c r="K36" s="229"/>
    </row>
    <row r="37" spans="1:26" ht="15" x14ac:dyDescent="0.25">
      <c r="A37" s="204"/>
      <c r="B37" s="204"/>
      <c r="C37" s="205" t="s">
        <v>183</v>
      </c>
      <c r="D37" s="204"/>
      <c r="E37" s="204"/>
      <c r="F37" s="204"/>
      <c r="G37" s="204"/>
      <c r="H37" s="438">
        <v>6027.11</v>
      </c>
      <c r="I37" s="438"/>
      <c r="J37" s="438">
        <v>31160.16</v>
      </c>
      <c r="K37" s="438"/>
    </row>
    <row r="39" spans="1:26" ht="57" x14ac:dyDescent="0.2">
      <c r="A39" s="212" t="s">
        <v>1534</v>
      </c>
      <c r="B39" s="211" t="s">
        <v>2454</v>
      </c>
      <c r="C39" s="211" t="s">
        <v>900</v>
      </c>
      <c r="D39" s="210" t="s">
        <v>1533</v>
      </c>
      <c r="E39" s="207">
        <v>9.9550239999999999</v>
      </c>
      <c r="F39" s="209">
        <v>1853.64</v>
      </c>
      <c r="G39" s="208" t="s">
        <v>195</v>
      </c>
      <c r="H39" s="207">
        <v>1</v>
      </c>
      <c r="I39" s="206">
        <v>18453.03</v>
      </c>
      <c r="J39" s="207">
        <v>5.17</v>
      </c>
      <c r="K39" s="206">
        <v>95402.17</v>
      </c>
      <c r="Q39" s="160">
        <f>[9]Source!X905</f>
        <v>0</v>
      </c>
      <c r="R39" s="160">
        <f>[9]Source!X906</f>
        <v>0</v>
      </c>
      <c r="S39" s="160">
        <f>[9]Source!Y905</f>
        <v>0</v>
      </c>
      <c r="T39" s="160">
        <f>[9]Source!Y906</f>
        <v>0</v>
      </c>
      <c r="U39" s="160">
        <f>ROUND((175/100)*ROUND([9]Source!R905, 2), 2)</f>
        <v>0</v>
      </c>
      <c r="V39" s="160">
        <f>ROUND((157/100)*ROUND([9]Source!R906, 2), 2)</f>
        <v>0</v>
      </c>
      <c r="Y39" s="163">
        <f>I39</f>
        <v>18453.03</v>
      </c>
      <c r="Z39" s="163">
        <f>K39</f>
        <v>95402.17</v>
      </c>
    </row>
    <row r="40" spans="1:26" ht="15" x14ac:dyDescent="0.25">
      <c r="A40" s="204"/>
      <c r="B40" s="204"/>
      <c r="C40" s="205" t="s">
        <v>183</v>
      </c>
      <c r="D40" s="204"/>
      <c r="E40" s="204"/>
      <c r="F40" s="204"/>
      <c r="G40" s="204"/>
      <c r="H40" s="438">
        <v>18453.03</v>
      </c>
      <c r="I40" s="438"/>
      <c r="J40" s="438">
        <v>95402.17</v>
      </c>
      <c r="K40" s="438"/>
    </row>
    <row r="42" spans="1:26" ht="57" x14ac:dyDescent="0.2">
      <c r="A42" s="212" t="s">
        <v>104</v>
      </c>
      <c r="B42" s="211" t="s">
        <v>2454</v>
      </c>
      <c r="C42" s="211" t="s">
        <v>899</v>
      </c>
      <c r="D42" s="210" t="s">
        <v>1533</v>
      </c>
      <c r="E42" s="207">
        <v>9.0402199999999997</v>
      </c>
      <c r="F42" s="209">
        <v>1853.64</v>
      </c>
      <c r="G42" s="208" t="s">
        <v>195</v>
      </c>
      <c r="H42" s="207">
        <v>1</v>
      </c>
      <c r="I42" s="206">
        <v>16757.310000000001</v>
      </c>
      <c r="J42" s="207">
        <v>5.17</v>
      </c>
      <c r="K42" s="206">
        <v>86635.29</v>
      </c>
      <c r="Q42" s="160">
        <f>[9]Source!X907</f>
        <v>0</v>
      </c>
      <c r="R42" s="160">
        <f>[9]Source!X908</f>
        <v>0</v>
      </c>
      <c r="S42" s="160">
        <f>[9]Source!Y907</f>
        <v>0</v>
      </c>
      <c r="T42" s="160">
        <f>[9]Source!Y908</f>
        <v>0</v>
      </c>
      <c r="U42" s="160">
        <f>ROUND((175/100)*ROUND([9]Source!R907, 2), 2)</f>
        <v>0</v>
      </c>
      <c r="V42" s="160">
        <f>ROUND((157/100)*ROUND([9]Source!R908, 2), 2)</f>
        <v>0</v>
      </c>
      <c r="Y42" s="163">
        <f>I42</f>
        <v>16757.310000000001</v>
      </c>
      <c r="Z42" s="163">
        <f>K42</f>
        <v>86635.29</v>
      </c>
    </row>
    <row r="43" spans="1:26" ht="15" x14ac:dyDescent="0.25">
      <c r="A43" s="204"/>
      <c r="B43" s="204"/>
      <c r="C43" s="205" t="s">
        <v>183</v>
      </c>
      <c r="D43" s="204"/>
      <c r="E43" s="204"/>
      <c r="F43" s="204"/>
      <c r="G43" s="204"/>
      <c r="H43" s="438">
        <v>16757.310000000001</v>
      </c>
      <c r="I43" s="438"/>
      <c r="J43" s="438">
        <v>86635.29</v>
      </c>
      <c r="K43" s="438"/>
    </row>
    <row r="45" spans="1:26" ht="42.75" x14ac:dyDescent="0.2">
      <c r="A45" s="179" t="s">
        <v>1546</v>
      </c>
      <c r="B45" s="178" t="s">
        <v>3846</v>
      </c>
      <c r="C45" s="178" t="s">
        <v>898</v>
      </c>
      <c r="D45" s="177" t="s">
        <v>1533</v>
      </c>
      <c r="E45" s="174">
        <v>5.7830000000000004</v>
      </c>
      <c r="F45" s="176">
        <v>2198.58</v>
      </c>
      <c r="G45" s="175" t="s">
        <v>195</v>
      </c>
      <c r="H45" s="174">
        <v>1</v>
      </c>
      <c r="I45" s="173">
        <v>12714.39</v>
      </c>
      <c r="J45" s="174">
        <v>4.3600000000000003</v>
      </c>
      <c r="K45" s="173">
        <v>55434.74</v>
      </c>
      <c r="Q45" s="160">
        <f>[9]Source!X909</f>
        <v>0</v>
      </c>
      <c r="R45" s="160">
        <f>[9]Source!X910</f>
        <v>0</v>
      </c>
      <c r="S45" s="160">
        <f>[9]Source!Y909</f>
        <v>0</v>
      </c>
      <c r="T45" s="160">
        <f>[9]Source!Y910</f>
        <v>0</v>
      </c>
      <c r="U45" s="160">
        <f>ROUND((175/100)*ROUND([9]Source!R909, 2), 2)</f>
        <v>0</v>
      </c>
      <c r="V45" s="160">
        <f>ROUND((157/100)*ROUND([9]Source!R910, 2), 2)</f>
        <v>0</v>
      </c>
      <c r="Y45" s="163">
        <f>I45</f>
        <v>12714.39</v>
      </c>
      <c r="Z45" s="163">
        <f>K45</f>
        <v>55434.74</v>
      </c>
    </row>
    <row r="46" spans="1:26" x14ac:dyDescent="0.2">
      <c r="A46" s="229"/>
      <c r="B46" s="229"/>
      <c r="C46" s="230" t="s">
        <v>3847</v>
      </c>
      <c r="D46" s="229"/>
      <c r="E46" s="229"/>
      <c r="F46" s="229"/>
      <c r="G46" s="229"/>
      <c r="H46" s="229"/>
      <c r="I46" s="229"/>
      <c r="J46" s="229"/>
      <c r="K46" s="229"/>
    </row>
    <row r="47" spans="1:26" ht="15" x14ac:dyDescent="0.25">
      <c r="A47" s="204"/>
      <c r="B47" s="204"/>
      <c r="C47" s="205" t="s">
        <v>183</v>
      </c>
      <c r="D47" s="204"/>
      <c r="E47" s="204"/>
      <c r="F47" s="204"/>
      <c r="G47" s="204"/>
      <c r="H47" s="438">
        <v>12714.39</v>
      </c>
      <c r="I47" s="438"/>
      <c r="J47" s="438">
        <v>55434.74</v>
      </c>
      <c r="K47" s="438"/>
    </row>
    <row r="50" spans="1:11" ht="15" x14ac:dyDescent="0.25">
      <c r="A50" s="417" t="s">
        <v>3848</v>
      </c>
      <c r="B50" s="417"/>
      <c r="C50" s="417"/>
      <c r="D50" s="417"/>
      <c r="E50" s="417"/>
      <c r="F50" s="417"/>
      <c r="G50" s="417"/>
      <c r="H50" s="415">
        <v>0</v>
      </c>
      <c r="I50" s="416"/>
      <c r="J50" s="415">
        <v>0</v>
      </c>
      <c r="K50" s="416"/>
    </row>
    <row r="51" spans="1:11" hidden="1" x14ac:dyDescent="0.2">
      <c r="A51" s="160" t="s">
        <v>182</v>
      </c>
      <c r="I51" s="160">
        <v>0</v>
      </c>
      <c r="J51" s="160">
        <v>0</v>
      </c>
    </row>
    <row r="52" spans="1:11" ht="15" x14ac:dyDescent="0.25">
      <c r="A52" s="417" t="s">
        <v>181</v>
      </c>
      <c r="B52" s="417"/>
      <c r="C52" s="417"/>
      <c r="D52" s="417"/>
      <c r="E52" s="417"/>
      <c r="F52" s="417"/>
      <c r="G52" s="417"/>
      <c r="H52" s="415">
        <v>53951.839999999997</v>
      </c>
      <c r="I52" s="415"/>
      <c r="J52" s="415">
        <v>268632.36</v>
      </c>
      <c r="K52" s="415"/>
    </row>
    <row r="53" spans="1:11" ht="14.25" hidden="1" x14ac:dyDescent="0.2">
      <c r="C53" s="410" t="s">
        <v>1920</v>
      </c>
      <c r="D53" s="410"/>
      <c r="E53" s="410"/>
      <c r="F53" s="410"/>
      <c r="G53" s="410"/>
      <c r="H53" s="411">
        <v>0</v>
      </c>
      <c r="I53" s="411"/>
      <c r="J53" s="411">
        <v>0</v>
      </c>
      <c r="K53" s="411"/>
    </row>
    <row r="54" spans="1:11" ht="14.25" hidden="1" x14ac:dyDescent="0.2">
      <c r="C54" s="410" t="s">
        <v>1933</v>
      </c>
      <c r="D54" s="410"/>
      <c r="E54" s="410"/>
      <c r="F54" s="410"/>
      <c r="G54" s="410"/>
      <c r="H54" s="411">
        <v>0</v>
      </c>
      <c r="I54" s="411"/>
      <c r="J54" s="411">
        <v>0</v>
      </c>
      <c r="K54" s="411"/>
    </row>
    <row r="55" spans="1:11" ht="14.25" hidden="1" x14ac:dyDescent="0.2">
      <c r="C55" s="410" t="s">
        <v>1934</v>
      </c>
      <c r="D55" s="410"/>
      <c r="E55" s="410"/>
      <c r="F55" s="410"/>
      <c r="G55" s="410"/>
      <c r="H55" s="411">
        <v>0</v>
      </c>
      <c r="I55" s="411"/>
      <c r="J55" s="411">
        <v>0</v>
      </c>
      <c r="K55" s="411"/>
    </row>
    <row r="56" spans="1:11" ht="14.25" hidden="1" x14ac:dyDescent="0.2">
      <c r="C56" s="410" t="s">
        <v>1935</v>
      </c>
      <c r="D56" s="410"/>
      <c r="E56" s="410"/>
      <c r="F56" s="410"/>
      <c r="G56" s="410"/>
      <c r="H56" s="411">
        <v>0</v>
      </c>
      <c r="I56" s="411"/>
      <c r="J56" s="411">
        <v>0</v>
      </c>
      <c r="K56" s="411"/>
    </row>
    <row r="57" spans="1:11" ht="14.25" hidden="1" x14ac:dyDescent="0.2">
      <c r="C57" s="410" t="s">
        <v>1936</v>
      </c>
      <c r="D57" s="410"/>
      <c r="E57" s="410"/>
      <c r="F57" s="410"/>
      <c r="G57" s="410"/>
      <c r="H57" s="411">
        <v>0</v>
      </c>
      <c r="I57" s="411"/>
      <c r="J57" s="411">
        <v>0</v>
      </c>
      <c r="K57" s="411"/>
    </row>
    <row r="58" spans="1:11" ht="14.25" hidden="1" x14ac:dyDescent="0.2">
      <c r="C58" s="410" t="s">
        <v>1937</v>
      </c>
      <c r="D58" s="410"/>
      <c r="E58" s="410"/>
      <c r="F58" s="410"/>
      <c r="G58" s="410"/>
      <c r="H58" s="411">
        <v>0</v>
      </c>
      <c r="I58" s="411"/>
      <c r="J58" s="411">
        <v>0</v>
      </c>
      <c r="K58" s="411"/>
    </row>
    <row r="59" spans="1:11" ht="14.25" hidden="1" x14ac:dyDescent="0.2">
      <c r="C59" s="410" t="s">
        <v>1938</v>
      </c>
      <c r="D59" s="410"/>
      <c r="E59" s="410"/>
      <c r="F59" s="410"/>
      <c r="G59" s="410"/>
      <c r="H59" s="411">
        <v>0</v>
      </c>
      <c r="I59" s="411"/>
      <c r="J59" s="411">
        <v>0</v>
      </c>
      <c r="K59" s="411"/>
    </row>
    <row r="60" spans="1:11" ht="14.25" hidden="1" x14ac:dyDescent="0.2">
      <c r="C60" s="410" t="s">
        <v>1939</v>
      </c>
      <c r="D60" s="410"/>
      <c r="E60" s="410"/>
      <c r="F60" s="410"/>
      <c r="G60" s="410"/>
      <c r="H60" s="411">
        <v>0</v>
      </c>
      <c r="I60" s="411"/>
      <c r="J60" s="411">
        <v>0</v>
      </c>
      <c r="K60" s="411"/>
    </row>
    <row r="61" spans="1:11" ht="14.25" hidden="1" x14ac:dyDescent="0.2">
      <c r="C61" s="410" t="s">
        <v>1940</v>
      </c>
      <c r="D61" s="410"/>
      <c r="E61" s="410"/>
      <c r="F61" s="410"/>
      <c r="G61" s="410"/>
      <c r="H61" s="411">
        <v>0</v>
      </c>
      <c r="I61" s="411"/>
      <c r="J61" s="411">
        <v>0</v>
      </c>
      <c r="K61" s="411"/>
    </row>
    <row r="62" spans="1:11" ht="14.25" hidden="1" x14ac:dyDescent="0.2">
      <c r="C62" s="410" t="s">
        <v>1941</v>
      </c>
      <c r="D62" s="410"/>
      <c r="E62" s="410"/>
      <c r="F62" s="410"/>
      <c r="G62" s="410"/>
      <c r="H62" s="411">
        <v>0</v>
      </c>
      <c r="I62" s="411"/>
      <c r="J62" s="411">
        <v>0</v>
      </c>
      <c r="K62" s="411"/>
    </row>
    <row r="63" spans="1:11" ht="14.25" x14ac:dyDescent="0.2">
      <c r="C63" s="410" t="s">
        <v>367</v>
      </c>
      <c r="D63" s="410"/>
      <c r="E63" s="410"/>
      <c r="F63" s="410"/>
      <c r="G63" s="410"/>
      <c r="H63" s="411">
        <v>53951.839999999997</v>
      </c>
      <c r="I63" s="411"/>
      <c r="J63" s="411">
        <v>268632.36</v>
      </c>
      <c r="K63" s="411"/>
    </row>
    <row r="64" spans="1:11" ht="14.25" hidden="1" x14ac:dyDescent="0.2">
      <c r="C64" s="410" t="s">
        <v>2370</v>
      </c>
      <c r="D64" s="410"/>
      <c r="E64" s="410"/>
      <c r="F64" s="410"/>
      <c r="G64" s="410"/>
      <c r="H64" s="430">
        <v>0</v>
      </c>
      <c r="I64" s="430"/>
      <c r="J64" s="430">
        <v>0</v>
      </c>
      <c r="K64" s="430"/>
    </row>
    <row r="65" spans="1:11" ht="14.25" hidden="1" x14ac:dyDescent="0.2">
      <c r="C65" s="410" t="s">
        <v>1942</v>
      </c>
      <c r="D65" s="410"/>
      <c r="E65" s="410"/>
      <c r="F65" s="410"/>
      <c r="G65" s="410"/>
      <c r="H65" s="411">
        <v>0</v>
      </c>
      <c r="I65" s="411"/>
      <c r="J65" s="411">
        <v>0</v>
      </c>
      <c r="K65" s="411"/>
    </row>
    <row r="66" spans="1:11" ht="14.25" hidden="1" x14ac:dyDescent="0.2">
      <c r="C66" s="410" t="s">
        <v>1943</v>
      </c>
      <c r="D66" s="410"/>
      <c r="E66" s="410"/>
      <c r="F66" s="410"/>
      <c r="G66" s="410"/>
      <c r="H66" s="411">
        <v>0</v>
      </c>
      <c r="I66" s="411"/>
      <c r="J66" s="411">
        <v>0</v>
      </c>
      <c r="K66" s="411"/>
    </row>
    <row r="67" spans="1:11" ht="14.25" hidden="1" x14ac:dyDescent="0.2">
      <c r="C67" s="410" t="s">
        <v>1944</v>
      </c>
      <c r="D67" s="410"/>
      <c r="E67" s="410"/>
      <c r="F67" s="410"/>
      <c r="G67" s="410"/>
      <c r="H67" s="411">
        <v>0</v>
      </c>
      <c r="I67" s="411"/>
      <c r="J67" s="411">
        <v>0</v>
      </c>
      <c r="K67" s="411"/>
    </row>
    <row r="70" spans="1:11" ht="14.25" x14ac:dyDescent="0.2">
      <c r="A70" s="412" t="s">
        <v>180</v>
      </c>
      <c r="B70" s="412"/>
      <c r="C70" s="162" t="s">
        <v>107</v>
      </c>
      <c r="D70" s="162"/>
      <c r="E70" s="162"/>
      <c r="F70" s="162"/>
      <c r="G70" s="162"/>
      <c r="H70" s="161" t="s">
        <v>107</v>
      </c>
      <c r="I70" s="161"/>
      <c r="J70" s="161"/>
      <c r="K70" s="161"/>
    </row>
    <row r="71" spans="1:11" ht="14.25" x14ac:dyDescent="0.2">
      <c r="A71" s="161"/>
      <c r="B71" s="161"/>
      <c r="C71" s="409" t="s">
        <v>72</v>
      </c>
      <c r="D71" s="409"/>
      <c r="E71" s="409"/>
      <c r="F71" s="409"/>
      <c r="G71" s="409"/>
      <c r="H71" s="161"/>
      <c r="I71" s="161"/>
      <c r="J71" s="161"/>
      <c r="K71" s="161"/>
    </row>
    <row r="72" spans="1:11" ht="14.25" x14ac:dyDescent="0.2">
      <c r="A72" s="161"/>
      <c r="B72" s="161"/>
      <c r="C72" s="161"/>
      <c r="D72" s="161"/>
      <c r="E72" s="161"/>
      <c r="F72" s="161"/>
      <c r="G72" s="161"/>
      <c r="H72" s="161"/>
      <c r="I72" s="161"/>
      <c r="J72" s="161"/>
      <c r="K72" s="161"/>
    </row>
    <row r="73" spans="1:11" ht="14.25" x14ac:dyDescent="0.2">
      <c r="A73" s="412" t="s">
        <v>179</v>
      </c>
      <c r="B73" s="412"/>
      <c r="C73" s="162" t="s">
        <v>107</v>
      </c>
      <c r="D73" s="162"/>
      <c r="E73" s="162"/>
      <c r="F73" s="162"/>
      <c r="G73" s="162"/>
      <c r="H73" s="161" t="s">
        <v>107</v>
      </c>
      <c r="I73" s="161"/>
      <c r="J73" s="161"/>
      <c r="K73" s="161"/>
    </row>
    <row r="74" spans="1:11" ht="14.25" x14ac:dyDescent="0.2">
      <c r="A74" s="161"/>
      <c r="B74" s="161"/>
      <c r="C74" s="409" t="s">
        <v>72</v>
      </c>
      <c r="D74" s="409"/>
      <c r="E74" s="409"/>
      <c r="F74" s="409"/>
      <c r="G74" s="409"/>
      <c r="H74" s="161"/>
      <c r="I74" s="161"/>
      <c r="J74" s="161"/>
      <c r="K74" s="161"/>
    </row>
  </sheetData>
  <mergeCells count="86">
    <mergeCell ref="B3:E3"/>
    <mergeCell ref="G3:K3"/>
    <mergeCell ref="B4:E4"/>
    <mergeCell ref="G4:K4"/>
    <mergeCell ref="B6:E6"/>
    <mergeCell ref="G6:K6"/>
    <mergeCell ref="B7:E7"/>
    <mergeCell ref="G7:K7"/>
    <mergeCell ref="A10:K10"/>
    <mergeCell ref="A11:K11"/>
    <mergeCell ref="A13:K13"/>
    <mergeCell ref="A15:K15"/>
    <mergeCell ref="A16:K16"/>
    <mergeCell ref="A18:K18"/>
    <mergeCell ref="F21:H21"/>
    <mergeCell ref="F22:H22"/>
    <mergeCell ref="F23:H23"/>
    <mergeCell ref="F24:H24"/>
    <mergeCell ref="F25:H25"/>
    <mergeCell ref="F26:H26"/>
    <mergeCell ref="F27:H27"/>
    <mergeCell ref="F29:H29"/>
    <mergeCell ref="A32:K32"/>
    <mergeCell ref="J37:K37"/>
    <mergeCell ref="H37:I37"/>
    <mergeCell ref="J40:K40"/>
    <mergeCell ref="H40:I40"/>
    <mergeCell ref="J43:K43"/>
    <mergeCell ref="H43:I43"/>
    <mergeCell ref="J47:K47"/>
    <mergeCell ref="H47:I47"/>
    <mergeCell ref="J50:K50"/>
    <mergeCell ref="H50:I50"/>
    <mergeCell ref="A50:G50"/>
    <mergeCell ref="J52:K52"/>
    <mergeCell ref="H52:I52"/>
    <mergeCell ref="A52:G52"/>
    <mergeCell ref="C53:G53"/>
    <mergeCell ref="H53:I53"/>
    <mergeCell ref="J53:K53"/>
    <mergeCell ref="C54:G54"/>
    <mergeCell ref="H54:I54"/>
    <mergeCell ref="J54:K54"/>
    <mergeCell ref="C55:G55"/>
    <mergeCell ref="H55:I55"/>
    <mergeCell ref="J55:K55"/>
    <mergeCell ref="C56:G56"/>
    <mergeCell ref="H56:I56"/>
    <mergeCell ref="J56:K56"/>
    <mergeCell ref="C57:G57"/>
    <mergeCell ref="H57:I57"/>
    <mergeCell ref="J57:K57"/>
    <mergeCell ref="C58:G58"/>
    <mergeCell ref="H58:I58"/>
    <mergeCell ref="J58:K58"/>
    <mergeCell ref="C59:G59"/>
    <mergeCell ref="H59:I59"/>
    <mergeCell ref="J59:K59"/>
    <mergeCell ref="C60:G60"/>
    <mergeCell ref="H60:I60"/>
    <mergeCell ref="J60:K60"/>
    <mergeCell ref="C61:G61"/>
    <mergeCell ref="H61:I61"/>
    <mergeCell ref="J61:K61"/>
    <mergeCell ref="C62:G62"/>
    <mergeCell ref="H62:I62"/>
    <mergeCell ref="J62:K62"/>
    <mergeCell ref="C63:G63"/>
    <mergeCell ref="H63:I63"/>
    <mergeCell ref="J63:K63"/>
    <mergeCell ref="C64:G64"/>
    <mergeCell ref="H64:I64"/>
    <mergeCell ref="J64:K64"/>
    <mergeCell ref="C65:G65"/>
    <mergeCell ref="H65:I65"/>
    <mergeCell ref="J65:K65"/>
    <mergeCell ref="J66:K66"/>
    <mergeCell ref="C74:G74"/>
    <mergeCell ref="C67:G67"/>
    <mergeCell ref="H67:I67"/>
    <mergeCell ref="J67:K67"/>
    <mergeCell ref="A70:B70"/>
    <mergeCell ref="C71:G71"/>
    <mergeCell ref="A73:B73"/>
    <mergeCell ref="C66:G66"/>
    <mergeCell ref="H66:I66"/>
  </mergeCells>
  <pageMargins left="0.4" right="0.2" top="0.2" bottom="0.4" header="0.2" footer="0.2"/>
  <pageSetup paperSize="9" scale="64" fitToHeight="0" orientation="portrait" horizontalDpi="1200" verticalDpi="1200" r:id="rId1"/>
  <headerFooter>
    <oddHeader>&amp;L&amp;8</oddHeader>
    <oddFooter>&amp;R&amp;P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60"/>
  <sheetViews>
    <sheetView view="pageBreakPreview" zoomScale="60" zoomScaleNormal="100" workbookViewId="0">
      <selection activeCell="A19" sqref="A19:K19"/>
    </sheetView>
  </sheetViews>
  <sheetFormatPr defaultRowHeight="15" x14ac:dyDescent="0.25"/>
  <cols>
    <col min="1" max="1" width="5.7109375" style="101" customWidth="1"/>
    <col min="2" max="2" width="15.85546875" style="101" customWidth="1"/>
    <col min="3" max="3" width="40.7109375" style="101" customWidth="1"/>
    <col min="4" max="4" width="17.140625" style="101" customWidth="1"/>
    <col min="5" max="8" width="15.7109375" style="101" customWidth="1"/>
    <col min="9" max="9" width="19" style="138" customWidth="1"/>
    <col min="10" max="11" width="12.7109375" style="101" customWidth="1"/>
    <col min="13" max="13" width="12.28515625" customWidth="1"/>
    <col min="31" max="34" width="0" hidden="1" customWidth="1"/>
  </cols>
  <sheetData>
    <row r="1" spans="1:11" x14ac:dyDescent="0.25">
      <c r="A1" s="480" t="str">
        <f>[22]SourceObSm!B1</f>
        <v>Smeta.RU  (495) 974-1589</v>
      </c>
      <c r="B1" s="480"/>
      <c r="C1" s="480"/>
      <c r="D1" s="480"/>
    </row>
    <row r="2" spans="1:11" x14ac:dyDescent="0.25">
      <c r="A2" s="102"/>
      <c r="B2" s="102"/>
      <c r="C2" s="102"/>
      <c r="D2" s="102"/>
      <c r="E2" s="102"/>
      <c r="F2" s="102"/>
      <c r="G2" s="102"/>
      <c r="H2" s="102"/>
      <c r="I2" s="139"/>
      <c r="J2" s="103"/>
      <c r="K2" s="104" t="s">
        <v>74</v>
      </c>
    </row>
    <row r="3" spans="1:11" x14ac:dyDescent="0.25">
      <c r="A3" s="105"/>
      <c r="B3" s="103"/>
      <c r="C3" s="103"/>
      <c r="D3" s="103"/>
      <c r="E3" s="103"/>
      <c r="F3" s="103"/>
      <c r="G3" s="103"/>
      <c r="H3" s="103"/>
      <c r="I3" s="140"/>
      <c r="J3" s="103"/>
      <c r="K3" s="103"/>
    </row>
    <row r="4" spans="1:11" ht="72.75" customHeight="1" x14ac:dyDescent="0.25">
      <c r="A4" s="481" t="s">
        <v>166</v>
      </c>
      <c r="B4" s="481"/>
      <c r="C4" s="481"/>
      <c r="D4" s="481"/>
      <c r="E4" s="481"/>
      <c r="F4" s="481"/>
      <c r="G4" s="481"/>
      <c r="H4" s="481"/>
      <c r="I4" s="481"/>
      <c r="J4" s="481"/>
      <c r="K4" s="481"/>
    </row>
    <row r="5" spans="1:11" x14ac:dyDescent="0.25">
      <c r="A5" s="482" t="s">
        <v>75</v>
      </c>
      <c r="B5" s="482"/>
      <c r="C5" s="482"/>
      <c r="D5" s="482"/>
      <c r="E5" s="482"/>
      <c r="F5" s="482"/>
      <c r="G5" s="482"/>
      <c r="H5" s="482"/>
      <c r="I5" s="482"/>
      <c r="J5" s="482"/>
      <c r="K5" s="482"/>
    </row>
    <row r="6" spans="1:11" x14ac:dyDescent="0.25">
      <c r="A6" s="105"/>
      <c r="B6" s="103"/>
      <c r="C6" s="103"/>
      <c r="D6" s="103"/>
      <c r="E6" s="103"/>
      <c r="F6" s="103"/>
      <c r="G6" s="103"/>
      <c r="H6" s="103"/>
      <c r="I6" s="140"/>
      <c r="J6" s="103"/>
      <c r="K6" s="103"/>
    </row>
    <row r="7" spans="1:11" ht="15.75" x14ac:dyDescent="0.25">
      <c r="A7" s="483" t="s">
        <v>92</v>
      </c>
      <c r="B7" s="483"/>
      <c r="C7" s="483"/>
      <c r="D7" s="483"/>
      <c r="E7" s="483"/>
      <c r="F7" s="483"/>
      <c r="G7" s="483"/>
      <c r="H7" s="483"/>
      <c r="I7" s="483"/>
      <c r="J7" s="483"/>
      <c r="K7" s="483"/>
    </row>
    <row r="8" spans="1:11" x14ac:dyDescent="0.25">
      <c r="A8" s="106"/>
      <c r="B8" s="106"/>
      <c r="C8" s="106"/>
      <c r="D8" s="106"/>
      <c r="E8" s="106"/>
      <c r="F8" s="106"/>
      <c r="G8" s="106"/>
      <c r="H8" s="106"/>
      <c r="I8" s="141"/>
      <c r="J8" s="106"/>
      <c r="K8" s="106"/>
    </row>
    <row r="9" spans="1:11" ht="52.5" customHeight="1" x14ac:dyDescent="0.25">
      <c r="A9" s="484" t="s">
        <v>166</v>
      </c>
      <c r="B9" s="484"/>
      <c r="C9" s="484"/>
      <c r="D9" s="484"/>
      <c r="E9" s="484"/>
      <c r="F9" s="484"/>
      <c r="G9" s="484"/>
      <c r="H9" s="484"/>
      <c r="I9" s="484"/>
      <c r="J9" s="484"/>
      <c r="K9" s="484"/>
    </row>
    <row r="10" spans="1:11" x14ac:dyDescent="0.25">
      <c r="A10" s="479" t="s">
        <v>76</v>
      </c>
      <c r="B10" s="479"/>
      <c r="C10" s="479"/>
      <c r="D10" s="479"/>
      <c r="E10" s="479"/>
      <c r="F10" s="479"/>
      <c r="G10" s="479"/>
      <c r="H10" s="479"/>
      <c r="I10" s="479"/>
      <c r="J10" s="479"/>
      <c r="K10" s="479"/>
    </row>
    <row r="11" spans="1:11" x14ac:dyDescent="0.25">
      <c r="A11" s="107"/>
      <c r="B11" s="107"/>
      <c r="C11" s="107"/>
      <c r="D11" s="107"/>
      <c r="E11" s="107"/>
      <c r="F11" s="107"/>
      <c r="G11" s="107"/>
      <c r="H11" s="107"/>
      <c r="I11" s="142"/>
      <c r="J11" s="107"/>
      <c r="K11" s="107"/>
    </row>
    <row r="12" spans="1:11" x14ac:dyDescent="0.25">
      <c r="A12" s="105"/>
      <c r="B12" s="103"/>
      <c r="C12" s="103"/>
      <c r="D12" s="103"/>
      <c r="E12" s="103"/>
      <c r="F12" s="103"/>
      <c r="G12" s="103"/>
      <c r="H12" s="103"/>
      <c r="I12" s="140"/>
      <c r="J12" s="103"/>
      <c r="K12" s="103"/>
    </row>
    <row r="13" spans="1:11" x14ac:dyDescent="0.25">
      <c r="A13" s="485" t="s">
        <v>77</v>
      </c>
      <c r="B13" s="485"/>
      <c r="C13" s="485"/>
      <c r="D13" s="108">
        <f>H46</f>
        <v>28546.81</v>
      </c>
      <c r="E13" s="109" t="s">
        <v>78</v>
      </c>
      <c r="F13" s="110"/>
      <c r="G13" s="103"/>
      <c r="H13" s="103"/>
      <c r="I13" s="140"/>
      <c r="J13" s="103"/>
      <c r="K13" s="103"/>
    </row>
    <row r="14" spans="1:11" x14ac:dyDescent="0.25">
      <c r="A14" s="111"/>
      <c r="B14" s="112"/>
      <c r="C14" s="112"/>
      <c r="D14" s="113"/>
      <c r="E14" s="109"/>
      <c r="F14" s="94"/>
      <c r="G14" s="103"/>
      <c r="H14" s="103"/>
      <c r="I14" s="140"/>
      <c r="J14" s="103"/>
      <c r="K14" s="103"/>
    </row>
    <row r="15" spans="1:11" x14ac:dyDescent="0.25">
      <c r="A15" s="485" t="s">
        <v>79</v>
      </c>
      <c r="B15" s="485"/>
      <c r="C15" s="485"/>
      <c r="D15" s="108">
        <f>J46</f>
        <v>1755.78</v>
      </c>
      <c r="E15" s="109" t="s">
        <v>78</v>
      </c>
      <c r="F15" s="110"/>
      <c r="G15" s="103"/>
      <c r="H15" s="103"/>
      <c r="I15" s="140"/>
      <c r="J15" s="103"/>
      <c r="K15" s="103"/>
    </row>
    <row r="16" spans="1:11" x14ac:dyDescent="0.25">
      <c r="A16" s="105"/>
      <c r="B16" s="103"/>
      <c r="C16" s="103"/>
      <c r="D16" s="113"/>
      <c r="E16" s="109"/>
      <c r="F16" s="103"/>
      <c r="G16" s="103"/>
      <c r="H16" s="103"/>
      <c r="I16" s="140"/>
      <c r="J16" s="103"/>
      <c r="K16" s="103"/>
    </row>
    <row r="17" spans="1:13" x14ac:dyDescent="0.25">
      <c r="A17" s="485" t="s">
        <v>80</v>
      </c>
      <c r="B17" s="485"/>
      <c r="C17" s="485"/>
      <c r="D17" s="114">
        <f>[22]SourceObSm!I12</f>
        <v>0</v>
      </c>
      <c r="E17" s="115">
        <f>[22]SourceObSm!H12</f>
        <v>0</v>
      </c>
      <c r="F17" s="116"/>
      <c r="G17" s="103"/>
      <c r="H17" s="103"/>
      <c r="I17" s="140"/>
      <c r="J17" s="103"/>
      <c r="K17" s="103"/>
    </row>
    <row r="18" spans="1:13" x14ac:dyDescent="0.25">
      <c r="A18" s="105"/>
      <c r="B18" s="103"/>
      <c r="C18" s="103"/>
      <c r="D18" s="103"/>
      <c r="E18" s="103"/>
      <c r="F18" s="103"/>
      <c r="G18" s="103"/>
      <c r="H18" s="103"/>
      <c r="I18" s="140"/>
      <c r="J18" s="103"/>
      <c r="K18" s="103"/>
    </row>
    <row r="19" spans="1:13" x14ac:dyDescent="0.25">
      <c r="A19" s="485" t="s">
        <v>155</v>
      </c>
      <c r="B19" s="485"/>
      <c r="C19" s="485"/>
      <c r="D19" s="485"/>
      <c r="E19" s="485"/>
      <c r="F19" s="485"/>
      <c r="G19" s="485"/>
      <c r="H19" s="485"/>
      <c r="I19" s="485"/>
      <c r="J19" s="485"/>
      <c r="K19" s="485"/>
    </row>
    <row r="20" spans="1:13" ht="15.75" thickBot="1" x14ac:dyDescent="0.3">
      <c r="A20" s="103"/>
      <c r="B20" s="103"/>
      <c r="C20" s="103"/>
      <c r="D20" s="103"/>
      <c r="E20" s="103"/>
      <c r="F20" s="103"/>
      <c r="G20" s="103"/>
      <c r="H20" s="103"/>
      <c r="I20" s="140"/>
      <c r="J20" s="103"/>
      <c r="K20" s="103" t="s">
        <v>78</v>
      </c>
    </row>
    <row r="21" spans="1:13" s="122" customFormat="1" ht="15" customHeight="1" x14ac:dyDescent="0.25">
      <c r="A21" s="486" t="s">
        <v>81</v>
      </c>
      <c r="B21" s="488" t="s">
        <v>82</v>
      </c>
      <c r="C21" s="488" t="s">
        <v>83</v>
      </c>
      <c r="D21" s="492" t="s">
        <v>77</v>
      </c>
      <c r="E21" s="492"/>
      <c r="F21" s="492"/>
      <c r="G21" s="492"/>
      <c r="H21" s="492"/>
      <c r="I21" s="492"/>
      <c r="J21" s="488" t="s">
        <v>84</v>
      </c>
      <c r="K21" s="490" t="s">
        <v>85</v>
      </c>
    </row>
    <row r="22" spans="1:13" s="122" customFormat="1" ht="57.75" thickBot="1" x14ac:dyDescent="0.3">
      <c r="A22" s="487"/>
      <c r="B22" s="489"/>
      <c r="C22" s="489"/>
      <c r="D22" s="123" t="s">
        <v>86</v>
      </c>
      <c r="E22" s="123" t="s">
        <v>87</v>
      </c>
      <c r="F22" s="123" t="s">
        <v>88</v>
      </c>
      <c r="G22" s="123" t="s">
        <v>89</v>
      </c>
      <c r="H22" s="123" t="s">
        <v>90</v>
      </c>
      <c r="I22" s="136" t="s">
        <v>135</v>
      </c>
      <c r="J22" s="489"/>
      <c r="K22" s="491"/>
    </row>
    <row r="23" spans="1:13" x14ac:dyDescent="0.25">
      <c r="A23" s="121">
        <v>1</v>
      </c>
      <c r="B23" s="121">
        <v>2</v>
      </c>
      <c r="C23" s="121">
        <v>3</v>
      </c>
      <c r="D23" s="121">
        <v>4</v>
      </c>
      <c r="E23" s="121">
        <v>5</v>
      </c>
      <c r="F23" s="121">
        <v>6</v>
      </c>
      <c r="G23" s="121">
        <v>7</v>
      </c>
      <c r="H23" s="121">
        <v>8</v>
      </c>
      <c r="I23" s="137"/>
      <c r="J23" s="121">
        <v>9</v>
      </c>
      <c r="K23" s="121">
        <v>10</v>
      </c>
    </row>
    <row r="24" spans="1:13" s="128" customFormat="1" ht="30" customHeight="1" x14ac:dyDescent="0.25">
      <c r="A24" s="124">
        <v>1</v>
      </c>
      <c r="B24" s="125" t="str">
        <f>[23]SourceObSm!C16</f>
        <v>02-01-01</v>
      </c>
      <c r="C24" s="125" t="s">
        <v>108</v>
      </c>
      <c r="D24" s="126">
        <v>918.35</v>
      </c>
      <c r="E24" s="126"/>
      <c r="F24" s="126"/>
      <c r="G24" s="126">
        <v>9.91</v>
      </c>
      <c r="H24" s="126">
        <f>SUM(D24:G24)</f>
        <v>928.26</v>
      </c>
      <c r="I24" s="148">
        <v>384.66</v>
      </c>
      <c r="J24" s="126">
        <v>193.18</v>
      </c>
      <c r="K24" s="127"/>
    </row>
    <row r="25" spans="1:13" s="128" customFormat="1" ht="30" customHeight="1" x14ac:dyDescent="0.25">
      <c r="A25" s="124">
        <f>A24+1</f>
        <v>2</v>
      </c>
      <c r="B25" s="129" t="s">
        <v>93</v>
      </c>
      <c r="C25" s="125" t="s">
        <v>109</v>
      </c>
      <c r="D25" s="126">
        <v>1838.34</v>
      </c>
      <c r="E25" s="126"/>
      <c r="F25" s="126"/>
      <c r="G25" s="126">
        <v>21.99</v>
      </c>
      <c r="H25" s="126">
        <f t="shared" ref="H25:H45" si="0">SUM(D25:G25)</f>
        <v>1860.33</v>
      </c>
      <c r="I25" s="148">
        <v>1086.3800000000001</v>
      </c>
      <c r="J25" s="126">
        <v>263.86</v>
      </c>
      <c r="K25" s="127"/>
    </row>
    <row r="26" spans="1:13" s="135" customFormat="1" ht="30" customHeight="1" x14ac:dyDescent="0.25">
      <c r="A26" s="130">
        <f t="shared" ref="A26:A45" si="1">A25+1</f>
        <v>3</v>
      </c>
      <c r="B26" s="131" t="s">
        <v>94</v>
      </c>
      <c r="C26" s="132" t="s">
        <v>110</v>
      </c>
      <c r="D26" s="133">
        <v>797.35</v>
      </c>
      <c r="E26" s="133"/>
      <c r="F26" s="133"/>
      <c r="G26" s="133">
        <v>0.51</v>
      </c>
      <c r="H26" s="126">
        <f t="shared" si="0"/>
        <v>797.86</v>
      </c>
      <c r="I26" s="148">
        <v>700.78</v>
      </c>
      <c r="J26" s="133">
        <v>35.450000000000003</v>
      </c>
      <c r="K26" s="134"/>
    </row>
    <row r="27" spans="1:13" s="135" customFormat="1" ht="30" customHeight="1" x14ac:dyDescent="0.25">
      <c r="A27" s="130">
        <f t="shared" si="1"/>
        <v>4</v>
      </c>
      <c r="B27" s="131" t="s">
        <v>95</v>
      </c>
      <c r="C27" s="132" t="s">
        <v>111</v>
      </c>
      <c r="D27" s="133">
        <v>79.33</v>
      </c>
      <c r="E27" s="133"/>
      <c r="F27" s="133"/>
      <c r="G27" s="133"/>
      <c r="H27" s="126">
        <f t="shared" si="0"/>
        <v>79.33</v>
      </c>
      <c r="I27" s="148">
        <v>69.37</v>
      </c>
      <c r="J27" s="133">
        <v>3.48</v>
      </c>
      <c r="K27" s="134"/>
    </row>
    <row r="28" spans="1:13" s="135" customFormat="1" ht="30" customHeight="1" x14ac:dyDescent="0.25">
      <c r="A28" s="130">
        <f t="shared" si="1"/>
        <v>5</v>
      </c>
      <c r="B28" s="131" t="s">
        <v>114</v>
      </c>
      <c r="C28" s="132" t="s">
        <v>112</v>
      </c>
      <c r="D28" s="133">
        <v>1042.3800000000001</v>
      </c>
      <c r="E28" s="133">
        <v>9.68</v>
      </c>
      <c r="F28" s="133">
        <v>1038.26</v>
      </c>
      <c r="G28" s="133">
        <v>21.36</v>
      </c>
      <c r="H28" s="126">
        <f t="shared" si="0"/>
        <v>2111.6799999999998</v>
      </c>
      <c r="I28" s="148">
        <v>881.47</v>
      </c>
      <c r="J28" s="133">
        <v>66.06</v>
      </c>
      <c r="K28" s="133" t="str">
        <f>IF(H28="-","-",IF([22]SourceObSm!I12=0,"-",H28/[22]SourceObSm!I12))</f>
        <v>-</v>
      </c>
    </row>
    <row r="29" spans="1:13" s="135" customFormat="1" ht="30" customHeight="1" x14ac:dyDescent="0.25">
      <c r="A29" s="130">
        <f t="shared" si="1"/>
        <v>6</v>
      </c>
      <c r="B29" s="131" t="s">
        <v>115</v>
      </c>
      <c r="C29" s="132" t="s">
        <v>113</v>
      </c>
      <c r="D29" s="133">
        <v>131.32</v>
      </c>
      <c r="E29" s="133">
        <v>90.35</v>
      </c>
      <c r="F29" s="133">
        <v>894.02</v>
      </c>
      <c r="G29" s="133">
        <v>12.47</v>
      </c>
      <c r="H29" s="126">
        <f t="shared" si="0"/>
        <v>1128.1600000000001</v>
      </c>
      <c r="I29" s="148">
        <v>127.67</v>
      </c>
      <c r="J29" s="133">
        <v>40.42</v>
      </c>
      <c r="K29" s="133" t="str">
        <f>IF(H29="-","-",IF([22]SourceObSm!I12=0,"-",H29/[22]SourceObSm!I12))</f>
        <v>-</v>
      </c>
    </row>
    <row r="30" spans="1:13" s="135" customFormat="1" ht="30" customHeight="1" x14ac:dyDescent="0.25">
      <c r="A30" s="130">
        <f t="shared" si="1"/>
        <v>7</v>
      </c>
      <c r="B30" s="131" t="s">
        <v>116</v>
      </c>
      <c r="C30" s="132" t="s">
        <v>122</v>
      </c>
      <c r="D30" s="133">
        <v>375.76</v>
      </c>
      <c r="E30" s="133">
        <v>2.08</v>
      </c>
      <c r="F30" s="133">
        <v>219.38</v>
      </c>
      <c r="G30" s="133">
        <v>12.94</v>
      </c>
      <c r="H30" s="126">
        <f t="shared" si="0"/>
        <v>610.16</v>
      </c>
      <c r="I30" s="148">
        <v>313.66000000000003</v>
      </c>
      <c r="J30" s="133">
        <v>26.71</v>
      </c>
      <c r="K30" s="133" t="str">
        <f>IF(H30="-","-",IF([22]SourceObSm!I12=0,"-",H30/[22]SourceObSm!I12))</f>
        <v>-</v>
      </c>
      <c r="M30" s="153"/>
    </row>
    <row r="31" spans="1:13" s="135" customFormat="1" ht="56.25" x14ac:dyDescent="0.25">
      <c r="A31" s="130">
        <f t="shared" si="1"/>
        <v>8</v>
      </c>
      <c r="B31" s="131" t="s">
        <v>117</v>
      </c>
      <c r="C31" s="132" t="s">
        <v>123</v>
      </c>
      <c r="D31" s="133">
        <v>8.16</v>
      </c>
      <c r="E31" s="133">
        <v>241.32</v>
      </c>
      <c r="F31" s="149">
        <v>117.99</v>
      </c>
      <c r="G31" s="133">
        <v>6.38</v>
      </c>
      <c r="H31" s="126">
        <f t="shared" si="0"/>
        <v>373.85</v>
      </c>
      <c r="I31" s="148">
        <v>197.47</v>
      </c>
      <c r="J31" s="133">
        <v>20.55</v>
      </c>
      <c r="K31" s="133" t="str">
        <f>IF(H31="-","-",IF([22]SourceObSm!I12=0,"-",H31/[22]SourceObSm!I12))</f>
        <v>-</v>
      </c>
    </row>
    <row r="32" spans="1:13" s="135" customFormat="1" ht="30.75" customHeight="1" x14ac:dyDescent="0.25">
      <c r="A32" s="130">
        <f t="shared" si="1"/>
        <v>9</v>
      </c>
      <c r="B32" s="131" t="s">
        <v>118</v>
      </c>
      <c r="C32" s="132" t="s">
        <v>124</v>
      </c>
      <c r="D32" s="133"/>
      <c r="E32" s="133">
        <v>13.95</v>
      </c>
      <c r="F32" s="133">
        <v>180.64</v>
      </c>
      <c r="G32" s="133">
        <v>2.13</v>
      </c>
      <c r="H32" s="126">
        <f t="shared" si="0"/>
        <v>196.72</v>
      </c>
      <c r="I32" s="148">
        <v>4.75</v>
      </c>
      <c r="J32" s="133">
        <v>4.07</v>
      </c>
      <c r="K32" s="133" t="str">
        <f>IF(H32="-","-",IF([22]SourceObSm!I12=0,"-",H32/[22]SourceObSm!I12))</f>
        <v>-</v>
      </c>
    </row>
    <row r="33" spans="1:12" s="135" customFormat="1" ht="27.75" customHeight="1" x14ac:dyDescent="0.25">
      <c r="A33" s="130">
        <f t="shared" si="1"/>
        <v>10</v>
      </c>
      <c r="B33" s="131" t="s">
        <v>119</v>
      </c>
      <c r="C33" s="132" t="s">
        <v>125</v>
      </c>
      <c r="D33" s="133"/>
      <c r="E33" s="133">
        <v>12.08</v>
      </c>
      <c r="F33" s="133">
        <v>36.68</v>
      </c>
      <c r="G33" s="133">
        <v>2.13</v>
      </c>
      <c r="H33" s="126">
        <f t="shared" si="0"/>
        <v>50.89</v>
      </c>
      <c r="I33" s="148">
        <v>7.32</v>
      </c>
      <c r="J33" s="133">
        <v>2.52</v>
      </c>
      <c r="K33" s="133" t="str">
        <f>IF(H33="-","-",IF([22]SourceObSm!I12=0,"-",H33/[22]SourceObSm!I12))</f>
        <v>-</v>
      </c>
    </row>
    <row r="34" spans="1:12" s="135" customFormat="1" ht="37.5" x14ac:dyDescent="0.25">
      <c r="A34" s="130">
        <f t="shared" si="1"/>
        <v>11</v>
      </c>
      <c r="B34" s="131" t="s">
        <v>120</v>
      </c>
      <c r="C34" s="132" t="s">
        <v>126</v>
      </c>
      <c r="D34" s="133">
        <v>0.08</v>
      </c>
      <c r="E34" s="133">
        <v>44.44</v>
      </c>
      <c r="F34" s="133">
        <v>138.87</v>
      </c>
      <c r="G34" s="133">
        <v>2.13</v>
      </c>
      <c r="H34" s="126">
        <f t="shared" si="0"/>
        <v>185.52</v>
      </c>
      <c r="I34" s="148">
        <v>24.04</v>
      </c>
      <c r="J34" s="133">
        <v>7.95</v>
      </c>
      <c r="K34" s="133" t="str">
        <f>IF(H34="-","-",IF([22]SourceObSm!I12=0,"-",H34/[22]SourceObSm!I12))</f>
        <v>-</v>
      </c>
      <c r="L34" s="153"/>
    </row>
    <row r="35" spans="1:12" s="135" customFormat="1" ht="30.75" customHeight="1" x14ac:dyDescent="0.25">
      <c r="A35" s="130">
        <f t="shared" si="1"/>
        <v>12</v>
      </c>
      <c r="B35" s="131" t="s">
        <v>121</v>
      </c>
      <c r="C35" s="132" t="s">
        <v>127</v>
      </c>
      <c r="D35" s="133">
        <v>0.35</v>
      </c>
      <c r="E35" s="133">
        <v>22.79</v>
      </c>
      <c r="F35" s="133">
        <v>44.78</v>
      </c>
      <c r="G35" s="133">
        <v>0.52</v>
      </c>
      <c r="H35" s="126">
        <f t="shared" si="0"/>
        <v>68.44</v>
      </c>
      <c r="I35" s="148">
        <v>13.64</v>
      </c>
      <c r="J35" s="133">
        <v>3.08</v>
      </c>
      <c r="K35" s="133" t="str">
        <f>IF(H35="-","-",IF([22]SourceObSm!I12=0,"-",H35/[22]SourceObSm!I12))</f>
        <v>-</v>
      </c>
    </row>
    <row r="36" spans="1:12" s="135" customFormat="1" ht="93.75" x14ac:dyDescent="0.25">
      <c r="A36" s="130">
        <f t="shared" si="1"/>
        <v>13</v>
      </c>
      <c r="B36" s="131" t="s">
        <v>97</v>
      </c>
      <c r="C36" s="132" t="s">
        <v>128</v>
      </c>
      <c r="D36" s="133">
        <v>0</v>
      </c>
      <c r="E36" s="133">
        <v>230.7</v>
      </c>
      <c r="F36" s="133">
        <v>64.88</v>
      </c>
      <c r="G36" s="133">
        <v>2.2000000000000002</v>
      </c>
      <c r="H36" s="126">
        <f t="shared" si="0"/>
        <v>297.77999999999997</v>
      </c>
      <c r="I36" s="148">
        <v>152.07</v>
      </c>
      <c r="J36" s="133">
        <v>28.23</v>
      </c>
      <c r="K36" s="133"/>
    </row>
    <row r="37" spans="1:12" s="135" customFormat="1" ht="56.25" x14ac:dyDescent="0.25">
      <c r="A37" s="130">
        <f t="shared" si="1"/>
        <v>14</v>
      </c>
      <c r="B37" s="131" t="s">
        <v>98</v>
      </c>
      <c r="C37" s="132" t="s">
        <v>129</v>
      </c>
      <c r="D37" s="133">
        <v>0</v>
      </c>
      <c r="E37" s="133">
        <v>121.43</v>
      </c>
      <c r="F37" s="133">
        <v>113.59</v>
      </c>
      <c r="G37" s="133">
        <v>0.89</v>
      </c>
      <c r="H37" s="126">
        <f t="shared" si="0"/>
        <v>235.91</v>
      </c>
      <c r="I37" s="148">
        <v>264.47000000000003</v>
      </c>
      <c r="J37" s="133">
        <v>20.62</v>
      </c>
      <c r="K37" s="133"/>
    </row>
    <row r="38" spans="1:12" s="135" customFormat="1" ht="25.5" customHeight="1" x14ac:dyDescent="0.25">
      <c r="A38" s="130">
        <f t="shared" si="1"/>
        <v>15</v>
      </c>
      <c r="B38" s="131" t="s">
        <v>99</v>
      </c>
      <c r="C38" s="132" t="s">
        <v>102</v>
      </c>
      <c r="D38" s="133"/>
      <c r="E38" s="133">
        <v>92.18</v>
      </c>
      <c r="F38" s="133">
        <v>15</v>
      </c>
      <c r="G38" s="133">
        <v>7.72</v>
      </c>
      <c r="H38" s="126">
        <f t="shared" si="0"/>
        <v>114.9</v>
      </c>
      <c r="I38" s="148">
        <v>52.05</v>
      </c>
      <c r="J38" s="133">
        <v>16.09</v>
      </c>
      <c r="K38" s="133"/>
    </row>
    <row r="39" spans="1:12" s="135" customFormat="1" ht="23.25" customHeight="1" x14ac:dyDescent="0.25">
      <c r="A39" s="130">
        <f t="shared" si="1"/>
        <v>16</v>
      </c>
      <c r="B39" s="131" t="s">
        <v>100</v>
      </c>
      <c r="C39" s="132" t="s">
        <v>132</v>
      </c>
      <c r="D39" s="133">
        <v>142.29</v>
      </c>
      <c r="E39" s="133">
        <v>0.05</v>
      </c>
      <c r="F39" s="133">
        <v>1.63</v>
      </c>
      <c r="G39" s="133">
        <v>0.08</v>
      </c>
      <c r="H39" s="126">
        <f t="shared" si="0"/>
        <v>144.05000000000001</v>
      </c>
      <c r="I39" s="148">
        <v>117.71</v>
      </c>
      <c r="J39" s="133">
        <v>8.49</v>
      </c>
      <c r="K39" s="133"/>
    </row>
    <row r="40" spans="1:12" s="135" customFormat="1" ht="24.75" customHeight="1" x14ac:dyDescent="0.25">
      <c r="A40" s="130">
        <f t="shared" si="1"/>
        <v>17</v>
      </c>
      <c r="B40" s="131" t="s">
        <v>101</v>
      </c>
      <c r="C40" s="132" t="s">
        <v>133</v>
      </c>
      <c r="D40" s="133">
        <v>337.63</v>
      </c>
      <c r="E40" s="133"/>
      <c r="F40" s="133"/>
      <c r="G40" s="133">
        <v>7.0000000000000007E-2</v>
      </c>
      <c r="H40" s="126">
        <f t="shared" si="0"/>
        <v>337.7</v>
      </c>
      <c r="I40" s="148">
        <v>312.82</v>
      </c>
      <c r="J40" s="133">
        <v>8.36</v>
      </c>
      <c r="K40" s="133"/>
    </row>
    <row r="41" spans="1:12" s="135" customFormat="1" ht="25.5" customHeight="1" x14ac:dyDescent="0.25">
      <c r="A41" s="130">
        <f t="shared" si="1"/>
        <v>18</v>
      </c>
      <c r="B41" s="131" t="s">
        <v>130</v>
      </c>
      <c r="C41" s="132" t="s">
        <v>134</v>
      </c>
      <c r="D41" s="133">
        <v>8.7200000000000006</v>
      </c>
      <c r="E41" s="133">
        <v>1348.06</v>
      </c>
      <c r="F41" s="133">
        <v>22.58</v>
      </c>
      <c r="G41" s="133">
        <v>13.57</v>
      </c>
      <c r="H41" s="126">
        <f t="shared" si="0"/>
        <v>1392.93</v>
      </c>
      <c r="I41" s="148">
        <v>1137.2</v>
      </c>
      <c r="J41" s="133">
        <v>75.38</v>
      </c>
      <c r="K41" s="133"/>
    </row>
    <row r="42" spans="1:12" s="135" customFormat="1" ht="37.5" x14ac:dyDescent="0.25">
      <c r="A42" s="130">
        <f t="shared" si="1"/>
        <v>19</v>
      </c>
      <c r="B42" s="131" t="s">
        <v>142</v>
      </c>
      <c r="C42" s="132" t="s">
        <v>144</v>
      </c>
      <c r="D42" s="133">
        <v>3297.88</v>
      </c>
      <c r="E42" s="133"/>
      <c r="F42" s="133"/>
      <c r="G42" s="133">
        <v>56.52</v>
      </c>
      <c r="H42" s="126">
        <f t="shared" si="0"/>
        <v>3354.4</v>
      </c>
      <c r="I42" s="148">
        <v>2395.1799999999998</v>
      </c>
      <c r="J42" s="133">
        <v>333.8</v>
      </c>
      <c r="K42" s="133"/>
    </row>
    <row r="43" spans="1:12" s="135" customFormat="1" ht="37.5" x14ac:dyDescent="0.25">
      <c r="A43" s="130">
        <f t="shared" si="1"/>
        <v>20</v>
      </c>
      <c r="B43" s="131" t="s">
        <v>143</v>
      </c>
      <c r="C43" s="132" t="s">
        <v>145</v>
      </c>
      <c r="D43" s="133">
        <v>11726.97</v>
      </c>
      <c r="E43" s="133"/>
      <c r="F43" s="133"/>
      <c r="G43" s="133"/>
      <c r="H43" s="126">
        <f t="shared" si="0"/>
        <v>11726.97</v>
      </c>
      <c r="I43" s="148">
        <v>10397.67</v>
      </c>
      <c r="J43" s="133">
        <v>460.29</v>
      </c>
      <c r="K43" s="133"/>
    </row>
    <row r="44" spans="1:12" s="135" customFormat="1" ht="18.75" x14ac:dyDescent="0.25">
      <c r="A44" s="130">
        <f t="shared" si="1"/>
        <v>21</v>
      </c>
      <c r="B44" s="131" t="s">
        <v>131</v>
      </c>
      <c r="C44" s="132" t="s">
        <v>136</v>
      </c>
      <c r="D44" s="133">
        <v>2485.27</v>
      </c>
      <c r="E44" s="133">
        <v>32.56</v>
      </c>
      <c r="F44" s="133"/>
      <c r="G44" s="133"/>
      <c r="H44" s="126">
        <f t="shared" si="0"/>
        <v>2517.83</v>
      </c>
      <c r="I44" s="148">
        <v>2124.4899999999998</v>
      </c>
      <c r="J44" s="133">
        <v>134.19</v>
      </c>
      <c r="K44" s="133"/>
    </row>
    <row r="45" spans="1:12" s="135" customFormat="1" ht="18.75" x14ac:dyDescent="0.25">
      <c r="A45" s="130">
        <f t="shared" si="1"/>
        <v>22</v>
      </c>
      <c r="B45" s="131" t="s">
        <v>139</v>
      </c>
      <c r="C45" s="132" t="s">
        <v>140</v>
      </c>
      <c r="D45" s="133">
        <v>0</v>
      </c>
      <c r="E45" s="133">
        <v>19.239999999999998</v>
      </c>
      <c r="F45" s="133">
        <v>11.77</v>
      </c>
      <c r="G45" s="133">
        <v>2.13</v>
      </c>
      <c r="H45" s="126">
        <f t="shared" si="0"/>
        <v>33.14</v>
      </c>
      <c r="I45" s="148">
        <v>12.79</v>
      </c>
      <c r="J45" s="133">
        <v>3</v>
      </c>
      <c r="K45" s="133"/>
      <c r="L45" s="153"/>
    </row>
    <row r="46" spans="1:12" ht="18.75" x14ac:dyDescent="0.3">
      <c r="A46" s="117"/>
      <c r="B46" s="118"/>
      <c r="C46" s="118" t="s">
        <v>91</v>
      </c>
      <c r="D46" s="119">
        <f>SUM(D24:D45)</f>
        <v>23190.18</v>
      </c>
      <c r="E46" s="119">
        <f t="shared" ref="E46:J46" si="2">SUM(E24:E45)</f>
        <v>2280.91</v>
      </c>
      <c r="F46" s="119">
        <f t="shared" si="2"/>
        <v>2900.07</v>
      </c>
      <c r="G46" s="119">
        <f t="shared" si="2"/>
        <v>175.65</v>
      </c>
      <c r="H46" s="119">
        <f t="shared" si="2"/>
        <v>28546.81</v>
      </c>
      <c r="I46" s="119">
        <f t="shared" si="2"/>
        <v>20777.66</v>
      </c>
      <c r="J46" s="119">
        <f t="shared" si="2"/>
        <v>1755.78</v>
      </c>
      <c r="K46" s="119"/>
    </row>
    <row r="47" spans="1:12" ht="18.75" x14ac:dyDescent="0.25">
      <c r="A47" s="150">
        <f>A45+1</f>
        <v>23</v>
      </c>
      <c r="B47" s="151" t="s">
        <v>146</v>
      </c>
      <c r="C47" s="152" t="s">
        <v>147</v>
      </c>
      <c r="D47" s="146">
        <v>62.66</v>
      </c>
      <c r="E47" s="146"/>
      <c r="F47" s="146"/>
      <c r="G47" s="146"/>
      <c r="H47" s="146"/>
      <c r="I47" s="147"/>
      <c r="J47" s="146"/>
      <c r="K47" s="146"/>
    </row>
    <row r="50" spans="1:11" x14ac:dyDescent="0.25">
      <c r="A50" s="91" t="s">
        <v>67</v>
      </c>
      <c r="B50" s="91"/>
      <c r="C50" s="91"/>
      <c r="D50" s="92"/>
      <c r="E50" s="92"/>
      <c r="F50" s="92"/>
      <c r="G50" s="92">
        <f>IF([22]SourceObSm!X12&lt;&gt;"",[22]SourceObSm!X12,"")</f>
        <v>0</v>
      </c>
      <c r="H50" s="92"/>
      <c r="I50" s="143"/>
      <c r="J50" s="91"/>
      <c r="K50" s="91"/>
    </row>
    <row r="51" spans="1:11" x14ac:dyDescent="0.25">
      <c r="A51" s="386" t="s">
        <v>68</v>
      </c>
      <c r="B51" s="386"/>
      <c r="C51" s="386"/>
      <c r="D51" s="386"/>
      <c r="E51" s="386"/>
      <c r="F51" s="386"/>
      <c r="G51" s="386"/>
      <c r="H51" s="386"/>
      <c r="I51" s="386"/>
      <c r="J51" s="386"/>
      <c r="K51" s="386"/>
    </row>
    <row r="52" spans="1:11" x14ac:dyDescent="0.25">
      <c r="A52" s="100"/>
      <c r="B52" s="100"/>
      <c r="C52" s="100"/>
      <c r="D52" s="100"/>
      <c r="E52" s="100"/>
      <c r="F52" s="100"/>
      <c r="G52" s="100"/>
      <c r="H52" s="100"/>
      <c r="I52" s="144"/>
      <c r="J52" s="103"/>
      <c r="K52" s="103"/>
    </row>
    <row r="53" spans="1:11" x14ac:dyDescent="0.25">
      <c r="A53" s="91" t="s">
        <v>69</v>
      </c>
      <c r="B53" s="91"/>
      <c r="C53" s="91">
        <f>IF([22]SourceObSm!AA12&lt;&gt;"",[22]SourceObSm!AA12,"")</f>
        <v>0</v>
      </c>
      <c r="D53" s="92"/>
      <c r="E53" s="92"/>
      <c r="F53" s="92"/>
      <c r="G53" s="92">
        <f>IF([22]SourceObSm!Y12&lt;&gt;"",[22]SourceObSm!Y12,"")</f>
        <v>0</v>
      </c>
      <c r="H53" s="92"/>
      <c r="I53" s="143"/>
      <c r="J53" s="91"/>
      <c r="K53" s="91"/>
    </row>
    <row r="54" spans="1:11" x14ac:dyDescent="0.25">
      <c r="A54" s="386" t="s">
        <v>70</v>
      </c>
      <c r="B54" s="386"/>
      <c r="C54" s="386"/>
      <c r="D54" s="386"/>
      <c r="E54" s="386"/>
      <c r="F54" s="386"/>
      <c r="G54" s="386"/>
      <c r="H54" s="386"/>
      <c r="I54" s="386"/>
      <c r="J54" s="386"/>
      <c r="K54" s="386"/>
    </row>
    <row r="55" spans="1:11" x14ac:dyDescent="0.25">
      <c r="A55" s="100"/>
      <c r="B55" s="100"/>
      <c r="C55" s="100"/>
      <c r="D55" s="100"/>
      <c r="E55" s="100"/>
      <c r="F55" s="100"/>
      <c r="G55" s="100"/>
      <c r="H55" s="100"/>
      <c r="I55" s="144"/>
      <c r="J55" s="103"/>
      <c r="K55" s="103"/>
    </row>
    <row r="56" spans="1:11" x14ac:dyDescent="0.25">
      <c r="A56" s="91" t="s">
        <v>71</v>
      </c>
      <c r="B56" s="91"/>
      <c r="C56" s="91">
        <f>IF([22]SourceObSm!AC12&lt;&gt;"",[22]SourceObSm!AC12,"")</f>
        <v>0</v>
      </c>
      <c r="D56" s="92"/>
      <c r="E56" s="92"/>
      <c r="F56" s="92"/>
      <c r="G56" s="92">
        <f>IF([22]SourceObSm!AB12&lt;&gt;"",[22]SourceObSm!AB12,"")</f>
        <v>0</v>
      </c>
      <c r="H56" s="92"/>
      <c r="I56" s="143"/>
      <c r="J56" s="91"/>
      <c r="K56" s="91"/>
    </row>
    <row r="57" spans="1:11" x14ac:dyDescent="0.25">
      <c r="A57" s="386" t="s">
        <v>72</v>
      </c>
      <c r="B57" s="386"/>
      <c r="C57" s="386"/>
      <c r="D57" s="386"/>
      <c r="E57" s="386"/>
      <c r="F57" s="386"/>
      <c r="G57" s="386"/>
      <c r="H57" s="386"/>
      <c r="I57" s="386"/>
      <c r="J57" s="386"/>
      <c r="K57" s="386"/>
    </row>
    <row r="58" spans="1:11" x14ac:dyDescent="0.25">
      <c r="A58" s="100"/>
      <c r="B58" s="100"/>
      <c r="C58" s="100"/>
      <c r="D58" s="100"/>
      <c r="E58" s="100"/>
      <c r="F58" s="100"/>
      <c r="G58" s="100"/>
      <c r="H58" s="100"/>
      <c r="I58" s="144"/>
      <c r="J58" s="103"/>
      <c r="K58" s="103"/>
    </row>
    <row r="59" spans="1:11" x14ac:dyDescent="0.25">
      <c r="A59" s="91" t="s">
        <v>73</v>
      </c>
      <c r="B59" s="91"/>
      <c r="C59" s="91">
        <f>IF([22]SourceObSm!AE12&lt;&gt;"",[22]SourceObSm!AE12,"")</f>
        <v>0</v>
      </c>
      <c r="D59" s="91"/>
      <c r="E59" s="91"/>
      <c r="F59" s="91"/>
      <c r="G59" s="91">
        <f>IF([22]SourceObSm!AD12&lt;&gt;"",[22]SourceObSm!AD12,"")</f>
        <v>0</v>
      </c>
      <c r="H59" s="91"/>
      <c r="I59" s="145"/>
      <c r="J59" s="91"/>
      <c r="K59" s="91"/>
    </row>
    <row r="60" spans="1:11" x14ac:dyDescent="0.25">
      <c r="A60" s="386" t="s">
        <v>72</v>
      </c>
      <c r="B60" s="386"/>
      <c r="C60" s="386"/>
      <c r="D60" s="386"/>
      <c r="E60" s="386"/>
      <c r="F60" s="386"/>
      <c r="G60" s="386"/>
      <c r="H60" s="386"/>
      <c r="I60" s="386"/>
      <c r="J60" s="386"/>
      <c r="K60" s="386"/>
    </row>
  </sheetData>
  <mergeCells count="20">
    <mergeCell ref="A57:K57"/>
    <mergeCell ref="A60:K60"/>
    <mergeCell ref="A13:C13"/>
    <mergeCell ref="A15:C15"/>
    <mergeCell ref="A17:C17"/>
    <mergeCell ref="A19:K19"/>
    <mergeCell ref="A21:A22"/>
    <mergeCell ref="B21:B22"/>
    <mergeCell ref="C21:C22"/>
    <mergeCell ref="J21:J22"/>
    <mergeCell ref="K21:K22"/>
    <mergeCell ref="D21:I21"/>
    <mergeCell ref="A51:K51"/>
    <mergeCell ref="A54:K54"/>
    <mergeCell ref="A10:K10"/>
    <mergeCell ref="A1:D1"/>
    <mergeCell ref="A4:K4"/>
    <mergeCell ref="A5:K5"/>
    <mergeCell ref="A7:K7"/>
    <mergeCell ref="A9:K9"/>
  </mergeCells>
  <pageMargins left="0.7" right="0.7" top="0.75" bottom="0.75" header="0.3" footer="0.3"/>
  <pageSetup paperSize="9" scale="46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26</vt:i4>
      </vt:variant>
      <vt:variant>
        <vt:lpstr>Именованные диапазоны</vt:lpstr>
      </vt:variant>
      <vt:variant>
        <vt:i4>48</vt:i4>
      </vt:variant>
    </vt:vector>
  </HeadingPairs>
  <TitlesOfParts>
    <vt:vector size="74" baseType="lpstr">
      <vt:lpstr>ССР тек было</vt:lpstr>
      <vt:lpstr>ССР база было</vt:lpstr>
      <vt:lpstr>СТУ</vt:lpstr>
      <vt:lpstr> 02-01-01 утв.</vt:lpstr>
      <vt:lpstr> 02-01-02 утв.</vt:lpstr>
      <vt:lpstr>02-01-03 утв.</vt:lpstr>
      <vt:lpstr>02-01-04 утв.</vt:lpstr>
      <vt:lpstr>02-01-05 утв.</vt:lpstr>
      <vt:lpstr>02-01-06 утв.</vt:lpstr>
      <vt:lpstr>02-01-07 утв.</vt:lpstr>
      <vt:lpstr>02-01-08 утв.</vt:lpstr>
      <vt:lpstr>02-01-09 утв.</vt:lpstr>
      <vt:lpstr>02-01-10 утв.</vt:lpstr>
      <vt:lpstr>02-01-11 утв.</vt:lpstr>
      <vt:lpstr>02-01-12 утв.</vt:lpstr>
      <vt:lpstr>02-01-13 утв.</vt:lpstr>
      <vt:lpstr>02-01-14 утв.</vt:lpstr>
      <vt:lpstr>02-01-15 утв.</vt:lpstr>
      <vt:lpstr>02-01-16 утв.</vt:lpstr>
      <vt:lpstr>02-01-17 утв.</vt:lpstr>
      <vt:lpstr>02-01-18 утв.</vt:lpstr>
      <vt:lpstr>02-01-19 утв.</vt:lpstr>
      <vt:lpstr>02-01-20 утв.</vt:lpstr>
      <vt:lpstr>02-01-21 утв.</vt:lpstr>
      <vt:lpstr>02-01-22 утв. возвратные суммы</vt:lpstr>
      <vt:lpstr>ОС база</vt:lpstr>
      <vt:lpstr>' 02-01-01 утв.'!Заголовки_для_печати</vt:lpstr>
      <vt:lpstr>' 02-01-02 утв.'!Заголовки_для_печати</vt:lpstr>
      <vt:lpstr>'02-01-03 утв.'!Заголовки_для_печати</vt:lpstr>
      <vt:lpstr>'02-01-04 утв.'!Заголовки_для_печати</vt:lpstr>
      <vt:lpstr>'02-01-05 утв.'!Заголовки_для_печати</vt:lpstr>
      <vt:lpstr>'02-01-06 утв.'!Заголовки_для_печати</vt:lpstr>
      <vt:lpstr>'02-01-07 утв.'!Заголовки_для_печати</vt:lpstr>
      <vt:lpstr>'02-01-08 утв.'!Заголовки_для_печати</vt:lpstr>
      <vt:lpstr>'02-01-09 утв.'!Заголовки_для_печати</vt:lpstr>
      <vt:lpstr>'02-01-10 утв.'!Заголовки_для_печати</vt:lpstr>
      <vt:lpstr>'02-01-11 утв.'!Заголовки_для_печати</vt:lpstr>
      <vt:lpstr>'02-01-12 утв.'!Заголовки_для_печати</vt:lpstr>
      <vt:lpstr>'02-01-13 утв.'!Заголовки_для_печати</vt:lpstr>
      <vt:lpstr>'02-01-14 утв.'!Заголовки_для_печати</vt:lpstr>
      <vt:lpstr>'02-01-15 утв.'!Заголовки_для_печати</vt:lpstr>
      <vt:lpstr>'02-01-16 утв.'!Заголовки_для_печати</vt:lpstr>
      <vt:lpstr>'02-01-17 утв.'!Заголовки_для_печати</vt:lpstr>
      <vt:lpstr>'02-01-18 утв.'!Заголовки_для_печати</vt:lpstr>
      <vt:lpstr>'02-01-19 утв.'!Заголовки_для_печати</vt:lpstr>
      <vt:lpstr>'02-01-20 утв.'!Заголовки_для_печати</vt:lpstr>
      <vt:lpstr>'02-01-21 утв.'!Заголовки_для_печати</vt:lpstr>
      <vt:lpstr>'02-01-22 утв. возвратные суммы'!Заголовки_для_печати</vt:lpstr>
      <vt:lpstr>'ССР база было'!Заголовки_для_печати</vt:lpstr>
      <vt:lpstr>'ССР тек было'!Заголовки_для_печати</vt:lpstr>
      <vt:lpstr>' 02-01-01 утв.'!Область_печати</vt:lpstr>
      <vt:lpstr>' 02-01-02 утв.'!Область_печати</vt:lpstr>
      <vt:lpstr>'02-01-03 утв.'!Область_печати</vt:lpstr>
      <vt:lpstr>'02-01-04 утв.'!Область_печати</vt:lpstr>
      <vt:lpstr>'02-01-05 утв.'!Область_печати</vt:lpstr>
      <vt:lpstr>'02-01-06 утв.'!Область_печати</vt:lpstr>
      <vt:lpstr>'02-01-07 утв.'!Область_печати</vt:lpstr>
      <vt:lpstr>'02-01-08 утв.'!Область_печати</vt:lpstr>
      <vt:lpstr>'02-01-09 утв.'!Область_печати</vt:lpstr>
      <vt:lpstr>'02-01-10 утв.'!Область_печати</vt:lpstr>
      <vt:lpstr>'02-01-11 утв.'!Область_печати</vt:lpstr>
      <vt:lpstr>'02-01-12 утв.'!Область_печати</vt:lpstr>
      <vt:lpstr>'02-01-13 утв.'!Область_печати</vt:lpstr>
      <vt:lpstr>'02-01-14 утв.'!Область_печати</vt:lpstr>
      <vt:lpstr>'02-01-15 утв.'!Область_печати</vt:lpstr>
      <vt:lpstr>'02-01-16 утв.'!Область_печати</vt:lpstr>
      <vt:lpstr>'02-01-17 утв.'!Область_печати</vt:lpstr>
      <vt:lpstr>'02-01-18 утв.'!Область_печати</vt:lpstr>
      <vt:lpstr>'02-01-19 утв.'!Область_печати</vt:lpstr>
      <vt:lpstr>'02-01-20 утв.'!Область_печати</vt:lpstr>
      <vt:lpstr>'02-01-21 утв.'!Область_печати</vt:lpstr>
      <vt:lpstr>'02-01-22 утв. возвратные суммы'!Область_печати</vt:lpstr>
      <vt:lpstr>'ССР база было'!Область_печати</vt:lpstr>
      <vt:lpstr>'ССР тек было'!Область_печати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Грицук, Лариса Анатольевна (KRIS131 - GritsukLA)</dc:creator>
  <cp:lastModifiedBy>User</cp:lastModifiedBy>
  <cp:lastPrinted>2019-12-28T12:38:05Z</cp:lastPrinted>
  <dcterms:created xsi:type="dcterms:W3CDTF">2019-02-05T07:18:05Z</dcterms:created>
  <dcterms:modified xsi:type="dcterms:W3CDTF">2021-11-20T12:32:11Z</dcterms:modified>
</cp:coreProperties>
</file>